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bookViews>
    <workbookView xWindow="15" yWindow="405" windowWidth="19320" windowHeight="8730" tabRatio="805"/>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B_InstallationDescription!$B$5:$O$168</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45621" iterateDelta="1E-4"/>
</workbook>
</file>

<file path=xl/calcChain.xml><?xml version="1.0" encoding="utf-8"?>
<calcChain xmlns="http://schemas.openxmlformats.org/spreadsheetml/2006/main">
  <c r="K8" i="60" l="1"/>
  <c r="C307" i="52"/>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K110" i="58"/>
  <c r="AE110" i="58" s="1"/>
  <c r="BD90" i="58" s="1"/>
  <c r="K78" i="58"/>
  <c r="K365" i="58"/>
  <c r="AE365" i="58" s="1"/>
  <c r="BC346" i="58" s="1"/>
  <c r="K333" i="58"/>
  <c r="K301" i="58"/>
  <c r="AE301" i="58" s="1"/>
  <c r="BC282" i="58" s="1"/>
  <c r="K269" i="58"/>
  <c r="AE269" i="58"/>
  <c r="BC250" i="58" s="1"/>
  <c r="K237" i="58"/>
  <c r="AE237" i="58" s="1"/>
  <c r="BC218" i="58" s="1"/>
  <c r="K205" i="58"/>
  <c r="AE205" i="58"/>
  <c r="BC186" i="58" s="1"/>
  <c r="K173" i="58"/>
  <c r="AE173" i="58" s="1"/>
  <c r="BC154" i="58" s="1"/>
  <c r="K141" i="58"/>
  <c r="AE141" i="58"/>
  <c r="BC122" i="58" s="1"/>
  <c r="K109" i="58"/>
  <c r="AE109" i="58" s="1"/>
  <c r="BC90" i="58" s="1"/>
  <c r="K77" i="58"/>
  <c r="F353" i="46"/>
  <c r="R355" i="46" s="1"/>
  <c r="AE337" i="46" s="1"/>
  <c r="F318" i="46"/>
  <c r="F283" i="46"/>
  <c r="R285" i="46" s="1"/>
  <c r="AE267" i="46" s="1"/>
  <c r="F248" i="46"/>
  <c r="R250" i="46"/>
  <c r="AE232" i="46" s="1"/>
  <c r="F213" i="46"/>
  <c r="R215" i="46" s="1"/>
  <c r="AE197" i="46" s="1"/>
  <c r="F178" i="46"/>
  <c r="R180" i="46"/>
  <c r="AE162" i="46" s="1"/>
  <c r="F143" i="46"/>
  <c r="R145" i="46" s="1"/>
  <c r="AE127" i="46" s="1"/>
  <c r="F108" i="46"/>
  <c r="R110" i="46"/>
  <c r="AE92" i="46" s="1"/>
  <c r="F73" i="46"/>
  <c r="R75" i="46" s="1"/>
  <c r="AE57" i="46" s="1"/>
  <c r="F38" i="46"/>
  <c r="R40" i="46"/>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c r="AA684" i="52"/>
  <c r="I684" i="52"/>
  <c r="H684" i="52"/>
  <c r="AK663" i="52"/>
  <c r="AB663" i="52"/>
  <c r="I663" i="52"/>
  <c r="AM640" i="52"/>
  <c r="AI640" i="52"/>
  <c r="AG640" i="52"/>
  <c r="AD640" i="52"/>
  <c r="Z640" i="52"/>
  <c r="N640" i="52"/>
  <c r="K640" i="52"/>
  <c r="G640" i="52"/>
  <c r="B640" i="52"/>
  <c r="B638" i="52"/>
  <c r="AE593" i="52"/>
  <c r="AB593" i="52"/>
  <c r="AA593" i="52"/>
  <c r="AA594" i="52"/>
  <c r="L593" i="52"/>
  <c r="I593" i="52"/>
  <c r="H593" i="52"/>
  <c r="H597" i="52"/>
  <c r="AM592" i="52"/>
  <c r="AI592" i="52"/>
  <c r="AG592" i="52"/>
  <c r="AD592" i="52"/>
  <c r="Z592" i="52"/>
  <c r="N592" i="52"/>
  <c r="K592" i="52"/>
  <c r="G592" i="52"/>
  <c r="B592" i="52"/>
  <c r="B590" i="52"/>
  <c r="AK545" i="52"/>
  <c r="AK546" i="52"/>
  <c r="AJ545" i="52"/>
  <c r="AJ560" i="52"/>
  <c r="AB545" i="52"/>
  <c r="AB577" i="52"/>
  <c r="AA545" i="52"/>
  <c r="I545" i="52"/>
  <c r="I583" i="52" s="1"/>
  <c r="H545" i="52"/>
  <c r="AM544" i="52"/>
  <c r="AI544" i="52"/>
  <c r="AG544" i="52"/>
  <c r="AD544" i="52"/>
  <c r="Z544" i="52"/>
  <c r="N544" i="52"/>
  <c r="K544" i="52"/>
  <c r="G544" i="52"/>
  <c r="B544" i="52"/>
  <c r="AM542" i="52"/>
  <c r="AM532" i="52" s="1"/>
  <c r="AE542" i="52"/>
  <c r="AD542" i="52"/>
  <c r="AC542" i="52"/>
  <c r="AC504" i="52" s="1"/>
  <c r="AA542" i="52"/>
  <c r="AA535" i="52" s="1"/>
  <c r="L542" i="52"/>
  <c r="K542" i="52"/>
  <c r="J542" i="52"/>
  <c r="H542" i="52"/>
  <c r="H535"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s="1"/>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s="1"/>
  <c r="AD401" i="52"/>
  <c r="AC401" i="52"/>
  <c r="AA401" i="52"/>
  <c r="AA417" i="52" s="1"/>
  <c r="L401" i="52"/>
  <c r="L433" i="52" s="1"/>
  <c r="K401" i="52"/>
  <c r="K417" i="52" s="1"/>
  <c r="J401" i="52"/>
  <c r="H401" i="52"/>
  <c r="H411" i="52"/>
  <c r="AM400" i="52"/>
  <c r="AI400" i="52"/>
  <c r="N400" i="52"/>
  <c r="K400" i="52"/>
  <c r="G400" i="52"/>
  <c r="B400" i="52"/>
  <c r="B398" i="52"/>
  <c r="I394" i="52"/>
  <c r="H394" i="52"/>
  <c r="E394" i="52"/>
  <c r="D394" i="52"/>
  <c r="D442" i="52"/>
  <c r="D490" i="52" s="1"/>
  <c r="D538" i="52"/>
  <c r="D586" i="52" s="1"/>
  <c r="D634" i="52" s="1"/>
  <c r="D682" i="52" s="1"/>
  <c r="I393" i="52"/>
  <c r="H393" i="52"/>
  <c r="E393" i="52"/>
  <c r="D393" i="52"/>
  <c r="D441" i="52"/>
  <c r="D489" i="52" s="1"/>
  <c r="D537" i="52" s="1"/>
  <c r="D585" i="52" s="1"/>
  <c r="D633" i="52"/>
  <c r="D681" i="52" s="1"/>
  <c r="M392" i="52"/>
  <c r="L392" i="52"/>
  <c r="I392" i="52"/>
  <c r="H392" i="52"/>
  <c r="E392" i="52"/>
  <c r="D392" i="52"/>
  <c r="D440" i="52"/>
  <c r="D488" i="52" s="1"/>
  <c r="D536" i="52"/>
  <c r="D584" i="52" s="1"/>
  <c r="D632" i="52" s="1"/>
  <c r="D680" i="52" s="1"/>
  <c r="C392" i="52"/>
  <c r="B392" i="52"/>
  <c r="M391" i="52"/>
  <c r="L391" i="52"/>
  <c r="I391" i="52"/>
  <c r="H391" i="52"/>
  <c r="E391" i="52"/>
  <c r="D391" i="52"/>
  <c r="D439" i="52"/>
  <c r="D487" i="52" s="1"/>
  <c r="D535" i="52" s="1"/>
  <c r="D583" i="52" s="1"/>
  <c r="D631" i="52"/>
  <c r="D679" i="52" s="1"/>
  <c r="C391" i="52"/>
  <c r="C439" i="52" s="1"/>
  <c r="C487" i="52"/>
  <c r="C535" i="52" s="1"/>
  <c r="B391" i="52"/>
  <c r="B439" i="52" s="1"/>
  <c r="B487" i="52"/>
  <c r="B535" i="52" s="1"/>
  <c r="B583" i="52" s="1"/>
  <c r="B631" i="52" s="1"/>
  <c r="B679" i="52" s="1"/>
  <c r="M390" i="52"/>
  <c r="L390" i="52"/>
  <c r="I390" i="52"/>
  <c r="H390" i="52"/>
  <c r="E390" i="52"/>
  <c r="D390" i="52"/>
  <c r="D438" i="52" s="1"/>
  <c r="D486" i="52" s="1"/>
  <c r="D534" i="52" s="1"/>
  <c r="D582" i="52" s="1"/>
  <c r="D630" i="52" s="1"/>
  <c r="D678" i="52" s="1"/>
  <c r="I389" i="52"/>
  <c r="H389" i="52"/>
  <c r="E389" i="52"/>
  <c r="D389" i="52"/>
  <c r="C389" i="52"/>
  <c r="C437" i="52"/>
  <c r="C485" i="52" s="1"/>
  <c r="C533" i="52"/>
  <c r="C581" i="52" s="1"/>
  <c r="C629" i="52" s="1"/>
  <c r="B389" i="52"/>
  <c r="B390" i="52"/>
  <c r="B438" i="52" s="1"/>
  <c r="B486" i="52"/>
  <c r="B534" i="52" s="1"/>
  <c r="B582" i="52" s="1"/>
  <c r="B630" i="52" s="1"/>
  <c r="B678" i="52"/>
  <c r="M388" i="52"/>
  <c r="L388" i="52"/>
  <c r="I388" i="52"/>
  <c r="H388" i="52"/>
  <c r="E388" i="52"/>
  <c r="D388" i="52"/>
  <c r="D436" i="52" s="1"/>
  <c r="D484" i="52" s="1"/>
  <c r="D532" i="52" s="1"/>
  <c r="D580" i="52" s="1"/>
  <c r="D628" i="52" s="1"/>
  <c r="D676" i="52" s="1"/>
  <c r="C388" i="52"/>
  <c r="B388" i="52"/>
  <c r="B436" i="52" s="1"/>
  <c r="B484" i="52"/>
  <c r="B532" i="52" s="1"/>
  <c r="B580" i="52" s="1"/>
  <c r="B628" i="52" s="1"/>
  <c r="B676" i="52" s="1"/>
  <c r="M387" i="52"/>
  <c r="L387" i="52"/>
  <c r="I387" i="52"/>
  <c r="H387" i="52"/>
  <c r="E387" i="52"/>
  <c r="D387" i="52"/>
  <c r="D435" i="52" s="1"/>
  <c r="D483" i="52" s="1"/>
  <c r="D531" i="52" s="1"/>
  <c r="D579" i="52"/>
  <c r="D627" i="52" s="1"/>
  <c r="D675" i="52" s="1"/>
  <c r="M386" i="52"/>
  <c r="L386" i="52"/>
  <c r="I386" i="52"/>
  <c r="H386" i="52"/>
  <c r="E386" i="52"/>
  <c r="D386" i="52"/>
  <c r="C386" i="52"/>
  <c r="B386" i="52"/>
  <c r="M385" i="52"/>
  <c r="L385" i="52"/>
  <c r="I385" i="52"/>
  <c r="H385" i="52"/>
  <c r="E385" i="52"/>
  <c r="D385" i="52"/>
  <c r="C385" i="52"/>
  <c r="C433" i="52"/>
  <c r="C481" i="52" s="1"/>
  <c r="C529" i="52"/>
  <c r="C577" i="52" s="1"/>
  <c r="C625" i="52" s="1"/>
  <c r="C673" i="52" s="1"/>
  <c r="B385" i="52"/>
  <c r="B433" i="52" s="1"/>
  <c r="B481" i="52" s="1"/>
  <c r="B529" i="52" s="1"/>
  <c r="B577" i="52" s="1"/>
  <c r="B625" i="52" s="1"/>
  <c r="B673" i="52" s="1"/>
  <c r="M384" i="52"/>
  <c r="L384" i="52"/>
  <c r="I384" i="52"/>
  <c r="H384" i="52"/>
  <c r="E384" i="52"/>
  <c r="D384" i="52"/>
  <c r="C384" i="52"/>
  <c r="C432" i="52"/>
  <c r="B384" i="52"/>
  <c r="B432" i="52"/>
  <c r="B480" i="52" s="1"/>
  <c r="B528" i="52"/>
  <c r="B576" i="52" s="1"/>
  <c r="B624" i="52" s="1"/>
  <c r="B672" i="52" s="1"/>
  <c r="I383" i="52"/>
  <c r="H383" i="52"/>
  <c r="E383" i="52"/>
  <c r="D383" i="52"/>
  <c r="C383" i="52"/>
  <c r="C431" i="52" s="1"/>
  <c r="C479" i="52" s="1"/>
  <c r="C527" i="52" s="1"/>
  <c r="C575" i="52"/>
  <c r="C623" i="52" s="1"/>
  <c r="C671" i="52" s="1"/>
  <c r="B383" i="52"/>
  <c r="B431" i="52"/>
  <c r="B479" i="52" s="1"/>
  <c r="B527" i="52"/>
  <c r="B575" i="52" s="1"/>
  <c r="B623" i="52" s="1"/>
  <c r="B671" i="52" s="1"/>
  <c r="H382" i="52"/>
  <c r="N382" i="52" s="1"/>
  <c r="E382" i="52"/>
  <c r="D382" i="52"/>
  <c r="L381" i="52"/>
  <c r="I381" i="52"/>
  <c r="H381" i="52"/>
  <c r="E381" i="52"/>
  <c r="D381" i="52"/>
  <c r="D429" i="52" s="1"/>
  <c r="D477" i="52"/>
  <c r="D525" i="52" s="1"/>
  <c r="D573" i="52" s="1"/>
  <c r="D621" i="52" s="1"/>
  <c r="D669" i="52" s="1"/>
  <c r="L380" i="52"/>
  <c r="I380" i="52"/>
  <c r="H380" i="52"/>
  <c r="E380" i="52"/>
  <c r="D380" i="52"/>
  <c r="D428" i="52"/>
  <c r="D476" i="52" s="1"/>
  <c r="D524" i="52" s="1"/>
  <c r="D572" i="52" s="1"/>
  <c r="D620" i="52"/>
  <c r="D668" i="52" s="1"/>
  <c r="C380" i="52"/>
  <c r="B380" i="52"/>
  <c r="I379" i="52"/>
  <c r="H379" i="52"/>
  <c r="E379" i="52"/>
  <c r="D379" i="52"/>
  <c r="D427" i="52"/>
  <c r="D475" i="52" s="1"/>
  <c r="D523" i="52"/>
  <c r="D571" i="52" s="1"/>
  <c r="D619" i="52" s="1"/>
  <c r="D667" i="52" s="1"/>
  <c r="C379" i="52"/>
  <c r="B379" i="52"/>
  <c r="B427" i="52"/>
  <c r="B475" i="52" s="1"/>
  <c r="B523" i="52" s="1"/>
  <c r="B571" i="52" s="1"/>
  <c r="B619" i="52" s="1"/>
  <c r="B667" i="52" s="1"/>
  <c r="I378" i="52"/>
  <c r="E378" i="52"/>
  <c r="D378" i="52"/>
  <c r="D426" i="52" s="1"/>
  <c r="D474" i="52"/>
  <c r="D522" i="52" s="1"/>
  <c r="D570" i="52" s="1"/>
  <c r="D618" i="52" s="1"/>
  <c r="D666" i="52" s="1"/>
  <c r="I377" i="52"/>
  <c r="H377" i="52"/>
  <c r="E377" i="52"/>
  <c r="D377" i="52"/>
  <c r="D425" i="52" s="1"/>
  <c r="D473" i="52" s="1"/>
  <c r="D521" i="52" s="1"/>
  <c r="D569" i="52" s="1"/>
  <c r="D617" i="52" s="1"/>
  <c r="D665" i="52" s="1"/>
  <c r="L376" i="52"/>
  <c r="I376" i="52"/>
  <c r="H376" i="52"/>
  <c r="E376" i="52"/>
  <c r="D376" i="52"/>
  <c r="D424" i="52"/>
  <c r="C376" i="52"/>
  <c r="C377" i="52"/>
  <c r="C425" i="52" s="1"/>
  <c r="B376" i="52"/>
  <c r="I375" i="52"/>
  <c r="H375" i="52"/>
  <c r="N375" i="52" s="1"/>
  <c r="E375" i="52"/>
  <c r="D375" i="52"/>
  <c r="D423" i="52"/>
  <c r="D471" i="52" s="1"/>
  <c r="D519" i="52"/>
  <c r="D567" i="52" s="1"/>
  <c r="D615" i="52" s="1"/>
  <c r="D663" i="52" s="1"/>
  <c r="I374" i="52"/>
  <c r="E374" i="52"/>
  <c r="D374" i="52"/>
  <c r="D422" i="52" s="1"/>
  <c r="D470" i="52" s="1"/>
  <c r="D518" i="52" s="1"/>
  <c r="D566" i="52" s="1"/>
  <c r="D614" i="52" s="1"/>
  <c r="D662" i="52" s="1"/>
  <c r="I373" i="52"/>
  <c r="H373" i="52"/>
  <c r="E373" i="52"/>
  <c r="D373" i="52"/>
  <c r="D421" i="52" s="1"/>
  <c r="D469" i="52"/>
  <c r="D517" i="52" s="1"/>
  <c r="D565" i="52" s="1"/>
  <c r="D613" i="52" s="1"/>
  <c r="D661" i="52" s="1"/>
  <c r="L372" i="52"/>
  <c r="I372" i="52"/>
  <c r="H372" i="52"/>
  <c r="E372" i="52"/>
  <c r="D372" i="52"/>
  <c r="D420" i="52"/>
  <c r="D468" i="52" s="1"/>
  <c r="D516" i="52" s="1"/>
  <c r="D564" i="52" s="1"/>
  <c r="D612" i="52" s="1"/>
  <c r="D660" i="52" s="1"/>
  <c r="C372" i="52"/>
  <c r="B372" i="52"/>
  <c r="M371" i="52"/>
  <c r="L371" i="52"/>
  <c r="I371" i="52"/>
  <c r="H371" i="52"/>
  <c r="E371" i="52"/>
  <c r="D371" i="52"/>
  <c r="L370" i="52"/>
  <c r="I370" i="52"/>
  <c r="H370" i="52"/>
  <c r="E370" i="52"/>
  <c r="D370" i="52"/>
  <c r="D418" i="52" s="1"/>
  <c r="D466" i="52"/>
  <c r="D514" i="52" s="1"/>
  <c r="D562" i="52" s="1"/>
  <c r="D610" i="52" s="1"/>
  <c r="D658" i="52" s="1"/>
  <c r="M369" i="52"/>
  <c r="L369" i="52"/>
  <c r="I369" i="52"/>
  <c r="H369" i="52"/>
  <c r="E369" i="52"/>
  <c r="D369" i="52"/>
  <c r="D417" i="52" s="1"/>
  <c r="D465" i="52" s="1"/>
  <c r="D513" i="52" s="1"/>
  <c r="D561" i="52" s="1"/>
  <c r="D609" i="52" s="1"/>
  <c r="D657" i="52" s="1"/>
  <c r="C369" i="52"/>
  <c r="B369" i="52"/>
  <c r="B417" i="52" s="1"/>
  <c r="B465" i="52"/>
  <c r="B513" i="52" s="1"/>
  <c r="B561" i="52" s="1"/>
  <c r="B609" i="52" s="1"/>
  <c r="B657" i="52" s="1"/>
  <c r="M368" i="52"/>
  <c r="L368" i="52"/>
  <c r="I368" i="52"/>
  <c r="H368" i="52"/>
  <c r="E368" i="52"/>
  <c r="D368" i="52"/>
  <c r="D416" i="52" s="1"/>
  <c r="D464" i="52" s="1"/>
  <c r="D512" i="52" s="1"/>
  <c r="D560" i="52" s="1"/>
  <c r="D608" i="52" s="1"/>
  <c r="D656" i="52" s="1"/>
  <c r="I367" i="52"/>
  <c r="H367" i="52"/>
  <c r="E367" i="52"/>
  <c r="D367" i="52"/>
  <c r="D415" i="52" s="1"/>
  <c r="C367" i="52"/>
  <c r="B367" i="52"/>
  <c r="M366" i="52"/>
  <c r="L366" i="52"/>
  <c r="I366" i="52"/>
  <c r="H366" i="52"/>
  <c r="E366" i="52"/>
  <c r="D366" i="52"/>
  <c r="D414" i="52"/>
  <c r="D462" i="52" s="1"/>
  <c r="D510" i="52" s="1"/>
  <c r="D558" i="52" s="1"/>
  <c r="D606" i="52" s="1"/>
  <c r="D654" i="52" s="1"/>
  <c r="I365" i="52"/>
  <c r="H365" i="52"/>
  <c r="E365" i="52"/>
  <c r="D365" i="52"/>
  <c r="D413" i="52"/>
  <c r="D461" i="52" s="1"/>
  <c r="D509" i="52"/>
  <c r="D557" i="52" s="1"/>
  <c r="D605" i="52" s="1"/>
  <c r="D653" i="52" s="1"/>
  <c r="L364" i="52"/>
  <c r="I364" i="52"/>
  <c r="H364" i="52"/>
  <c r="E364" i="52"/>
  <c r="D364" i="52"/>
  <c r="D412" i="52" s="1"/>
  <c r="D460" i="52" s="1"/>
  <c r="D508" i="52" s="1"/>
  <c r="D556" i="52" s="1"/>
  <c r="D604" i="52" s="1"/>
  <c r="D652" i="52" s="1"/>
  <c r="M363" i="52"/>
  <c r="L363" i="52"/>
  <c r="I363" i="52"/>
  <c r="H363" i="52"/>
  <c r="E363" i="52"/>
  <c r="D363" i="52"/>
  <c r="D411" i="52" s="1"/>
  <c r="C363" i="52"/>
  <c r="B363" i="52"/>
  <c r="I362" i="52"/>
  <c r="H362" i="52"/>
  <c r="E362" i="52"/>
  <c r="D362" i="52"/>
  <c r="D410" i="52"/>
  <c r="D458" i="52" s="1"/>
  <c r="D506" i="52" s="1"/>
  <c r="D554" i="52" s="1"/>
  <c r="D602" i="52" s="1"/>
  <c r="D650" i="52" s="1"/>
  <c r="M361" i="52"/>
  <c r="L361" i="52"/>
  <c r="I361" i="52"/>
  <c r="H361" i="52"/>
  <c r="E361" i="52"/>
  <c r="D361" i="52"/>
  <c r="D409" i="52"/>
  <c r="D457" i="52" s="1"/>
  <c r="D505" i="52"/>
  <c r="D553" i="52" s="1"/>
  <c r="D601" i="52" s="1"/>
  <c r="D649" i="52" s="1"/>
  <c r="B361" i="52"/>
  <c r="M360" i="52"/>
  <c r="L360" i="52"/>
  <c r="I360" i="52"/>
  <c r="H360" i="52"/>
  <c r="E360" i="52"/>
  <c r="D360" i="52"/>
  <c r="D408" i="52" s="1"/>
  <c r="D456" i="52" s="1"/>
  <c r="D504" i="52" s="1"/>
  <c r="D552" i="52" s="1"/>
  <c r="D600" i="52" s="1"/>
  <c r="D648" i="52" s="1"/>
  <c r="C360" i="52"/>
  <c r="C408" i="52"/>
  <c r="C456" i="52" s="1"/>
  <c r="B360" i="52"/>
  <c r="B408" i="52" s="1"/>
  <c r="B456" i="52" s="1"/>
  <c r="B504" i="52" s="1"/>
  <c r="B552" i="52" s="1"/>
  <c r="B600" i="52" s="1"/>
  <c r="B648" i="52" s="1"/>
  <c r="H359" i="52"/>
  <c r="N359" i="52"/>
  <c r="E359" i="52"/>
  <c r="D359" i="52"/>
  <c r="D407" i="52" s="1"/>
  <c r="D455" i="52"/>
  <c r="D503" i="52" s="1"/>
  <c r="D551" i="52" s="1"/>
  <c r="D599" i="52" s="1"/>
  <c r="D647" i="52" s="1"/>
  <c r="H358" i="52"/>
  <c r="N358" i="52"/>
  <c r="E358" i="52"/>
  <c r="D358" i="52"/>
  <c r="D406" i="52" s="1"/>
  <c r="D454" i="52" s="1"/>
  <c r="D502" i="52" s="1"/>
  <c r="D550" i="52" s="1"/>
  <c r="D598" i="52" s="1"/>
  <c r="D646" i="52" s="1"/>
  <c r="L357" i="52"/>
  <c r="I357" i="52"/>
  <c r="H357" i="52"/>
  <c r="E357" i="52"/>
  <c r="D357" i="52"/>
  <c r="D405" i="52"/>
  <c r="D453" i="52" s="1"/>
  <c r="D501" i="52"/>
  <c r="D549" i="52" s="1"/>
  <c r="D597" i="52" s="1"/>
  <c r="D645" i="52" s="1"/>
  <c r="M356" i="52"/>
  <c r="L356" i="52"/>
  <c r="I356" i="52"/>
  <c r="H356" i="52"/>
  <c r="E356" i="52"/>
  <c r="D356" i="52"/>
  <c r="D404" i="52"/>
  <c r="D452" i="52" s="1"/>
  <c r="D500" i="52" s="1"/>
  <c r="D548" i="52" s="1"/>
  <c r="D596" i="52" s="1"/>
  <c r="D644" i="52" s="1"/>
  <c r="M355" i="52"/>
  <c r="L355" i="52"/>
  <c r="I355" i="52"/>
  <c r="H355" i="52"/>
  <c r="E355" i="52"/>
  <c r="D355" i="52"/>
  <c r="D403" i="52"/>
  <c r="M354" i="52"/>
  <c r="L354" i="52"/>
  <c r="I354" i="52"/>
  <c r="H354" i="52"/>
  <c r="E354" i="52"/>
  <c r="D354" i="52"/>
  <c r="D402" i="52" s="1"/>
  <c r="D450" i="52"/>
  <c r="D498" i="52" s="1"/>
  <c r="D546" i="52" s="1"/>
  <c r="D594" i="52" s="1"/>
  <c r="D642" i="52" s="1"/>
  <c r="M353" i="52"/>
  <c r="L353" i="52"/>
  <c r="I353" i="52"/>
  <c r="H353" i="52"/>
  <c r="E353" i="52"/>
  <c r="D353" i="52"/>
  <c r="D401" i="52" s="1"/>
  <c r="D449" i="52" s="1"/>
  <c r="D497" i="52" s="1"/>
  <c r="D545" i="52" s="1"/>
  <c r="D593" i="52" s="1"/>
  <c r="D641" i="52" s="1"/>
  <c r="C353" i="52"/>
  <c r="C401" i="52"/>
  <c r="B353" i="52"/>
  <c r="B354" i="52"/>
  <c r="X352" i="52"/>
  <c r="N352" i="52"/>
  <c r="K352" i="52"/>
  <c r="G352" i="52"/>
  <c r="F352" i="52"/>
  <c r="F400" i="52"/>
  <c r="F448" i="52" s="1"/>
  <c r="F496" i="52"/>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s="1"/>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c r="A135" i="52"/>
  <c r="A133" i="52"/>
  <c r="C301" i="52" s="1"/>
  <c r="A132" i="52"/>
  <c r="C300" i="52" s="1"/>
  <c r="A131" i="52"/>
  <c r="C299" i="52" s="1"/>
  <c r="A130" i="52"/>
  <c r="C298" i="52" s="1"/>
  <c r="A129" i="52"/>
  <c r="C297" i="52" s="1"/>
  <c r="A128" i="52"/>
  <c r="C296" i="52" s="1"/>
  <c r="A127" i="52"/>
  <c r="C295" i="52" s="1"/>
  <c r="A126" i="52"/>
  <c r="C294" i="52" s="1"/>
  <c r="A125" i="52"/>
  <c r="C293" i="52" s="1"/>
  <c r="A124" i="52"/>
  <c r="C292" i="52" s="1"/>
  <c r="A123" i="52"/>
  <c r="C291" i="52" s="1"/>
  <c r="A122" i="52"/>
  <c r="C290" i="52" s="1"/>
  <c r="A121" i="52"/>
  <c r="C289" i="52" s="1"/>
  <c r="A120" i="52"/>
  <c r="C288" i="52" s="1"/>
  <c r="A119" i="52"/>
  <c r="C287" i="52" s="1"/>
  <c r="A118" i="52"/>
  <c r="C286" i="52" s="1"/>
  <c r="A117" i="52"/>
  <c r="C285" i="52" s="1"/>
  <c r="A116" i="52"/>
  <c r="C284" i="52" s="1"/>
  <c r="A115" i="52"/>
  <c r="C283" i="52" s="1"/>
  <c r="A114" i="52"/>
  <c r="C282" i="52" s="1"/>
  <c r="A113" i="52"/>
  <c r="C281" i="52" s="1"/>
  <c r="A112" i="52"/>
  <c r="C280" i="52" s="1"/>
  <c r="A111" i="52"/>
  <c r="C279" i="52" s="1"/>
  <c r="A110" i="52"/>
  <c r="C278" i="52" s="1"/>
  <c r="A109" i="52"/>
  <c r="C277" i="52" s="1"/>
  <c r="A108" i="52"/>
  <c r="C276" i="52" s="1"/>
  <c r="A107" i="52"/>
  <c r="A106" i="52"/>
  <c r="A105" i="52"/>
  <c r="C100" i="52"/>
  <c r="B100" i="52"/>
  <c r="D99" i="52"/>
  <c r="C99" i="52"/>
  <c r="B99" i="52"/>
  <c r="F98" i="52"/>
  <c r="E98" i="52"/>
  <c r="D98" i="52"/>
  <c r="C98" i="52"/>
  <c r="B98" i="52"/>
  <c r="B97" i="52"/>
  <c r="E36" i="60"/>
  <c r="B96" i="52"/>
  <c r="Q314" i="58"/>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s="1"/>
  <c r="B77" i="52"/>
  <c r="B76" i="52"/>
  <c r="B75" i="52"/>
  <c r="B74" i="52"/>
  <c r="B73" i="52"/>
  <c r="B72" i="52"/>
  <c r="B71" i="52"/>
  <c r="H374" i="52" s="1"/>
  <c r="B70" i="52"/>
  <c r="B69" i="52"/>
  <c r="B68" i="52"/>
  <c r="B67" i="52"/>
  <c r="L6" i="28"/>
  <c r="B66" i="52"/>
  <c r="D176" i="57"/>
  <c r="B65" i="52"/>
  <c r="C64" i="52"/>
  <c r="B64" i="52"/>
  <c r="C63" i="52"/>
  <c r="B63" i="52"/>
  <c r="B62" i="52"/>
  <c r="B61" i="52"/>
  <c r="B60" i="52"/>
  <c r="B49" i="52"/>
  <c r="B48" i="52"/>
  <c r="B47" i="52"/>
  <c r="L74" i="46"/>
  <c r="B46" i="52"/>
  <c r="C45" i="52"/>
  <c r="B45" i="52"/>
  <c r="C44" i="52"/>
  <c r="B44" i="52"/>
  <c r="B40" i="52"/>
  <c r="B39" i="52"/>
  <c r="I190" i="57"/>
  <c r="B38" i="52"/>
  <c r="B37" i="52"/>
  <c r="A258" i="52" s="1"/>
  <c r="B32" i="52"/>
  <c r="C42" i="52" s="1"/>
  <c r="C27" i="52"/>
  <c r="B27" i="52"/>
  <c r="C26" i="52"/>
  <c r="B26" i="52"/>
  <c r="B16" i="52"/>
  <c r="AE1397" i="50" s="1"/>
  <c r="B15" i="52"/>
  <c r="AM2077" i="50" s="1"/>
  <c r="B6" i="52"/>
  <c r="BE1260" i="50" s="1"/>
  <c r="B5" i="52"/>
  <c r="BD261" i="50" s="1"/>
  <c r="B4" i="52"/>
  <c r="BC1584" i="50" s="1"/>
  <c r="D106" i="61"/>
  <c r="D93" i="61"/>
  <c r="D80" i="61"/>
  <c r="AY3" i="61"/>
  <c r="AX3" i="61"/>
  <c r="AW3" i="61"/>
  <c r="AV3" i="61"/>
  <c r="AU3" i="61"/>
  <c r="AT3" i="61"/>
  <c r="AS3" i="61"/>
  <c r="AS81" i="61"/>
  <c r="AR3" i="61"/>
  <c r="AQ3" i="61"/>
  <c r="AP3" i="61"/>
  <c r="AO3" i="61"/>
  <c r="AO94" i="61" s="1"/>
  <c r="AN3" i="61"/>
  <c r="AM3" i="61"/>
  <c r="AL3" i="61"/>
  <c r="AK3" i="61"/>
  <c r="AK81" i="61"/>
  <c r="AJ3" i="61"/>
  <c r="AI3" i="61"/>
  <c r="AH3" i="61"/>
  <c r="AG3" i="61"/>
  <c r="AF3" i="61"/>
  <c r="AE3" i="61"/>
  <c r="AD3" i="61"/>
  <c r="AC3" i="61"/>
  <c r="AB3" i="61"/>
  <c r="AA3" i="61"/>
  <c r="Z3" i="61"/>
  <c r="Y3" i="61"/>
  <c r="X3" i="61"/>
  <c r="W3" i="61"/>
  <c r="V3" i="61"/>
  <c r="U3" i="61"/>
  <c r="U107" i="61" s="1"/>
  <c r="T3" i="61"/>
  <c r="S3" i="61"/>
  <c r="R3" i="61"/>
  <c r="Q3" i="61"/>
  <c r="Q107" i="61"/>
  <c r="P3" i="61"/>
  <c r="O3" i="61"/>
  <c r="N3" i="61"/>
  <c r="M3" i="61"/>
  <c r="M94" i="61" s="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s="1"/>
  <c r="M2013" i="50"/>
  <c r="AT2011" i="50"/>
  <c r="AT2013" i="50"/>
  <c r="M1986" i="50"/>
  <c r="AT1984" i="50"/>
  <c r="AT1986" i="50" s="1"/>
  <c r="M1959" i="50"/>
  <c r="AT1957" i="50"/>
  <c r="AT1959" i="50"/>
  <c r="M1932" i="50"/>
  <c r="AT1930" i="50"/>
  <c r="AT1932" i="50" s="1"/>
  <c r="M1905" i="50"/>
  <c r="AT1903" i="50"/>
  <c r="AT1905" i="50"/>
  <c r="M1878" i="50"/>
  <c r="AT1876" i="50"/>
  <c r="AT1878" i="50" s="1"/>
  <c r="M1851" i="50"/>
  <c r="AT1849" i="50"/>
  <c r="AT1851" i="50"/>
  <c r="M1824" i="50"/>
  <c r="AT1822" i="50"/>
  <c r="AT1824" i="50" s="1"/>
  <c r="M1797" i="50"/>
  <c r="AT1795" i="50"/>
  <c r="AT1797" i="50"/>
  <c r="M1770" i="50"/>
  <c r="AT1768" i="50"/>
  <c r="AT1770" i="50" s="1"/>
  <c r="M1743" i="50"/>
  <c r="AT1741" i="50"/>
  <c r="AT1743" i="50"/>
  <c r="M1716" i="50"/>
  <c r="AT1714" i="50"/>
  <c r="AT1716" i="50" s="1"/>
  <c r="M1689" i="50"/>
  <c r="AT1687" i="50"/>
  <c r="AT1689" i="50"/>
  <c r="M1662" i="50"/>
  <c r="AT1660" i="50"/>
  <c r="AT1662" i="50" s="1"/>
  <c r="M1635" i="50"/>
  <c r="AT1633" i="50"/>
  <c r="AT1635" i="50"/>
  <c r="M1608" i="50"/>
  <c r="AT1606" i="50"/>
  <c r="AT1608" i="50" s="1"/>
  <c r="M1581" i="50"/>
  <c r="AT1579" i="50"/>
  <c r="AT1581" i="50"/>
  <c r="M1554" i="50"/>
  <c r="AT1552" i="50"/>
  <c r="AT1554" i="50" s="1"/>
  <c r="M1527" i="50"/>
  <c r="AT1525" i="50"/>
  <c r="AT1527" i="50"/>
  <c r="M1500" i="50"/>
  <c r="AT1498" i="50"/>
  <c r="AT1500" i="50" s="1"/>
  <c r="M1473" i="50"/>
  <c r="AT1471" i="50"/>
  <c r="AT1473" i="50"/>
  <c r="M1446" i="50"/>
  <c r="AT1444" i="50"/>
  <c r="AT1446" i="50" s="1"/>
  <c r="M1419" i="50"/>
  <c r="AT1417" i="50"/>
  <c r="AT1419" i="50"/>
  <c r="M1392" i="50"/>
  <c r="AT1390" i="50"/>
  <c r="AT1392" i="50" s="1"/>
  <c r="M1365" i="50"/>
  <c r="AT1363" i="50"/>
  <c r="AT1365" i="50"/>
  <c r="M1338" i="50"/>
  <c r="AT1336" i="50"/>
  <c r="AT1338" i="50" s="1"/>
  <c r="M1311" i="50"/>
  <c r="AT1309" i="50"/>
  <c r="AT1311" i="50"/>
  <c r="M1284" i="50"/>
  <c r="AT1282" i="50"/>
  <c r="AT1284" i="50" s="1"/>
  <c r="M1257" i="50"/>
  <c r="AT1255" i="50"/>
  <c r="AT1257" i="50"/>
  <c r="M1230" i="50"/>
  <c r="AT1228" i="50"/>
  <c r="AT1230" i="50" s="1"/>
  <c r="M1203" i="50"/>
  <c r="AT1201" i="50"/>
  <c r="AT1203" i="50"/>
  <c r="M1176" i="50"/>
  <c r="AT1174" i="50"/>
  <c r="AT1176" i="50" s="1"/>
  <c r="M1149" i="50"/>
  <c r="AT1147" i="50"/>
  <c r="AT1149" i="50"/>
  <c r="M1122" i="50"/>
  <c r="AT1120" i="50"/>
  <c r="AT1122" i="50" s="1"/>
  <c r="M1095" i="50"/>
  <c r="AT1093" i="50"/>
  <c r="AT1095" i="50"/>
  <c r="M1068" i="50"/>
  <c r="AT1066" i="50"/>
  <c r="AT1068" i="50" s="1"/>
  <c r="M1041" i="50"/>
  <c r="AT1039" i="50"/>
  <c r="AT1041" i="50"/>
  <c r="M1014" i="50"/>
  <c r="AT1012" i="50"/>
  <c r="AT1014" i="50" s="1"/>
  <c r="M987" i="50"/>
  <c r="AT985" i="50"/>
  <c r="AT987" i="50"/>
  <c r="M960" i="50"/>
  <c r="AT958" i="50"/>
  <c r="AT960" i="50" s="1"/>
  <c r="M933" i="50"/>
  <c r="AT931" i="50"/>
  <c r="AT933" i="50"/>
  <c r="M906" i="50"/>
  <c r="AT904" i="50"/>
  <c r="AT906" i="50" s="1"/>
  <c r="M879" i="50"/>
  <c r="AT877" i="50"/>
  <c r="AT879" i="50"/>
  <c r="M852" i="50"/>
  <c r="AT850" i="50"/>
  <c r="AT852" i="50" s="1"/>
  <c r="M825" i="50"/>
  <c r="AT823" i="50"/>
  <c r="AT825" i="50"/>
  <c r="M798" i="50"/>
  <c r="AT796" i="50"/>
  <c r="AT798" i="50" s="1"/>
  <c r="M771" i="50"/>
  <c r="AT769" i="50"/>
  <c r="AT771" i="50"/>
  <c r="M744" i="50"/>
  <c r="AT742" i="50"/>
  <c r="AT744" i="50" s="1"/>
  <c r="M717" i="50"/>
  <c r="AT715" i="50"/>
  <c r="AT717" i="50"/>
  <c r="M690" i="50"/>
  <c r="AT688" i="50"/>
  <c r="AT690" i="50" s="1"/>
  <c r="M663" i="50"/>
  <c r="AT661" i="50"/>
  <c r="AT663" i="50"/>
  <c r="M636" i="50"/>
  <c r="AT634" i="50"/>
  <c r="AT636" i="50" s="1"/>
  <c r="M609" i="50"/>
  <c r="AT607" i="50"/>
  <c r="AT609" i="50"/>
  <c r="M582" i="50"/>
  <c r="AT580" i="50"/>
  <c r="AT582" i="50" s="1"/>
  <c r="M555" i="50"/>
  <c r="AT553" i="50"/>
  <c r="AT555" i="50"/>
  <c r="M528" i="50"/>
  <c r="AT526" i="50"/>
  <c r="AT528" i="50" s="1"/>
  <c r="M501" i="50"/>
  <c r="AT499" i="50"/>
  <c r="AT501" i="50"/>
  <c r="M474" i="50"/>
  <c r="AT472" i="50"/>
  <c r="AT474" i="50" s="1"/>
  <c r="M447" i="50"/>
  <c r="AT445" i="50"/>
  <c r="AT447" i="50"/>
  <c r="M420" i="50"/>
  <c r="AT418" i="50"/>
  <c r="AT420" i="50" s="1"/>
  <c r="M393" i="50"/>
  <c r="AT391" i="50"/>
  <c r="AT393" i="50"/>
  <c r="M366" i="50"/>
  <c r="AT364" i="50"/>
  <c r="AT366" i="50" s="1"/>
  <c r="M339" i="50"/>
  <c r="AT337" i="50"/>
  <c r="AT339" i="50"/>
  <c r="M312" i="50"/>
  <c r="AT310" i="50"/>
  <c r="AT312" i="50" s="1"/>
  <c r="M285" i="50"/>
  <c r="AT283" i="50"/>
  <c r="AT285" i="50"/>
  <c r="M258" i="50"/>
  <c r="AT256" i="50"/>
  <c r="AT258" i="50" s="1"/>
  <c r="M231" i="50"/>
  <c r="AT229" i="50"/>
  <c r="AT231" i="50"/>
  <c r="M204" i="50"/>
  <c r="AT202" i="50"/>
  <c r="AT204" i="50" s="1"/>
  <c r="M177" i="50"/>
  <c r="AT175" i="50"/>
  <c r="AT177" i="50"/>
  <c r="M150" i="50"/>
  <c r="AT148" i="50"/>
  <c r="AT150" i="50" s="1"/>
  <c r="M123" i="50"/>
  <c r="AT121" i="50"/>
  <c r="AT123" i="50"/>
  <c r="M96" i="50"/>
  <c r="AT94" i="50"/>
  <c r="AT96" i="50" s="1"/>
  <c r="AT67" i="50"/>
  <c r="AT69" i="50" s="1"/>
  <c r="AA2078" i="50"/>
  <c r="Z2078" i="50"/>
  <c r="AA2077" i="50"/>
  <c r="Z2077" i="50"/>
  <c r="Z2076" i="50"/>
  <c r="AA2075" i="50"/>
  <c r="AQ2075" i="50"/>
  <c r="Z2075" i="50"/>
  <c r="AA2074" i="50"/>
  <c r="Z2074" i="50"/>
  <c r="Z2073" i="50"/>
  <c r="Z2072" i="50"/>
  <c r="AQ2070" i="50"/>
  <c r="K2070" i="50" s="1"/>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c r="T2059" i="50"/>
  <c r="AA2051" i="50"/>
  <c r="Z2051" i="50"/>
  <c r="AA2050" i="50"/>
  <c r="Z2050" i="50"/>
  <c r="Z2049" i="50"/>
  <c r="AA2048" i="50"/>
  <c r="AQ2048" i="50"/>
  <c r="K2048" i="50" s="1"/>
  <c r="Z2048" i="50"/>
  <c r="AA2047" i="50"/>
  <c r="AQ2047" i="50"/>
  <c r="Z2047" i="50"/>
  <c r="Z2046" i="50"/>
  <c r="Z2045" i="50"/>
  <c r="AQ2043" i="50"/>
  <c r="K2043" i="50" s="1"/>
  <c r="Z2043" i="50"/>
  <c r="V2043" i="50"/>
  <c r="V2053" i="50"/>
  <c r="A2033" i="50"/>
  <c r="U2032" i="50"/>
  <c r="E2034" i="50"/>
  <c r="T2048" i="50"/>
  <c r="T2032" i="50"/>
  <c r="AA2024" i="50"/>
  <c r="Z2024" i="50"/>
  <c r="AA2023" i="50"/>
  <c r="Z2023" i="50"/>
  <c r="Z2022" i="50"/>
  <c r="AA2021" i="50"/>
  <c r="AQ2021" i="50"/>
  <c r="Z2021" i="50"/>
  <c r="AA2020" i="50"/>
  <c r="Z2020" i="50"/>
  <c r="Z2019" i="50"/>
  <c r="Z2018" i="50"/>
  <c r="AQ2016" i="50"/>
  <c r="K2016" i="50" s="1"/>
  <c r="Z2016" i="50"/>
  <c r="V2016" i="50"/>
  <c r="V2026" i="50"/>
  <c r="E2009" i="50"/>
  <c r="E2007" i="50"/>
  <c r="T2016" i="50" s="1"/>
  <c r="A2006" i="50"/>
  <c r="U2005" i="50"/>
  <c r="T2005" i="50"/>
  <c r="AA1997" i="50"/>
  <c r="Z1997" i="50"/>
  <c r="AA1996" i="50"/>
  <c r="Z1996" i="50"/>
  <c r="Z1995" i="50"/>
  <c r="AA1994" i="50"/>
  <c r="AQ1994" i="50" s="1"/>
  <c r="K1994" i="50" s="1"/>
  <c r="Z1994" i="50"/>
  <c r="AA1993" i="50"/>
  <c r="AQ1993" i="50" s="1"/>
  <c r="K1993" i="50"/>
  <c r="Z1993" i="50"/>
  <c r="Z1992" i="50"/>
  <c r="Z1991" i="50"/>
  <c r="AQ1989" i="50"/>
  <c r="K1989" i="50" s="1"/>
  <c r="Z1989" i="50"/>
  <c r="V1989" i="50"/>
  <c r="V1991" i="50"/>
  <c r="V1992" i="50" s="1"/>
  <c r="V1993" i="50"/>
  <c r="V1994" i="50" s="1"/>
  <c r="V1995" i="50" s="1"/>
  <c r="V1996" i="50" s="1"/>
  <c r="V1997" i="50"/>
  <c r="E1982" i="50"/>
  <c r="E1980" i="50"/>
  <c r="A1979" i="50"/>
  <c r="U1978" i="50"/>
  <c r="T1978" i="50"/>
  <c r="AA1970" i="50"/>
  <c r="Z1970" i="50"/>
  <c r="AA1969" i="50"/>
  <c r="Z1969" i="50"/>
  <c r="Z1968" i="50"/>
  <c r="AA1967" i="50"/>
  <c r="AQ1967" i="50"/>
  <c r="Z1967" i="50"/>
  <c r="AA1966" i="50"/>
  <c r="AQ1966" i="50" s="1"/>
  <c r="K1966" i="50" s="1"/>
  <c r="Z1966" i="50"/>
  <c r="Z1965" i="50"/>
  <c r="Z1964" i="50"/>
  <c r="AQ1962" i="50"/>
  <c r="K1962" i="50" s="1"/>
  <c r="Z1962" i="50"/>
  <c r="V1962" i="50"/>
  <c r="V1972" i="50"/>
  <c r="E1955" i="50"/>
  <c r="E1953" i="50"/>
  <c r="T1953" i="50" s="1"/>
  <c r="A1952" i="50"/>
  <c r="U1951" i="50"/>
  <c r="T1951" i="50"/>
  <c r="AA1943" i="50"/>
  <c r="Z1943" i="50"/>
  <c r="AA1942" i="50"/>
  <c r="Z1942" i="50"/>
  <c r="Z1941" i="50"/>
  <c r="AA1940" i="50"/>
  <c r="AQ1940" i="50"/>
  <c r="Z1940" i="50"/>
  <c r="AA1939" i="50"/>
  <c r="Z1939" i="50"/>
  <c r="Z1938" i="50"/>
  <c r="Z1937" i="50"/>
  <c r="AQ1935" i="50"/>
  <c r="K1935" i="50" s="1"/>
  <c r="Z1935" i="50"/>
  <c r="V1935" i="50"/>
  <c r="V1937" i="50"/>
  <c r="V1938" i="50" s="1"/>
  <c r="V1939" i="50" s="1"/>
  <c r="V1940" i="50" s="1"/>
  <c r="V1941" i="50" s="1"/>
  <c r="V1942" i="50" s="1"/>
  <c r="V1943" i="50" s="1"/>
  <c r="E1928" i="50"/>
  <c r="E1926" i="50"/>
  <c r="K1925" i="50" s="1"/>
  <c r="A1925" i="50"/>
  <c r="U1924" i="50"/>
  <c r="T1924" i="50"/>
  <c r="AA1916" i="50"/>
  <c r="Z1916" i="50"/>
  <c r="AA1915" i="50"/>
  <c r="Z1915" i="50"/>
  <c r="Z1914" i="50"/>
  <c r="AA1913" i="50"/>
  <c r="AQ1913" i="50" s="1"/>
  <c r="K1913" i="50" s="1"/>
  <c r="Z1913" i="50"/>
  <c r="AA1912" i="50"/>
  <c r="Z1912" i="50"/>
  <c r="Z1911" i="50"/>
  <c r="Z1910" i="50"/>
  <c r="AQ1908" i="50"/>
  <c r="K1908" i="50" s="1"/>
  <c r="Z1908" i="50"/>
  <c r="V1908" i="50"/>
  <c r="V1918" i="50"/>
  <c r="E1901" i="50"/>
  <c r="E1899" i="50"/>
  <c r="A1898" i="50"/>
  <c r="U1897" i="50"/>
  <c r="T1897" i="50"/>
  <c r="AA1889" i="50"/>
  <c r="Z1889" i="50"/>
  <c r="AA1888" i="50"/>
  <c r="Z1888" i="50"/>
  <c r="Z1887" i="50"/>
  <c r="AA1886" i="50"/>
  <c r="AQ1886" i="50"/>
  <c r="K1886" i="50" s="1"/>
  <c r="Z1886" i="50"/>
  <c r="AA1885" i="50"/>
  <c r="AQ1885" i="50"/>
  <c r="K1885" i="50" s="1"/>
  <c r="Z1885" i="50"/>
  <c r="Z1884" i="50"/>
  <c r="Z1883" i="50"/>
  <c r="AQ1881" i="50"/>
  <c r="K1881" i="50"/>
  <c r="Z1881" i="50"/>
  <c r="V1881" i="50"/>
  <c r="V1883" i="50" s="1"/>
  <c r="V1884" i="50" s="1"/>
  <c r="V1885" i="50" s="1"/>
  <c r="V1886" i="50" s="1"/>
  <c r="V1887" i="50" s="1"/>
  <c r="V1888" i="50" s="1"/>
  <c r="E1874" i="50"/>
  <c r="E1872" i="50"/>
  <c r="T1886" i="50" s="1"/>
  <c r="A1871" i="50"/>
  <c r="U1870" i="50"/>
  <c r="T1870" i="50"/>
  <c r="AA1862" i="50"/>
  <c r="Z1862" i="50"/>
  <c r="AA1861" i="50"/>
  <c r="Z1861" i="50"/>
  <c r="Z1860" i="50"/>
  <c r="AA1859" i="50"/>
  <c r="AQ1859" i="50" s="1"/>
  <c r="Z1859" i="50"/>
  <c r="AA1858" i="50"/>
  <c r="AQ1858" i="50"/>
  <c r="Z1858" i="50"/>
  <c r="Z1857" i="50"/>
  <c r="Z1856" i="50"/>
  <c r="AQ1854" i="50"/>
  <c r="K1854" i="50" s="1"/>
  <c r="Z1854" i="50"/>
  <c r="V1854" i="50"/>
  <c r="V1864" i="50"/>
  <c r="E1847" i="50"/>
  <c r="E1845" i="50"/>
  <c r="T1859" i="50" s="1"/>
  <c r="A1844" i="50"/>
  <c r="U1843" i="50"/>
  <c r="T1843" i="50"/>
  <c r="AA1835" i="50"/>
  <c r="Z1835" i="50"/>
  <c r="AA1834" i="50"/>
  <c r="Z1834" i="50"/>
  <c r="Z1833" i="50"/>
  <c r="AA1832" i="50"/>
  <c r="AQ1832" i="50" s="1"/>
  <c r="Z1832" i="50"/>
  <c r="AA1831" i="50"/>
  <c r="Z1831" i="50"/>
  <c r="Z1830" i="50"/>
  <c r="Z1829" i="50"/>
  <c r="AQ1827" i="50"/>
  <c r="K1827" i="50"/>
  <c r="Z1827" i="50"/>
  <c r="V1827" i="50"/>
  <c r="V1829" i="50" s="1"/>
  <c r="V1830" i="50" s="1"/>
  <c r="V1831" i="50" s="1"/>
  <c r="V1832" i="50" s="1"/>
  <c r="V1833" i="50" s="1"/>
  <c r="V1834" i="50" s="1"/>
  <c r="V1835" i="50" s="1"/>
  <c r="E1820" i="50"/>
  <c r="E1818" i="50"/>
  <c r="T1818" i="50"/>
  <c r="A1817" i="50"/>
  <c r="U1816" i="50"/>
  <c r="T1816" i="50"/>
  <c r="AA1808" i="50"/>
  <c r="Z1808" i="50"/>
  <c r="AA1807" i="50"/>
  <c r="Z1807" i="50"/>
  <c r="Z1806" i="50"/>
  <c r="AA1805" i="50"/>
  <c r="AQ1805" i="50"/>
  <c r="K1805" i="50" s="1"/>
  <c r="Z1805" i="50"/>
  <c r="AA1804" i="50"/>
  <c r="Z1804" i="50"/>
  <c r="Z1803" i="50"/>
  <c r="Z1802" i="50"/>
  <c r="AQ1800" i="50"/>
  <c r="K1800" i="50"/>
  <c r="Z1800" i="50"/>
  <c r="V1800" i="50"/>
  <c r="V1810" i="50" s="1"/>
  <c r="E1793" i="50"/>
  <c r="E1791" i="50"/>
  <c r="A1790" i="50"/>
  <c r="U1789" i="50"/>
  <c r="T1789" i="50"/>
  <c r="AA1781" i="50"/>
  <c r="Z1781" i="50"/>
  <c r="AA1780" i="50"/>
  <c r="Z1780" i="50"/>
  <c r="Z1779" i="50"/>
  <c r="AA1778" i="50"/>
  <c r="AQ1778" i="50" s="1"/>
  <c r="K1778" i="50" s="1"/>
  <c r="Z1778" i="50"/>
  <c r="AA1777" i="50"/>
  <c r="AQ1777" i="50" s="1"/>
  <c r="K1777" i="50"/>
  <c r="Z1777" i="50"/>
  <c r="Z1776" i="50"/>
  <c r="Z1775" i="50"/>
  <c r="AQ1773" i="50"/>
  <c r="K1773" i="50" s="1"/>
  <c r="Z1773" i="50"/>
  <c r="V1773" i="50"/>
  <c r="V1783" i="50"/>
  <c r="E1766" i="50"/>
  <c r="E1764" i="50"/>
  <c r="T1764" i="50" s="1"/>
  <c r="A1763" i="50"/>
  <c r="U1762" i="50"/>
  <c r="T1762" i="50"/>
  <c r="AA1754" i="50"/>
  <c r="Z1754" i="50"/>
  <c r="AA1753" i="50"/>
  <c r="Z1753" i="50"/>
  <c r="Z1752" i="50"/>
  <c r="AA1751" i="50"/>
  <c r="AQ1751" i="50" s="1"/>
  <c r="Z1751" i="50"/>
  <c r="AA1750" i="50"/>
  <c r="Z1750" i="50"/>
  <c r="Z1749" i="50"/>
  <c r="Z1748" i="50"/>
  <c r="AQ1746" i="50"/>
  <c r="K1746" i="50"/>
  <c r="Z1746" i="50"/>
  <c r="V1746" i="50"/>
  <c r="V1756" i="50" s="1"/>
  <c r="E1739" i="50"/>
  <c r="E1737" i="50"/>
  <c r="T1749" i="50"/>
  <c r="A1736" i="50"/>
  <c r="U1735" i="50"/>
  <c r="T1735" i="50"/>
  <c r="AA1727" i="50"/>
  <c r="Z1727" i="50"/>
  <c r="AA1726" i="50"/>
  <c r="Z1726" i="50"/>
  <c r="Z1725" i="50"/>
  <c r="AA1724" i="50"/>
  <c r="Z1724" i="50"/>
  <c r="AA1723" i="50"/>
  <c r="Z1723" i="50"/>
  <c r="Z1722" i="50"/>
  <c r="Z1721" i="50"/>
  <c r="AQ1719" i="50"/>
  <c r="K1719" i="50"/>
  <c r="Z1719" i="50"/>
  <c r="V1719" i="50"/>
  <c r="V1729" i="50" s="1"/>
  <c r="E1712" i="50"/>
  <c r="E1710" i="50"/>
  <c r="A1709" i="50"/>
  <c r="U1708" i="50"/>
  <c r="T1708" i="50"/>
  <c r="AA1700" i="50"/>
  <c r="Z1700" i="50"/>
  <c r="AA1699" i="50"/>
  <c r="Z1699" i="50"/>
  <c r="Z1698" i="50"/>
  <c r="AA1697" i="50"/>
  <c r="AQ1697" i="50" s="1"/>
  <c r="Z1697" i="50"/>
  <c r="AA1696" i="50"/>
  <c r="Z1696" i="50"/>
  <c r="Z1695" i="50"/>
  <c r="Z1694" i="50"/>
  <c r="AQ1692" i="50"/>
  <c r="K1692" i="50"/>
  <c r="Z1692" i="50"/>
  <c r="V1692" i="50"/>
  <c r="V1702" i="50" s="1"/>
  <c r="E1685" i="50"/>
  <c r="E1683" i="50"/>
  <c r="T1697" i="50"/>
  <c r="A1682" i="50"/>
  <c r="U1681" i="50"/>
  <c r="T1681" i="50"/>
  <c r="AA1673" i="50"/>
  <c r="Z1673" i="50"/>
  <c r="AA1672" i="50"/>
  <c r="Z1672" i="50"/>
  <c r="Z1671" i="50"/>
  <c r="AA1670" i="50"/>
  <c r="Z1670" i="50"/>
  <c r="AA1669" i="50"/>
  <c r="AQ1669" i="50"/>
  <c r="Z1669" i="50"/>
  <c r="Z1668" i="50"/>
  <c r="Z1667" i="50"/>
  <c r="AQ1665" i="50"/>
  <c r="K1665" i="50" s="1"/>
  <c r="Z1665" i="50"/>
  <c r="V1665" i="50"/>
  <c r="V1675" i="50"/>
  <c r="E1658" i="50"/>
  <c r="E1656" i="50"/>
  <c r="T1672" i="50" s="1"/>
  <c r="A1655" i="50"/>
  <c r="U1654" i="50"/>
  <c r="T1654" i="50"/>
  <c r="AA1646" i="50"/>
  <c r="Z1646" i="50"/>
  <c r="AA1645" i="50"/>
  <c r="Z1645" i="50"/>
  <c r="Z1644" i="50"/>
  <c r="AA1643" i="50"/>
  <c r="Z1643" i="50"/>
  <c r="AA1642" i="50"/>
  <c r="Z1642" i="50"/>
  <c r="Z1641" i="50"/>
  <c r="Z1640" i="50"/>
  <c r="AQ1638" i="50"/>
  <c r="K1638" i="50" s="1"/>
  <c r="Z1638" i="50"/>
  <c r="V1638" i="50"/>
  <c r="V1648" i="50"/>
  <c r="E1631" i="50"/>
  <c r="E1629" i="50"/>
  <c r="T1638" i="50" s="1"/>
  <c r="A1628" i="50"/>
  <c r="U1627" i="50"/>
  <c r="T1627" i="50"/>
  <c r="AA1619" i="50"/>
  <c r="Z1619" i="50"/>
  <c r="AA1618" i="50"/>
  <c r="Z1618" i="50"/>
  <c r="Z1617" i="50"/>
  <c r="AA1616" i="50"/>
  <c r="Z1616" i="50"/>
  <c r="AA1615" i="50"/>
  <c r="Z1615" i="50"/>
  <c r="Z1614" i="50"/>
  <c r="Z1613" i="50"/>
  <c r="AQ1611" i="50"/>
  <c r="K1611" i="50" s="1"/>
  <c r="Z1611" i="50"/>
  <c r="V1611" i="50"/>
  <c r="V1621" i="50"/>
  <c r="E1604" i="50"/>
  <c r="E1602" i="50"/>
  <c r="T1619" i="50" s="1"/>
  <c r="A1601" i="50"/>
  <c r="U1600" i="50"/>
  <c r="T1600" i="50"/>
  <c r="AA1592" i="50"/>
  <c r="Z1592" i="50"/>
  <c r="AA1591" i="50"/>
  <c r="Z1591" i="50"/>
  <c r="Z1590" i="50"/>
  <c r="AA1589" i="50"/>
  <c r="Z1589" i="50"/>
  <c r="AA1588" i="50"/>
  <c r="Z1588" i="50"/>
  <c r="Z1587" i="50"/>
  <c r="Z1586" i="50"/>
  <c r="AQ1584" i="50"/>
  <c r="K1584" i="50" s="1"/>
  <c r="Z1584" i="50"/>
  <c r="V1584" i="50"/>
  <c r="V1594" i="50"/>
  <c r="E1577" i="50"/>
  <c r="E1575" i="50"/>
  <c r="K1574" i="50" s="1"/>
  <c r="A1574" i="50"/>
  <c r="U1573" i="50"/>
  <c r="T1573" i="50"/>
  <c r="AA1565" i="50"/>
  <c r="Z1565" i="50"/>
  <c r="AA1564" i="50"/>
  <c r="Z1564" i="50"/>
  <c r="Z1563" i="50"/>
  <c r="AA1562" i="50"/>
  <c r="AQ1562" i="50"/>
  <c r="Z1562" i="50"/>
  <c r="AA1561" i="50"/>
  <c r="AQ1561" i="50" s="1"/>
  <c r="Z1561" i="50"/>
  <c r="Z1560" i="50"/>
  <c r="Z1559" i="50"/>
  <c r="AQ1557" i="50"/>
  <c r="K1557" i="50"/>
  <c r="Z1557" i="50"/>
  <c r="V1557" i="50"/>
  <c r="V1559" i="50" s="1"/>
  <c r="V1560" i="50" s="1"/>
  <c r="V1561" i="50" s="1"/>
  <c r="V1562" i="50" s="1"/>
  <c r="V1563" i="50" s="1"/>
  <c r="V1564" i="50" s="1"/>
  <c r="V1565" i="50" s="1"/>
  <c r="E1550" i="50"/>
  <c r="E1548" i="50"/>
  <c r="T1548" i="50"/>
  <c r="A1547" i="50"/>
  <c r="U1546" i="50"/>
  <c r="T1546" i="50"/>
  <c r="AA1538" i="50"/>
  <c r="Z1538" i="50"/>
  <c r="AA1537" i="50"/>
  <c r="Z1537" i="50"/>
  <c r="Z1536" i="50"/>
  <c r="AA1535" i="50"/>
  <c r="AQ1535" i="50"/>
  <c r="K1535" i="50" s="1"/>
  <c r="Z1535" i="50"/>
  <c r="AA1534" i="50"/>
  <c r="Z1534" i="50"/>
  <c r="Z1533" i="50"/>
  <c r="Z1532" i="50"/>
  <c r="AQ1530" i="50"/>
  <c r="K1530" i="50"/>
  <c r="Z1530" i="50"/>
  <c r="V1530" i="50"/>
  <c r="V1540" i="50" s="1"/>
  <c r="E1523" i="50"/>
  <c r="E1521" i="50"/>
  <c r="T1521" i="50"/>
  <c r="AC1525" i="50" s="1"/>
  <c r="AC1530" i="50" s="1"/>
  <c r="A1520" i="50"/>
  <c r="U1519" i="50"/>
  <c r="T1519" i="50"/>
  <c r="AA1511" i="50"/>
  <c r="Z1511" i="50"/>
  <c r="AA1510" i="50"/>
  <c r="Z1510" i="50"/>
  <c r="Z1509" i="50"/>
  <c r="AA1508" i="50"/>
  <c r="AQ1508" i="50"/>
  <c r="K1508" i="50" s="1"/>
  <c r="Z1508" i="50"/>
  <c r="AA1507" i="50"/>
  <c r="AQ1507" i="50"/>
  <c r="Z1507" i="50"/>
  <c r="Z1506" i="50"/>
  <c r="Z1505" i="50"/>
  <c r="AQ1503" i="50"/>
  <c r="K1503" i="50" s="1"/>
  <c r="Z1503" i="50"/>
  <c r="V1503" i="50"/>
  <c r="V1513" i="50"/>
  <c r="E1496" i="50"/>
  <c r="E1494" i="50"/>
  <c r="T1510" i="50" s="1"/>
  <c r="A1493" i="50"/>
  <c r="U1492" i="50"/>
  <c r="T1492" i="50"/>
  <c r="AA1484" i="50"/>
  <c r="Z1484" i="50"/>
  <c r="AA1483" i="50"/>
  <c r="Z1483" i="50"/>
  <c r="Z1482" i="50"/>
  <c r="AA1481" i="50"/>
  <c r="Z1481" i="50"/>
  <c r="AA1480" i="50"/>
  <c r="AQ1480" i="50" s="1"/>
  <c r="Z1480" i="50"/>
  <c r="Z1479" i="50"/>
  <c r="Z1478" i="50"/>
  <c r="AQ1476" i="50"/>
  <c r="K1476" i="50"/>
  <c r="Z1476" i="50"/>
  <c r="V1476" i="50"/>
  <c r="V1486" i="50" s="1"/>
  <c r="E1469" i="50"/>
  <c r="E1467" i="50"/>
  <c r="T1479" i="50"/>
  <c r="A1466" i="50"/>
  <c r="U1465" i="50"/>
  <c r="T1465" i="50"/>
  <c r="AA1457" i="50"/>
  <c r="Z1457" i="50"/>
  <c r="AA1456" i="50"/>
  <c r="Z1456" i="50"/>
  <c r="Z1455" i="50"/>
  <c r="AA1454" i="50"/>
  <c r="Z1454" i="50"/>
  <c r="AA1453" i="50"/>
  <c r="Z1453" i="50"/>
  <c r="Z1452" i="50"/>
  <c r="Z1451" i="50"/>
  <c r="AQ1449" i="50"/>
  <c r="K1449" i="50"/>
  <c r="Z1449" i="50"/>
  <c r="V1449" i="50"/>
  <c r="V1451" i="50" s="1"/>
  <c r="V1452" i="50" s="1"/>
  <c r="V1453" i="50" s="1"/>
  <c r="V1454" i="50" s="1"/>
  <c r="V1455" i="50" s="1"/>
  <c r="V1456" i="50" s="1"/>
  <c r="V1457" i="50" s="1"/>
  <c r="E1442" i="50"/>
  <c r="E1440" i="50"/>
  <c r="K1439" i="50"/>
  <c r="A1439" i="50"/>
  <c r="U1438" i="50"/>
  <c r="T1438" i="50"/>
  <c r="AA1430" i="50"/>
  <c r="Z1430" i="50"/>
  <c r="AA1429" i="50"/>
  <c r="Z1429" i="50"/>
  <c r="Z1428" i="50"/>
  <c r="AA1427" i="50"/>
  <c r="Z1427" i="50"/>
  <c r="AA1426" i="50"/>
  <c r="Z1426" i="50"/>
  <c r="Z1425" i="50"/>
  <c r="Z1424" i="50"/>
  <c r="AQ1422" i="50"/>
  <c r="K1422" i="50"/>
  <c r="Z1422" i="50"/>
  <c r="V1422" i="50"/>
  <c r="V1432" i="50" s="1"/>
  <c r="E1413" i="50"/>
  <c r="T1424" i="50" s="1"/>
  <c r="A1412" i="50"/>
  <c r="U1411" i="50"/>
  <c r="T1411" i="50"/>
  <c r="AA1403" i="50"/>
  <c r="Z1403" i="50"/>
  <c r="AA1402" i="50"/>
  <c r="Z1402" i="50"/>
  <c r="Z1401" i="50"/>
  <c r="AA1400" i="50"/>
  <c r="Z1400" i="50"/>
  <c r="AA1399" i="50"/>
  <c r="Z1399" i="50"/>
  <c r="Z1398" i="50"/>
  <c r="Z1397" i="50"/>
  <c r="AQ1395" i="50"/>
  <c r="K1395" i="50" s="1"/>
  <c r="Z1395" i="50"/>
  <c r="V1395" i="50"/>
  <c r="V1397" i="50"/>
  <c r="V1398" i="50" s="1"/>
  <c r="V1399" i="50"/>
  <c r="V1400" i="50" s="1"/>
  <c r="V1401" i="50" s="1"/>
  <c r="V1402" i="50" s="1"/>
  <c r="E1388" i="50"/>
  <c r="E1386" i="50"/>
  <c r="T1401" i="50"/>
  <c r="A1385" i="50"/>
  <c r="U1384" i="50"/>
  <c r="T1384" i="50"/>
  <c r="AA1376" i="50"/>
  <c r="Z1376" i="50"/>
  <c r="AA1375" i="50"/>
  <c r="Z1375" i="50"/>
  <c r="Z1374" i="50"/>
  <c r="AA1373" i="50"/>
  <c r="AQ1373" i="50"/>
  <c r="AV1373" i="50" s="1"/>
  <c r="Z1373" i="50"/>
  <c r="AA1372" i="50"/>
  <c r="Z1372" i="50"/>
  <c r="Z1371" i="50"/>
  <c r="AA1371" i="50"/>
  <c r="AH1371" i="50" s="1"/>
  <c r="Z1370" i="50"/>
  <c r="AQ1368" i="50"/>
  <c r="K1368" i="50"/>
  <c r="Z1368" i="50"/>
  <c r="V1368" i="50"/>
  <c r="V1378" i="50" s="1"/>
  <c r="E1361" i="50"/>
  <c r="E1359" i="50"/>
  <c r="A1358" i="50"/>
  <c r="U1357" i="50"/>
  <c r="T1357" i="50"/>
  <c r="AA1349" i="50"/>
  <c r="Z1349" i="50"/>
  <c r="AA1348" i="50"/>
  <c r="Z1348" i="50"/>
  <c r="Z1347" i="50"/>
  <c r="AA1346" i="50"/>
  <c r="Z1346" i="50"/>
  <c r="AA1345" i="50"/>
  <c r="Z1345" i="50"/>
  <c r="Z1344" i="50"/>
  <c r="Z1343" i="50"/>
  <c r="AQ1341" i="50"/>
  <c r="K1341" i="50" s="1"/>
  <c r="Z1341" i="50"/>
  <c r="V1341" i="50"/>
  <c r="V1343" i="50"/>
  <c r="V1344" i="50" s="1"/>
  <c r="V1345" i="50" s="1"/>
  <c r="V1346" i="50" s="1"/>
  <c r="V1347" i="50" s="1"/>
  <c r="V1348" i="50" s="1"/>
  <c r="V1349" i="50" s="1"/>
  <c r="E1334" i="50"/>
  <c r="E1332" i="50"/>
  <c r="T1344" i="50" s="1"/>
  <c r="A1331" i="50"/>
  <c r="U1330" i="50"/>
  <c r="T1330" i="50"/>
  <c r="AA1322" i="50"/>
  <c r="Z1322" i="50"/>
  <c r="AA1321" i="50"/>
  <c r="Z1321" i="50"/>
  <c r="Z1320" i="50"/>
  <c r="AA1319" i="50"/>
  <c r="Z1319" i="50"/>
  <c r="AA1318" i="50"/>
  <c r="AQ1318" i="50" s="1"/>
  <c r="Z1318" i="50"/>
  <c r="Z1317" i="50"/>
  <c r="Z1316" i="50"/>
  <c r="AQ1314" i="50"/>
  <c r="K1314" i="50"/>
  <c r="Z1314" i="50"/>
  <c r="V1314" i="50"/>
  <c r="V1324" i="50" s="1"/>
  <c r="E1307" i="50"/>
  <c r="E1305" i="50"/>
  <c r="T1314" i="50"/>
  <c r="A1304" i="50"/>
  <c r="U1303" i="50"/>
  <c r="T1303" i="50"/>
  <c r="AA1295" i="50"/>
  <c r="Z1295" i="50"/>
  <c r="AA1294" i="50"/>
  <c r="Z1294" i="50"/>
  <c r="Z1293" i="50"/>
  <c r="AA1292" i="50"/>
  <c r="AQ1292" i="50"/>
  <c r="K1292" i="50" s="1"/>
  <c r="Z1292" i="50"/>
  <c r="AA1291" i="50"/>
  <c r="AQ1291" i="50"/>
  <c r="K1291" i="50" s="1"/>
  <c r="Z1291" i="50"/>
  <c r="Z1290" i="50"/>
  <c r="Z1289" i="50"/>
  <c r="AQ1287" i="50"/>
  <c r="K1287" i="50"/>
  <c r="Z1287" i="50"/>
  <c r="V1287" i="50"/>
  <c r="V1297" i="50" s="1"/>
  <c r="E1280" i="50"/>
  <c r="E1278" i="50"/>
  <c r="T1294" i="50"/>
  <c r="A1277" i="50"/>
  <c r="U1276" i="50"/>
  <c r="T1276" i="50"/>
  <c r="AA1268" i="50"/>
  <c r="Z1268" i="50"/>
  <c r="AA1267" i="50"/>
  <c r="Z1267" i="50"/>
  <c r="Z1266" i="50"/>
  <c r="AA1265" i="50"/>
  <c r="AQ1265" i="50"/>
  <c r="Z1265" i="50"/>
  <c r="AA1264" i="50"/>
  <c r="Z1264" i="50"/>
  <c r="Z1263" i="50"/>
  <c r="Z1262" i="50"/>
  <c r="AQ1260" i="50"/>
  <c r="K1260" i="50" s="1"/>
  <c r="Z1260" i="50"/>
  <c r="V1260" i="50"/>
  <c r="V1270" i="50"/>
  <c r="E1253" i="50"/>
  <c r="E1251" i="50"/>
  <c r="T1262" i="50" s="1"/>
  <c r="A1250" i="50"/>
  <c r="U1249" i="50"/>
  <c r="T1249" i="50"/>
  <c r="AA1241" i="50"/>
  <c r="Z1241" i="50"/>
  <c r="AA1240" i="50"/>
  <c r="Z1240" i="50"/>
  <c r="Z1239" i="50"/>
  <c r="AA1238" i="50"/>
  <c r="AQ1238" i="50" s="1"/>
  <c r="Z1238" i="50"/>
  <c r="AA1237" i="50"/>
  <c r="AQ1237" i="50"/>
  <c r="K1237" i="50" s="1"/>
  <c r="Z1237" i="50"/>
  <c r="Z1236" i="50"/>
  <c r="Z1235" i="50"/>
  <c r="AQ1233" i="50"/>
  <c r="K1233" i="50"/>
  <c r="Z1233" i="50"/>
  <c r="V1233" i="50"/>
  <c r="V1243" i="50" s="1"/>
  <c r="E1226" i="50"/>
  <c r="E1224" i="50"/>
  <c r="T1224" i="50"/>
  <c r="A1223" i="50"/>
  <c r="U1222" i="50"/>
  <c r="T1222" i="50"/>
  <c r="AA1214" i="50"/>
  <c r="Z1214" i="50"/>
  <c r="AA1213" i="50"/>
  <c r="Z1213" i="50"/>
  <c r="Z1212" i="50"/>
  <c r="AA1211" i="50"/>
  <c r="AQ1211" i="50"/>
  <c r="Z1211" i="50"/>
  <c r="AA1210" i="50"/>
  <c r="Z1210" i="50"/>
  <c r="Z1209" i="50"/>
  <c r="Z1208" i="50"/>
  <c r="AQ1206" i="50"/>
  <c r="K1206" i="50" s="1"/>
  <c r="Z1206" i="50"/>
  <c r="V1206" i="50"/>
  <c r="V1216" i="50"/>
  <c r="E1199" i="50"/>
  <c r="E1197" i="50"/>
  <c r="A1196" i="50"/>
  <c r="U1195" i="50"/>
  <c r="T1195" i="50"/>
  <c r="AA1187" i="50"/>
  <c r="Z1187" i="50"/>
  <c r="AA1186" i="50"/>
  <c r="Z1186" i="50"/>
  <c r="Z1185" i="50"/>
  <c r="AA1184" i="50"/>
  <c r="Z1184" i="50"/>
  <c r="AA1183" i="50"/>
  <c r="Z1183" i="50"/>
  <c r="Z1182" i="50"/>
  <c r="Z1181" i="50"/>
  <c r="AQ1179" i="50"/>
  <c r="K1179" i="50"/>
  <c r="Z1179" i="50"/>
  <c r="V1179" i="50"/>
  <c r="V1189" i="50" s="1"/>
  <c r="E1172" i="50"/>
  <c r="E1170" i="50"/>
  <c r="K1169" i="50"/>
  <c r="A1169" i="50"/>
  <c r="U1168" i="50"/>
  <c r="T1168" i="50"/>
  <c r="AA1160" i="50"/>
  <c r="Z1160" i="50"/>
  <c r="AA1159" i="50"/>
  <c r="Z1159" i="50"/>
  <c r="Z1158" i="50"/>
  <c r="AA1157" i="50"/>
  <c r="AQ1157" i="50"/>
  <c r="Z1157" i="50"/>
  <c r="AA1156" i="50"/>
  <c r="Z1156" i="50"/>
  <c r="Z1155" i="50"/>
  <c r="Z1154" i="50"/>
  <c r="AQ1152" i="50"/>
  <c r="K1152" i="50" s="1"/>
  <c r="Z1152" i="50"/>
  <c r="V1152" i="50"/>
  <c r="V1162" i="50"/>
  <c r="E1145" i="50"/>
  <c r="E1143" i="50"/>
  <c r="T1160" i="50" s="1"/>
  <c r="A1142" i="50"/>
  <c r="U1141" i="50"/>
  <c r="T1141" i="50"/>
  <c r="AA1133" i="50"/>
  <c r="Z1133" i="50"/>
  <c r="AA1132" i="50"/>
  <c r="Z1132" i="50"/>
  <c r="Z1131" i="50"/>
  <c r="AA1130" i="50"/>
  <c r="AQ1130" i="50" s="1"/>
  <c r="K1130" i="50" s="1"/>
  <c r="Z1130" i="50"/>
  <c r="AA1129" i="50"/>
  <c r="AQ1129" i="50" s="1"/>
  <c r="AV1129" i="50"/>
  <c r="Z1129" i="50"/>
  <c r="Z1128" i="50"/>
  <c r="Z1127" i="50"/>
  <c r="AQ1125" i="50"/>
  <c r="K1125" i="50" s="1"/>
  <c r="Z1125" i="50"/>
  <c r="V1125" i="50"/>
  <c r="V1135" i="50"/>
  <c r="E1118" i="50"/>
  <c r="E1116" i="50"/>
  <c r="T1128" i="50" s="1"/>
  <c r="A1115" i="50"/>
  <c r="U1114" i="50"/>
  <c r="T1114" i="50"/>
  <c r="AA1106" i="50"/>
  <c r="Z1106" i="50"/>
  <c r="AA1105" i="50"/>
  <c r="Z1105" i="50"/>
  <c r="Z1104" i="50"/>
  <c r="AA1103" i="50"/>
  <c r="Z1103" i="50"/>
  <c r="AA1102" i="50"/>
  <c r="AQ1102" i="50" s="1"/>
  <c r="Z1102" i="50"/>
  <c r="Z1101" i="50"/>
  <c r="Z1100" i="50"/>
  <c r="AQ1098" i="50"/>
  <c r="K1098" i="50"/>
  <c r="Z1098" i="50"/>
  <c r="V1098" i="50"/>
  <c r="V1108" i="50" s="1"/>
  <c r="E1091" i="50"/>
  <c r="E1089" i="50"/>
  <c r="T1100" i="50"/>
  <c r="A1088" i="50"/>
  <c r="U1087" i="50"/>
  <c r="T1087" i="50"/>
  <c r="AA1079" i="50"/>
  <c r="Z1079" i="50"/>
  <c r="AA1078" i="50"/>
  <c r="Z1078" i="50"/>
  <c r="Z1077" i="50"/>
  <c r="AA1076" i="50"/>
  <c r="Z1076" i="50"/>
  <c r="AA1075" i="50"/>
  <c r="Z1075" i="50"/>
  <c r="Z1074" i="50"/>
  <c r="Z1073" i="50"/>
  <c r="AQ1071" i="50"/>
  <c r="K1071" i="50"/>
  <c r="Z1071" i="50"/>
  <c r="V1071" i="50"/>
  <c r="V1081" i="50" s="1"/>
  <c r="E1064" i="50"/>
  <c r="E1062" i="50"/>
  <c r="T1073" i="50"/>
  <c r="A1061" i="50"/>
  <c r="U1060" i="50"/>
  <c r="T1060" i="50"/>
  <c r="AA1052" i="50"/>
  <c r="Z1052" i="50"/>
  <c r="AA1051" i="50"/>
  <c r="Z1051" i="50"/>
  <c r="Z1050" i="50"/>
  <c r="AA1049" i="50"/>
  <c r="AQ1049" i="50"/>
  <c r="K1049" i="50" s="1"/>
  <c r="Z1049" i="50"/>
  <c r="AA1048" i="50"/>
  <c r="AQ1048" i="50"/>
  <c r="K1048" i="50" s="1"/>
  <c r="Z1048" i="50"/>
  <c r="Z1047" i="50"/>
  <c r="Z1046" i="50"/>
  <c r="AQ1044" i="50"/>
  <c r="K1044" i="50"/>
  <c r="Z1044" i="50"/>
  <c r="V1044" i="50"/>
  <c r="V1054" i="50" s="1"/>
  <c r="E1037" i="50"/>
  <c r="E1035" i="50"/>
  <c r="T1051" i="50"/>
  <c r="A1034" i="50"/>
  <c r="U1033" i="50"/>
  <c r="T1033" i="50"/>
  <c r="AA1025" i="50"/>
  <c r="Z1025" i="50"/>
  <c r="AA1024" i="50"/>
  <c r="Z1024" i="50"/>
  <c r="Z1023" i="50"/>
  <c r="AA1022" i="50"/>
  <c r="Z1022" i="50"/>
  <c r="AA1021" i="50"/>
  <c r="AQ1021" i="50"/>
  <c r="Z1021" i="50"/>
  <c r="Z1020" i="50"/>
  <c r="Z1019" i="50"/>
  <c r="AQ1017" i="50"/>
  <c r="K1017" i="50" s="1"/>
  <c r="Z1017" i="50"/>
  <c r="V1017" i="50"/>
  <c r="V1027" i="50"/>
  <c r="E1010" i="50"/>
  <c r="E1008" i="50"/>
  <c r="A1007" i="50"/>
  <c r="U1006" i="50"/>
  <c r="T1006" i="50"/>
  <c r="AA998" i="50"/>
  <c r="Z998" i="50"/>
  <c r="AA997" i="50"/>
  <c r="Z997" i="50"/>
  <c r="Z996" i="50"/>
  <c r="AA995" i="50"/>
  <c r="AQ995" i="50"/>
  <c r="Z995" i="50"/>
  <c r="AA994" i="50"/>
  <c r="AQ994" i="50" s="1"/>
  <c r="Z994" i="50"/>
  <c r="Z993" i="50"/>
  <c r="Z992" i="50"/>
  <c r="AQ990" i="50"/>
  <c r="K990" i="50"/>
  <c r="Z990" i="50"/>
  <c r="V990" i="50"/>
  <c r="V1000" i="50" s="1"/>
  <c r="E983" i="50"/>
  <c r="E981" i="50"/>
  <c r="A980" i="50"/>
  <c r="U979" i="50"/>
  <c r="T979" i="50"/>
  <c r="AA971" i="50"/>
  <c r="Z971" i="50"/>
  <c r="AA970" i="50"/>
  <c r="Z970" i="50"/>
  <c r="Z969" i="50"/>
  <c r="AA968" i="50"/>
  <c r="Z968" i="50"/>
  <c r="AA967" i="50"/>
  <c r="Z967" i="50"/>
  <c r="Z966" i="50"/>
  <c r="Z965" i="50"/>
  <c r="AQ963" i="50"/>
  <c r="K963" i="50" s="1"/>
  <c r="Z963" i="50"/>
  <c r="V963" i="50"/>
  <c r="V973" i="50"/>
  <c r="E956" i="50"/>
  <c r="E954" i="50"/>
  <c r="T966" i="50" s="1"/>
  <c r="A953" i="50"/>
  <c r="U952" i="50"/>
  <c r="T952" i="50"/>
  <c r="AA944" i="50"/>
  <c r="Z944" i="50"/>
  <c r="AA943" i="50"/>
  <c r="Z943" i="50"/>
  <c r="Z942" i="50"/>
  <c r="AA941" i="50"/>
  <c r="AQ941" i="50" s="1"/>
  <c r="K941" i="50"/>
  <c r="Z941" i="50"/>
  <c r="AA940" i="50"/>
  <c r="AQ940" i="50" s="1"/>
  <c r="K940" i="50" s="1"/>
  <c r="Z940" i="50"/>
  <c r="Z939" i="50"/>
  <c r="Z938" i="50"/>
  <c r="AQ936" i="50"/>
  <c r="K936" i="50" s="1"/>
  <c r="Z936" i="50"/>
  <c r="V936" i="50"/>
  <c r="V946" i="50"/>
  <c r="E929" i="50"/>
  <c r="E927" i="50"/>
  <c r="T938" i="50" s="1"/>
  <c r="A926" i="50"/>
  <c r="U925" i="50"/>
  <c r="T925" i="50"/>
  <c r="AA917" i="50"/>
  <c r="Z917" i="50"/>
  <c r="AA916" i="50"/>
  <c r="Z916" i="50"/>
  <c r="Z915" i="50"/>
  <c r="AA914" i="50"/>
  <c r="Z914" i="50"/>
  <c r="AA913" i="50"/>
  <c r="AQ913" i="50" s="1"/>
  <c r="Z913" i="50"/>
  <c r="Z912" i="50"/>
  <c r="Z911" i="50"/>
  <c r="AQ909" i="50"/>
  <c r="K909" i="50"/>
  <c r="Z909" i="50"/>
  <c r="V909" i="50"/>
  <c r="V919" i="50" s="1"/>
  <c r="E902" i="50"/>
  <c r="E900" i="50"/>
  <c r="T915" i="50"/>
  <c r="A899" i="50"/>
  <c r="U898" i="50"/>
  <c r="T898" i="50"/>
  <c r="AA890" i="50"/>
  <c r="Z890" i="50"/>
  <c r="AA889" i="50"/>
  <c r="Z889" i="50"/>
  <c r="Z888" i="50"/>
  <c r="AA887" i="50"/>
  <c r="AQ887" i="50"/>
  <c r="K887" i="50" s="1"/>
  <c r="Z887" i="50"/>
  <c r="AA886" i="50"/>
  <c r="AQ886" i="50"/>
  <c r="K886" i="50" s="1"/>
  <c r="Z886" i="50"/>
  <c r="Z885" i="50"/>
  <c r="Z884" i="50"/>
  <c r="AQ882" i="50"/>
  <c r="K882" i="50"/>
  <c r="Z882" i="50"/>
  <c r="V882" i="50"/>
  <c r="V892" i="50" s="1"/>
  <c r="E875" i="50"/>
  <c r="E873" i="50"/>
  <c r="K872" i="50"/>
  <c r="A872" i="50"/>
  <c r="U871" i="50"/>
  <c r="T871" i="50"/>
  <c r="AA863" i="50"/>
  <c r="Z863" i="50"/>
  <c r="AA862" i="50"/>
  <c r="Z862" i="50"/>
  <c r="Z861" i="50"/>
  <c r="AA860" i="50"/>
  <c r="Z860" i="50"/>
  <c r="AA859" i="50"/>
  <c r="AQ859" i="50"/>
  <c r="K859" i="50" s="1"/>
  <c r="Z859" i="50"/>
  <c r="Z858" i="50"/>
  <c r="Z857" i="50"/>
  <c r="AQ855" i="50"/>
  <c r="K855" i="50"/>
  <c r="Z855" i="50"/>
  <c r="V855" i="50"/>
  <c r="V865" i="50" s="1"/>
  <c r="E848" i="50"/>
  <c r="E846" i="50"/>
  <c r="T863" i="50"/>
  <c r="A845" i="50"/>
  <c r="U844" i="50"/>
  <c r="T844" i="50"/>
  <c r="AA836" i="50"/>
  <c r="Z836" i="50"/>
  <c r="AA835" i="50"/>
  <c r="Z835" i="50"/>
  <c r="Z834" i="50"/>
  <c r="AA833" i="50"/>
  <c r="Z833" i="50"/>
  <c r="AA832" i="50"/>
  <c r="AQ832" i="50"/>
  <c r="Z832" i="50"/>
  <c r="Z831" i="50"/>
  <c r="Z830" i="50"/>
  <c r="AQ828" i="50"/>
  <c r="K828" i="50" s="1"/>
  <c r="Z828" i="50"/>
  <c r="V828" i="50"/>
  <c r="V838" i="50"/>
  <c r="E821" i="50"/>
  <c r="E819" i="50"/>
  <c r="T832" i="50" s="1"/>
  <c r="A818" i="50"/>
  <c r="U817" i="50"/>
  <c r="T817" i="50"/>
  <c r="AA809" i="50"/>
  <c r="Z809" i="50"/>
  <c r="AA808" i="50"/>
  <c r="Z808" i="50"/>
  <c r="Z807" i="50"/>
  <c r="AA806" i="50"/>
  <c r="AQ806" i="50" s="1"/>
  <c r="Z806" i="50"/>
  <c r="AA805" i="50"/>
  <c r="AQ805" i="50"/>
  <c r="K805" i="50" s="1"/>
  <c r="Z805" i="50"/>
  <c r="Z804" i="50"/>
  <c r="Z803" i="50"/>
  <c r="AQ801" i="50"/>
  <c r="K801" i="50"/>
  <c r="Z801" i="50"/>
  <c r="V801" i="50"/>
  <c r="V811" i="50" s="1"/>
  <c r="E794" i="50"/>
  <c r="E792" i="50"/>
  <c r="T792" i="50"/>
  <c r="A791" i="50"/>
  <c r="U790" i="50"/>
  <c r="T790" i="50"/>
  <c r="AA782" i="50"/>
  <c r="Z782" i="50"/>
  <c r="AA781" i="50"/>
  <c r="Z781" i="50"/>
  <c r="Z780" i="50"/>
  <c r="AA779" i="50"/>
  <c r="Z779" i="50"/>
  <c r="AA778" i="50"/>
  <c r="Z778" i="50"/>
  <c r="Z777" i="50"/>
  <c r="Z776" i="50"/>
  <c r="AQ774" i="50"/>
  <c r="K774" i="50"/>
  <c r="Z774" i="50"/>
  <c r="V774" i="50"/>
  <c r="V784" i="50" s="1"/>
  <c r="E767" i="50"/>
  <c r="E765" i="50"/>
  <c r="T779" i="50"/>
  <c r="A764" i="50"/>
  <c r="U763" i="50"/>
  <c r="T763" i="50"/>
  <c r="AA755" i="50"/>
  <c r="Z755" i="50"/>
  <c r="AA754" i="50"/>
  <c r="Z754" i="50"/>
  <c r="Z753" i="50"/>
  <c r="AA752" i="50"/>
  <c r="Z752" i="50"/>
  <c r="AA751" i="50"/>
  <c r="Z751" i="50"/>
  <c r="Z750" i="50"/>
  <c r="Z749" i="50"/>
  <c r="AQ747" i="50"/>
  <c r="K747" i="50"/>
  <c r="Z747" i="50"/>
  <c r="V747" i="50"/>
  <c r="V757" i="50" s="1"/>
  <c r="E740" i="50"/>
  <c r="E738" i="50"/>
  <c r="T751" i="50"/>
  <c r="A737" i="50"/>
  <c r="U736" i="50"/>
  <c r="T736" i="50"/>
  <c r="AA728" i="50"/>
  <c r="Z728" i="50"/>
  <c r="AA727" i="50"/>
  <c r="Z727" i="50"/>
  <c r="Z726" i="50"/>
  <c r="AA725" i="50"/>
  <c r="AQ725" i="50"/>
  <c r="K725" i="50" s="1"/>
  <c r="Z725" i="50"/>
  <c r="AA724" i="50"/>
  <c r="AQ724" i="50"/>
  <c r="K724" i="50" s="1"/>
  <c r="Z724" i="50"/>
  <c r="Z723" i="50"/>
  <c r="Z722" i="50"/>
  <c r="AQ720" i="50"/>
  <c r="K720" i="50"/>
  <c r="Z720" i="50"/>
  <c r="V720" i="50"/>
  <c r="V730" i="50" s="1"/>
  <c r="E713" i="50"/>
  <c r="E711" i="50"/>
  <c r="T723" i="50"/>
  <c r="A710" i="50"/>
  <c r="U709" i="50"/>
  <c r="T709" i="50"/>
  <c r="AA701" i="50"/>
  <c r="Z701" i="50"/>
  <c r="AA700" i="50"/>
  <c r="Z700" i="50"/>
  <c r="Z699" i="50"/>
  <c r="AA698" i="50"/>
  <c r="AQ698" i="50"/>
  <c r="Z698" i="50"/>
  <c r="AA697" i="50"/>
  <c r="Z697" i="50"/>
  <c r="Z696" i="50"/>
  <c r="Z695" i="50"/>
  <c r="AQ693" i="50"/>
  <c r="K693" i="50" s="1"/>
  <c r="Z693" i="50"/>
  <c r="V693" i="50"/>
  <c r="V703" i="50"/>
  <c r="E686" i="50"/>
  <c r="E684" i="50"/>
  <c r="A683" i="50"/>
  <c r="U682" i="50"/>
  <c r="T682" i="50"/>
  <c r="AA674" i="50"/>
  <c r="Z674" i="50"/>
  <c r="AA673" i="50"/>
  <c r="Z673" i="50"/>
  <c r="Z672" i="50"/>
  <c r="AA671" i="50"/>
  <c r="Z671" i="50"/>
  <c r="AA670" i="50"/>
  <c r="AQ670" i="50"/>
  <c r="Z670" i="50"/>
  <c r="Z669" i="50"/>
  <c r="Z668" i="50"/>
  <c r="AQ666" i="50"/>
  <c r="K666" i="50" s="1"/>
  <c r="Z666" i="50"/>
  <c r="V666" i="50"/>
  <c r="V676" i="50"/>
  <c r="E659" i="50"/>
  <c r="E657" i="50"/>
  <c r="K656" i="50" s="1"/>
  <c r="A656" i="50"/>
  <c r="U655" i="50"/>
  <c r="T655" i="50"/>
  <c r="AA647" i="50"/>
  <c r="Z647" i="50"/>
  <c r="AA646" i="50"/>
  <c r="Z646" i="50"/>
  <c r="Z645" i="50"/>
  <c r="AA644" i="50"/>
  <c r="AQ644" i="50" s="1"/>
  <c r="K644" i="50"/>
  <c r="Z644" i="50"/>
  <c r="AA643" i="50"/>
  <c r="AQ643" i="50" s="1"/>
  <c r="Z643" i="50"/>
  <c r="Z642" i="50"/>
  <c r="Z641" i="50"/>
  <c r="AQ639" i="50"/>
  <c r="K639" i="50"/>
  <c r="Z639" i="50"/>
  <c r="V639" i="50"/>
  <c r="V649" i="50" s="1"/>
  <c r="E632" i="50"/>
  <c r="E630" i="50"/>
  <c r="A629" i="50"/>
  <c r="U628" i="50"/>
  <c r="T628" i="50"/>
  <c r="AA620" i="50"/>
  <c r="Z620" i="50"/>
  <c r="AA619" i="50"/>
  <c r="Z619" i="50"/>
  <c r="Z618" i="50"/>
  <c r="AA617" i="50"/>
  <c r="Z617" i="50"/>
  <c r="AA616" i="50"/>
  <c r="Z616" i="50"/>
  <c r="Z615" i="50"/>
  <c r="Z614" i="50"/>
  <c r="AQ612" i="50"/>
  <c r="K612" i="50" s="1"/>
  <c r="Z612" i="50"/>
  <c r="V612" i="50"/>
  <c r="V622" i="50"/>
  <c r="E605" i="50"/>
  <c r="E603" i="50"/>
  <c r="A602" i="50"/>
  <c r="U601" i="50"/>
  <c r="T601" i="50"/>
  <c r="AA593" i="50"/>
  <c r="Z593" i="50"/>
  <c r="AA592" i="50"/>
  <c r="Z592" i="50"/>
  <c r="Z591" i="50"/>
  <c r="AA590" i="50"/>
  <c r="Z590" i="50"/>
  <c r="AA589" i="50"/>
  <c r="Z589" i="50"/>
  <c r="Z588" i="50"/>
  <c r="Z587" i="50"/>
  <c r="AQ585" i="50"/>
  <c r="K585" i="50"/>
  <c r="Z585" i="50"/>
  <c r="V585" i="50"/>
  <c r="V595" i="50" s="1"/>
  <c r="E578" i="50"/>
  <c r="E576" i="50"/>
  <c r="T576" i="50"/>
  <c r="A575" i="50"/>
  <c r="U574" i="50"/>
  <c r="T574" i="50"/>
  <c r="AA566" i="50"/>
  <c r="Z566" i="50"/>
  <c r="AA565" i="50"/>
  <c r="Z565" i="50"/>
  <c r="Z564" i="50"/>
  <c r="AA563" i="50"/>
  <c r="AQ563" i="50"/>
  <c r="K563" i="50" s="1"/>
  <c r="Z563" i="50"/>
  <c r="AA562" i="50"/>
  <c r="AQ562" i="50"/>
  <c r="K562" i="50" s="1"/>
  <c r="Z562" i="50"/>
  <c r="Z561" i="50"/>
  <c r="Z560" i="50"/>
  <c r="AQ558" i="50"/>
  <c r="K558" i="50"/>
  <c r="Z558" i="50"/>
  <c r="V558" i="50"/>
  <c r="V568" i="50" s="1"/>
  <c r="E551" i="50"/>
  <c r="E549" i="50"/>
  <c r="A548" i="50"/>
  <c r="U547" i="50"/>
  <c r="T547" i="50"/>
  <c r="AA539" i="50"/>
  <c r="Z539" i="50"/>
  <c r="AA538" i="50"/>
  <c r="Z538" i="50"/>
  <c r="Z537" i="50"/>
  <c r="AA536" i="50"/>
  <c r="Z536" i="50"/>
  <c r="AA535" i="50"/>
  <c r="AQ535" i="50" s="1"/>
  <c r="K535" i="50"/>
  <c r="Z535" i="50"/>
  <c r="Z534" i="50"/>
  <c r="Z533" i="50"/>
  <c r="AQ531" i="50"/>
  <c r="K531" i="50" s="1"/>
  <c r="Z531" i="50"/>
  <c r="V531" i="50"/>
  <c r="V541" i="50"/>
  <c r="E524" i="50"/>
  <c r="E522" i="50"/>
  <c r="A521" i="50"/>
  <c r="U520" i="50"/>
  <c r="T520" i="50"/>
  <c r="AA512" i="50"/>
  <c r="Z512" i="50"/>
  <c r="AA511" i="50"/>
  <c r="Z511" i="50"/>
  <c r="Z510" i="50"/>
  <c r="AA509" i="50"/>
  <c r="AQ509" i="50"/>
  <c r="K509" i="50" s="1"/>
  <c r="Z509" i="50"/>
  <c r="AA508" i="50"/>
  <c r="AQ508" i="50"/>
  <c r="Z508" i="50"/>
  <c r="Z507" i="50"/>
  <c r="Z506" i="50"/>
  <c r="AQ504" i="50"/>
  <c r="K504" i="50" s="1"/>
  <c r="Z504" i="50"/>
  <c r="V504" i="50"/>
  <c r="V514" i="50"/>
  <c r="E495" i="50"/>
  <c r="A494" i="50"/>
  <c r="U493" i="50"/>
  <c r="T493" i="50"/>
  <c r="AA485" i="50"/>
  <c r="Z485" i="50"/>
  <c r="AA484" i="50"/>
  <c r="Z484" i="50"/>
  <c r="Z483" i="50"/>
  <c r="AA482" i="50"/>
  <c r="AQ482" i="50" s="1"/>
  <c r="Z482" i="50"/>
  <c r="AA481" i="50"/>
  <c r="AQ481" i="50"/>
  <c r="Z481" i="50"/>
  <c r="Z480" i="50"/>
  <c r="Z479" i="50"/>
  <c r="AQ477" i="50"/>
  <c r="K477" i="50" s="1"/>
  <c r="Z477" i="50"/>
  <c r="V477" i="50"/>
  <c r="V487" i="50"/>
  <c r="E470" i="50"/>
  <c r="E468" i="50"/>
  <c r="A467" i="50"/>
  <c r="U466" i="50"/>
  <c r="T466" i="50"/>
  <c r="AA458" i="50"/>
  <c r="Z458" i="50"/>
  <c r="AA457" i="50"/>
  <c r="Z457" i="50"/>
  <c r="Z456" i="50"/>
  <c r="AA455" i="50"/>
  <c r="AQ455" i="50"/>
  <c r="K455" i="50" s="1"/>
  <c r="Z455" i="50"/>
  <c r="AA454" i="50"/>
  <c r="Z454" i="50"/>
  <c r="Z453" i="50"/>
  <c r="Z452" i="50"/>
  <c r="AQ450" i="50"/>
  <c r="K450" i="50"/>
  <c r="Z450" i="50"/>
  <c r="A440" i="50"/>
  <c r="U439" i="50"/>
  <c r="V450" i="50"/>
  <c r="V460" i="50" s="1"/>
  <c r="T439" i="50"/>
  <c r="AA431" i="50"/>
  <c r="Z431" i="50"/>
  <c r="AA430" i="50"/>
  <c r="Z430" i="50"/>
  <c r="Z429" i="50"/>
  <c r="AA428" i="50"/>
  <c r="Z428" i="50"/>
  <c r="AA427" i="50"/>
  <c r="Z427" i="50"/>
  <c r="Z426" i="50"/>
  <c r="Z425" i="50"/>
  <c r="AQ423" i="50"/>
  <c r="K423" i="50" s="1"/>
  <c r="Z423" i="50"/>
  <c r="V423" i="50"/>
  <c r="V433" i="50"/>
  <c r="E416" i="50"/>
  <c r="E414" i="50"/>
  <c r="T428" i="50" s="1"/>
  <c r="A413" i="50"/>
  <c r="U412" i="50"/>
  <c r="T412" i="50"/>
  <c r="AA404" i="50"/>
  <c r="Z404" i="50"/>
  <c r="AA403" i="50"/>
  <c r="Z403" i="50"/>
  <c r="Z402" i="50"/>
  <c r="AA401" i="50"/>
  <c r="Z401" i="50"/>
  <c r="AA400" i="50"/>
  <c r="Z400" i="50"/>
  <c r="Z399" i="50"/>
  <c r="Z398" i="50"/>
  <c r="AQ396" i="50"/>
  <c r="K396" i="50" s="1"/>
  <c r="Z396" i="50"/>
  <c r="V396" i="50"/>
  <c r="V406" i="50"/>
  <c r="E389" i="50"/>
  <c r="E387" i="50"/>
  <c r="T401" i="50" s="1"/>
  <c r="A386" i="50"/>
  <c r="U385" i="50"/>
  <c r="T385" i="50"/>
  <c r="AA377" i="50"/>
  <c r="Z377" i="50"/>
  <c r="AA376" i="50"/>
  <c r="Z376" i="50"/>
  <c r="Z375" i="50"/>
  <c r="AA374" i="50"/>
  <c r="AQ374" i="50" s="1"/>
  <c r="Z374" i="50"/>
  <c r="AA373" i="50"/>
  <c r="AQ373" i="50"/>
  <c r="Z373" i="50"/>
  <c r="Z372" i="50"/>
  <c r="Z371" i="50"/>
  <c r="AQ369" i="50"/>
  <c r="K369" i="50" s="1"/>
  <c r="Z369" i="50"/>
  <c r="V369" i="50"/>
  <c r="V379" i="50"/>
  <c r="E362" i="50"/>
  <c r="E360" i="50"/>
  <c r="T371" i="50" s="1"/>
  <c r="A359" i="50"/>
  <c r="U358" i="50"/>
  <c r="T358" i="50"/>
  <c r="AA350" i="50"/>
  <c r="Z350" i="50"/>
  <c r="AA349" i="50"/>
  <c r="Z349" i="50"/>
  <c r="Z348" i="50"/>
  <c r="AA347" i="50"/>
  <c r="AQ347" i="50" s="1"/>
  <c r="K347" i="50" s="1"/>
  <c r="Z347" i="50"/>
  <c r="AA346" i="50"/>
  <c r="Z346" i="50"/>
  <c r="Z345" i="50"/>
  <c r="Z344" i="50"/>
  <c r="AQ342" i="50"/>
  <c r="K342" i="50" s="1"/>
  <c r="Z342" i="50"/>
  <c r="A332" i="50"/>
  <c r="U331" i="50"/>
  <c r="V342" i="50"/>
  <c r="V352" i="50"/>
  <c r="T331" i="50"/>
  <c r="AA323" i="50"/>
  <c r="Z323" i="50"/>
  <c r="AA322" i="50"/>
  <c r="Z322" i="50"/>
  <c r="Z321" i="50"/>
  <c r="AA320" i="50"/>
  <c r="AQ320" i="50"/>
  <c r="K320" i="50" s="1"/>
  <c r="Z320" i="50"/>
  <c r="AA319" i="50"/>
  <c r="Z319" i="50"/>
  <c r="Z318" i="50"/>
  <c r="Z317" i="50"/>
  <c r="AQ315" i="50"/>
  <c r="K315" i="50"/>
  <c r="Z315" i="50"/>
  <c r="A305" i="50"/>
  <c r="U304" i="50"/>
  <c r="E306" i="50"/>
  <c r="T304" i="50"/>
  <c r="AA296" i="50"/>
  <c r="Z296" i="50"/>
  <c r="AA295" i="50"/>
  <c r="Z295" i="50"/>
  <c r="Z294" i="50"/>
  <c r="AA293" i="50"/>
  <c r="AQ293" i="50"/>
  <c r="K293" i="50" s="1"/>
  <c r="Z293" i="50"/>
  <c r="AA292" i="50"/>
  <c r="Z292" i="50"/>
  <c r="Z291" i="50"/>
  <c r="Z290" i="50"/>
  <c r="AQ288" i="50"/>
  <c r="K288" i="50"/>
  <c r="Z288" i="50"/>
  <c r="A278" i="50"/>
  <c r="U277" i="50"/>
  <c r="V288" i="50"/>
  <c r="V298" i="50" s="1"/>
  <c r="T277" i="50"/>
  <c r="AA269" i="50"/>
  <c r="Z269" i="50"/>
  <c r="AA268" i="50"/>
  <c r="Z268" i="50"/>
  <c r="Z267" i="50"/>
  <c r="AA266" i="50"/>
  <c r="AQ266" i="50" s="1"/>
  <c r="K266" i="50"/>
  <c r="Z266" i="50"/>
  <c r="AA265" i="50"/>
  <c r="AQ265" i="50" s="1"/>
  <c r="K265" i="50" s="1"/>
  <c r="Z265" i="50"/>
  <c r="Z264" i="50"/>
  <c r="Z263" i="50"/>
  <c r="AQ261" i="50"/>
  <c r="K261" i="50" s="1"/>
  <c r="Z261" i="50"/>
  <c r="V261" i="50"/>
  <c r="V271" i="50"/>
  <c r="E254" i="50"/>
  <c r="E252" i="50"/>
  <c r="T265" i="50" s="1"/>
  <c r="A251" i="50"/>
  <c r="U250" i="50"/>
  <c r="T250" i="50"/>
  <c r="AA242" i="50"/>
  <c r="Z242" i="50"/>
  <c r="AA241" i="50"/>
  <c r="Z241" i="50"/>
  <c r="Z240" i="50"/>
  <c r="AA239" i="50"/>
  <c r="AQ239" i="50" s="1"/>
  <c r="K239" i="50"/>
  <c r="Z239" i="50"/>
  <c r="AA238" i="50"/>
  <c r="Z238" i="50"/>
  <c r="Z237" i="50"/>
  <c r="Z236" i="50"/>
  <c r="AQ234" i="50"/>
  <c r="K234" i="50" s="1"/>
  <c r="Z234" i="50"/>
  <c r="V234" i="50"/>
  <c r="V244" i="50"/>
  <c r="E227" i="50"/>
  <c r="E225" i="50"/>
  <c r="A224" i="50"/>
  <c r="U223" i="50"/>
  <c r="T223" i="50"/>
  <c r="AA215" i="50"/>
  <c r="Z215" i="50"/>
  <c r="AA214" i="50"/>
  <c r="Z214" i="50"/>
  <c r="Z213" i="50"/>
  <c r="AA212" i="50"/>
  <c r="Z212" i="50"/>
  <c r="AA211" i="50"/>
  <c r="Z211" i="50"/>
  <c r="Z210" i="50"/>
  <c r="Z209" i="50"/>
  <c r="AQ207" i="50"/>
  <c r="K207" i="50"/>
  <c r="Z207" i="50"/>
  <c r="A197" i="50"/>
  <c r="U196" i="50"/>
  <c r="V207" i="50"/>
  <c r="V217" i="50" s="1"/>
  <c r="T196" i="50"/>
  <c r="AA188" i="50"/>
  <c r="Z188" i="50"/>
  <c r="AA187" i="50"/>
  <c r="Z187" i="50"/>
  <c r="Z186" i="50"/>
  <c r="AA185" i="50"/>
  <c r="Z185" i="50"/>
  <c r="AA184" i="50"/>
  <c r="Z184" i="50"/>
  <c r="Z183" i="50"/>
  <c r="Z182" i="50"/>
  <c r="AQ180" i="50"/>
  <c r="K180" i="50" s="1"/>
  <c r="Z180" i="50"/>
  <c r="A170" i="50"/>
  <c r="U169" i="50"/>
  <c r="E171" i="50"/>
  <c r="T182" i="50"/>
  <c r="T169" i="50"/>
  <c r="AA161" i="50"/>
  <c r="Z161" i="50"/>
  <c r="AA160" i="50"/>
  <c r="Z160" i="50"/>
  <c r="Z159" i="50"/>
  <c r="AA158" i="50"/>
  <c r="AQ158" i="50"/>
  <c r="Z158" i="50"/>
  <c r="AA157" i="50"/>
  <c r="AQ157" i="50" s="1"/>
  <c r="Z157" i="50"/>
  <c r="G157" i="50"/>
  <c r="Z156" i="50"/>
  <c r="G156" i="50"/>
  <c r="Z155" i="50"/>
  <c r="G155" i="50"/>
  <c r="AQ153" i="50"/>
  <c r="K153" i="50" s="1"/>
  <c r="Z153" i="50"/>
  <c r="G153" i="50"/>
  <c r="A143" i="50"/>
  <c r="U142" i="50"/>
  <c r="E144" i="50"/>
  <c r="T144" i="50" s="1"/>
  <c r="T142" i="50"/>
  <c r="AA134" i="50"/>
  <c r="Z134" i="50"/>
  <c r="AA133" i="50"/>
  <c r="Z133" i="50"/>
  <c r="Z132" i="50"/>
  <c r="AA131" i="50"/>
  <c r="AQ131" i="50" s="1"/>
  <c r="K131" i="50" s="1"/>
  <c r="Z131" i="50"/>
  <c r="AA130" i="50"/>
  <c r="AQ126" i="50"/>
  <c r="K126" i="50"/>
  <c r="A116" i="50"/>
  <c r="C89" i="50"/>
  <c r="AA107" i="50"/>
  <c r="Z107" i="50"/>
  <c r="AA106" i="50"/>
  <c r="Z105" i="50"/>
  <c r="AA104" i="50"/>
  <c r="Z104" i="50"/>
  <c r="AA103" i="50"/>
  <c r="AQ103" i="50" s="1"/>
  <c r="AV103" i="50" s="1"/>
  <c r="AQ99" i="50"/>
  <c r="K99" i="50"/>
  <c r="A89" i="50"/>
  <c r="E441" i="50"/>
  <c r="T458" i="50"/>
  <c r="E333" i="50"/>
  <c r="T344" i="50"/>
  <c r="E198" i="50"/>
  <c r="T207" i="50"/>
  <c r="V180" i="50"/>
  <c r="V190" i="50"/>
  <c r="V315" i="50"/>
  <c r="V325" i="50"/>
  <c r="E1415" i="50"/>
  <c r="E279" i="50"/>
  <c r="T290" i="50" s="1"/>
  <c r="E2061" i="50"/>
  <c r="T2072" i="50" s="1"/>
  <c r="E497" i="50"/>
  <c r="E443" i="50"/>
  <c r="E335" i="50"/>
  <c r="E281" i="50"/>
  <c r="E173" i="50"/>
  <c r="R14" i="26"/>
  <c r="R15" i="26" s="1"/>
  <c r="R16" i="26" s="1"/>
  <c r="R17" i="26" s="1"/>
  <c r="R18" i="26" s="1"/>
  <c r="R19" i="26" s="1"/>
  <c r="R20" i="26" s="1"/>
  <c r="R21" i="26" s="1"/>
  <c r="R22" i="26" s="1"/>
  <c r="R23" i="26" s="1"/>
  <c r="M69" i="50"/>
  <c r="AQ72" i="50"/>
  <c r="K72" i="50"/>
  <c r="A62" i="50"/>
  <c r="R74" i="38"/>
  <c r="N74" i="38" s="1"/>
  <c r="R75" i="38"/>
  <c r="N75" i="38" s="1"/>
  <c r="R76" i="38"/>
  <c r="N76" i="38" s="1"/>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s="1"/>
  <c r="R103" i="38"/>
  <c r="N103" i="38" s="1"/>
  <c r="R104" i="38"/>
  <c r="N104" i="38" s="1"/>
  <c r="R105" i="38"/>
  <c r="N105" i="38" s="1"/>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s="1"/>
  <c r="R135" i="38"/>
  <c r="N135" i="38" s="1"/>
  <c r="R136" i="38"/>
  <c r="N136" i="38" s="1"/>
  <c r="R137" i="38"/>
  <c r="N137" i="38" s="1"/>
  <c r="R138" i="38"/>
  <c r="N138" i="38" s="1"/>
  <c r="R139" i="38"/>
  <c r="N139" i="38" s="1"/>
  <c r="R140" i="38"/>
  <c r="N140" i="38" s="1"/>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c r="AK31" i="46" s="1"/>
  <c r="T22" i="46"/>
  <c r="N338" i="46"/>
  <c r="AG337" i="46"/>
  <c r="N337" i="46"/>
  <c r="AF337" i="46"/>
  <c r="N268" i="46"/>
  <c r="AG267" i="46"/>
  <c r="N267" i="46"/>
  <c r="AF267" i="46"/>
  <c r="N233" i="46"/>
  <c r="AG232" i="46"/>
  <c r="N232" i="46"/>
  <c r="AF232" i="46"/>
  <c r="N198" i="46"/>
  <c r="AG197" i="46"/>
  <c r="N197" i="46"/>
  <c r="AF197" i="46"/>
  <c r="N163" i="46"/>
  <c r="AG162" i="46"/>
  <c r="N162" i="46"/>
  <c r="AF162" i="46"/>
  <c r="N128" i="46"/>
  <c r="AG127" i="46"/>
  <c r="N127" i="46"/>
  <c r="AF127" i="46"/>
  <c r="N93" i="46"/>
  <c r="AG92" i="46"/>
  <c r="N92" i="46"/>
  <c r="AF92" i="46"/>
  <c r="N58" i="46"/>
  <c r="AG57" i="46"/>
  <c r="N57" i="46"/>
  <c r="AF57" i="46"/>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c r="E232" i="46"/>
  <c r="AK240" i="46"/>
  <c r="AK241" i="46" s="1"/>
  <c r="E197" i="46"/>
  <c r="E162" i="46"/>
  <c r="Q162" i="46"/>
  <c r="E127" i="46"/>
  <c r="AK135" i="46"/>
  <c r="AK136" i="46" s="1"/>
  <c r="E92" i="46"/>
  <c r="Q92" i="46" s="1"/>
  <c r="R57" i="46"/>
  <c r="E57" i="46"/>
  <c r="AR94" i="61"/>
  <c r="C81" i="61"/>
  <c r="M81" i="61"/>
  <c r="Y81" i="61"/>
  <c r="AC81" i="61"/>
  <c r="AO81" i="61"/>
  <c r="M320" i="46"/>
  <c r="AC302" i="46"/>
  <c r="M42" i="46"/>
  <c r="AD22" i="46"/>
  <c r="M77" i="46"/>
  <c r="AD57" i="46"/>
  <c r="M112" i="46"/>
  <c r="AD92" i="46"/>
  <c r="M147" i="46"/>
  <c r="AD127" i="46"/>
  <c r="M182" i="46"/>
  <c r="AD162" i="46"/>
  <c r="M217" i="46"/>
  <c r="AD197" i="46"/>
  <c r="M252" i="46"/>
  <c r="AD232" i="46"/>
  <c r="M287" i="46"/>
  <c r="AD267" i="46"/>
  <c r="M357" i="46"/>
  <c r="AD337" i="46"/>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R356" i="58" s="1"/>
  <c r="AE366" i="58"/>
  <c r="BD346" i="58" s="1"/>
  <c r="I363" i="58"/>
  <c r="I362" i="58"/>
  <c r="X360" i="58"/>
  <c r="AA352" i="58"/>
  <c r="V360" i="58"/>
  <c r="T352" i="58"/>
  <c r="T354" i="58"/>
  <c r="T355" i="58" s="1"/>
  <c r="T356" i="58" s="1"/>
  <c r="T357" i="58" s="1"/>
  <c r="T358" i="58" s="1"/>
  <c r="T359" i="58" s="1"/>
  <c r="T360" i="58" s="1"/>
  <c r="X359" i="58"/>
  <c r="AL358" i="58"/>
  <c r="AD358" i="58"/>
  <c r="K358" i="58"/>
  <c r="X358" i="58"/>
  <c r="AD357" i="58"/>
  <c r="K357" i="58" s="1"/>
  <c r="X357" i="58"/>
  <c r="X356" i="58"/>
  <c r="AD355" i="58"/>
  <c r="K355" i="58" s="1"/>
  <c r="X355" i="58"/>
  <c r="AD354" i="58"/>
  <c r="X354" i="58"/>
  <c r="X352" i="58"/>
  <c r="BG346" i="58"/>
  <c r="AS346" i="58"/>
  <c r="R346" i="58"/>
  <c r="AL339" i="58"/>
  <c r="E315" i="58"/>
  <c r="R328" i="58" s="1"/>
  <c r="AE334" i="58"/>
  <c r="BD314" i="58" s="1"/>
  <c r="AE333" i="58"/>
  <c r="BC314" i="58" s="1"/>
  <c r="I331" i="58"/>
  <c r="I330" i="58"/>
  <c r="X328" i="58"/>
  <c r="AA320" i="58"/>
  <c r="V328" i="58"/>
  <c r="T320" i="58"/>
  <c r="T322" i="58"/>
  <c r="T323" i="58" s="1"/>
  <c r="T324" i="58" s="1"/>
  <c r="T325" i="58" s="1"/>
  <c r="T326" i="58" s="1"/>
  <c r="T327" i="58" s="1"/>
  <c r="T328" i="58" s="1"/>
  <c r="X327" i="58"/>
  <c r="AL326" i="58"/>
  <c r="AD326" i="58"/>
  <c r="K326" i="58"/>
  <c r="X326" i="58"/>
  <c r="AD325" i="58"/>
  <c r="K325" i="58" s="1"/>
  <c r="X325" i="58"/>
  <c r="X324" i="58"/>
  <c r="AD323" i="58"/>
  <c r="K323" i="58" s="1"/>
  <c r="X323" i="58"/>
  <c r="AD322" i="58"/>
  <c r="X322" i="58"/>
  <c r="X320" i="58"/>
  <c r="BG314" i="58"/>
  <c r="AS314" i="58"/>
  <c r="R314" i="58"/>
  <c r="AL307" i="58"/>
  <c r="E283" i="58"/>
  <c r="R295" i="58" s="1"/>
  <c r="AE302" i="58"/>
  <c r="BD282" i="58" s="1"/>
  <c r="I299" i="58"/>
  <c r="I298" i="58"/>
  <c r="X296" i="58"/>
  <c r="AA288" i="58"/>
  <c r="V296" i="58"/>
  <c r="T288" i="58"/>
  <c r="T290" i="58"/>
  <c r="T291" i="58" s="1"/>
  <c r="T292" i="58"/>
  <c r="T293" i="58" s="1"/>
  <c r="T294" i="58" s="1"/>
  <c r="T295" i="58" s="1"/>
  <c r="T296" i="58" s="1"/>
  <c r="X295" i="58"/>
  <c r="AL294" i="58"/>
  <c r="AD294" i="58"/>
  <c r="K294" i="58"/>
  <c r="X294" i="58"/>
  <c r="AD293" i="58"/>
  <c r="K293" i="58" s="1"/>
  <c r="X293" i="58"/>
  <c r="X292" i="58"/>
  <c r="AD291" i="58"/>
  <c r="K291" i="58" s="1"/>
  <c r="X291" i="58"/>
  <c r="AD290" i="58"/>
  <c r="K290" i="58" s="1"/>
  <c r="X290" i="58"/>
  <c r="X288" i="58"/>
  <c r="BG282" i="58"/>
  <c r="AS282" i="58"/>
  <c r="R282" i="58"/>
  <c r="AL275" i="58"/>
  <c r="AE270" i="58"/>
  <c r="BD250" i="58" s="1"/>
  <c r="I267" i="58"/>
  <c r="I266" i="58"/>
  <c r="AA256" i="58"/>
  <c r="V264" i="58"/>
  <c r="X263" i="58"/>
  <c r="AL262" i="58"/>
  <c r="AD262" i="58"/>
  <c r="K262" i="58" s="1"/>
  <c r="X262" i="58"/>
  <c r="AD261" i="58"/>
  <c r="K261" i="58"/>
  <c r="X261" i="58"/>
  <c r="AD259" i="58"/>
  <c r="AD258" i="58"/>
  <c r="K258" i="58"/>
  <c r="X256" i="58"/>
  <c r="BG250" i="58"/>
  <c r="AS250" i="58"/>
  <c r="AL243" i="58"/>
  <c r="E219" i="58"/>
  <c r="AE238" i="58"/>
  <c r="BD218" i="58" s="1"/>
  <c r="I235" i="58"/>
  <c r="I234" i="58"/>
  <c r="X232" i="58"/>
  <c r="AA224" i="58"/>
  <c r="V232" i="58"/>
  <c r="T224" i="58"/>
  <c r="T226" i="58"/>
  <c r="T227" i="58" s="1"/>
  <c r="T228" i="58"/>
  <c r="T229" i="58" s="1"/>
  <c r="T230" i="58" s="1"/>
  <c r="T231" i="58" s="1"/>
  <c r="T232" i="58" s="1"/>
  <c r="X231" i="58"/>
  <c r="AL230" i="58"/>
  <c r="AD230" i="58"/>
  <c r="K230" i="58"/>
  <c r="X230" i="58"/>
  <c r="AD229" i="58"/>
  <c r="K229" i="58" s="1"/>
  <c r="X229" i="58"/>
  <c r="X228" i="58"/>
  <c r="AD227" i="58"/>
  <c r="K227" i="58" s="1"/>
  <c r="X227" i="58"/>
  <c r="AD226" i="58"/>
  <c r="K226" i="58"/>
  <c r="X226" i="58"/>
  <c r="X224" i="58"/>
  <c r="BG218" i="58"/>
  <c r="AS218" i="58"/>
  <c r="R218" i="58"/>
  <c r="AL211" i="58"/>
  <c r="E187" i="58"/>
  <c r="W192" i="58"/>
  <c r="AE206" i="58"/>
  <c r="BD186" i="58"/>
  <c r="I203" i="58"/>
  <c r="I202" i="58"/>
  <c r="X200" i="58"/>
  <c r="AA192" i="58"/>
  <c r="V200" i="58"/>
  <c r="T192" i="58"/>
  <c r="T194" i="58" s="1"/>
  <c r="T195" i="58" s="1"/>
  <c r="T196" i="58" s="1"/>
  <c r="T197" i="58" s="1"/>
  <c r="T198" i="58" s="1"/>
  <c r="T199" i="58" s="1"/>
  <c r="T200" i="58" s="1"/>
  <c r="X199" i="58"/>
  <c r="AL198" i="58"/>
  <c r="AD198" i="58"/>
  <c r="K198" i="58" s="1"/>
  <c r="X198" i="58"/>
  <c r="AD197" i="58"/>
  <c r="K197" i="58"/>
  <c r="X197" i="58"/>
  <c r="X196" i="58"/>
  <c r="AD195" i="58"/>
  <c r="K195" i="58"/>
  <c r="X195" i="58"/>
  <c r="AD194" i="58"/>
  <c r="K194" i="58" s="1"/>
  <c r="X194" i="58"/>
  <c r="X192" i="58"/>
  <c r="BG186" i="58"/>
  <c r="AS186" i="58"/>
  <c r="R186" i="58"/>
  <c r="AL179" i="58"/>
  <c r="R154" i="58"/>
  <c r="E155" i="58"/>
  <c r="R160" i="58"/>
  <c r="R165" i="58" s="1"/>
  <c r="R166" i="58" s="1"/>
  <c r="AA160" i="58"/>
  <c r="X164" i="58"/>
  <c r="T160" i="58"/>
  <c r="T162" i="58"/>
  <c r="T163" i="58" s="1"/>
  <c r="T164" i="58"/>
  <c r="T165" i="58" s="1"/>
  <c r="T166" i="58" s="1"/>
  <c r="T167" i="58" s="1"/>
  <c r="T168" i="58" s="1"/>
  <c r="X168" i="58"/>
  <c r="X167" i="58"/>
  <c r="AE174" i="58"/>
  <c r="BD154" i="58"/>
  <c r="I171" i="58"/>
  <c r="I170" i="58"/>
  <c r="V168" i="58"/>
  <c r="AL166" i="58"/>
  <c r="AD166" i="58"/>
  <c r="K166" i="58"/>
  <c r="X166" i="58"/>
  <c r="AD165" i="58"/>
  <c r="K165" i="58" s="1"/>
  <c r="X165" i="58"/>
  <c r="AD163" i="58"/>
  <c r="X163" i="58"/>
  <c r="AD162" i="58"/>
  <c r="K162" i="58"/>
  <c r="X162" i="58"/>
  <c r="X160" i="58"/>
  <c r="BG154" i="58"/>
  <c r="AS154" i="58"/>
  <c r="C90" i="58"/>
  <c r="AL147" i="58"/>
  <c r="AA128" i="58"/>
  <c r="X132" i="58"/>
  <c r="AE142" i="58"/>
  <c r="BD122" i="58"/>
  <c r="I139" i="58"/>
  <c r="I138" i="58"/>
  <c r="V136" i="58"/>
  <c r="AL134" i="58"/>
  <c r="AD134" i="58"/>
  <c r="K134" i="58"/>
  <c r="AD133" i="58"/>
  <c r="K133" i="58"/>
  <c r="AD131" i="58"/>
  <c r="K131" i="58"/>
  <c r="X131" i="58"/>
  <c r="AD130" i="58"/>
  <c r="K130" i="58" s="1"/>
  <c r="X130" i="58"/>
  <c r="BG122" i="58"/>
  <c r="AS122" i="58"/>
  <c r="AL115" i="58"/>
  <c r="E91" i="58"/>
  <c r="I107" i="58"/>
  <c r="I106" i="58"/>
  <c r="X104" i="58"/>
  <c r="AA96" i="58"/>
  <c r="V104" i="58"/>
  <c r="T96" i="58"/>
  <c r="T98" i="58" s="1"/>
  <c r="T99" i="58" s="1"/>
  <c r="T100" i="58" s="1"/>
  <c r="T101" i="58" s="1"/>
  <c r="T102" i="58" s="1"/>
  <c r="T103" i="58" s="1"/>
  <c r="T104" i="58" s="1"/>
  <c r="X103" i="58"/>
  <c r="AL102" i="58"/>
  <c r="AD102" i="58"/>
  <c r="K102" i="58" s="1"/>
  <c r="X102" i="58"/>
  <c r="AD101" i="58"/>
  <c r="K101" i="58"/>
  <c r="X101" i="58"/>
  <c r="X100" i="58"/>
  <c r="AD99" i="58"/>
  <c r="K99" i="58"/>
  <c r="X99" i="58"/>
  <c r="AD98" i="58"/>
  <c r="K98" i="58" s="1"/>
  <c r="X98" i="58"/>
  <c r="X96" i="58"/>
  <c r="BG90" i="58"/>
  <c r="AS90" i="58"/>
  <c r="R90" i="58"/>
  <c r="BA82" i="61"/>
  <c r="AR82" i="61"/>
  <c r="Z337" i="46"/>
  <c r="Z302" i="46"/>
  <c r="Z267" i="46"/>
  <c r="Z232" i="46"/>
  <c r="Z197" i="46"/>
  <c r="Z162" i="46"/>
  <c r="Z127" i="46"/>
  <c r="Z92" i="46"/>
  <c r="Z57" i="46"/>
  <c r="Z22" i="46"/>
  <c r="R269" i="46"/>
  <c r="AH267" i="46"/>
  <c r="R234" i="46"/>
  <c r="AH232" i="46"/>
  <c r="R199" i="46"/>
  <c r="AH197" i="46"/>
  <c r="R164" i="46"/>
  <c r="AH162" i="46"/>
  <c r="R129" i="46"/>
  <c r="AH127" i="46"/>
  <c r="R94" i="46"/>
  <c r="AH92" i="46"/>
  <c r="R59" i="46"/>
  <c r="AH57" i="46"/>
  <c r="R364" i="46"/>
  <c r="L357" i="46"/>
  <c r="M355" i="46"/>
  <c r="AC337" i="46"/>
  <c r="R351" i="46"/>
  <c r="R341" i="46"/>
  <c r="AJ337" i="46" s="1"/>
  <c r="Q341" i="46"/>
  <c r="R340" i="46"/>
  <c r="AI337" i="46"/>
  <c r="Q339" i="46"/>
  <c r="AB337" i="46"/>
  <c r="AA337" i="46"/>
  <c r="Y337" i="46"/>
  <c r="X337" i="46"/>
  <c r="R329" i="46"/>
  <c r="L322" i="46"/>
  <c r="R306" i="46"/>
  <c r="AJ302" i="46" s="1"/>
  <c r="Q306" i="46"/>
  <c r="R305" i="46"/>
  <c r="AI302" i="46"/>
  <c r="Q305" i="46"/>
  <c r="Q304" i="46"/>
  <c r="AB302" i="46"/>
  <c r="AA302" i="46"/>
  <c r="Y302" i="46"/>
  <c r="X302" i="46"/>
  <c r="R294" i="46"/>
  <c r="L287" i="46"/>
  <c r="M285" i="46"/>
  <c r="AC267" i="46"/>
  <c r="R281" i="46"/>
  <c r="R271" i="46"/>
  <c r="AJ267" i="46" s="1"/>
  <c r="Q271" i="46"/>
  <c r="R270" i="46"/>
  <c r="AI267" i="46"/>
  <c r="Q270" i="46"/>
  <c r="Q269" i="46"/>
  <c r="AB267" i="46"/>
  <c r="AA267" i="46"/>
  <c r="Y267" i="46"/>
  <c r="X267" i="46"/>
  <c r="R267" i="46"/>
  <c r="R259" i="46"/>
  <c r="L252" i="46"/>
  <c r="M250" i="46"/>
  <c r="AC232" i="46" s="1"/>
  <c r="R246" i="46"/>
  <c r="R236" i="46"/>
  <c r="AJ232" i="46"/>
  <c r="Q236" i="46"/>
  <c r="R235" i="46"/>
  <c r="AI232" i="46" s="1"/>
  <c r="Q234" i="46"/>
  <c r="AB232" i="46"/>
  <c r="AA232" i="46"/>
  <c r="Y232" i="46"/>
  <c r="X232" i="46"/>
  <c r="R232" i="46"/>
  <c r="R224" i="46"/>
  <c r="L217" i="46"/>
  <c r="M215" i="46"/>
  <c r="AC197" i="46" s="1"/>
  <c r="R211" i="46"/>
  <c r="R201" i="46"/>
  <c r="AJ197" i="46"/>
  <c r="Q201" i="46"/>
  <c r="R200" i="46"/>
  <c r="AI197" i="46" s="1"/>
  <c r="Q200" i="46"/>
  <c r="Q199" i="46"/>
  <c r="AB197" i="46"/>
  <c r="AA197" i="46"/>
  <c r="Y197" i="46"/>
  <c r="X197" i="46"/>
  <c r="R197" i="46"/>
  <c r="R189" i="46"/>
  <c r="L182" i="46"/>
  <c r="M180" i="46"/>
  <c r="AC162" i="46"/>
  <c r="R176" i="46"/>
  <c r="R166" i="46"/>
  <c r="AJ162" i="46" s="1"/>
  <c r="Q166" i="46"/>
  <c r="R165" i="46"/>
  <c r="AI162" i="46"/>
  <c r="Q164" i="46"/>
  <c r="AB162" i="46"/>
  <c r="AA162" i="46"/>
  <c r="Y162" i="46"/>
  <c r="X162" i="46"/>
  <c r="R162" i="46"/>
  <c r="R154" i="46"/>
  <c r="L147" i="46"/>
  <c r="M145" i="46"/>
  <c r="AC127" i="46"/>
  <c r="R141" i="46"/>
  <c r="R131" i="46"/>
  <c r="AJ127" i="46" s="1"/>
  <c r="Q131" i="46"/>
  <c r="R130" i="46"/>
  <c r="AI127" i="46"/>
  <c r="Q130" i="46"/>
  <c r="AB127" i="46"/>
  <c r="AA127" i="46"/>
  <c r="Y127" i="46"/>
  <c r="X127" i="46"/>
  <c r="R127" i="46"/>
  <c r="R119" i="46"/>
  <c r="L112" i="46"/>
  <c r="M110" i="46"/>
  <c r="AC92" i="46"/>
  <c r="R106" i="46"/>
  <c r="R96" i="46"/>
  <c r="AJ92" i="46" s="1"/>
  <c r="Q96" i="46"/>
  <c r="R95" i="46"/>
  <c r="AI92" i="46"/>
  <c r="Q95" i="46"/>
  <c r="Q94" i="46"/>
  <c r="AB92" i="46"/>
  <c r="AA92" i="46"/>
  <c r="Y92" i="46"/>
  <c r="X92" i="46"/>
  <c r="R92" i="46"/>
  <c r="C57" i="46"/>
  <c r="BA96" i="61" s="1"/>
  <c r="R84" i="46"/>
  <c r="L77" i="46"/>
  <c r="M75" i="46"/>
  <c r="AC57" i="46"/>
  <c r="R71" i="46"/>
  <c r="R61" i="46"/>
  <c r="AJ57" i="46" s="1"/>
  <c r="Q61" i="46"/>
  <c r="R60" i="46"/>
  <c r="AI57" i="46"/>
  <c r="Q60" i="46"/>
  <c r="Q59" i="46"/>
  <c r="AB57" i="46"/>
  <c r="AA57" i="46"/>
  <c r="Y57" i="46"/>
  <c r="X57" i="46"/>
  <c r="R26" i="46"/>
  <c r="AJ22" i="46"/>
  <c r="Q26" i="46"/>
  <c r="R25" i="46"/>
  <c r="AI22" i="46" s="1"/>
  <c r="Q25" i="46"/>
  <c r="R27" i="28"/>
  <c r="W23" i="28"/>
  <c r="R26" i="28"/>
  <c r="V23" i="28"/>
  <c r="R29" i="28"/>
  <c r="U23" i="28"/>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c r="AD69" i="58"/>
  <c r="K69" i="58"/>
  <c r="AD70" i="58"/>
  <c r="K70" i="58"/>
  <c r="AD67" i="58"/>
  <c r="K67" i="58"/>
  <c r="AD66" i="58"/>
  <c r="V72" i="58"/>
  <c r="AA64" i="58"/>
  <c r="AE78" i="58"/>
  <c r="BD58" i="58" s="1"/>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63" i="52"/>
  <c r="D511" i="52" s="1"/>
  <c r="D559" i="52"/>
  <c r="D607" i="52" s="1"/>
  <c r="D655" i="52" s="1"/>
  <c r="C140" i="57"/>
  <c r="C113" i="57"/>
  <c r="G166" i="58"/>
  <c r="M40" i="46"/>
  <c r="AC22" i="46" s="1"/>
  <c r="B34" i="52"/>
  <c r="E162" i="57" s="1"/>
  <c r="B35" i="52"/>
  <c r="P115" i="57" s="1"/>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s="1"/>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N401" i="52"/>
  <c r="N449" i="52"/>
  <c r="S72" i="38"/>
  <c r="S73" i="38"/>
  <c r="S74" i="38"/>
  <c r="S75" i="38"/>
  <c r="AJ685"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G560" i="52"/>
  <c r="G558" i="52"/>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F177" i="38"/>
  <c r="F176" i="38"/>
  <c r="I176" i="38"/>
  <c r="H182" i="38"/>
  <c r="F175" i="38"/>
  <c r="G175" i="38" s="1"/>
  <c r="F61" i="9"/>
  <c r="F63" i="9"/>
  <c r="B28" i="54"/>
  <c r="B27" i="54"/>
  <c r="C3" i="54"/>
  <c r="F64" i="9"/>
  <c r="B26" i="54"/>
  <c r="B25" i="54"/>
  <c r="B24" i="54"/>
  <c r="B23" i="54"/>
  <c r="B22" i="54"/>
  <c r="B21" i="54"/>
  <c r="B20" i="54"/>
  <c r="T73" i="38"/>
  <c r="T74" i="38"/>
  <c r="T75" i="38"/>
  <c r="U27" i="38"/>
  <c r="U28" i="38"/>
  <c r="U29" i="38"/>
  <c r="U30" i="38"/>
  <c r="U26" i="38"/>
  <c r="V26" i="38"/>
  <c r="W26" i="38" s="1"/>
  <c r="V28" i="38"/>
  <c r="W28" i="38" s="1"/>
  <c r="V30" i="38"/>
  <c r="W30" i="38" s="1"/>
  <c r="V27" i="38"/>
  <c r="W27" i="38" s="1"/>
  <c r="V29" i="38"/>
  <c r="W29" i="38" s="1"/>
  <c r="H187" i="38"/>
  <c r="H186" i="38"/>
  <c r="H185" i="38"/>
  <c r="H184" i="38"/>
  <c r="H183" i="38"/>
  <c r="A402" i="52"/>
  <c r="A450" i="52"/>
  <c r="A498" i="52" s="1"/>
  <c r="A546" i="52"/>
  <c r="A594" i="52" s="1"/>
  <c r="A642" i="52" s="1"/>
  <c r="A403" i="52"/>
  <c r="A451" i="52"/>
  <c r="A499" i="52" s="1"/>
  <c r="A547" i="52"/>
  <c r="A595" i="52" s="1"/>
  <c r="A643" i="52" s="1"/>
  <c r="A404" i="52"/>
  <c r="A452" i="52"/>
  <c r="A500" i="52" s="1"/>
  <c r="A548" i="52"/>
  <c r="A596" i="52" s="1"/>
  <c r="A644" i="52" s="1"/>
  <c r="A405" i="52"/>
  <c r="A453" i="52"/>
  <c r="A501" i="52" s="1"/>
  <c r="A549" i="52"/>
  <c r="A597" i="52" s="1"/>
  <c r="A645" i="52" s="1"/>
  <c r="A406" i="52"/>
  <c r="A454" i="52"/>
  <c r="A502" i="52" s="1"/>
  <c r="A550" i="52"/>
  <c r="A598" i="52" s="1"/>
  <c r="A646" i="52" s="1"/>
  <c r="A407" i="52"/>
  <c r="A455" i="52"/>
  <c r="A503" i="52" s="1"/>
  <c r="A551" i="52"/>
  <c r="A599" i="52" s="1"/>
  <c r="A647" i="52" s="1"/>
  <c r="A408" i="52"/>
  <c r="A456" i="52"/>
  <c r="A504" i="52" s="1"/>
  <c r="A552" i="52"/>
  <c r="A600" i="52" s="1"/>
  <c r="A648" i="52" s="1"/>
  <c r="A409" i="52"/>
  <c r="A457" i="52"/>
  <c r="A505" i="52" s="1"/>
  <c r="A553" i="52"/>
  <c r="A601" i="52" s="1"/>
  <c r="A649" i="52" s="1"/>
  <c r="A410" i="52"/>
  <c r="A458" i="52"/>
  <c r="A506" i="52" s="1"/>
  <c r="A554" i="52"/>
  <c r="A602" i="52" s="1"/>
  <c r="A650" i="52" s="1"/>
  <c r="A411" i="52"/>
  <c r="A459" i="52"/>
  <c r="A507" i="52" s="1"/>
  <c r="A555" i="52"/>
  <c r="A603" i="52" s="1"/>
  <c r="A651" i="52" s="1"/>
  <c r="A412" i="52"/>
  <c r="A460" i="52"/>
  <c r="A508" i="52" s="1"/>
  <c r="A556" i="52"/>
  <c r="A604" i="52" s="1"/>
  <c r="A652" i="52" s="1"/>
  <c r="A413" i="52"/>
  <c r="A461" i="52"/>
  <c r="A509" i="52" s="1"/>
  <c r="A557" i="52"/>
  <c r="A605" i="52" s="1"/>
  <c r="A653" i="52" s="1"/>
  <c r="A414" i="52"/>
  <c r="A462" i="52"/>
  <c r="A510" i="52" s="1"/>
  <c r="A558" i="52"/>
  <c r="A606" i="52" s="1"/>
  <c r="A654" i="52" s="1"/>
  <c r="A415" i="52"/>
  <c r="A463" i="52"/>
  <c r="A511" i="52" s="1"/>
  <c r="A559" i="52"/>
  <c r="A607" i="52" s="1"/>
  <c r="A655" i="52" s="1"/>
  <c r="A416" i="52"/>
  <c r="A464" i="52"/>
  <c r="A512" i="52" s="1"/>
  <c r="A560" i="52"/>
  <c r="A608" i="52" s="1"/>
  <c r="A656" i="52" s="1"/>
  <c r="A417" i="52"/>
  <c r="A465" i="52"/>
  <c r="A513" i="52" s="1"/>
  <c r="A561" i="52"/>
  <c r="A609" i="52" s="1"/>
  <c r="A657" i="52" s="1"/>
  <c r="A418" i="52"/>
  <c r="A466" i="52"/>
  <c r="A514" i="52" s="1"/>
  <c r="A562" i="52"/>
  <c r="A610" i="52" s="1"/>
  <c r="A658" i="52" s="1"/>
  <c r="A419" i="52"/>
  <c r="A467" i="52"/>
  <c r="A515" i="52" s="1"/>
  <c r="A563" i="52"/>
  <c r="A611" i="52" s="1"/>
  <c r="A659" i="52" s="1"/>
  <c r="A420" i="52"/>
  <c r="A468" i="52"/>
  <c r="A516" i="52" s="1"/>
  <c r="A564" i="52"/>
  <c r="A612" i="52" s="1"/>
  <c r="A660" i="52" s="1"/>
  <c r="A421" i="52"/>
  <c r="A469" i="52"/>
  <c r="A517" i="52" s="1"/>
  <c r="A565" i="52"/>
  <c r="A613" i="52" s="1"/>
  <c r="A661" i="52" s="1"/>
  <c r="A422" i="52"/>
  <c r="A470" i="52"/>
  <c r="A518" i="52" s="1"/>
  <c r="A566" i="52"/>
  <c r="A614" i="52" s="1"/>
  <c r="A662" i="52" s="1"/>
  <c r="A423" i="52"/>
  <c r="A471" i="52"/>
  <c r="A519" i="52" s="1"/>
  <c r="A567" i="52"/>
  <c r="A615" i="52" s="1"/>
  <c r="A663" i="52" s="1"/>
  <c r="A424" i="52"/>
  <c r="A472" i="52"/>
  <c r="A520" i="52" s="1"/>
  <c r="A568" i="52"/>
  <c r="A616" i="52" s="1"/>
  <c r="A664" i="52" s="1"/>
  <c r="A425" i="52"/>
  <c r="A473" i="52"/>
  <c r="A521" i="52" s="1"/>
  <c r="A569" i="52"/>
  <c r="A617" i="52" s="1"/>
  <c r="A665" i="52" s="1"/>
  <c r="A426" i="52"/>
  <c r="A474" i="52"/>
  <c r="A522" i="52" s="1"/>
  <c r="A570" i="52"/>
  <c r="A618" i="52" s="1"/>
  <c r="A666" i="52" s="1"/>
  <c r="A427" i="52"/>
  <c r="A475" i="52"/>
  <c r="A523" i="52" s="1"/>
  <c r="A571" i="52"/>
  <c r="A619" i="52" s="1"/>
  <c r="A667" i="52" s="1"/>
  <c r="A428" i="52"/>
  <c r="A476" i="52"/>
  <c r="A524" i="52" s="1"/>
  <c r="A572" i="52"/>
  <c r="A620" i="52" s="1"/>
  <c r="A668" i="52" s="1"/>
  <c r="A429" i="52"/>
  <c r="A477" i="52"/>
  <c r="A525" i="52" s="1"/>
  <c r="A573" i="52"/>
  <c r="A621" i="52" s="1"/>
  <c r="A669" i="52" s="1"/>
  <c r="A430" i="52"/>
  <c r="A478" i="52"/>
  <c r="A526" i="52" s="1"/>
  <c r="A574" i="52"/>
  <c r="A622" i="52" s="1"/>
  <c r="A670" i="52" s="1"/>
  <c r="A431" i="52"/>
  <c r="A479" i="52"/>
  <c r="A527" i="52" s="1"/>
  <c r="A575" i="52"/>
  <c r="A623" i="52" s="1"/>
  <c r="A671" i="52" s="1"/>
  <c r="A432" i="52"/>
  <c r="A480" i="52"/>
  <c r="A528" i="52" s="1"/>
  <c r="A576" i="52"/>
  <c r="A624" i="52" s="1"/>
  <c r="A672" i="52" s="1"/>
  <c r="A433" i="52"/>
  <c r="A481" i="52"/>
  <c r="A529" i="52" s="1"/>
  <c r="A577" i="52"/>
  <c r="A625" i="52" s="1"/>
  <c r="A673" i="52" s="1"/>
  <c r="A434" i="52"/>
  <c r="A482" i="52"/>
  <c r="A530" i="52" s="1"/>
  <c r="A578" i="52"/>
  <c r="A626" i="52" s="1"/>
  <c r="A674" i="52" s="1"/>
  <c r="A435" i="52"/>
  <c r="A483" i="52"/>
  <c r="A531" i="52" s="1"/>
  <c r="A579" i="52"/>
  <c r="A627" i="52" s="1"/>
  <c r="A675" i="52" s="1"/>
  <c r="A436" i="52"/>
  <c r="A484" i="52"/>
  <c r="A532" i="52" s="1"/>
  <c r="A580" i="52"/>
  <c r="A628" i="52" s="1"/>
  <c r="A676" i="52" s="1"/>
  <c r="A437" i="52"/>
  <c r="A485" i="52"/>
  <c r="A533" i="52" s="1"/>
  <c r="A581" i="52"/>
  <c r="A629" i="52" s="1"/>
  <c r="A677" i="52" s="1"/>
  <c r="A438" i="52"/>
  <c r="A486" i="52"/>
  <c r="A534" i="52" s="1"/>
  <c r="A582" i="52"/>
  <c r="A630" i="52" s="1"/>
  <c r="A678" i="52" s="1"/>
  <c r="A439" i="52"/>
  <c r="A487" i="52"/>
  <c r="A535" i="52" s="1"/>
  <c r="A583" i="52"/>
  <c r="A631" i="52" s="1"/>
  <c r="A679" i="52" s="1"/>
  <c r="A440" i="52"/>
  <c r="A488" i="52"/>
  <c r="A536" i="52" s="1"/>
  <c r="A584" i="52"/>
  <c r="A632" i="52" s="1"/>
  <c r="A680" i="52" s="1"/>
  <c r="A441" i="52"/>
  <c r="A489" i="52"/>
  <c r="A537" i="52" s="1"/>
  <c r="A585" i="52"/>
  <c r="A633" i="52" s="1"/>
  <c r="A681" i="52" s="1"/>
  <c r="A442" i="52"/>
  <c r="A490" i="52"/>
  <c r="A538" i="52" s="1"/>
  <c r="A586" i="52"/>
  <c r="A634" i="52" s="1"/>
  <c r="A682" i="52" s="1"/>
  <c r="A401" i="52"/>
  <c r="A449" i="52"/>
  <c r="A497" i="52" s="1"/>
  <c r="A545" i="52"/>
  <c r="A593" i="52" s="1"/>
  <c r="A641" i="52" s="1"/>
  <c r="G459" i="52"/>
  <c r="E59" i="58"/>
  <c r="X71" i="58"/>
  <c r="X69" i="58"/>
  <c r="X70" i="58"/>
  <c r="K66" i="58"/>
  <c r="R36" i="46"/>
  <c r="X72" i="58"/>
  <c r="T64" i="58"/>
  <c r="T66" i="58"/>
  <c r="T67" i="58" s="1"/>
  <c r="T68" i="58"/>
  <c r="T69" i="58" s="1"/>
  <c r="T70" i="58" s="1"/>
  <c r="T71" i="58" s="1"/>
  <c r="T72" i="58" s="1"/>
  <c r="X64" i="58"/>
  <c r="X67" i="58"/>
  <c r="R337" i="46"/>
  <c r="E337" i="46"/>
  <c r="Z77" i="38"/>
  <c r="N29" i="38"/>
  <c r="L19" i="60" s="1"/>
  <c r="N30" i="38"/>
  <c r="L20" i="60" s="1"/>
  <c r="Z28" i="38"/>
  <c r="Z30" i="38"/>
  <c r="N28" i="38"/>
  <c r="L18" i="60" s="1"/>
  <c r="Z29" i="38"/>
  <c r="K163" i="58"/>
  <c r="K259" i="58"/>
  <c r="K322" i="58"/>
  <c r="K354" i="58"/>
  <c r="R122" i="58"/>
  <c r="Z79" i="38"/>
  <c r="E123" i="58"/>
  <c r="W131" i="58" s="1"/>
  <c r="T128" i="58"/>
  <c r="T130" i="58" s="1"/>
  <c r="T131" i="58"/>
  <c r="T132" i="58" s="1"/>
  <c r="T133" i="58" s="1"/>
  <c r="T134" i="58" s="1"/>
  <c r="T135" i="58" s="1"/>
  <c r="T136" i="58" s="1"/>
  <c r="X136" i="58"/>
  <c r="X135" i="58"/>
  <c r="Z75" i="38"/>
  <c r="X128" i="58"/>
  <c r="Z76" i="38"/>
  <c r="X133" i="58"/>
  <c r="Z78" i="38"/>
  <c r="X134" i="58"/>
  <c r="R302" i="46"/>
  <c r="E302" i="46"/>
  <c r="V302" i="46"/>
  <c r="R316" i="46"/>
  <c r="Z91" i="38"/>
  <c r="R339" i="46"/>
  <c r="AH337" i="46"/>
  <c r="Z82" i="38"/>
  <c r="Z83" i="38"/>
  <c r="T302" i="46"/>
  <c r="R320" i="46"/>
  <c r="AE302" i="46" s="1"/>
  <c r="N303" i="46"/>
  <c r="AG302" i="46" s="1"/>
  <c r="N302" i="46"/>
  <c r="AF302" i="46" s="1"/>
  <c r="R304" i="46"/>
  <c r="AH302" i="46" s="1"/>
  <c r="R24" i="46"/>
  <c r="AH22" i="46" s="1"/>
  <c r="N22" i="46"/>
  <c r="AF22" i="46" s="1"/>
  <c r="N23" i="46"/>
  <c r="AG22" i="46" s="1"/>
  <c r="F35" i="46"/>
  <c r="F245" i="46"/>
  <c r="G70" i="58"/>
  <c r="A237" i="52"/>
  <c r="X68" i="58"/>
  <c r="X66" i="58"/>
  <c r="G66" i="58"/>
  <c r="R49" i="46"/>
  <c r="AK577" i="52"/>
  <c r="AK548" i="52"/>
  <c r="AK555" i="52"/>
  <c r="AK560" i="52"/>
  <c r="B437" i="52"/>
  <c r="B485" i="52" s="1"/>
  <c r="B533" i="52" s="1"/>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W259" i="58"/>
  <c r="I259" i="58" s="1"/>
  <c r="T256" i="58"/>
  <c r="T258" i="58" s="1"/>
  <c r="T259" i="58" s="1"/>
  <c r="T260" i="58" s="1"/>
  <c r="T261" i="58" s="1"/>
  <c r="T262" i="58" s="1"/>
  <c r="T263" i="58" s="1"/>
  <c r="T264" i="58" s="1"/>
  <c r="H176" i="38"/>
  <c r="Z93" i="38"/>
  <c r="Z74" i="38"/>
  <c r="Z92" i="38"/>
  <c r="X259" i="58"/>
  <c r="G259" i="58"/>
  <c r="X258" i="58"/>
  <c r="G258" i="58"/>
  <c r="X260" i="58"/>
  <c r="X264" i="58"/>
  <c r="G260" i="58"/>
  <c r="G355" i="58"/>
  <c r="Z78" i="50"/>
  <c r="Z80" i="50"/>
  <c r="G80" i="50"/>
  <c r="G78" i="50"/>
  <c r="E200" i="50"/>
  <c r="E308" i="50"/>
  <c r="Z106" i="50"/>
  <c r="Z79" i="50"/>
  <c r="G79" i="50"/>
  <c r="AJ462" i="52"/>
  <c r="T1278" i="50"/>
  <c r="Y1295" i="50" s="1"/>
  <c r="AY1295" i="50" s="1"/>
  <c r="AF107" i="61"/>
  <c r="AB107" i="61"/>
  <c r="X107" i="61"/>
  <c r="T107" i="61"/>
  <c r="P107" i="61"/>
  <c r="D107" i="61"/>
  <c r="Q24" i="46"/>
  <c r="T1939" i="50"/>
  <c r="AV94" i="61"/>
  <c r="AR107" i="61"/>
  <c r="AN107" i="61"/>
  <c r="AJ107" i="61"/>
  <c r="Z26" i="38"/>
  <c r="N26" i="38"/>
  <c r="L16" i="60"/>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BD882" i="50"/>
  <c r="BD720" i="50"/>
  <c r="BD612" i="50"/>
  <c r="BD180" i="50"/>
  <c r="A246" i="52"/>
  <c r="AQ536" i="50"/>
  <c r="K536" i="50"/>
  <c r="E2036" i="50"/>
  <c r="I179" i="38"/>
  <c r="T615" i="50"/>
  <c r="T1268" i="50"/>
  <c r="T1265" i="50"/>
  <c r="T1251" i="50"/>
  <c r="Y1268" i="50" s="1"/>
  <c r="AL483" i="52"/>
  <c r="AL488" i="52"/>
  <c r="AL457" i="52"/>
  <c r="AL467" i="52"/>
  <c r="C116" i="50"/>
  <c r="C143" i="50" s="1"/>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s="1"/>
  <c r="D526" i="52"/>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H179" i="38"/>
  <c r="T1397" i="50"/>
  <c r="AJ653" i="52"/>
  <c r="BA83" i="61"/>
  <c r="F83" i="61" s="1"/>
  <c r="C122" i="58"/>
  <c r="AJ669" i="52"/>
  <c r="G176" i="38"/>
  <c r="T1402" i="50"/>
  <c r="E2063" i="50"/>
  <c r="AN483" i="52"/>
  <c r="AN462" i="52"/>
  <c r="AN487" i="52"/>
  <c r="V153" i="50"/>
  <c r="V163" i="50" s="1"/>
  <c r="J176" i="38"/>
  <c r="K1277" i="50"/>
  <c r="Q1280" i="50"/>
  <c r="T1287" i="50"/>
  <c r="T1293" i="50"/>
  <c r="T1289" i="50"/>
  <c r="T1938" i="50"/>
  <c r="T1935" i="50"/>
  <c r="T1937" i="50"/>
  <c r="AQ1319" i="50"/>
  <c r="G178" i="38"/>
  <c r="H178" i="38"/>
  <c r="I178" i="38"/>
  <c r="AL486" i="52"/>
  <c r="AJ486" i="52"/>
  <c r="AJ456" i="52"/>
  <c r="AJ467" i="52"/>
  <c r="E146" i="50"/>
  <c r="C170" i="50"/>
  <c r="C197" i="50" s="1"/>
  <c r="C224" i="50" s="1"/>
  <c r="G160" i="58"/>
  <c r="G288" i="58"/>
  <c r="G104"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06" i="50"/>
  <c r="G133" i="50"/>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07" i="50"/>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BA84" i="61"/>
  <c r="AQ84" i="61"/>
  <c r="T2050" i="50"/>
  <c r="T2046" i="50"/>
  <c r="T2034" i="50"/>
  <c r="T2043" i="50"/>
  <c r="T2049" i="50"/>
  <c r="H107" i="61"/>
  <c r="H94" i="61"/>
  <c r="C127" i="46"/>
  <c r="C162" i="46" s="1"/>
  <c r="H177" i="38"/>
  <c r="C154" i="58"/>
  <c r="AM890" i="50"/>
  <c r="AM755" i="50"/>
  <c r="AM2022" i="50"/>
  <c r="F76" i="57"/>
  <c r="T720" i="50"/>
  <c r="AM1048" i="50"/>
  <c r="AM372" i="50"/>
  <c r="AM1673" i="50"/>
  <c r="AM261" i="50"/>
  <c r="AM1128" i="50"/>
  <c r="AM1856" i="50"/>
  <c r="AM943" i="50"/>
  <c r="AM673" i="50"/>
  <c r="AM1780" i="50"/>
  <c r="AM1935" i="50"/>
  <c r="AM457" i="50"/>
  <c r="AM641" i="50"/>
  <c r="AM74" i="50"/>
  <c r="AM215" i="50"/>
  <c r="AM537" i="50"/>
  <c r="AM1968" i="50"/>
  <c r="AM1642" i="50"/>
  <c r="AM936" i="50"/>
  <c r="AM1127" i="50"/>
  <c r="T1104" i="50"/>
  <c r="AM103" i="50"/>
  <c r="AM1020" i="50"/>
  <c r="AM1265" i="50"/>
  <c r="AM1773" i="50"/>
  <c r="T1888" i="50"/>
  <c r="AM1615" i="50"/>
  <c r="AM963" i="50"/>
  <c r="AM889" i="50"/>
  <c r="AM1206" i="50"/>
  <c r="AM971" i="50"/>
  <c r="AM1939" i="50"/>
  <c r="AM1888" i="50"/>
  <c r="AM1179" i="50"/>
  <c r="AM2016" i="50"/>
  <c r="AM296" i="50"/>
  <c r="AM79" i="50"/>
  <c r="T1872" i="50"/>
  <c r="Y1888" i="50" s="1"/>
  <c r="AM1240" i="50"/>
  <c r="AM1857" i="50"/>
  <c r="T398" i="50"/>
  <c r="AA434" i="52"/>
  <c r="AA420" i="52"/>
  <c r="AE294" i="50"/>
  <c r="T1089" i="50"/>
  <c r="Y1106" i="50" s="1"/>
  <c r="I579" i="52"/>
  <c r="BC1530" i="50"/>
  <c r="F26" i="60"/>
  <c r="AK552" i="52"/>
  <c r="BC612" i="50"/>
  <c r="AK549" i="52"/>
  <c r="BC1260" i="50"/>
  <c r="V232" i="46"/>
  <c r="R26" i="60"/>
  <c r="BC261" i="50"/>
  <c r="BC1638" i="50"/>
  <c r="AK563" i="52"/>
  <c r="T1538" i="50"/>
  <c r="T1534" i="50"/>
  <c r="T1398" i="50"/>
  <c r="T1536" i="50"/>
  <c r="T1395" i="50"/>
  <c r="AA437" i="52"/>
  <c r="AG437" i="52"/>
  <c r="BD99" i="50"/>
  <c r="AA411" i="52"/>
  <c r="AA433" i="52"/>
  <c r="Q267" i="46"/>
  <c r="T873" i="50"/>
  <c r="Y886" i="50"/>
  <c r="AY886" i="50" s="1"/>
  <c r="BD747" i="50"/>
  <c r="T890" i="50"/>
  <c r="BD1287" i="50"/>
  <c r="BD1773" i="50"/>
  <c r="BD1449" i="50"/>
  <c r="T1535" i="50"/>
  <c r="T886" i="50"/>
  <c r="AA403" i="52"/>
  <c r="T1305" i="50"/>
  <c r="Y1319" i="50" s="1"/>
  <c r="AY1319" i="50" s="1"/>
  <c r="N365" i="52"/>
  <c r="AE1584" i="50"/>
  <c r="B401" i="52"/>
  <c r="B449" i="52"/>
  <c r="B497" i="52" s="1"/>
  <c r="B545" i="52" s="1"/>
  <c r="B593" i="52" s="1"/>
  <c r="B641" i="52" s="1"/>
  <c r="T970" i="50"/>
  <c r="T1320" i="50"/>
  <c r="T1317" i="50"/>
  <c r="AM563" i="50"/>
  <c r="AM1052" i="50"/>
  <c r="AM455" i="50"/>
  <c r="AM1965" i="50"/>
  <c r="AM1343" i="50"/>
  <c r="AM944" i="50"/>
  <c r="AM72" i="50"/>
  <c r="BC666" i="50"/>
  <c r="AM1451" i="50"/>
  <c r="AM484" i="50"/>
  <c r="AM1724" i="50"/>
  <c r="AM777" i="50"/>
  <c r="AM345" i="50"/>
  <c r="AM1457" i="50"/>
  <c r="AM1322" i="50"/>
  <c r="AM429" i="50"/>
  <c r="T912" i="50"/>
  <c r="BC1071" i="50"/>
  <c r="AM536" i="50"/>
  <c r="AM727" i="50"/>
  <c r="AM1317" i="50"/>
  <c r="AM101" i="50"/>
  <c r="AM565" i="50"/>
  <c r="AM1835" i="50"/>
  <c r="AM1374" i="50"/>
  <c r="AM80" i="50"/>
  <c r="T2047" i="50"/>
  <c r="T1484" i="50"/>
  <c r="AV1535" i="50"/>
  <c r="T1483" i="50"/>
  <c r="T1103" i="50"/>
  <c r="T2045" i="50"/>
  <c r="T1291" i="50"/>
  <c r="BC1854" i="50"/>
  <c r="T1239" i="50"/>
  <c r="AM214" i="50"/>
  <c r="AM1344" i="50"/>
  <c r="AM1289" i="50"/>
  <c r="AM801" i="50"/>
  <c r="AM428" i="50"/>
  <c r="AM1966" i="50"/>
  <c r="AM1293" i="50"/>
  <c r="T1102" i="50"/>
  <c r="T1292" i="50"/>
  <c r="AM398" i="50"/>
  <c r="AM533" i="50"/>
  <c r="AM1456" i="50"/>
  <c r="AM1241" i="50"/>
  <c r="AM102" i="50"/>
  <c r="AM1510" i="50"/>
  <c r="AM1158" i="50"/>
  <c r="I560" i="52"/>
  <c r="T1295" i="50"/>
  <c r="BC909" i="50"/>
  <c r="AM616" i="50"/>
  <c r="AM833" i="50"/>
  <c r="AM1994" i="50"/>
  <c r="AM858" i="50"/>
  <c r="AM209" i="50"/>
  <c r="AM185" i="50"/>
  <c r="AM1235" i="50"/>
  <c r="T888" i="50"/>
  <c r="T1290" i="50"/>
  <c r="AV1885" i="50"/>
  <c r="BC990" i="50"/>
  <c r="AM1862" i="50"/>
  <c r="AM375" i="50"/>
  <c r="AM1776" i="50"/>
  <c r="AM994" i="50"/>
  <c r="AM430" i="50"/>
  <c r="AM693" i="50"/>
  <c r="AM1667" i="50"/>
  <c r="T884" i="50"/>
  <c r="C424" i="52"/>
  <c r="C472" i="52"/>
  <c r="C520" i="52" s="1"/>
  <c r="AM1209" i="50"/>
  <c r="AM317" i="50"/>
  <c r="AM1422" i="50"/>
  <c r="AM913" i="50"/>
  <c r="AM269" i="50"/>
  <c r="AM477" i="50"/>
  <c r="AM1614" i="50"/>
  <c r="BE1341" i="50"/>
  <c r="T1533" i="50"/>
  <c r="T859" i="50"/>
  <c r="BC423" i="50"/>
  <c r="AM1481" i="50"/>
  <c r="AM666" i="50"/>
  <c r="AM1993" i="50"/>
  <c r="AM1321" i="50"/>
  <c r="AM539" i="50"/>
  <c r="AM725" i="50"/>
  <c r="AM1723" i="50"/>
  <c r="AM776" i="50"/>
  <c r="T1532" i="50"/>
  <c r="L144" i="46"/>
  <c r="AM480" i="50"/>
  <c r="AM267" i="50"/>
  <c r="AM1806" i="50"/>
  <c r="AM1530" i="50"/>
  <c r="AM1316" i="50"/>
  <c r="AM699" i="50"/>
  <c r="AM1808" i="50"/>
  <c r="T819" i="50"/>
  <c r="Y830" i="50" s="1"/>
  <c r="AY830" i="50" s="1"/>
  <c r="AM515" i="52"/>
  <c r="T1537" i="50"/>
  <c r="BC531" i="50"/>
  <c r="L179" i="46"/>
  <c r="AM350" i="50"/>
  <c r="AM508" i="50"/>
  <c r="AM1908" i="50"/>
  <c r="AM861" i="50"/>
  <c r="AM1854" i="50"/>
  <c r="AM781" i="50"/>
  <c r="AM2076" i="50"/>
  <c r="T831" i="50"/>
  <c r="K818" i="50"/>
  <c r="Q828" i="50"/>
  <c r="AM105" i="50"/>
  <c r="AM1698" i="50"/>
  <c r="AM912" i="50"/>
  <c r="AM1781" i="50"/>
  <c r="K1520" i="50"/>
  <c r="R1529" i="50"/>
  <c r="BW1520" i="50" s="1"/>
  <c r="T1427" i="50"/>
  <c r="BC720" i="50"/>
  <c r="L249" i="46"/>
  <c r="AM431" i="50"/>
  <c r="AM697" i="50"/>
  <c r="AM780" i="50"/>
  <c r="AM939" i="50"/>
  <c r="AM940" i="50"/>
  <c r="AM834" i="50"/>
  <c r="AM1430" i="50"/>
  <c r="T834" i="50"/>
  <c r="AM1775" i="50"/>
  <c r="AM1398" i="50"/>
  <c r="T1530" i="50"/>
  <c r="T1428" i="50"/>
  <c r="BC801" i="50"/>
  <c r="L354" i="46"/>
  <c r="AM212" i="50"/>
  <c r="AM402" i="50"/>
  <c r="AM593" i="50"/>
  <c r="AM1534" i="50"/>
  <c r="AM1051" i="50"/>
  <c r="AM454" i="50"/>
  <c r="AM1779" i="50"/>
  <c r="T836" i="50"/>
  <c r="T1430" i="50"/>
  <c r="AM562" i="50"/>
  <c r="AM504" i="50"/>
  <c r="AM425" i="50"/>
  <c r="AM1915" i="50"/>
  <c r="AM995" i="50"/>
  <c r="AM507" i="50"/>
  <c r="AM1884" i="50"/>
  <c r="AM886" i="50"/>
  <c r="AM560" i="50"/>
  <c r="AM134" i="50"/>
  <c r="AM1671" i="50"/>
  <c r="AM1049" i="50"/>
  <c r="AM753" i="50"/>
  <c r="AM1913" i="50"/>
  <c r="AV1508" i="50"/>
  <c r="I563" i="52"/>
  <c r="AV644" i="50"/>
  <c r="K710" i="50"/>
  <c r="Q713" i="50"/>
  <c r="T1482" i="50"/>
  <c r="K1250" i="50"/>
  <c r="Q1250" i="50" s="1"/>
  <c r="BE207" i="50"/>
  <c r="BE504" i="50"/>
  <c r="BE693" i="50"/>
  <c r="T725" i="50"/>
  <c r="T724" i="50"/>
  <c r="T1233" i="50"/>
  <c r="BE1044" i="50"/>
  <c r="T1235" i="50"/>
  <c r="BE1287" i="50"/>
  <c r="BE1291" i="50" s="1"/>
  <c r="T590" i="50"/>
  <c r="BE1071" i="50"/>
  <c r="BE2070" i="50"/>
  <c r="T587" i="50"/>
  <c r="BE1638" i="50"/>
  <c r="BE1854" i="50"/>
  <c r="Y1287" i="50"/>
  <c r="M1287" i="50" s="1"/>
  <c r="T588" i="50"/>
  <c r="T589" i="50"/>
  <c r="F361" i="52"/>
  <c r="F409" i="52" s="1"/>
  <c r="F457" i="52" s="1"/>
  <c r="F505" i="52" s="1"/>
  <c r="F553" i="52" s="1"/>
  <c r="F601" i="52" s="1"/>
  <c r="F649" i="52" s="1"/>
  <c r="T593" i="50"/>
  <c r="K575" i="50"/>
  <c r="Q575" i="50" s="1"/>
  <c r="F391" i="52"/>
  <c r="F439" i="52" s="1"/>
  <c r="F487" i="52" s="1"/>
  <c r="F535" i="52" s="1"/>
  <c r="F583" i="52" s="1"/>
  <c r="F631" i="52" s="1"/>
  <c r="F679" i="52" s="1"/>
  <c r="T591" i="50"/>
  <c r="T592" i="50"/>
  <c r="T727" i="50"/>
  <c r="T585" i="50"/>
  <c r="V92" i="46"/>
  <c r="T728" i="50"/>
  <c r="T1236" i="50"/>
  <c r="T711" i="50"/>
  <c r="Y722" i="50" s="1"/>
  <c r="AY722" i="50" s="1"/>
  <c r="T1240" i="50"/>
  <c r="T1184" i="50"/>
  <c r="T726" i="50"/>
  <c r="K2060" i="50"/>
  <c r="Q2070" i="50" s="1"/>
  <c r="T722" i="50"/>
  <c r="N377" i="52"/>
  <c r="E142" i="57"/>
  <c r="T1181" i="50"/>
  <c r="E193" i="57"/>
  <c r="T1179" i="50"/>
  <c r="AM239" i="50"/>
  <c r="AM1695" i="50"/>
  <c r="AM1967" i="50"/>
  <c r="AM158" i="50"/>
  <c r="AM774" i="50"/>
  <c r="AM1024" i="50"/>
  <c r="AM1589" i="50"/>
  <c r="AM592" i="50"/>
  <c r="AM1804" i="50"/>
  <c r="AM2043" i="50"/>
  <c r="AM318" i="50"/>
  <c r="AM1482" i="50"/>
  <c r="AM1751" i="50"/>
  <c r="AM590" i="50"/>
  <c r="AM1640" i="50"/>
  <c r="AM992" i="50"/>
  <c r="AM1672" i="50"/>
  <c r="T1263" i="50"/>
  <c r="T1098" i="50"/>
  <c r="I561" i="52"/>
  <c r="F155" i="57"/>
  <c r="T187" i="57"/>
  <c r="L417" i="52"/>
  <c r="T1966" i="50"/>
  <c r="T1186" i="50"/>
  <c r="O391" i="52"/>
  <c r="E298" i="52"/>
  <c r="AM585" i="50"/>
  <c r="AM1561" i="50"/>
  <c r="AM1562" i="50"/>
  <c r="AM808" i="50"/>
  <c r="AM855" i="50"/>
  <c r="AM1079" i="50"/>
  <c r="AM1643" i="50"/>
  <c r="AM643" i="50"/>
  <c r="AM807" i="50"/>
  <c r="AM1563" i="50"/>
  <c r="AM377" i="50"/>
  <c r="AM1644" i="50"/>
  <c r="AM1802" i="50"/>
  <c r="AM618" i="50"/>
  <c r="AM1750" i="50"/>
  <c r="AM1071" i="50"/>
  <c r="AM1726" i="50"/>
  <c r="T1266" i="50"/>
  <c r="T1106" i="50"/>
  <c r="Z611" i="52"/>
  <c r="AG611" i="52" s="1"/>
  <c r="T1170" i="50"/>
  <c r="Y1186" i="50" s="1"/>
  <c r="T1834" i="50"/>
  <c r="T1182" i="50"/>
  <c r="T778" i="50"/>
  <c r="P169" i="57"/>
  <c r="T1941" i="50"/>
  <c r="T1699" i="50"/>
  <c r="T1185" i="50"/>
  <c r="AM1480" i="50"/>
  <c r="AM2074" i="50"/>
  <c r="AM587" i="50"/>
  <c r="AM485" i="50"/>
  <c r="AM619" i="50"/>
  <c r="AM938" i="50"/>
  <c r="AM1938" i="50"/>
  <c r="AM182" i="50"/>
  <c r="AM1046" i="50"/>
  <c r="AM1887" i="50"/>
  <c r="AM615" i="50"/>
  <c r="AM1131" i="50"/>
  <c r="AM2046" i="50"/>
  <c r="AM806" i="50"/>
  <c r="AM1106" i="50"/>
  <c r="AM1287" i="50"/>
  <c r="AM1964" i="50"/>
  <c r="X364" i="52"/>
  <c r="AK582" i="52"/>
  <c r="T185" i="50"/>
  <c r="T1696" i="50"/>
  <c r="E111" i="57"/>
  <c r="T1695" i="50"/>
  <c r="T1943" i="50"/>
  <c r="P193" i="57"/>
  <c r="T1942" i="50"/>
  <c r="T1694" i="50"/>
  <c r="T1187" i="50"/>
  <c r="AM1314" i="50"/>
  <c r="AM342" i="50"/>
  <c r="AM645" i="50"/>
  <c r="AM130" i="50"/>
  <c r="AM778" i="50"/>
  <c r="AM970" i="50"/>
  <c r="AM2018" i="50"/>
  <c r="AM620" i="50"/>
  <c r="AM1105" i="50"/>
  <c r="AM1591" i="50"/>
  <c r="AM647" i="50"/>
  <c r="AM1616" i="50"/>
  <c r="AM1586" i="50"/>
  <c r="AM346" i="50"/>
  <c r="AM1159" i="50"/>
  <c r="AM1886" i="50"/>
  <c r="AM1996" i="50"/>
  <c r="T1565" i="50"/>
  <c r="Z598" i="52"/>
  <c r="AG598" i="52"/>
  <c r="AK579" i="52"/>
  <c r="T1183" i="50"/>
  <c r="T1683" i="50"/>
  <c r="AC1687" i="50"/>
  <c r="AC1692" i="50" s="1"/>
  <c r="AM1942" i="50"/>
  <c r="AM458" i="50"/>
  <c r="AM241" i="50"/>
  <c r="AM211" i="50"/>
  <c r="AM885" i="50"/>
  <c r="AM1078" i="50"/>
  <c r="AM2075" i="50"/>
  <c r="AM698" i="50"/>
  <c r="AM1186" i="50"/>
  <c r="AM1646" i="50"/>
  <c r="AM726" i="50"/>
  <c r="AM1883" i="50"/>
  <c r="AM1699" i="50"/>
  <c r="AM399" i="50"/>
  <c r="AM1210" i="50"/>
  <c r="AM2051" i="50"/>
  <c r="AM2050" i="50"/>
  <c r="Q93" i="46"/>
  <c r="T882" i="50"/>
  <c r="T360" i="50"/>
  <c r="Y375" i="50" s="1"/>
  <c r="AK578" i="52"/>
  <c r="T1035" i="50"/>
  <c r="Y1046" i="50"/>
  <c r="P166" i="57"/>
  <c r="AM291" i="50"/>
  <c r="AM696" i="50"/>
  <c r="AM1319" i="50"/>
  <c r="AM723" i="50"/>
  <c r="AM1102" i="50"/>
  <c r="AM1827" i="50"/>
  <c r="AM242" i="50"/>
  <c r="AM701" i="50"/>
  <c r="AM1669" i="50"/>
  <c r="AM614" i="50"/>
  <c r="AM321" i="50"/>
  <c r="AM1208" i="50"/>
  <c r="AM2078" i="50"/>
  <c r="AM400" i="50"/>
  <c r="AM1587" i="50"/>
  <c r="AM1754" i="50"/>
  <c r="Q76" i="57"/>
  <c r="T833" i="50"/>
  <c r="T1754" i="50"/>
  <c r="AK561" i="52"/>
  <c r="AK583" i="52"/>
  <c r="AK547" i="52"/>
  <c r="T1052" i="50"/>
  <c r="T911" i="50"/>
  <c r="T909" i="50"/>
  <c r="W134" i="58"/>
  <c r="AA134" i="58"/>
  <c r="T1322" i="50"/>
  <c r="T916" i="50"/>
  <c r="AK100" i="46"/>
  <c r="AK101" i="46"/>
  <c r="I194" i="57"/>
  <c r="AM617" i="50"/>
  <c r="AM401" i="50"/>
  <c r="AM1214" i="50"/>
  <c r="AM369" i="50"/>
  <c r="AM862" i="50"/>
  <c r="AM1506" i="50"/>
  <c r="AM558" i="50"/>
  <c r="AM967" i="50"/>
  <c r="AM1295" i="50"/>
  <c r="AM265" i="50"/>
  <c r="AM456" i="50"/>
  <c r="AM1428" i="50"/>
  <c r="AM1916" i="50"/>
  <c r="AM538" i="50"/>
  <c r="AM998" i="50"/>
  <c r="AM1881" i="50"/>
  <c r="H76" i="57"/>
  <c r="T828" i="50"/>
  <c r="AK590" i="52"/>
  <c r="P189" i="57"/>
  <c r="I185" i="57"/>
  <c r="T917" i="50"/>
  <c r="AM132" i="50"/>
  <c r="AM668" i="50"/>
  <c r="AM1538" i="50"/>
  <c r="AM403" i="50"/>
  <c r="AM1182" i="50"/>
  <c r="AM1588" i="50"/>
  <c r="AM157" i="50"/>
  <c r="AM1022" i="50"/>
  <c r="AM1347" i="50"/>
  <c r="AM210" i="50"/>
  <c r="AM512" i="50"/>
  <c r="AM1537" i="50"/>
  <c r="AM1970" i="50"/>
  <c r="AM591" i="50"/>
  <c r="AM1047" i="50"/>
  <c r="AM1940" i="50"/>
  <c r="AM78" i="50"/>
  <c r="T835" i="50"/>
  <c r="AV1048" i="50"/>
  <c r="AK584" i="52"/>
  <c r="T396" i="50"/>
  <c r="W67" i="58"/>
  <c r="AK67" i="58"/>
  <c r="T914" i="50"/>
  <c r="T774" i="50"/>
  <c r="AE1262" i="50"/>
  <c r="AM481" i="50"/>
  <c r="AM1507" i="50"/>
  <c r="AM1050" i="50"/>
  <c r="AM453" i="50"/>
  <c r="AM1237" i="50"/>
  <c r="AM1746" i="50"/>
  <c r="AM669" i="50"/>
  <c r="AM1155" i="50"/>
  <c r="AM1453" i="50"/>
  <c r="AM155" i="50"/>
  <c r="AM859" i="50"/>
  <c r="AM887" i="50"/>
  <c r="AM129" i="50"/>
  <c r="AM674" i="50"/>
  <c r="AM1263" i="50"/>
  <c r="AM2024" i="50"/>
  <c r="O76" i="57"/>
  <c r="T830" i="50"/>
  <c r="R128" i="58"/>
  <c r="R130" i="58" s="1"/>
  <c r="R131" i="58" s="1"/>
  <c r="T776" i="50"/>
  <c r="W128" i="58"/>
  <c r="AE128" i="58" s="1"/>
  <c r="U155" i="58"/>
  <c r="AP163" i="58" s="1"/>
  <c r="AP165" i="58" s="1"/>
  <c r="T1264" i="50"/>
  <c r="T1970" i="50"/>
  <c r="AM128" i="50"/>
  <c r="AM914" i="50"/>
  <c r="AM1133" i="50"/>
  <c r="AM1400" i="50"/>
  <c r="AM588" i="50"/>
  <c r="AM1395" i="50"/>
  <c r="AM1805" i="50"/>
  <c r="AM106" i="50"/>
  <c r="AM1292" i="50"/>
  <c r="AM1611" i="50"/>
  <c r="AM750" i="50"/>
  <c r="AM968" i="50"/>
  <c r="AM1019" i="50"/>
  <c r="AM263" i="50"/>
  <c r="AM863" i="50"/>
  <c r="AM1371" i="50"/>
  <c r="AM1590" i="50"/>
  <c r="T1615" i="50"/>
  <c r="A262" i="52"/>
  <c r="O456" i="52"/>
  <c r="Q456" i="52" s="1"/>
  <c r="W130" i="58"/>
  <c r="T1267" i="50"/>
  <c r="T1969" i="50"/>
  <c r="AM349" i="50"/>
  <c r="AM1160" i="50"/>
  <c r="AM1260" i="50"/>
  <c r="AM1700" i="50"/>
  <c r="AM160" i="50"/>
  <c r="AM1511" i="50"/>
  <c r="AM1912" i="50"/>
  <c r="AM186" i="50"/>
  <c r="AM1372" i="50"/>
  <c r="AM1668" i="50"/>
  <c r="AM183" i="50"/>
  <c r="AM1023" i="50"/>
  <c r="AM1125" i="50"/>
  <c r="AM320" i="50"/>
  <c r="AM911" i="50"/>
  <c r="AM1452" i="50"/>
  <c r="AM1697" i="50"/>
  <c r="AM1992" i="50"/>
  <c r="AK558" i="52"/>
  <c r="AK553" i="52"/>
  <c r="W135" i="58"/>
  <c r="AA135" i="58"/>
  <c r="T1260" i="50"/>
  <c r="K1952" i="50"/>
  <c r="Q1961" i="50" s="1"/>
  <c r="AM751" i="50"/>
  <c r="AM1565" i="50"/>
  <c r="AM1937" i="50"/>
  <c r="AM1721" i="50"/>
  <c r="AM213" i="50"/>
  <c r="AM1719" i="50"/>
  <c r="AM1962" i="50"/>
  <c r="AM292" i="50"/>
  <c r="AM1478" i="50"/>
  <c r="AM1749" i="50"/>
  <c r="AM295" i="50"/>
  <c r="AM1076" i="50"/>
  <c r="AM1183" i="50"/>
  <c r="AM374" i="50"/>
  <c r="AM942" i="50"/>
  <c r="AM1533" i="50"/>
  <c r="AM1753" i="50"/>
  <c r="AK580" i="52"/>
  <c r="W164" i="58"/>
  <c r="AA164" i="58" s="1"/>
  <c r="AE164" i="58" s="1"/>
  <c r="AV154" i="58" s="1"/>
  <c r="V267" i="46"/>
  <c r="AM1397" i="50"/>
  <c r="AM1077" i="50"/>
  <c r="AM1638" i="50"/>
  <c r="AM2048" i="50"/>
  <c r="AM294" i="50"/>
  <c r="AM1997" i="50"/>
  <c r="AM2021" i="50"/>
  <c r="AM373" i="50"/>
  <c r="AM1617" i="50"/>
  <c r="AM1778" i="50"/>
  <c r="AM404" i="50"/>
  <c r="AM1157" i="50"/>
  <c r="AM1238" i="50"/>
  <c r="AM423" i="50"/>
  <c r="AM993" i="50"/>
  <c r="AM1560" i="50"/>
  <c r="AM1829" i="50"/>
  <c r="AK576" i="52"/>
  <c r="E84" i="57"/>
  <c r="K1373" i="50"/>
  <c r="W162" i="58"/>
  <c r="AA162" i="58"/>
  <c r="AM1021" i="50"/>
  <c r="AM1370" i="50"/>
  <c r="AM1860" i="50"/>
  <c r="AM1641" i="50"/>
  <c r="AM612" i="50"/>
  <c r="AM857" i="50"/>
  <c r="AM1885" i="50"/>
  <c r="AM426" i="50"/>
  <c r="AM1184" i="50"/>
  <c r="AM1831" i="50"/>
  <c r="AM511" i="50"/>
  <c r="AM1233" i="50"/>
  <c r="AM1399" i="50"/>
  <c r="AM450" i="50"/>
  <c r="AM1239" i="50"/>
  <c r="AM1991" i="50"/>
  <c r="T2078" i="50"/>
  <c r="AE1883" i="50"/>
  <c r="AE1829" i="50"/>
  <c r="M83" i="58"/>
  <c r="W101" i="58"/>
  <c r="AE912" i="50"/>
  <c r="AE1640" i="50"/>
  <c r="AE101" i="50"/>
  <c r="R72" i="58"/>
  <c r="BE153" i="50"/>
  <c r="H417" i="52"/>
  <c r="AE210" i="50"/>
  <c r="AE1884" i="50"/>
  <c r="AE1746" i="50"/>
  <c r="BA97" i="61"/>
  <c r="AC97" i="61" s="1"/>
  <c r="AE1233" i="50"/>
  <c r="AE642" i="50"/>
  <c r="AE402" i="50"/>
  <c r="W71" i="58"/>
  <c r="I71" i="58"/>
  <c r="BE342" i="50"/>
  <c r="AE1722" i="50"/>
  <c r="AE426" i="50"/>
  <c r="AE1995" i="50"/>
  <c r="AE456" i="50"/>
  <c r="AA726" i="50"/>
  <c r="AH726" i="50" s="1"/>
  <c r="AE1455" i="50"/>
  <c r="AE348" i="50"/>
  <c r="AE423" i="50"/>
  <c r="U59" i="58"/>
  <c r="AP67" i="58"/>
  <c r="AP69" i="58" s="1"/>
  <c r="BE612" i="50"/>
  <c r="AV347" i="50"/>
  <c r="H434" i="52"/>
  <c r="T427" i="50"/>
  <c r="T805" i="50"/>
  <c r="AE264" i="50"/>
  <c r="AE504" i="50"/>
  <c r="AE804" i="50"/>
  <c r="T1347" i="50"/>
  <c r="K1871" i="50"/>
  <c r="Q1880" i="50"/>
  <c r="R167" i="58"/>
  <c r="T414" i="50"/>
  <c r="AC418" i="50" s="1"/>
  <c r="AC423" i="50" s="1"/>
  <c r="T804" i="50"/>
  <c r="AE375" i="50"/>
  <c r="AE317" i="50"/>
  <c r="AE1019" i="50"/>
  <c r="AJ549" i="52"/>
  <c r="T1332" i="50"/>
  <c r="Y1347" i="50" s="1"/>
  <c r="T670" i="50"/>
  <c r="BE747" i="50"/>
  <c r="W163" i="58"/>
  <c r="AK163" i="58" s="1"/>
  <c r="T809" i="50"/>
  <c r="AE561" i="50"/>
  <c r="AE372" i="50"/>
  <c r="AE1347" i="50"/>
  <c r="AJ580" i="52"/>
  <c r="T1159" i="50"/>
  <c r="T672" i="50"/>
  <c r="W68" i="58"/>
  <c r="T801" i="50"/>
  <c r="AE777" i="50"/>
  <c r="AE237" i="50"/>
  <c r="AE1800" i="50"/>
  <c r="AJ547" i="52"/>
  <c r="R64" i="58"/>
  <c r="R66" i="58"/>
  <c r="R67" i="58" s="1"/>
  <c r="T668" i="50"/>
  <c r="BE1125" i="50"/>
  <c r="T2073" i="50"/>
  <c r="AE1506" i="50"/>
  <c r="AE615" i="50"/>
  <c r="AJ555" i="52"/>
  <c r="O439" i="52"/>
  <c r="Q439" i="52" s="1"/>
  <c r="L313" i="46"/>
  <c r="R192" i="58"/>
  <c r="R194" i="58"/>
  <c r="R195" i="58" s="1"/>
  <c r="AE1260" i="50"/>
  <c r="AE1044" i="50"/>
  <c r="AB546" i="52"/>
  <c r="T1641" i="50"/>
  <c r="R263" i="58"/>
  <c r="L278" i="46"/>
  <c r="W326" i="58"/>
  <c r="AK326" i="58" s="1"/>
  <c r="T803" i="50"/>
  <c r="AE1503" i="50"/>
  <c r="AE861" i="50"/>
  <c r="AE1206" i="50"/>
  <c r="AJ552" i="52"/>
  <c r="M211" i="58"/>
  <c r="BE1098" i="50"/>
  <c r="AV724" i="50"/>
  <c r="T806" i="50"/>
  <c r="AE776" i="50"/>
  <c r="AJ584" i="52"/>
  <c r="N689" i="52"/>
  <c r="L243" i="46"/>
  <c r="AE1910" i="50"/>
  <c r="AE1098" i="50"/>
  <c r="AE884" i="50"/>
  <c r="AE2073" i="50"/>
  <c r="AJ578" i="52"/>
  <c r="T1645" i="50"/>
  <c r="BE909" i="50"/>
  <c r="Z682" i="52"/>
  <c r="AG682" i="52" s="1"/>
  <c r="O388" i="52"/>
  <c r="G217" i="38" s="1"/>
  <c r="AV1777" i="50"/>
  <c r="AE612" i="50"/>
  <c r="AE911" i="50"/>
  <c r="T669" i="50"/>
  <c r="W256" i="58"/>
  <c r="M256" i="58" s="1"/>
  <c r="L208" i="46"/>
  <c r="W64" i="58"/>
  <c r="M64" i="58"/>
  <c r="AE1046" i="50"/>
  <c r="AE1887" i="50"/>
  <c r="AE1077" i="50"/>
  <c r="AE1152" i="50"/>
  <c r="T1629" i="50"/>
  <c r="Y1640" i="50"/>
  <c r="AY1640" i="50" s="1"/>
  <c r="BE882" i="50"/>
  <c r="B176" i="57"/>
  <c r="T202" i="57"/>
  <c r="T1885" i="50"/>
  <c r="G101" i="57"/>
  <c r="T263" i="50"/>
  <c r="W66" i="58"/>
  <c r="T2076" i="50"/>
  <c r="AE1533" i="50"/>
  <c r="AE1476" i="50"/>
  <c r="AE1964" i="50"/>
  <c r="AE1776" i="50"/>
  <c r="K737" i="50"/>
  <c r="BD751" i="50" s="1"/>
  <c r="BE1962" i="50"/>
  <c r="O180" i="57"/>
  <c r="AE882" i="50"/>
  <c r="AE1586" i="50"/>
  <c r="AE1806" i="50"/>
  <c r="AE828" i="50"/>
  <c r="T2061" i="50"/>
  <c r="AE969" i="50"/>
  <c r="AE1965" i="50"/>
  <c r="AE1505" i="50"/>
  <c r="AE1425" i="50"/>
  <c r="T749" i="50"/>
  <c r="T1884" i="50"/>
  <c r="K278" i="50"/>
  <c r="Q287" i="50"/>
  <c r="T2075" i="50"/>
  <c r="AE666" i="50"/>
  <c r="AE1587" i="50"/>
  <c r="AE1749" i="50"/>
  <c r="AE2016" i="50"/>
  <c r="T750" i="50"/>
  <c r="BE1476" i="50"/>
  <c r="L138" i="46"/>
  <c r="AE1398" i="50"/>
  <c r="L103" i="46"/>
  <c r="T1889" i="50"/>
  <c r="O487" i="52"/>
  <c r="Q487" i="52" s="1"/>
  <c r="W262" i="58"/>
  <c r="T2074" i="50"/>
  <c r="AE720" i="50"/>
  <c r="AE722" i="50"/>
  <c r="AE1803" i="50"/>
  <c r="AE1428" i="50"/>
  <c r="T755" i="50"/>
  <c r="BE1557" i="50"/>
  <c r="AE1721" i="50"/>
  <c r="AE885" i="50"/>
  <c r="AE858" i="50"/>
  <c r="T1076" i="50"/>
  <c r="T2070" i="50"/>
  <c r="AE1314" i="50"/>
  <c r="AE1536" i="50"/>
  <c r="AE2043" i="50"/>
  <c r="AE74" i="50"/>
  <c r="N406" i="52"/>
  <c r="T753" i="50"/>
  <c r="AA753" i="50"/>
  <c r="AH753" i="50"/>
  <c r="K1061" i="50"/>
  <c r="Q1070" i="50"/>
  <c r="AA597" i="52"/>
  <c r="R264" i="58"/>
  <c r="T2077" i="50"/>
  <c r="AE1773" i="50"/>
  <c r="AE1182" i="50"/>
  <c r="T1700" i="50"/>
  <c r="Y260" i="58"/>
  <c r="F368" i="52"/>
  <c r="F416" i="52" s="1"/>
  <c r="F464" i="52" s="1"/>
  <c r="F512" i="52" s="1"/>
  <c r="F560" i="52" s="1"/>
  <c r="F608" i="52" s="1"/>
  <c r="F656" i="52" s="1"/>
  <c r="AC1527" i="50"/>
  <c r="AV1562" i="50"/>
  <c r="K1562" i="50"/>
  <c r="Z455" i="52"/>
  <c r="AG455" i="52" s="1"/>
  <c r="H130" i="57"/>
  <c r="Z612" i="52"/>
  <c r="AG612" i="52"/>
  <c r="AV1778" i="50"/>
  <c r="T1775" i="50"/>
  <c r="AV887" i="50"/>
  <c r="Z565" i="52"/>
  <c r="AG565" i="52" s="1"/>
  <c r="G519" i="52"/>
  <c r="X519" i="52" s="1"/>
  <c r="AK310" i="46"/>
  <c r="AK311" i="46" s="1"/>
  <c r="S162" i="57"/>
  <c r="D130" i="57"/>
  <c r="Z680" i="52"/>
  <c r="AG680" i="52" s="1"/>
  <c r="N356" i="52"/>
  <c r="E77" i="57"/>
  <c r="T2019" i="50"/>
  <c r="T186" i="50"/>
  <c r="AV1966" i="50"/>
  <c r="T1781" i="50"/>
  <c r="AJ583" i="52"/>
  <c r="T1753" i="50"/>
  <c r="BE1314" i="50"/>
  <c r="S145" i="57"/>
  <c r="Z436" i="52"/>
  <c r="AG436" i="52" s="1"/>
  <c r="P105" i="57"/>
  <c r="A197" i="57"/>
  <c r="A203" i="57"/>
  <c r="O121" i="57"/>
  <c r="X413" i="52"/>
  <c r="E90" i="57"/>
  <c r="T1964" i="50"/>
  <c r="T1776" i="50"/>
  <c r="AJ548" i="52"/>
  <c r="T1667" i="50"/>
  <c r="BE288" i="50"/>
  <c r="BE1503" i="50"/>
  <c r="M183" i="57"/>
  <c r="X658" i="52"/>
  <c r="P124" i="57"/>
  <c r="H158" i="57"/>
  <c r="X505" i="52"/>
  <c r="Z621" i="52"/>
  <c r="AG621" i="52"/>
  <c r="Y78" i="38"/>
  <c r="G2099" i="50"/>
  <c r="G77" i="62" s="1"/>
  <c r="I80" i="57"/>
  <c r="S141" i="57"/>
  <c r="M136" i="57"/>
  <c r="E106" i="57"/>
  <c r="Q58" i="46"/>
  <c r="T1780" i="50"/>
  <c r="X553" i="52"/>
  <c r="S161" i="57"/>
  <c r="X548" i="52"/>
  <c r="Y144" i="38"/>
  <c r="G2165" i="50"/>
  <c r="G143" i="62" s="1"/>
  <c r="Z645" i="52"/>
  <c r="AG645" i="52" s="1"/>
  <c r="Y163" i="38"/>
  <c r="G386" i="46" s="1"/>
  <c r="M123" i="57"/>
  <c r="I135" i="57"/>
  <c r="E92" i="57"/>
  <c r="T345" i="50"/>
  <c r="Q57" i="46"/>
  <c r="T1778" i="50"/>
  <c r="BD1291" i="50"/>
  <c r="S121" i="57"/>
  <c r="Q139" i="57"/>
  <c r="M134" i="57"/>
  <c r="R135" i="58"/>
  <c r="T1075" i="50"/>
  <c r="T1883" i="50"/>
  <c r="P183" i="57"/>
  <c r="T348" i="50"/>
  <c r="U315" i="58"/>
  <c r="L331" i="58"/>
  <c r="BB314" i="58" s="1"/>
  <c r="T1967" i="50"/>
  <c r="I163" i="57"/>
  <c r="W197" i="58"/>
  <c r="BE180" i="50"/>
  <c r="BE1179" i="50"/>
  <c r="L429" i="52"/>
  <c r="N429" i="52"/>
  <c r="M122" i="57"/>
  <c r="P153" i="57"/>
  <c r="E94" i="57"/>
  <c r="F136" i="57"/>
  <c r="U101" i="57"/>
  <c r="H106" i="57"/>
  <c r="D161" i="57"/>
  <c r="G177" i="57"/>
  <c r="P112" i="57"/>
  <c r="Y126" i="38"/>
  <c r="G2147" i="50" s="1"/>
  <c r="H2147" i="50" s="1"/>
  <c r="H125" i="62" s="1"/>
  <c r="Y161" i="38"/>
  <c r="G384" i="46" s="1"/>
  <c r="I94" i="57"/>
  <c r="R136" i="58"/>
  <c r="T455" i="50"/>
  <c r="T1887" i="50"/>
  <c r="W324" i="58"/>
  <c r="AA324" i="58" s="1"/>
  <c r="W325" i="58"/>
  <c r="T1962" i="50"/>
  <c r="I170" i="57"/>
  <c r="U187" i="58"/>
  <c r="AO195" i="58"/>
  <c r="AO197" i="58" s="1"/>
  <c r="R68" i="58"/>
  <c r="BE99" i="50"/>
  <c r="BE1800" i="50"/>
  <c r="H128" i="57"/>
  <c r="U154" i="57"/>
  <c r="E121" i="57"/>
  <c r="AV320" i="50"/>
  <c r="L157" i="57"/>
  <c r="N157" i="57"/>
  <c r="U103" i="57"/>
  <c r="M119" i="57"/>
  <c r="F188" i="57"/>
  <c r="B178" i="57"/>
  <c r="F371" i="52"/>
  <c r="F419" i="52"/>
  <c r="F467" i="52" s="1"/>
  <c r="F515" i="52" s="1"/>
  <c r="F563" i="52" s="1"/>
  <c r="F611" i="52" s="1"/>
  <c r="F659" i="52" s="1"/>
  <c r="W195" i="58"/>
  <c r="AK195" i="58" s="1"/>
  <c r="T1078" i="50"/>
  <c r="AV1805" i="50"/>
  <c r="X437" i="52"/>
  <c r="S155" i="57"/>
  <c r="AV725" i="50"/>
  <c r="M125" i="57"/>
  <c r="W290" i="58"/>
  <c r="W196" i="58"/>
  <c r="AA196" i="58"/>
  <c r="U193" i="57"/>
  <c r="T152" i="57"/>
  <c r="Q1287" i="50"/>
  <c r="AV1292" i="50"/>
  <c r="R132" i="58"/>
  <c r="T1077" i="50"/>
  <c r="T1881" i="50"/>
  <c r="W323" i="58"/>
  <c r="AA323" i="58" s="1"/>
  <c r="T1692" i="50"/>
  <c r="T296" i="50"/>
  <c r="W358" i="58"/>
  <c r="R196" i="58"/>
  <c r="T1737" i="50"/>
  <c r="Y1752" i="50" s="1"/>
  <c r="BE558" i="50"/>
  <c r="BE1692" i="50"/>
  <c r="F189" i="57"/>
  <c r="AV805" i="50"/>
  <c r="I144" i="57"/>
  <c r="B691" i="52"/>
  <c r="X465" i="52"/>
  <c r="F360" i="52"/>
  <c r="F408" i="52"/>
  <c r="F456" i="52" s="1"/>
  <c r="F504" i="52" s="1"/>
  <c r="F552" i="52" s="1"/>
  <c r="F600" i="52" s="1"/>
  <c r="F648" i="52" s="1"/>
  <c r="X358" i="52"/>
  <c r="X27" i="38"/>
  <c r="R324" i="58"/>
  <c r="T1698" i="50"/>
  <c r="T295" i="50"/>
  <c r="AK1289" i="50"/>
  <c r="M147" i="58"/>
  <c r="T1074" i="50"/>
  <c r="X30" i="38"/>
  <c r="K1682" i="50"/>
  <c r="T291" i="50"/>
  <c r="W198" i="58"/>
  <c r="AK198" i="58"/>
  <c r="R200" i="58"/>
  <c r="W320" i="58"/>
  <c r="AE320" i="58" s="1"/>
  <c r="BE369" i="50"/>
  <c r="BE1881" i="50"/>
  <c r="G432" i="52"/>
  <c r="AV1993" i="50"/>
  <c r="Q201" i="57"/>
  <c r="A161" i="57"/>
  <c r="L411" i="52"/>
  <c r="L428" i="52"/>
  <c r="N428" i="52"/>
  <c r="T292" i="50"/>
  <c r="U81" i="57"/>
  <c r="L78" i="57"/>
  <c r="N78" i="57"/>
  <c r="U186" i="57"/>
  <c r="D213" i="57"/>
  <c r="W132" i="58"/>
  <c r="I132" i="58"/>
  <c r="P92" i="57"/>
  <c r="Z527" i="52"/>
  <c r="AG527" i="52" s="1"/>
  <c r="G478" i="52"/>
  <c r="X478" i="52" s="1"/>
  <c r="R1286" i="50"/>
  <c r="BW1277" i="50" s="1"/>
  <c r="W133" i="58"/>
  <c r="I133" i="58" s="1"/>
  <c r="T1079" i="50"/>
  <c r="T1071" i="50"/>
  <c r="T237" i="50"/>
  <c r="T294" i="50"/>
  <c r="R199" i="58"/>
  <c r="N422" i="52"/>
  <c r="W194" i="58"/>
  <c r="T1143" i="50"/>
  <c r="Y1152" i="50"/>
  <c r="AR1152" i="50" s="1"/>
  <c r="BH1142" i="50" s="1"/>
  <c r="T1642" i="50"/>
  <c r="BE531" i="50"/>
  <c r="BE1908" i="50"/>
  <c r="T1644" i="50"/>
  <c r="Z569" i="52"/>
  <c r="AG569" i="52"/>
  <c r="E102" i="57"/>
  <c r="AV2048" i="50"/>
  <c r="E112" i="57"/>
  <c r="S181" i="57"/>
  <c r="F356" i="52"/>
  <c r="F404" i="52"/>
  <c r="F452" i="52" s="1"/>
  <c r="F500" i="52" s="1"/>
  <c r="F548" i="52" s="1"/>
  <c r="F596" i="52" s="1"/>
  <c r="F644" i="52" s="1"/>
  <c r="T1827" i="50"/>
  <c r="T1494" i="50"/>
  <c r="Y1507" i="50"/>
  <c r="AJ546" i="52"/>
  <c r="T1130" i="50"/>
  <c r="K1736" i="50"/>
  <c r="AK1748" i="50"/>
  <c r="BE396" i="50"/>
  <c r="BE1584" i="50"/>
  <c r="T1748" i="50"/>
  <c r="L79" i="57"/>
  <c r="N79" i="57" s="1"/>
  <c r="Z671" i="52"/>
  <c r="AG671" i="52" s="1"/>
  <c r="U116" i="57"/>
  <c r="T236" i="50"/>
  <c r="T288" i="50"/>
  <c r="W199" i="58"/>
  <c r="I199" i="58"/>
  <c r="K1115" i="50"/>
  <c r="Q1124" i="50"/>
  <c r="T1746" i="50"/>
  <c r="B156" i="57"/>
  <c r="X578" i="52"/>
  <c r="T1062" i="50"/>
  <c r="Y1076" i="50" s="1"/>
  <c r="AY1076" i="50" s="1"/>
  <c r="T1125" i="50"/>
  <c r="T1750" i="50"/>
  <c r="T1752" i="50"/>
  <c r="T138" i="57"/>
  <c r="AJ498" i="52"/>
  <c r="G438" i="52"/>
  <c r="X438" i="52" s="1"/>
  <c r="T1646" i="50"/>
  <c r="K251" i="50"/>
  <c r="BD263" i="50"/>
  <c r="W263" i="58"/>
  <c r="AK263" i="58"/>
  <c r="AJ563" i="52"/>
  <c r="T1129" i="50"/>
  <c r="T1616" i="50"/>
  <c r="BE774" i="50"/>
  <c r="BE1827" i="50"/>
  <c r="T1751" i="50"/>
  <c r="T170" i="57"/>
  <c r="F130" i="57"/>
  <c r="T194" i="57"/>
  <c r="U182" i="57"/>
  <c r="T1965" i="50"/>
  <c r="T1643" i="50"/>
  <c r="T268" i="50"/>
  <c r="T1773" i="50"/>
  <c r="T1968" i="50"/>
  <c r="AJ577" i="52"/>
  <c r="T279" i="50"/>
  <c r="Y291" i="50"/>
  <c r="AY291" i="50" s="1"/>
  <c r="BE1206" i="50"/>
  <c r="T1508" i="50"/>
  <c r="D204" i="57"/>
  <c r="M150" i="57"/>
  <c r="H171" i="57"/>
  <c r="Z460" i="52"/>
  <c r="AG460" i="52"/>
  <c r="BE801" i="50"/>
  <c r="T1640" i="50"/>
  <c r="T293" i="50"/>
  <c r="S169" i="57"/>
  <c r="A201" i="57"/>
  <c r="Q140" i="57"/>
  <c r="H133" i="57"/>
  <c r="T1454" i="50"/>
  <c r="K1628" i="50"/>
  <c r="Q1628" i="50"/>
  <c r="T241" i="50"/>
  <c r="U123" i="58"/>
  <c r="AO131" i="58" s="1"/>
  <c r="M185" i="57"/>
  <c r="G522" i="52"/>
  <c r="X522" i="52"/>
  <c r="M159" i="57"/>
  <c r="S122" i="57"/>
  <c r="AG422" i="52"/>
  <c r="S107" i="57"/>
  <c r="H99" i="57"/>
  <c r="S158" i="57"/>
  <c r="M194" i="57"/>
  <c r="AA1235" i="50"/>
  <c r="AH1235" i="50" s="1"/>
  <c r="BA108" i="61"/>
  <c r="AV108" i="61" s="1"/>
  <c r="Z490" i="52"/>
  <c r="AG490" i="52" s="1"/>
  <c r="D179" i="57"/>
  <c r="AA1883" i="50"/>
  <c r="AH1883" i="50"/>
  <c r="AA2049" i="50"/>
  <c r="AH2049" i="50"/>
  <c r="B402" i="52"/>
  <c r="B450" i="52"/>
  <c r="B498" i="52" s="1"/>
  <c r="B546" i="52" s="1"/>
  <c r="B594" i="52" s="1"/>
  <c r="B642" i="52" s="1"/>
  <c r="B355" i="52"/>
  <c r="B357" i="52"/>
  <c r="B358" i="52" s="1"/>
  <c r="X363" i="52"/>
  <c r="X555" i="52"/>
  <c r="H98" i="57"/>
  <c r="M176" i="57"/>
  <c r="G506" i="52"/>
  <c r="T135" i="57"/>
  <c r="G476" i="52"/>
  <c r="O128" i="57"/>
  <c r="G141" i="57"/>
  <c r="B203" i="57"/>
  <c r="X579" i="52"/>
  <c r="AQ1426" i="50"/>
  <c r="K1426" i="50"/>
  <c r="C504" i="52"/>
  <c r="O504" i="52"/>
  <c r="Q504" i="52" s="1"/>
  <c r="X445" i="52"/>
  <c r="X512" i="52"/>
  <c r="O81" i="57"/>
  <c r="U135" i="57"/>
  <c r="G596" i="52"/>
  <c r="E136" i="57"/>
  <c r="T146" i="57"/>
  <c r="S164" i="57"/>
  <c r="E204" i="57"/>
  <c r="Z409" i="52"/>
  <c r="AG409" i="52"/>
  <c r="P203" i="57"/>
  <c r="Y104" i="58"/>
  <c r="Y199" i="58"/>
  <c r="R360" i="58"/>
  <c r="R359" i="58"/>
  <c r="M371" i="58"/>
  <c r="U347" i="58"/>
  <c r="L363" i="58"/>
  <c r="BB346" i="58" s="1"/>
  <c r="R352" i="58"/>
  <c r="R354" i="58" s="1"/>
  <c r="R355" i="58" s="1"/>
  <c r="W355" i="58"/>
  <c r="I355" i="58"/>
  <c r="Z524" i="52"/>
  <c r="AG524" i="52"/>
  <c r="Z479" i="52"/>
  <c r="AG479" i="52"/>
  <c r="O163" i="57"/>
  <c r="Q177" i="57"/>
  <c r="R157" i="57"/>
  <c r="U146" i="57"/>
  <c r="P135" i="57"/>
  <c r="Z673" i="52"/>
  <c r="AG673" i="52" s="1"/>
  <c r="I114" i="57"/>
  <c r="M167" i="57"/>
  <c r="L80" i="57"/>
  <c r="N80" i="57" s="1"/>
  <c r="T197" i="57"/>
  <c r="AA1992" i="50"/>
  <c r="AH1992" i="50"/>
  <c r="X660" i="52"/>
  <c r="Z622" i="52"/>
  <c r="AG622" i="52" s="1"/>
  <c r="M140" i="57"/>
  <c r="S157" i="57"/>
  <c r="L125" i="57"/>
  <c r="N125" i="57" s="1"/>
  <c r="S199" i="57"/>
  <c r="G203" i="57"/>
  <c r="L121" i="57"/>
  <c r="N121" i="57" s="1"/>
  <c r="G508" i="52"/>
  <c r="N508" i="52" s="1"/>
  <c r="U192" i="57"/>
  <c r="H78" i="57"/>
  <c r="B428" i="52"/>
  <c r="B476" i="52" s="1"/>
  <c r="B524" i="52" s="1"/>
  <c r="B572" i="52" s="1"/>
  <c r="B620" i="52" s="1"/>
  <c r="B668" i="52" s="1"/>
  <c r="B381" i="52"/>
  <c r="B429" i="52" s="1"/>
  <c r="B477" i="52" s="1"/>
  <c r="B525" i="52" s="1"/>
  <c r="B573" i="52" s="1"/>
  <c r="B621" i="52" s="1"/>
  <c r="B669" i="52" s="1"/>
  <c r="S139" i="57"/>
  <c r="B179" i="57"/>
  <c r="S84" i="57"/>
  <c r="E174" i="57"/>
  <c r="R204" i="57"/>
  <c r="G143" i="57"/>
  <c r="Q130" i="57"/>
  <c r="M169" i="57"/>
  <c r="A214" i="57"/>
  <c r="C213" i="57"/>
  <c r="T179" i="57"/>
  <c r="S85" i="57"/>
  <c r="A158" i="57"/>
  <c r="L126" i="57"/>
  <c r="N126" i="57" s="1"/>
  <c r="I127" i="57"/>
  <c r="M99" i="57"/>
  <c r="Z609" i="52"/>
  <c r="AG609" i="52" s="1"/>
  <c r="D472" i="52"/>
  <c r="D520" i="52" s="1"/>
  <c r="D568" i="52" s="1"/>
  <c r="D616" i="52" s="1"/>
  <c r="D664" i="52" s="1"/>
  <c r="O424" i="52"/>
  <c r="Q424" i="52"/>
  <c r="X462" i="52"/>
  <c r="I133" i="57"/>
  <c r="S126" i="57"/>
  <c r="U178" i="57"/>
  <c r="I197" i="57"/>
  <c r="G416" i="52"/>
  <c r="X416" i="52" s="1"/>
  <c r="F185" i="57"/>
  <c r="F203" i="57"/>
  <c r="O184" i="57"/>
  <c r="E160" i="57"/>
  <c r="E153" i="57"/>
  <c r="G131" i="57"/>
  <c r="U85" i="57"/>
  <c r="M157" i="57"/>
  <c r="Z404" i="52"/>
  <c r="AG404" i="52" s="1"/>
  <c r="G629" i="52"/>
  <c r="G164" i="57"/>
  <c r="H494" i="52"/>
  <c r="H459" i="52"/>
  <c r="T1857" i="50"/>
  <c r="O164" i="57"/>
  <c r="M201" i="57"/>
  <c r="Z497" i="52"/>
  <c r="AG497" i="52"/>
  <c r="T154" i="57"/>
  <c r="O131" i="57"/>
  <c r="T100" i="57"/>
  <c r="Q152" i="57"/>
  <c r="G409" i="52"/>
  <c r="G662" i="52"/>
  <c r="L88" i="57"/>
  <c r="N88" i="57"/>
  <c r="H107" i="57"/>
  <c r="Q175" i="57"/>
  <c r="H199" i="57"/>
  <c r="D132" i="57"/>
  <c r="S101" i="57"/>
  <c r="G132" i="57"/>
  <c r="Y91" i="38"/>
  <c r="G2112" i="50"/>
  <c r="G90" i="62" s="1"/>
  <c r="Z616" i="52"/>
  <c r="AG616" i="52" s="1"/>
  <c r="Z522" i="52"/>
  <c r="AG522" i="52" s="1"/>
  <c r="L137" i="57"/>
  <c r="N137" i="57" s="1"/>
  <c r="X545" i="52"/>
  <c r="T564" i="50"/>
  <c r="T549" i="50"/>
  <c r="Y564" i="50" s="1"/>
  <c r="AY564" i="50" s="1"/>
  <c r="AG549" i="52"/>
  <c r="H120" i="57"/>
  <c r="P136" i="57"/>
  <c r="Q141" i="57"/>
  <c r="O173" i="57"/>
  <c r="T93" i="57"/>
  <c r="Z656" i="52"/>
  <c r="AG656" i="52"/>
  <c r="Y95" i="38"/>
  <c r="G2116" i="50"/>
  <c r="G94" i="62" s="1"/>
  <c r="G550" i="52"/>
  <c r="Z651" i="52"/>
  <c r="AG651" i="52"/>
  <c r="X528" i="52"/>
  <c r="Y112" i="38"/>
  <c r="G2133" i="50" s="1"/>
  <c r="W288" i="58"/>
  <c r="M288" i="58" s="1"/>
  <c r="M307" i="58"/>
  <c r="R292" i="58"/>
  <c r="R296" i="58"/>
  <c r="R288" i="58"/>
  <c r="R293" i="58"/>
  <c r="R294" i="58" s="1"/>
  <c r="U283" i="58"/>
  <c r="AP291" i="58" s="1"/>
  <c r="W291" i="58"/>
  <c r="I291" i="58" s="1"/>
  <c r="W295" i="58"/>
  <c r="AA295" i="58" s="1"/>
  <c r="W292" i="58"/>
  <c r="I292" i="58" s="1"/>
  <c r="W294" i="58"/>
  <c r="W293" i="58"/>
  <c r="AA293" i="58"/>
  <c r="AK205" i="46"/>
  <c r="AK206" i="46"/>
  <c r="V197" i="46"/>
  <c r="Q197" i="46"/>
  <c r="W227" i="58"/>
  <c r="AK227" i="58"/>
  <c r="W226" i="58"/>
  <c r="AA226" i="58"/>
  <c r="R224" i="58"/>
  <c r="R229" i="58"/>
  <c r="R230" i="58" s="1"/>
  <c r="W224" i="58"/>
  <c r="M224" i="58" s="1"/>
  <c r="M243" i="58"/>
  <c r="W228" i="58"/>
  <c r="I228" i="58"/>
  <c r="V162" i="46"/>
  <c r="Q163" i="46"/>
  <c r="AK170" i="46"/>
  <c r="AK171" i="46"/>
  <c r="AQ1156" i="50"/>
  <c r="K1156" i="50"/>
  <c r="AQ1804" i="50"/>
  <c r="K1804" i="50"/>
  <c r="U232" i="46"/>
  <c r="R34" i="60"/>
  <c r="Q145" i="57"/>
  <c r="I123" i="57"/>
  <c r="O104" i="57"/>
  <c r="O151" i="57"/>
  <c r="O171" i="57"/>
  <c r="S96" i="57"/>
  <c r="G475" i="52"/>
  <c r="X475" i="52"/>
  <c r="B177" i="57"/>
  <c r="G523" i="52"/>
  <c r="X523" i="52" s="1"/>
  <c r="Y99" i="38"/>
  <c r="G2120" i="50" s="1"/>
  <c r="H2120" i="50" s="1"/>
  <c r="H98" i="62" s="1"/>
  <c r="M100" i="57"/>
  <c r="U167" i="57"/>
  <c r="E175" i="57"/>
  <c r="A216" i="52"/>
  <c r="P175" i="57"/>
  <c r="H481" i="52"/>
  <c r="G566" i="52"/>
  <c r="X566" i="52" s="1"/>
  <c r="F141" i="57"/>
  <c r="S110" i="57"/>
  <c r="Q204" i="57"/>
  <c r="A177" i="57"/>
  <c r="M118" i="57"/>
  <c r="F165" i="57"/>
  <c r="H175" i="57"/>
  <c r="X377" i="52"/>
  <c r="H144" i="57"/>
  <c r="U115" i="57"/>
  <c r="G154" i="57"/>
  <c r="X487" i="52"/>
  <c r="Z523" i="52"/>
  <c r="AG523" i="52" s="1"/>
  <c r="M107" i="57"/>
  <c r="L105" i="57"/>
  <c r="N105" i="57"/>
  <c r="H160" i="57"/>
  <c r="T99" i="57"/>
  <c r="S151" i="57"/>
  <c r="S193" i="57"/>
  <c r="H446" i="52"/>
  <c r="I117" i="57"/>
  <c r="O187" i="57"/>
  <c r="X484" i="52"/>
  <c r="F176" i="57"/>
  <c r="X558" i="52"/>
  <c r="U124" i="57"/>
  <c r="Z619" i="52"/>
  <c r="AG619" i="52" s="1"/>
  <c r="H86" i="57"/>
  <c r="Z657" i="52"/>
  <c r="AG657" i="52"/>
  <c r="R199" i="57"/>
  <c r="P171" i="57"/>
  <c r="G151" i="57"/>
  <c r="Z530" i="52"/>
  <c r="AG530" i="52" s="1"/>
  <c r="I140" i="57"/>
  <c r="P204" i="57"/>
  <c r="AQ1642" i="50"/>
  <c r="K1642" i="50" s="1"/>
  <c r="AC411" i="52"/>
  <c r="AC402" i="52"/>
  <c r="H505" i="52"/>
  <c r="H504" i="52"/>
  <c r="H531" i="52"/>
  <c r="AA452" i="50"/>
  <c r="AH452" i="50"/>
  <c r="AA1155" i="50"/>
  <c r="AH1155" i="50"/>
  <c r="AA1482" i="50"/>
  <c r="AH1482" i="50"/>
  <c r="AA1262" i="50"/>
  <c r="AH1262" i="50"/>
  <c r="AA1374" i="50"/>
  <c r="AH1374" i="50"/>
  <c r="AA561" i="50"/>
  <c r="AH561" i="50"/>
  <c r="AA560" i="50"/>
  <c r="AH560" i="50"/>
  <c r="AA804" i="50"/>
  <c r="AH804" i="50"/>
  <c r="D209" i="57"/>
  <c r="F209" i="57"/>
  <c r="B371" i="52"/>
  <c r="B419" i="52"/>
  <c r="B467" i="52" s="1"/>
  <c r="B515" i="52" s="1"/>
  <c r="B563" i="52" s="1"/>
  <c r="B611" i="52" s="1"/>
  <c r="B659" i="52" s="1"/>
  <c r="B370" i="52"/>
  <c r="B418" i="52" s="1"/>
  <c r="B466" i="52" s="1"/>
  <c r="B514" i="52" s="1"/>
  <c r="B562" i="52" s="1"/>
  <c r="B610" i="52" s="1"/>
  <c r="B658" i="52" s="1"/>
  <c r="C390" i="52"/>
  <c r="C438" i="52"/>
  <c r="O438" i="52" s="1"/>
  <c r="Q438" i="52" s="1"/>
  <c r="T1575" i="50"/>
  <c r="R1583" i="50"/>
  <c r="BW1574" i="50" s="1"/>
  <c r="T1586" i="50"/>
  <c r="T1591" i="50"/>
  <c r="T1584" i="50"/>
  <c r="T1590" i="50"/>
  <c r="K1844" i="50"/>
  <c r="AK1856" i="50" s="1"/>
  <c r="T1861" i="50"/>
  <c r="T1854" i="50"/>
  <c r="T1860" i="50"/>
  <c r="T1858" i="50"/>
  <c r="T1845" i="50"/>
  <c r="AC1849" i="50" s="1"/>
  <c r="AC1851" i="50" s="1"/>
  <c r="T1856" i="50"/>
  <c r="T1862" i="50"/>
  <c r="T132" i="57"/>
  <c r="T131" i="57"/>
  <c r="A133" i="57"/>
  <c r="G479" i="52"/>
  <c r="X636" i="52"/>
  <c r="Z601" i="52"/>
  <c r="AG601" i="52" s="1"/>
  <c r="H109" i="57"/>
  <c r="S180" i="57"/>
  <c r="G673" i="52"/>
  <c r="X673" i="52" s="1"/>
  <c r="Z503" i="52"/>
  <c r="AG503" i="52" s="1"/>
  <c r="I126" i="57"/>
  <c r="O150" i="57"/>
  <c r="O115" i="57"/>
  <c r="H147" i="57"/>
  <c r="O112" i="57"/>
  <c r="Z475" i="52"/>
  <c r="AG475" i="52"/>
  <c r="I124" i="57"/>
  <c r="G603" i="52"/>
  <c r="I147" i="57"/>
  <c r="M86" i="57"/>
  <c r="Z620" i="52"/>
  <c r="AG620" i="52"/>
  <c r="Z568" i="52"/>
  <c r="AG568" i="52"/>
  <c r="L122" i="57"/>
  <c r="N122" i="57"/>
  <c r="G501" i="52"/>
  <c r="X501" i="52"/>
  <c r="O143" i="57"/>
  <c r="X387" i="52"/>
  <c r="T183" i="57"/>
  <c r="X441" i="52"/>
  <c r="Z602" i="52"/>
  <c r="AG602" i="52"/>
  <c r="F214" i="57"/>
  <c r="X353" i="52"/>
  <c r="O197" i="57"/>
  <c r="L203" i="57"/>
  <c r="N203" i="57" s="1"/>
  <c r="I136" i="57"/>
  <c r="G156" i="57"/>
  <c r="E172" i="57"/>
  <c r="A178" i="57"/>
  <c r="P198" i="57"/>
  <c r="U136" i="57"/>
  <c r="G172" i="57"/>
  <c r="M84" i="57"/>
  <c r="G518" i="52"/>
  <c r="T103" i="57"/>
  <c r="T87" i="57"/>
  <c r="S103" i="57"/>
  <c r="S87" i="57"/>
  <c r="G137" i="57"/>
  <c r="S153" i="57"/>
  <c r="X394" i="52"/>
  <c r="X450" i="52"/>
  <c r="E171" i="57"/>
  <c r="F201" i="57"/>
  <c r="H131" i="57"/>
  <c r="H156" i="57"/>
  <c r="Y94" i="38"/>
  <c r="G2115" i="50"/>
  <c r="G136" i="57"/>
  <c r="O178" i="57"/>
  <c r="D137" i="57"/>
  <c r="D178" i="57"/>
  <c r="I199" i="57"/>
  <c r="B152" i="57"/>
  <c r="B214" i="57"/>
  <c r="R178" i="57"/>
  <c r="E196" i="57"/>
  <c r="A137" i="57"/>
  <c r="U147" i="57"/>
  <c r="U190" i="57"/>
  <c r="G681" i="52"/>
  <c r="T186" i="57"/>
  <c r="G473" i="52"/>
  <c r="N473" i="52"/>
  <c r="U143" i="57"/>
  <c r="G145" i="57"/>
  <c r="G165" i="57"/>
  <c r="I82" i="57"/>
  <c r="M89" i="57"/>
  <c r="S148" i="57"/>
  <c r="T189" i="57"/>
  <c r="I120" i="57"/>
  <c r="X369" i="52"/>
  <c r="I87" i="57"/>
  <c r="G551" i="52"/>
  <c r="T166" i="57"/>
  <c r="Z416" i="52"/>
  <c r="AG416" i="52"/>
  <c r="L127" i="57"/>
  <c r="N127" i="57"/>
  <c r="X667" i="52"/>
  <c r="S147" i="57"/>
  <c r="Z466" i="52"/>
  <c r="AG466" i="52"/>
  <c r="AA446" i="52"/>
  <c r="I101" i="57"/>
  <c r="M105" i="57"/>
  <c r="X495" i="52"/>
  <c r="Y87" i="38"/>
  <c r="G2108" i="50"/>
  <c r="G86" i="62" s="1"/>
  <c r="L116" i="57"/>
  <c r="N116" i="57" s="1"/>
  <c r="G199" i="57"/>
  <c r="E132" i="57"/>
  <c r="A138" i="57"/>
  <c r="T157" i="57"/>
  <c r="R173" i="57"/>
  <c r="T150" i="57"/>
  <c r="U201" i="57"/>
  <c r="G152" i="57"/>
  <c r="M175" i="57"/>
  <c r="X481" i="52"/>
  <c r="Z414" i="52"/>
  <c r="AG414" i="52" s="1"/>
  <c r="U98" i="57"/>
  <c r="T82" i="57"/>
  <c r="T98" i="57"/>
  <c r="S82" i="57"/>
  <c r="D203" i="57"/>
  <c r="R175" i="57"/>
  <c r="O189" i="57"/>
  <c r="U166" i="57"/>
  <c r="Q155" i="57"/>
  <c r="R195" i="57"/>
  <c r="H176" i="57"/>
  <c r="O135" i="57"/>
  <c r="I131" i="57"/>
  <c r="Y111" i="38"/>
  <c r="G2132" i="50"/>
  <c r="H2132" i="50" s="1"/>
  <c r="H110" i="62" s="1"/>
  <c r="T155" i="57"/>
  <c r="F135" i="57"/>
  <c r="Y106" i="38"/>
  <c r="G2127" i="50"/>
  <c r="G105" i="62" s="1"/>
  <c r="P156" i="57"/>
  <c r="P178" i="57"/>
  <c r="E177" i="57"/>
  <c r="R197" i="57"/>
  <c r="A139" i="57"/>
  <c r="L446" i="52"/>
  <c r="U169" i="57"/>
  <c r="Z567" i="52"/>
  <c r="AG567" i="52"/>
  <c r="Z461" i="52"/>
  <c r="AG461" i="52"/>
  <c r="H180" i="57"/>
  <c r="I92" i="57"/>
  <c r="G204" i="57"/>
  <c r="U170" i="57"/>
  <c r="S123" i="57"/>
  <c r="G573" i="52"/>
  <c r="T144" i="57"/>
  <c r="I107" i="57"/>
  <c r="X500" i="52"/>
  <c r="O78" i="57"/>
  <c r="S170" i="57"/>
  <c r="T163" i="57"/>
  <c r="G621" i="52"/>
  <c r="N621" i="52"/>
  <c r="G466" i="52"/>
  <c r="X466" i="52"/>
  <c r="T125" i="57"/>
  <c r="X661" i="52"/>
  <c r="G642" i="52"/>
  <c r="Z634" i="52"/>
  <c r="AG634" i="52" s="1"/>
  <c r="Z559" i="52"/>
  <c r="AG559" i="52" s="1"/>
  <c r="I89" i="57"/>
  <c r="M82" i="57"/>
  <c r="Z463" i="52"/>
  <c r="AG463" i="52" s="1"/>
  <c r="A195" i="57"/>
  <c r="Y119" i="38"/>
  <c r="G2140" i="50"/>
  <c r="G118" i="62" s="1"/>
  <c r="U199" i="57"/>
  <c r="S132" i="57"/>
  <c r="Q138" i="57"/>
  <c r="O158" i="57"/>
  <c r="L174" i="57"/>
  <c r="N174" i="57" s="1"/>
  <c r="G651" i="52"/>
  <c r="I203" i="57"/>
  <c r="P155" i="57"/>
  <c r="U176" i="57"/>
  <c r="X653" i="52"/>
  <c r="G557" i="52"/>
  <c r="X557" i="52"/>
  <c r="U96" i="57"/>
  <c r="T80" i="57"/>
  <c r="T96" i="57"/>
  <c r="S80" i="57"/>
  <c r="G200" i="57"/>
  <c r="O160" i="57"/>
  <c r="F194" i="57"/>
  <c r="U185" i="57"/>
  <c r="L139" i="57"/>
  <c r="N139" i="57"/>
  <c r="I171" i="57"/>
  <c r="O179" i="57"/>
  <c r="H132" i="57"/>
  <c r="U153" i="57"/>
  <c r="Y82" i="38"/>
  <c r="G2103" i="50"/>
  <c r="H2103" i="50" s="1"/>
  <c r="H81" i="62" s="1"/>
  <c r="Q136" i="57"/>
  <c r="S133" i="57"/>
  <c r="A179" i="57"/>
  <c r="R158" i="57"/>
  <c r="U126" i="57"/>
  <c r="G474" i="52"/>
  <c r="H105" i="57"/>
  <c r="H117" i="57"/>
  <c r="M95" i="57"/>
  <c r="U181" i="57"/>
  <c r="T195" i="57"/>
  <c r="E179" i="57"/>
  <c r="Z625" i="52"/>
  <c r="AG625" i="52"/>
  <c r="X541" i="52"/>
  <c r="H173" i="57"/>
  <c r="B197" i="57"/>
  <c r="B160" i="57"/>
  <c r="P176" i="57"/>
  <c r="L175" i="57"/>
  <c r="N175" i="57" s="1"/>
  <c r="M199" i="57"/>
  <c r="M152" i="57"/>
  <c r="X563" i="52"/>
  <c r="Z614" i="52"/>
  <c r="AG614" i="52"/>
  <c r="L83" i="57"/>
  <c r="N83" i="57"/>
  <c r="U121" i="57"/>
  <c r="Z439" i="52"/>
  <c r="AG439" i="52" s="1"/>
  <c r="I151" i="57"/>
  <c r="X426" i="52"/>
  <c r="G169" i="57"/>
  <c r="L98" i="57"/>
  <c r="N98" i="57"/>
  <c r="M124" i="57"/>
  <c r="X385" i="52"/>
  <c r="X423" i="52"/>
  <c r="M129" i="57"/>
  <c r="Z518" i="52"/>
  <c r="AG518" i="52"/>
  <c r="S119" i="57"/>
  <c r="G586" i="52"/>
  <c r="X586" i="52" s="1"/>
  <c r="X482" i="52"/>
  <c r="G613" i="52"/>
  <c r="X355" i="52"/>
  <c r="T128" i="57"/>
  <c r="S106" i="57"/>
  <c r="Y97" i="38"/>
  <c r="G2118" i="50"/>
  <c r="X584" i="52"/>
  <c r="G656" i="52"/>
  <c r="M142" i="57"/>
  <c r="X493" i="52"/>
  <c r="L114" i="57"/>
  <c r="N114" i="57"/>
  <c r="Q195" i="57"/>
  <c r="Y162" i="38"/>
  <c r="G385" i="46" s="1"/>
  <c r="P200" i="57"/>
  <c r="M133" i="57"/>
  <c r="H139" i="57"/>
  <c r="F159" i="57"/>
  <c r="D175" i="57"/>
  <c r="L117" i="57"/>
  <c r="N117" i="57" s="1"/>
  <c r="R130" i="57"/>
  <c r="B157" i="57"/>
  <c r="I178" i="57"/>
  <c r="L81" i="57"/>
  <c r="N81" i="57"/>
  <c r="Z419" i="52"/>
  <c r="AG419" i="52"/>
  <c r="X386" i="52"/>
  <c r="U94" i="57"/>
  <c r="S78" i="57"/>
  <c r="T94" i="57"/>
  <c r="U77" i="57"/>
  <c r="D197" i="57"/>
  <c r="U152" i="57"/>
  <c r="U150" i="57"/>
  <c r="X411" i="52"/>
  <c r="E137" i="57"/>
  <c r="L173" i="57"/>
  <c r="N173" i="57"/>
  <c r="Q154" i="57"/>
  <c r="O202" i="57"/>
  <c r="M179" i="57"/>
  <c r="Y75" i="38"/>
  <c r="G2096" i="50" s="1"/>
  <c r="M130" i="57"/>
  <c r="R179" i="57"/>
  <c r="P199" i="57"/>
  <c r="Y134" i="38"/>
  <c r="G2155" i="50"/>
  <c r="T174" i="57"/>
  <c r="U173" i="57"/>
  <c r="U200" i="57"/>
  <c r="M156" i="57"/>
  <c r="Z647" i="52"/>
  <c r="AG647" i="52"/>
  <c r="F169" i="57"/>
  <c r="I128" i="57"/>
  <c r="U141" i="57"/>
  <c r="F187" i="57"/>
  <c r="U149" i="57"/>
  <c r="I95" i="57"/>
  <c r="O165" i="57"/>
  <c r="O126" i="57"/>
  <c r="X668" i="52"/>
  <c r="P180" i="57"/>
  <c r="M90" i="57"/>
  <c r="U187" i="57"/>
  <c r="S124" i="57"/>
  <c r="X452" i="52"/>
  <c r="G502" i="52"/>
  <c r="X669" i="52"/>
  <c r="G608" i="52"/>
  <c r="Q149" i="57"/>
  <c r="I90" i="57"/>
  <c r="L115" i="57"/>
  <c r="N115" i="57" s="1"/>
  <c r="G513" i="52"/>
  <c r="X513" i="52" s="1"/>
  <c r="X597" i="52"/>
  <c r="O181" i="57"/>
  <c r="D43" i="52"/>
  <c r="G616" i="52"/>
  <c r="N616" i="52"/>
  <c r="H196" i="57"/>
  <c r="Y85" i="38"/>
  <c r="G2106" i="50" s="1"/>
  <c r="G84" i="62" s="1"/>
  <c r="I201" i="57"/>
  <c r="G134" i="57"/>
  <c r="E152" i="57"/>
  <c r="A160" i="57"/>
  <c r="E176" i="57"/>
  <c r="O113" i="57"/>
  <c r="D133" i="57"/>
  <c r="L158" i="57"/>
  <c r="N158" i="57" s="1"/>
  <c r="G562" i="52"/>
  <c r="X562" i="52" s="1"/>
  <c r="O185" i="57"/>
  <c r="T143" i="57"/>
  <c r="X371" i="52"/>
  <c r="U92" i="57"/>
  <c r="O118" i="57"/>
  <c r="T92" i="57"/>
  <c r="X433" i="52"/>
  <c r="Q153" i="57"/>
  <c r="T199" i="57"/>
  <c r="Y128" i="38"/>
  <c r="G2149" i="50"/>
  <c r="H2149" i="50" s="1"/>
  <c r="H127" i="62" s="1"/>
  <c r="P174" i="57"/>
  <c r="Q173" i="57"/>
  <c r="A202" i="57"/>
  <c r="A157" i="57"/>
  <c r="Z617" i="52"/>
  <c r="AG617" i="52"/>
  <c r="Z670" i="52"/>
  <c r="AG670" i="52"/>
  <c r="O169" i="57"/>
  <c r="L107" i="57"/>
  <c r="N107" i="57" s="1"/>
  <c r="O127" i="57"/>
  <c r="Q161" i="57"/>
  <c r="M189" i="57"/>
  <c r="U165" i="57"/>
  <c r="M117" i="57"/>
  <c r="F161" i="57"/>
  <c r="S108" i="57"/>
  <c r="G507" i="52"/>
  <c r="X507" i="52"/>
  <c r="D180" i="57"/>
  <c r="O80" i="57"/>
  <c r="L82" i="57"/>
  <c r="N82" i="57"/>
  <c r="I125" i="57"/>
  <c r="X510" i="52"/>
  <c r="X591" i="52"/>
  <c r="X534" i="52"/>
  <c r="G567" i="52"/>
  <c r="Z454" i="52"/>
  <c r="AG454" i="52" s="1"/>
  <c r="M120" i="57"/>
  <c r="A204" i="57"/>
  <c r="AA204" i="57"/>
  <c r="G680" i="52"/>
  <c r="X535" i="52"/>
  <c r="M162" i="57"/>
  <c r="T115" i="57"/>
  <c r="G628" i="52"/>
  <c r="X628" i="52"/>
  <c r="M187" i="57"/>
  <c r="Y93" i="38"/>
  <c r="G2114" i="50" s="1"/>
  <c r="H2114" i="50" s="1"/>
  <c r="H92" i="62" s="1"/>
  <c r="O201" i="57"/>
  <c r="L134" i="57"/>
  <c r="N134" i="57"/>
  <c r="I152" i="57"/>
  <c r="L160" i="57"/>
  <c r="N160" i="57" s="1"/>
  <c r="I176" i="57"/>
  <c r="Y81" i="38"/>
  <c r="G2102" i="50"/>
  <c r="H2102" i="50" s="1"/>
  <c r="H80" i="62" s="1"/>
  <c r="P133" i="57"/>
  <c r="U158" i="57"/>
  <c r="X552" i="52"/>
  <c r="X483" i="52"/>
  <c r="Y142" i="38"/>
  <c r="G2163" i="50"/>
  <c r="G141" i="62" s="1"/>
  <c r="G171" i="57"/>
  <c r="F195" i="57"/>
  <c r="R152" i="57"/>
  <c r="G625" i="52"/>
  <c r="X625" i="52"/>
  <c r="X376" i="52"/>
  <c r="H111" i="57"/>
  <c r="U162" i="57"/>
  <c r="I103" i="57"/>
  <c r="M93" i="57"/>
  <c r="H140" i="57"/>
  <c r="S187" i="57"/>
  <c r="F182" i="57"/>
  <c r="S163" i="57"/>
  <c r="O98" i="57"/>
  <c r="G509" i="52"/>
  <c r="AJ497" i="52"/>
  <c r="Z537" i="52"/>
  <c r="AG537" i="52"/>
  <c r="Z531" i="52"/>
  <c r="AG531" i="52"/>
  <c r="I150" i="57"/>
  <c r="Z626" i="52"/>
  <c r="AG626" i="52" s="1"/>
  <c r="G624" i="52"/>
  <c r="N624" i="52" s="1"/>
  <c r="G632" i="52"/>
  <c r="F150" i="57"/>
  <c r="S197" i="57"/>
  <c r="I132" i="57"/>
  <c r="O152" i="57"/>
  <c r="I172" i="57"/>
  <c r="Z432" i="52"/>
  <c r="AG432" i="52" s="1"/>
  <c r="E134" i="57"/>
  <c r="Q172" i="57"/>
  <c r="Z649" i="52"/>
  <c r="AG649" i="52" s="1"/>
  <c r="X417" i="52"/>
  <c r="I118" i="57"/>
  <c r="S88" i="57"/>
  <c r="U99" i="57"/>
  <c r="U78" i="57"/>
  <c r="F160" i="57"/>
  <c r="Y158" i="38"/>
  <c r="G381" i="46" s="1"/>
  <c r="G151" i="62" s="1"/>
  <c r="M196" i="57"/>
  <c r="F152" i="57"/>
  <c r="I175" i="57"/>
  <c r="Y140" i="38"/>
  <c r="G2161" i="50" s="1"/>
  <c r="Y98" i="38"/>
  <c r="G2119" i="50" s="1"/>
  <c r="F200" i="57"/>
  <c r="O138" i="57"/>
  <c r="Y127" i="38"/>
  <c r="G2148" i="50" s="1"/>
  <c r="G126" i="62" s="1"/>
  <c r="F199" i="57"/>
  <c r="X390" i="52"/>
  <c r="I142" i="57"/>
  <c r="X391" i="52"/>
  <c r="U125" i="57"/>
  <c r="O183" i="57"/>
  <c r="Z596" i="52"/>
  <c r="AG596" i="52"/>
  <c r="S149" i="57"/>
  <c r="S177" i="57"/>
  <c r="U139" i="57"/>
  <c r="H127" i="57"/>
  <c r="U129" i="57"/>
  <c r="H84" i="57"/>
  <c r="X587" i="52"/>
  <c r="F180" i="57"/>
  <c r="T124" i="57"/>
  <c r="G404" i="52"/>
  <c r="N404" i="52" s="1"/>
  <c r="G634" i="52"/>
  <c r="N634" i="52" s="1"/>
  <c r="O195" i="57"/>
  <c r="B195" i="57"/>
  <c r="Y139" i="38"/>
  <c r="G2160" i="50" s="1"/>
  <c r="G138" i="62" s="1"/>
  <c r="T153" i="57"/>
  <c r="U198" i="57"/>
  <c r="I159" i="57"/>
  <c r="U145" i="57"/>
  <c r="L89" i="57"/>
  <c r="N89" i="57"/>
  <c r="S142" i="57"/>
  <c r="L110" i="57"/>
  <c r="N110" i="57" s="1"/>
  <c r="U140" i="57"/>
  <c r="H126" i="57"/>
  <c r="M81" i="57"/>
  <c r="G538" i="52"/>
  <c r="N538" i="52"/>
  <c r="H145" i="57"/>
  <c r="X396" i="52"/>
  <c r="S125" i="57"/>
  <c r="AK446" i="52"/>
  <c r="AE497" i="52"/>
  <c r="G649" i="52"/>
  <c r="X543" i="52"/>
  <c r="M91" i="57"/>
  <c r="M146" i="57"/>
  <c r="G676" i="52"/>
  <c r="T164" i="57"/>
  <c r="A199" i="57"/>
  <c r="A134" i="57"/>
  <c r="A156" i="57"/>
  <c r="M173" i="57"/>
  <c r="E212" i="57"/>
  <c r="L136" i="57"/>
  <c r="N136" i="57"/>
  <c r="B175" i="57"/>
  <c r="X464" i="52"/>
  <c r="T140" i="57"/>
  <c r="S104" i="57"/>
  <c r="U83" i="57"/>
  <c r="S95" i="57"/>
  <c r="G155" i="57"/>
  <c r="L153" i="57"/>
  <c r="N153" i="57" s="1"/>
  <c r="G150" i="57"/>
  <c r="Z513" i="52"/>
  <c r="AG513" i="52"/>
  <c r="R134" i="57"/>
  <c r="I179" i="57"/>
  <c r="O155" i="57"/>
  <c r="T198" i="57"/>
  <c r="R153" i="57"/>
  <c r="M132" i="57"/>
  <c r="U120" i="57"/>
  <c r="G471" i="52"/>
  <c r="L86" i="57"/>
  <c r="N86" i="57"/>
  <c r="O145" i="57"/>
  <c r="O129" i="57"/>
  <c r="T119" i="57"/>
  <c r="F175" i="57"/>
  <c r="S154" i="57"/>
  <c r="G521" i="52"/>
  <c r="X521" i="52" s="1"/>
  <c r="X542" i="52"/>
  <c r="H81" i="57"/>
  <c r="T78" i="57"/>
  <c r="O106" i="57"/>
  <c r="G627" i="52"/>
  <c r="X393" i="52"/>
  <c r="Z654" i="52"/>
  <c r="AG654" i="52" s="1"/>
  <c r="G201" i="57"/>
  <c r="P197" i="57"/>
  <c r="Y135" i="38"/>
  <c r="G2156" i="50" s="1"/>
  <c r="F213" i="57"/>
  <c r="E200" i="57"/>
  <c r="L159" i="57"/>
  <c r="N159" i="57" s="1"/>
  <c r="U119" i="57"/>
  <c r="L90" i="57"/>
  <c r="N90" i="57"/>
  <c r="X593" i="52"/>
  <c r="L111" i="57"/>
  <c r="N111" i="57" s="1"/>
  <c r="L93" i="57"/>
  <c r="N93" i="57" s="1"/>
  <c r="I91" i="57"/>
  <c r="H92" i="57"/>
  <c r="X671" i="52"/>
  <c r="O168" i="57"/>
  <c r="X449" i="52"/>
  <c r="O117" i="57"/>
  <c r="Z517" i="52"/>
  <c r="AG517" i="52" s="1"/>
  <c r="G581" i="52"/>
  <c r="X581" i="52" s="1"/>
  <c r="Z476" i="52"/>
  <c r="AG476" i="52" s="1"/>
  <c r="E211" i="57"/>
  <c r="X381" i="52"/>
  <c r="M111" i="57"/>
  <c r="H110" i="57"/>
  <c r="G520" i="52"/>
  <c r="X520" i="52" s="1"/>
  <c r="Z681" i="52"/>
  <c r="AG681" i="52" s="1"/>
  <c r="L199" i="57"/>
  <c r="N199" i="57" s="1"/>
  <c r="Q134" i="57"/>
  <c r="L156" i="57"/>
  <c r="N156" i="57"/>
  <c r="A174" i="57"/>
  <c r="E195" i="57"/>
  <c r="H137" i="57"/>
  <c r="A176" i="57"/>
  <c r="Z566" i="52"/>
  <c r="AG566" i="52"/>
  <c r="T190" i="57"/>
  <c r="U102" i="57"/>
  <c r="S83" i="57"/>
  <c r="U93" i="57"/>
  <c r="D152" i="57"/>
  <c r="A153" i="57"/>
  <c r="F162" i="57"/>
  <c r="Z520" i="52"/>
  <c r="AG520" i="52" s="1"/>
  <c r="Q133" i="57"/>
  <c r="U179" i="57"/>
  <c r="H152" i="57"/>
  <c r="Q131" i="57"/>
  <c r="Y156" i="38"/>
  <c r="G379" i="46" s="1"/>
  <c r="L197" i="57"/>
  <c r="N197" i="57" s="1"/>
  <c r="Y76" i="38"/>
  <c r="G2097" i="50" s="1"/>
  <c r="H2097" i="50" s="1"/>
  <c r="T134" i="57"/>
  <c r="T178" i="57"/>
  <c r="M172" i="57"/>
  <c r="F134" i="57"/>
  <c r="X366" i="52"/>
  <c r="H91" i="57"/>
  <c r="Z608" i="52"/>
  <c r="AG608" i="52"/>
  <c r="Z662" i="52"/>
  <c r="AG662" i="52"/>
  <c r="Z511" i="52"/>
  <c r="AG511" i="52"/>
  <c r="O147" i="57"/>
  <c r="F143" i="57"/>
  <c r="L103" i="57"/>
  <c r="N103" i="57"/>
  <c r="M80" i="57"/>
  <c r="T145" i="57"/>
  <c r="M121" i="57"/>
  <c r="H125" i="57"/>
  <c r="X397" i="52"/>
  <c r="G674" i="52"/>
  <c r="F212" i="57"/>
  <c r="G477" i="52"/>
  <c r="S111" i="57"/>
  <c r="X384" i="52"/>
  <c r="O146" i="57"/>
  <c r="Z646" i="52"/>
  <c r="AG646" i="52" s="1"/>
  <c r="Y165" i="38"/>
  <c r="G388" i="46" s="1"/>
  <c r="G158" i="62" s="1"/>
  <c r="D214" i="57"/>
  <c r="M202" i="57"/>
  <c r="F137" i="57"/>
  <c r="B159" i="57"/>
  <c r="F177" i="57"/>
  <c r="M200" i="57"/>
  <c r="O156" i="57"/>
  <c r="S116" i="57"/>
  <c r="Z506" i="52"/>
  <c r="AG506" i="52"/>
  <c r="T95" i="57"/>
  <c r="T86" i="57"/>
  <c r="G202" i="57"/>
  <c r="M139" i="57"/>
  <c r="AK498" i="52"/>
  <c r="Y159" i="38"/>
  <c r="G382" i="46" s="1"/>
  <c r="Q198" i="57"/>
  <c r="O177" i="57"/>
  <c r="H201" i="57"/>
  <c r="B171" i="57"/>
  <c r="P179" i="57"/>
  <c r="S200" i="57"/>
  <c r="Q179" i="57"/>
  <c r="U159" i="57"/>
  <c r="U183" i="57"/>
  <c r="X425" i="52"/>
  <c r="M141" i="57"/>
  <c r="AJ446" i="52"/>
  <c r="G619" i="52"/>
  <c r="N619" i="52" s="1"/>
  <c r="O90" i="57"/>
  <c r="P158" i="57"/>
  <c r="I198" i="57"/>
  <c r="Z516" i="52"/>
  <c r="AG516" i="52"/>
  <c r="G654" i="52"/>
  <c r="X654" i="52"/>
  <c r="L84" i="57"/>
  <c r="N84" i="57"/>
  <c r="F149" i="57"/>
  <c r="O99" i="57"/>
  <c r="G611" i="52"/>
  <c r="G498" i="52"/>
  <c r="S113" i="57"/>
  <c r="M108" i="57"/>
  <c r="D154" i="57"/>
  <c r="B136" i="57"/>
  <c r="S173" i="57"/>
  <c r="A196" i="57"/>
  <c r="M160" i="57"/>
  <c r="G463" i="52"/>
  <c r="X463" i="52" s="1"/>
  <c r="M168" i="57"/>
  <c r="T120" i="57"/>
  <c r="G659" i="52"/>
  <c r="X659" i="52" s="1"/>
  <c r="AK497" i="52"/>
  <c r="I119" i="57"/>
  <c r="O108" i="57"/>
  <c r="T127" i="57"/>
  <c r="X492" i="52"/>
  <c r="I122" i="57"/>
  <c r="T113" i="57"/>
  <c r="Y164" i="38"/>
  <c r="G387" i="46"/>
  <c r="T148" i="57"/>
  <c r="H142" i="57"/>
  <c r="A230" i="52"/>
  <c r="O92" i="57"/>
  <c r="T114" i="57"/>
  <c r="Y83" i="38"/>
  <c r="G2104" i="50" s="1"/>
  <c r="P196" i="57"/>
  <c r="B133" i="57"/>
  <c r="U156" i="57"/>
  <c r="O176" i="57"/>
  <c r="L201" i="57"/>
  <c r="N201" i="57" s="1"/>
  <c r="S160" i="57"/>
  <c r="X515" i="52"/>
  <c r="S98" i="57"/>
  <c r="T84" i="57"/>
  <c r="T81" i="57"/>
  <c r="R154" i="57"/>
  <c r="L92" i="57"/>
  <c r="N92" i="57" s="1"/>
  <c r="Z572" i="52"/>
  <c r="AG572" i="52" s="1"/>
  <c r="L196" i="57"/>
  <c r="N196" i="57" s="1"/>
  <c r="Y130" i="38"/>
  <c r="G2151" i="50" s="1"/>
  <c r="H2151" i="50" s="1"/>
  <c r="H129" i="62" s="1"/>
  <c r="Y79" i="38"/>
  <c r="G2100" i="50" s="1"/>
  <c r="H2100" i="50" s="1"/>
  <c r="H78" i="62" s="1"/>
  <c r="A131" i="57"/>
  <c r="S198" i="57"/>
  <c r="F174" i="57"/>
  <c r="Z557" i="52"/>
  <c r="AG557" i="52"/>
  <c r="G186" i="57"/>
  <c r="L85" i="57"/>
  <c r="N85" i="57" s="1"/>
  <c r="G142" i="57"/>
  <c r="X412" i="52"/>
  <c r="H90" i="57"/>
  <c r="E135" i="57"/>
  <c r="O166" i="57"/>
  <c r="O162" i="57"/>
  <c r="E161" i="57"/>
  <c r="I121" i="57"/>
  <c r="S185" i="57"/>
  <c r="U113" i="57"/>
  <c r="G606" i="52"/>
  <c r="X606" i="52" s="1"/>
  <c r="E131" i="57"/>
  <c r="T136" i="57"/>
  <c r="G173" i="57"/>
  <c r="U196" i="57"/>
  <c r="Z554" i="52"/>
  <c r="AG554" i="52" s="1"/>
  <c r="H83" i="57"/>
  <c r="T168" i="57"/>
  <c r="AB446" i="52"/>
  <c r="X359" i="52"/>
  <c r="H96" i="57"/>
  <c r="M102" i="57"/>
  <c r="T188" i="57"/>
  <c r="S143" i="57"/>
  <c r="I83" i="57"/>
  <c r="T147" i="57"/>
  <c r="Y160" i="38"/>
  <c r="G383" i="46" s="1"/>
  <c r="G153" i="62" s="1"/>
  <c r="T108" i="57"/>
  <c r="M165" i="57"/>
  <c r="X677" i="52"/>
  <c r="F114" i="57"/>
  <c r="G529" i="52"/>
  <c r="N529" i="52"/>
  <c r="T196" i="57"/>
  <c r="F133" i="57"/>
  <c r="D157" i="57"/>
  <c r="S176" i="57"/>
  <c r="H202" i="57"/>
  <c r="F171" i="57"/>
  <c r="G647" i="52"/>
  <c r="X647" i="52"/>
  <c r="T97" i="57"/>
  <c r="T104" i="57"/>
  <c r="U80" i="57"/>
  <c r="Y122" i="38"/>
  <c r="G2143" i="50" s="1"/>
  <c r="F154" i="57"/>
  <c r="U184" i="57"/>
  <c r="X372" i="52"/>
  <c r="Y145" i="38"/>
  <c r="G2166" i="50"/>
  <c r="Y74" i="38"/>
  <c r="G2095" i="50"/>
  <c r="M154" i="57"/>
  <c r="S202" i="57"/>
  <c r="E173" i="57"/>
  <c r="Z606" i="52"/>
  <c r="AG606" i="52" s="1"/>
  <c r="I77" i="57"/>
  <c r="L91" i="57"/>
  <c r="N91" i="57"/>
  <c r="I79" i="57"/>
  <c r="S144" i="57"/>
  <c r="I81" i="57"/>
  <c r="Y131" i="38"/>
  <c r="G2152" i="50" s="1"/>
  <c r="R136" i="57"/>
  <c r="G657" i="52"/>
  <c r="X657" i="52"/>
  <c r="O142" i="57"/>
  <c r="H97" i="57"/>
  <c r="O82" i="57"/>
  <c r="X430" i="52"/>
  <c r="O140" i="57"/>
  <c r="X655" i="52"/>
  <c r="Y71" i="38"/>
  <c r="G2092" i="50"/>
  <c r="P138" i="57"/>
  <c r="B172" i="57"/>
  <c r="L198" i="57"/>
  <c r="N198" i="57"/>
  <c r="Z603" i="52"/>
  <c r="AG603" i="52"/>
  <c r="I146" i="57"/>
  <c r="X494" i="52"/>
  <c r="R161" i="57"/>
  <c r="L95" i="57"/>
  <c r="N95" i="57" s="1"/>
  <c r="X374" i="52"/>
  <c r="O103" i="57"/>
  <c r="G499" i="52"/>
  <c r="S194" i="57"/>
  <c r="O96" i="57"/>
  <c r="T123" i="57"/>
  <c r="Y115" i="38"/>
  <c r="G2136" i="50"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c r="F144" i="57"/>
  <c r="O191" i="57"/>
  <c r="G148" i="57"/>
  <c r="I109" i="57"/>
  <c r="G525" i="52"/>
  <c r="N525" i="52"/>
  <c r="G161" i="57"/>
  <c r="I446" i="52"/>
  <c r="Y73" i="38"/>
  <c r="G2094" i="50"/>
  <c r="Y136" i="38"/>
  <c r="G2157" i="50"/>
  <c r="L179" i="57"/>
  <c r="N179" i="57"/>
  <c r="I130" i="57"/>
  <c r="X392" i="52"/>
  <c r="O124" i="57"/>
  <c r="G191" i="57"/>
  <c r="F168" i="57"/>
  <c r="G184" i="57"/>
  <c r="S140" i="57"/>
  <c r="O192" i="57"/>
  <c r="O100" i="57"/>
  <c r="G614" i="52"/>
  <c r="L119" i="57"/>
  <c r="N119" i="57"/>
  <c r="G470" i="52"/>
  <c r="X470" i="52"/>
  <c r="Y113" i="38"/>
  <c r="G2134" i="50"/>
  <c r="T107" i="57"/>
  <c r="F204" i="57"/>
  <c r="X354" i="52"/>
  <c r="M78" i="57"/>
  <c r="D200" i="57"/>
  <c r="O136" i="57"/>
  <c r="R159" i="57"/>
  <c r="M184" i="57"/>
  <c r="B135" i="57"/>
  <c r="H177" i="57"/>
  <c r="S105" i="57"/>
  <c r="Z473" i="52"/>
  <c r="AG473" i="52" s="1"/>
  <c r="S90" i="57"/>
  <c r="U97" i="57"/>
  <c r="D136" i="57"/>
  <c r="Q158" i="57"/>
  <c r="Z501" i="52"/>
  <c r="AG501" i="52" s="1"/>
  <c r="R156" i="57"/>
  <c r="L177" i="57"/>
  <c r="N177" i="57"/>
  <c r="O137" i="57"/>
  <c r="G176" i="57"/>
  <c r="S174" i="57"/>
  <c r="S159" i="57"/>
  <c r="U202" i="57"/>
  <c r="Z507" i="52"/>
  <c r="AG507" i="52" s="1"/>
  <c r="S128" i="57"/>
  <c r="F140" i="57"/>
  <c r="U180" i="57"/>
  <c r="G516" i="52"/>
  <c r="X420" i="52"/>
  <c r="D172" i="57"/>
  <c r="G570" i="52"/>
  <c r="N570" i="52" s="1"/>
  <c r="G185" i="57"/>
  <c r="U111" i="57"/>
  <c r="M87" i="57"/>
  <c r="G599" i="52"/>
  <c r="N599" i="52"/>
  <c r="Q143" i="57"/>
  <c r="X549" i="52"/>
  <c r="G643" i="52"/>
  <c r="N643" i="52"/>
  <c r="X28" i="38"/>
  <c r="F178" i="57"/>
  <c r="U130" i="57"/>
  <c r="X536" i="52"/>
  <c r="S129" i="57"/>
  <c r="G168" i="57"/>
  <c r="M180" i="57"/>
  <c r="H121" i="57"/>
  <c r="S165" i="57"/>
  <c r="G149" i="57"/>
  <c r="U114" i="57"/>
  <c r="X588" i="52"/>
  <c r="Z679" i="52"/>
  <c r="AG679" i="52"/>
  <c r="L161" i="57"/>
  <c r="N161" i="57"/>
  <c r="X424" i="52"/>
  <c r="G568" i="52"/>
  <c r="X568" i="52" s="1"/>
  <c r="Q146" i="57"/>
  <c r="L94" i="57"/>
  <c r="N94" i="57"/>
  <c r="G609" i="52"/>
  <c r="X357" i="52"/>
  <c r="H200" i="57"/>
  <c r="S136" i="57"/>
  <c r="Q160" i="57"/>
  <c r="O83" i="57"/>
  <c r="M135" i="57"/>
  <c r="T177" i="57"/>
  <c r="I110" i="57"/>
  <c r="Z674" i="52"/>
  <c r="AG674" i="52" s="1"/>
  <c r="T89" i="57"/>
  <c r="S97" i="57"/>
  <c r="G135" i="57"/>
  <c r="S156" i="57"/>
  <c r="E155" i="57"/>
  <c r="M178" i="57"/>
  <c r="H136" i="57"/>
  <c r="I174" i="57"/>
  <c r="U172" i="57"/>
  <c r="Y125" i="38"/>
  <c r="G2146" i="50"/>
  <c r="E130" i="57"/>
  <c r="G678" i="52"/>
  <c r="O97" i="57"/>
  <c r="M163" i="57"/>
  <c r="L101" i="57"/>
  <c r="N101" i="57"/>
  <c r="G485" i="52"/>
  <c r="X485" i="52"/>
  <c r="S189" i="57"/>
  <c r="P160" i="57"/>
  <c r="X491" i="52"/>
  <c r="M85" i="57"/>
  <c r="I180" i="57"/>
  <c r="M110" i="57"/>
  <c r="X421" i="52"/>
  <c r="T112" i="57"/>
  <c r="Z570" i="52"/>
  <c r="AG570" i="52"/>
  <c r="T192" i="57"/>
  <c r="Y28" i="38"/>
  <c r="Y120" i="38"/>
  <c r="G2141" i="50"/>
  <c r="G119" i="62" s="1"/>
  <c r="U177" i="57"/>
  <c r="R132" i="57"/>
  <c r="Z469" i="52"/>
  <c r="AG469" i="52" s="1"/>
  <c r="M103" i="57"/>
  <c r="F147" i="57"/>
  <c r="H85" i="57"/>
  <c r="H77" i="57"/>
  <c r="G559" i="52"/>
  <c r="X559" i="52" s="1"/>
  <c r="G144" i="57"/>
  <c r="L104" i="57"/>
  <c r="N104" i="57"/>
  <c r="G435" i="52"/>
  <c r="N435" i="52"/>
  <c r="Z667" i="52"/>
  <c r="AG667" i="52"/>
  <c r="X594" i="52"/>
  <c r="X539" i="52"/>
  <c r="D44" i="52"/>
  <c r="Z464" i="52"/>
  <c r="AG464" i="52" s="1"/>
  <c r="U164" i="57"/>
  <c r="X379" i="52"/>
  <c r="Z575" i="52"/>
  <c r="AG575" i="52" s="1"/>
  <c r="T200" i="57"/>
  <c r="B137" i="57"/>
  <c r="U160" i="57"/>
  <c r="G461" i="52"/>
  <c r="A136" i="57"/>
  <c r="L128" i="57"/>
  <c r="N128" i="57"/>
  <c r="I116" i="57"/>
  <c r="U88" i="57"/>
  <c r="U95" i="57"/>
  <c r="D134" i="57"/>
  <c r="P137" i="57"/>
  <c r="Z672" i="52"/>
  <c r="AG672" i="52" s="1"/>
  <c r="R138" i="57"/>
  <c r="H153" i="57"/>
  <c r="H134" i="57"/>
  <c r="D159" i="57"/>
  <c r="M171" i="57"/>
  <c r="L133" i="57"/>
  <c r="N133" i="57"/>
  <c r="G454" i="52"/>
  <c r="N454" i="52"/>
  <c r="G554" i="52"/>
  <c r="X554" i="52"/>
  <c r="H150" i="57"/>
  <c r="F190" i="57"/>
  <c r="Z581" i="52"/>
  <c r="AG581" i="52"/>
  <c r="Y89" i="38"/>
  <c r="G2110" i="50"/>
  <c r="B153" i="57"/>
  <c r="O161" i="57"/>
  <c r="M98" i="57"/>
  <c r="O182" i="57"/>
  <c r="M88" i="57"/>
  <c r="U168" i="57"/>
  <c r="T184" i="57"/>
  <c r="X635" i="52"/>
  <c r="T106" i="57"/>
  <c r="N170" i="57"/>
  <c r="Y143" i="38"/>
  <c r="G2164" i="50"/>
  <c r="G142" i="62" s="1"/>
  <c r="R176" i="57"/>
  <c r="U133" i="57"/>
  <c r="Z562" i="52"/>
  <c r="AG562" i="52" s="1"/>
  <c r="X504" i="52"/>
  <c r="H116" i="57"/>
  <c r="M149" i="57"/>
  <c r="O144" i="57"/>
  <c r="G440" i="52"/>
  <c r="N440" i="52" s="1"/>
  <c r="M126" i="57"/>
  <c r="G193" i="57"/>
  <c r="S150" i="57"/>
  <c r="Z650" i="52"/>
  <c r="AG650" i="52"/>
  <c r="X405" i="52"/>
  <c r="X442" i="52"/>
  <c r="Z502" i="52"/>
  <c r="AG502" i="52"/>
  <c r="X382" i="52"/>
  <c r="L77" i="57"/>
  <c r="N77" i="57" s="1"/>
  <c r="G569" i="52"/>
  <c r="Z615" i="52"/>
  <c r="AG615" i="52"/>
  <c r="E201" i="57"/>
  <c r="M137" i="57"/>
  <c r="D171" i="57"/>
  <c r="Z408" i="52"/>
  <c r="AG408" i="52" s="1"/>
  <c r="T137" i="57"/>
  <c r="H122" i="57"/>
  <c r="G612" i="52"/>
  <c r="X612" i="52" s="1"/>
  <c r="U86" i="57"/>
  <c r="S93" i="57"/>
  <c r="G133" i="57"/>
  <c r="R135" i="57"/>
  <c r="X375" i="52"/>
  <c r="Q137" i="57"/>
  <c r="O154" i="57"/>
  <c r="O133" i="57"/>
  <c r="F157" i="57"/>
  <c r="P159" i="57"/>
  <c r="Y121" i="38"/>
  <c r="G2142" i="50" s="1"/>
  <c r="A135" i="57"/>
  <c r="Z526" i="52"/>
  <c r="AG526" i="52"/>
  <c r="T141" i="57"/>
  <c r="H115" i="57"/>
  <c r="G166" i="57"/>
  <c r="Z628" i="52"/>
  <c r="AG628" i="52" s="1"/>
  <c r="A132" i="57"/>
  <c r="I177" i="57"/>
  <c r="U105" i="57"/>
  <c r="X418" i="52"/>
  <c r="F193" i="57"/>
  <c r="X365" i="52"/>
  <c r="L87" i="57"/>
  <c r="N87" i="57" s="1"/>
  <c r="X665" i="52"/>
  <c r="T182" i="57"/>
  <c r="T122" i="57"/>
  <c r="Y27" i="38"/>
  <c r="Y90" i="38"/>
  <c r="G2111" i="50" s="1"/>
  <c r="H2111" i="50" s="1"/>
  <c r="Y133" i="38"/>
  <c r="G2154" i="50"/>
  <c r="H2154" i="50" s="1"/>
  <c r="H132" i="62" s="1"/>
  <c r="A175" i="57"/>
  <c r="Q135" i="57"/>
  <c r="U163" i="57"/>
  <c r="Z471" i="52"/>
  <c r="AG471" i="52" s="1"/>
  <c r="Z631" i="52"/>
  <c r="AG631" i="52" s="1"/>
  <c r="I145" i="57"/>
  <c r="H143" i="57"/>
  <c r="G140" i="57"/>
  <c r="Z550" i="52"/>
  <c r="AG550" i="52"/>
  <c r="H100" i="57"/>
  <c r="H103" i="57"/>
  <c r="X582" i="52"/>
  <c r="Z607" i="52"/>
  <c r="AG607" i="52" s="1"/>
  <c r="Z610" i="52"/>
  <c r="AG610" i="52" s="1"/>
  <c r="G610" i="52"/>
  <c r="N610" i="52" s="1"/>
  <c r="Z678" i="52"/>
  <c r="AG678" i="52" s="1"/>
  <c r="Z556" i="52"/>
  <c r="AG556" i="52" s="1"/>
  <c r="L180" i="57"/>
  <c r="N180" i="57" s="1"/>
  <c r="X401" i="52"/>
  <c r="F202" i="57"/>
  <c r="L138" i="57"/>
  <c r="N138" i="57" s="1"/>
  <c r="T171" i="57"/>
  <c r="G181" i="57"/>
  <c r="F139" i="57"/>
  <c r="Z508" i="52"/>
  <c r="AG508" i="52"/>
  <c r="X388" i="52"/>
  <c r="G626" i="52"/>
  <c r="N626" i="52" s="1"/>
  <c r="T167" i="57"/>
  <c r="U84" i="57"/>
  <c r="T90" i="57"/>
  <c r="D201" i="57"/>
  <c r="O203" i="57"/>
  <c r="A254" i="52"/>
  <c r="E133" i="57"/>
  <c r="H172" i="57"/>
  <c r="O200" i="57"/>
  <c r="E138" i="57"/>
  <c r="S134" i="57"/>
  <c r="T176" i="57"/>
  <c r="M138" i="57"/>
  <c r="X540" i="52"/>
  <c r="G408" i="52"/>
  <c r="O167" i="57"/>
  <c r="T117" i="57"/>
  <c r="Y157" i="38"/>
  <c r="G380" i="46"/>
  <c r="H380" i="46" s="1"/>
  <c r="G150" i="62"/>
  <c r="R172" i="57"/>
  <c r="X457" i="52"/>
  <c r="G571" i="52"/>
  <c r="X571" i="52"/>
  <c r="H146" i="57"/>
  <c r="X407" i="52"/>
  <c r="H151" i="57"/>
  <c r="Z629" i="52"/>
  <c r="AG629" i="52" s="1"/>
  <c r="X389" i="52"/>
  <c r="G633" i="52"/>
  <c r="E214" i="57"/>
  <c r="B201" i="57"/>
  <c r="L154" i="57"/>
  <c r="N154" i="57" s="1"/>
  <c r="L171" i="57"/>
  <c r="N171" i="57" s="1"/>
  <c r="U137" i="57"/>
  <c r="X367" i="52"/>
  <c r="G180" i="57"/>
  <c r="H123" i="57"/>
  <c r="T129" i="57"/>
  <c r="X383" i="52"/>
  <c r="M145" i="57"/>
  <c r="M109" i="57"/>
  <c r="S109" i="57"/>
  <c r="O116" i="57"/>
  <c r="M144" i="57"/>
  <c r="X590" i="52"/>
  <c r="Z470" i="52"/>
  <c r="AG470" i="52" s="1"/>
  <c r="Z632" i="52"/>
  <c r="AG632" i="52" s="1"/>
  <c r="O88" i="57"/>
  <c r="X403" i="52"/>
  <c r="G460" i="52"/>
  <c r="X460" i="52" s="1"/>
  <c r="Y117" i="38"/>
  <c r="G2138" i="50" s="1"/>
  <c r="H2138" i="50" s="1"/>
  <c r="H116" i="62" s="1"/>
  <c r="Y103" i="38"/>
  <c r="G2124" i="50" s="1"/>
  <c r="G102" i="62" s="1"/>
  <c r="Q203" i="57"/>
  <c r="P139" i="57"/>
  <c r="B173" i="57"/>
  <c r="G197" i="57"/>
  <c r="D155" i="57"/>
  <c r="G644" i="52"/>
  <c r="N644" i="52" s="1"/>
  <c r="U118" i="57"/>
  <c r="U79" i="57"/>
  <c r="T88" i="57"/>
  <c r="G196" i="57"/>
  <c r="U197" i="57"/>
  <c r="P161" i="57"/>
  <c r="R203" i="57"/>
  <c r="O175" i="57"/>
  <c r="H197" i="57"/>
  <c r="D202" i="57"/>
  <c r="R200" i="57"/>
  <c r="T172" i="57"/>
  <c r="F156" i="57"/>
  <c r="L99" i="57"/>
  <c r="N99" i="57"/>
  <c r="U106" i="57"/>
  <c r="R180" i="57"/>
  <c r="H108" i="57"/>
  <c r="Z666" i="52"/>
  <c r="AG666" i="52" s="1"/>
  <c r="T203" i="57"/>
  <c r="Y104" i="38"/>
  <c r="G2125" i="50"/>
  <c r="X410" i="52"/>
  <c r="U194" i="57"/>
  <c r="O86" i="57"/>
  <c r="X546" i="52"/>
  <c r="I99" i="57"/>
  <c r="G604" i="52"/>
  <c r="M115" i="57"/>
  <c r="S117" i="57"/>
  <c r="T201" i="57"/>
  <c r="M153" i="57"/>
  <c r="Y80" i="38"/>
  <c r="G2101" i="50"/>
  <c r="H2101" i="50" s="1"/>
  <c r="E139" i="57"/>
  <c r="G575" i="52"/>
  <c r="X575" i="52"/>
  <c r="X399" i="52"/>
  <c r="L108" i="57"/>
  <c r="N108" i="57" s="1"/>
  <c r="I84" i="57"/>
  <c r="G469" i="52"/>
  <c r="U117" i="57"/>
  <c r="M143" i="57"/>
  <c r="F145" i="57"/>
  <c r="I104" i="57"/>
  <c r="Z458" i="52"/>
  <c r="AG458" i="52" s="1"/>
  <c r="M112" i="57"/>
  <c r="G194" i="57"/>
  <c r="X666" i="52"/>
  <c r="G514" i="52"/>
  <c r="N514" i="52"/>
  <c r="Z648" i="52"/>
  <c r="AG648" i="52"/>
  <c r="O122" i="57"/>
  <c r="X362" i="52"/>
  <c r="X434" i="52"/>
  <c r="M193" i="57"/>
  <c r="U203" i="57"/>
  <c r="T139" i="57"/>
  <c r="F173" i="57"/>
  <c r="Q197" i="57"/>
  <c r="E156" i="57"/>
  <c r="X664" i="52"/>
  <c r="U104" i="57"/>
  <c r="S79" i="57"/>
  <c r="U87" i="57"/>
  <c r="D195" i="57"/>
  <c r="O204" i="57"/>
  <c r="G672" i="52"/>
  <c r="X672" i="52" s="1"/>
  <c r="Q202" i="57"/>
  <c r="H178" i="57"/>
  <c r="O196" i="57"/>
  <c r="H198" i="57"/>
  <c r="E203" i="57"/>
  <c r="S171" i="57"/>
  <c r="I157" i="57"/>
  <c r="F186" i="57"/>
  <c r="U142" i="57"/>
  <c r="F163" i="57"/>
  <c r="S114" i="57"/>
  <c r="B134" i="57"/>
  <c r="I196" i="57"/>
  <c r="Z499" i="52"/>
  <c r="AG499" i="52"/>
  <c r="AN446" i="52"/>
  <c r="H102" i="57"/>
  <c r="T126" i="57"/>
  <c r="H104" i="57"/>
  <c r="X378" i="52"/>
  <c r="H94" i="57"/>
  <c r="M188" i="57"/>
  <c r="Y26" i="38"/>
  <c r="G175" i="57"/>
  <c r="I139" i="57"/>
  <c r="X577" i="52"/>
  <c r="O190" i="57"/>
  <c r="Z477" i="52"/>
  <c r="AG477" i="52"/>
  <c r="Q150" i="57"/>
  <c r="G167" i="57"/>
  <c r="X361" i="52"/>
  <c r="G537" i="52"/>
  <c r="N537" i="52" s="1"/>
  <c r="G679" i="52"/>
  <c r="H89" i="57"/>
  <c r="L195" i="57"/>
  <c r="N195" i="57" s="1"/>
  <c r="P130" i="57"/>
  <c r="O172" i="57"/>
  <c r="Q132" i="57"/>
  <c r="Z605" i="52"/>
  <c r="AG605" i="52"/>
  <c r="S118" i="57"/>
  <c r="S99" i="57"/>
  <c r="P177" i="57"/>
  <c r="Z440" i="52"/>
  <c r="AG440" i="52" s="1"/>
  <c r="H174" i="57"/>
  <c r="E178" i="57"/>
  <c r="S179" i="57"/>
  <c r="U144" i="57"/>
  <c r="U127" i="57"/>
  <c r="O94" i="57"/>
  <c r="O84" i="57"/>
  <c r="F138" i="57"/>
  <c r="U189" i="57"/>
  <c r="S191" i="57"/>
  <c r="Z676" i="52"/>
  <c r="AG676" i="52" s="1"/>
  <c r="Y105" i="38"/>
  <c r="G2126" i="50" s="1"/>
  <c r="H2126" i="50" s="1"/>
  <c r="H104" i="62" s="1"/>
  <c r="C212" i="57"/>
  <c r="P172" i="57"/>
  <c r="I155" i="57"/>
  <c r="Z472" i="52"/>
  <c r="AG472" i="52"/>
  <c r="H95" i="57"/>
  <c r="U110" i="57"/>
  <c r="T109" i="57"/>
  <c r="I141" i="57"/>
  <c r="G646" i="52"/>
  <c r="X406" i="52"/>
  <c r="G600" i="52"/>
  <c r="N600" i="52"/>
  <c r="Z505" i="52"/>
  <c r="AG505" i="52"/>
  <c r="U195" i="57"/>
  <c r="T130" i="57"/>
  <c r="S172" i="57"/>
  <c r="O134" i="57"/>
  <c r="G419" i="52"/>
  <c r="S102" i="57"/>
  <c r="U91" i="57"/>
  <c r="T173" i="57"/>
  <c r="AN497" i="52"/>
  <c r="F153" i="57"/>
  <c r="H155" i="57"/>
  <c r="S175" i="57"/>
  <c r="U204" i="57"/>
  <c r="U128" i="57"/>
  <c r="I98" i="57"/>
  <c r="I156" i="57"/>
  <c r="E157" i="57"/>
  <c r="L109" i="57"/>
  <c r="N109" i="57" s="1"/>
  <c r="G468" i="52"/>
  <c r="X468" i="52" s="1"/>
  <c r="Z600" i="52"/>
  <c r="AG600" i="52" s="1"/>
  <c r="Z533" i="52"/>
  <c r="AG533" i="52" s="1"/>
  <c r="T160" i="57"/>
  <c r="Q157" i="57"/>
  <c r="X398" i="52"/>
  <c r="G182" i="57"/>
  <c r="U151" i="57"/>
  <c r="T162" i="57"/>
  <c r="G163" i="57"/>
  <c r="Z573" i="52"/>
  <c r="AG573" i="52"/>
  <c r="T151" i="57"/>
  <c r="Z519" i="52"/>
  <c r="AG519" i="52" s="1"/>
  <c r="X451" i="52"/>
  <c r="D196" i="57"/>
  <c r="O132" i="57"/>
  <c r="G174" i="57"/>
  <c r="I138" i="57"/>
  <c r="G605" i="52"/>
  <c r="X605" i="52"/>
  <c r="T101" i="57"/>
  <c r="S91" i="57"/>
  <c r="L172" i="57"/>
  <c r="N172" i="57"/>
  <c r="R160" i="57"/>
  <c r="E154" i="57"/>
  <c r="A152" i="57"/>
  <c r="D174" i="57"/>
  <c r="Z643" i="52"/>
  <c r="AG643" i="52"/>
  <c r="L96" i="57"/>
  <c r="N96" i="57"/>
  <c r="M116" i="57"/>
  <c r="I153" i="57"/>
  <c r="A159" i="57"/>
  <c r="M170" i="57"/>
  <c r="Z521" i="52"/>
  <c r="AG521" i="52"/>
  <c r="Z485" i="52"/>
  <c r="AG485" i="52"/>
  <c r="G618" i="52"/>
  <c r="X618" i="52"/>
  <c r="P131" i="57"/>
  <c r="U157" i="57"/>
  <c r="G517" i="52"/>
  <c r="X517" i="52"/>
  <c r="G187" i="57"/>
  <c r="G188" i="57"/>
  <c r="M191" i="57"/>
  <c r="T110" i="57"/>
  <c r="M151" i="57"/>
  <c r="Z642" i="52"/>
  <c r="AG642" i="52" s="1"/>
  <c r="Q148" i="57"/>
  <c r="Z574" i="52"/>
  <c r="AG574" i="52"/>
  <c r="L97" i="57"/>
  <c r="N97" i="57"/>
  <c r="I115" i="57"/>
  <c r="R133" i="57"/>
  <c r="Q174" i="57"/>
  <c r="S138" i="57"/>
  <c r="G455" i="52"/>
  <c r="U100" i="57"/>
  <c r="U89" i="57"/>
  <c r="T133" i="57"/>
  <c r="E159" i="57"/>
  <c r="R131" i="57"/>
  <c r="I134" i="57"/>
  <c r="D160" i="57"/>
  <c r="Z551" i="52"/>
  <c r="AG551" i="52"/>
  <c r="O148" i="57"/>
  <c r="O93" i="57"/>
  <c r="B199" i="57"/>
  <c r="A171" i="57"/>
  <c r="O193" i="57"/>
  <c r="T161" i="57"/>
  <c r="G524" i="52"/>
  <c r="Z478" i="52"/>
  <c r="AG478" i="52" s="1"/>
  <c r="Y29" i="38"/>
  <c r="Y114" i="38"/>
  <c r="G2135" i="50"/>
  <c r="D131" i="57"/>
  <c r="M158" i="57"/>
  <c r="X589" i="52"/>
  <c r="M127" i="57"/>
  <c r="M182" i="57"/>
  <c r="F183" i="57"/>
  <c r="G607" i="52"/>
  <c r="X607" i="52"/>
  <c r="I111" i="57"/>
  <c r="Z435" i="52"/>
  <c r="AG435" i="52" s="1"/>
  <c r="Z489" i="52"/>
  <c r="AG489" i="52" s="1"/>
  <c r="Z599" i="52"/>
  <c r="AG599" i="52" s="1"/>
  <c r="S112" i="57"/>
  <c r="X486" i="52"/>
  <c r="H135" i="57"/>
  <c r="U174" i="57"/>
  <c r="R139" i="57"/>
  <c r="G414" i="52"/>
  <c r="S100" i="57"/>
  <c r="S89" i="57"/>
  <c r="L132" i="57"/>
  <c r="N132" i="57" s="1"/>
  <c r="F158" i="57"/>
  <c r="Y124" i="38"/>
  <c r="G2145" i="50"/>
  <c r="B130" i="57"/>
  <c r="B131" i="57"/>
  <c r="G439" i="52"/>
  <c r="N439" i="52"/>
  <c r="M204" i="57"/>
  <c r="O95" i="57"/>
  <c r="P201" i="57"/>
  <c r="AE446" i="52"/>
  <c r="M147" i="57"/>
  <c r="U191" i="57"/>
  <c r="M690" i="52"/>
  <c r="Z613" i="52"/>
  <c r="AG613" i="52" s="1"/>
  <c r="X29" i="38"/>
  <c r="B132" i="57"/>
  <c r="I173" i="57"/>
  <c r="U112" i="57"/>
  <c r="G675" i="52"/>
  <c r="H82" i="57"/>
  <c r="F151" i="57"/>
  <c r="F191" i="57"/>
  <c r="M106" i="57"/>
  <c r="G631" i="52"/>
  <c r="X631" i="52"/>
  <c r="S167" i="57"/>
  <c r="T121" i="57"/>
  <c r="Z641" i="52"/>
  <c r="AG641" i="52"/>
  <c r="L113" i="57"/>
  <c r="N113" i="57"/>
  <c r="R137" i="57"/>
  <c r="R177" i="57"/>
  <c r="H159" i="57"/>
  <c r="F164" i="57"/>
  <c r="S92" i="57"/>
  <c r="T83" i="57"/>
  <c r="G159" i="57"/>
  <c r="M192" i="57"/>
  <c r="L135" i="57"/>
  <c r="N135" i="57"/>
  <c r="O157" i="57"/>
  <c r="S131" i="57"/>
  <c r="Q171" i="57"/>
  <c r="G162" i="57"/>
  <c r="Z586" i="52"/>
  <c r="AG586" i="52"/>
  <c r="X446" i="52"/>
  <c r="Y138" i="38"/>
  <c r="G2159" i="50" s="1"/>
  <c r="G137" i="62" s="1"/>
  <c r="G489" i="52"/>
  <c r="X663" i="52"/>
  <c r="F146" i="57"/>
  <c r="X429" i="52"/>
  <c r="X380" i="52"/>
  <c r="Y30" i="38"/>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2" i="38"/>
  <c r="G2153" i="50" s="1"/>
  <c r="H2153" i="50" s="1"/>
  <c r="H131" i="62" s="1"/>
  <c r="Q180" i="57"/>
  <c r="H114" i="57"/>
  <c r="O89" i="57"/>
  <c r="M113" i="57"/>
  <c r="O91" i="57"/>
  <c r="X360" i="52"/>
  <c r="O107" i="57"/>
  <c r="Z624" i="52"/>
  <c r="AG624" i="52"/>
  <c r="B155" i="57"/>
  <c r="M79" i="57"/>
  <c r="D138" i="57"/>
  <c r="L200" i="57"/>
  <c r="N200" i="57" s="1"/>
  <c r="O123" i="57"/>
  <c r="P134" i="57"/>
  <c r="Y88" i="38"/>
  <c r="G2109" i="50" s="1"/>
  <c r="G170" i="57"/>
  <c r="Z675" i="52"/>
  <c r="AG675" i="52"/>
  <c r="L102" i="57"/>
  <c r="N102" i="57"/>
  <c r="H113" i="57"/>
  <c r="M101" i="57"/>
  <c r="M96" i="57"/>
  <c r="X368" i="52"/>
  <c r="O87" i="57"/>
  <c r="T149" i="57"/>
  <c r="Z633" i="52"/>
  <c r="AG633" i="52"/>
  <c r="I195" i="57"/>
  <c r="U138" i="57"/>
  <c r="L178" i="57"/>
  <c r="N178" i="57"/>
  <c r="I160" i="57"/>
  <c r="F142" i="57"/>
  <c r="U90" i="57"/>
  <c r="T79" i="57"/>
  <c r="D156" i="57"/>
  <c r="I204" i="57"/>
  <c r="L130" i="57"/>
  <c r="N130" i="57"/>
  <c r="H138" i="57"/>
  <c r="B154" i="57"/>
  <c r="A198" i="57"/>
  <c r="H119" i="57"/>
  <c r="Z514" i="52"/>
  <c r="AG514" i="52"/>
  <c r="G670" i="52"/>
  <c r="Y129" i="38"/>
  <c r="G2150" i="50" s="1"/>
  <c r="H2150" i="50" s="1"/>
  <c r="H128" i="62" s="1"/>
  <c r="U108" i="57"/>
  <c r="O141" i="57"/>
  <c r="M94" i="57"/>
  <c r="B161" i="57"/>
  <c r="I96" i="57"/>
  <c r="O125" i="57"/>
  <c r="Z659" i="52"/>
  <c r="AG659" i="52" s="1"/>
  <c r="T85" i="57"/>
  <c r="H203" i="57"/>
  <c r="G436" i="52"/>
  <c r="G179" i="57"/>
  <c r="B138" i="57"/>
  <c r="Y100" i="38"/>
  <c r="G2121" i="50"/>
  <c r="H2121" i="50" s="1"/>
  <c r="H99" i="62" s="1"/>
  <c r="H204" i="57"/>
  <c r="Z644" i="52"/>
  <c r="AG644" i="52" s="1"/>
  <c r="L112" i="57"/>
  <c r="N112" i="57" s="1"/>
  <c r="H80" i="57"/>
  <c r="O120" i="57"/>
  <c r="M77" i="57"/>
  <c r="G615" i="52"/>
  <c r="N615" i="52"/>
  <c r="M114" i="57"/>
  <c r="Z538" i="52"/>
  <c r="AG538" i="52" s="1"/>
  <c r="Z468" i="52"/>
  <c r="AG468" i="52" s="1"/>
  <c r="S195" i="57"/>
  <c r="D139" i="57"/>
  <c r="Q178" i="57"/>
  <c r="R171" i="57"/>
  <c r="M83" i="57"/>
  <c r="S86" i="57"/>
  <c r="G139" i="57"/>
  <c r="O186" i="57"/>
  <c r="E202" i="57"/>
  <c r="O130" i="57"/>
  <c r="G153" i="57"/>
  <c r="I200" i="57"/>
  <c r="M161" i="57"/>
  <c r="G183" i="57"/>
  <c r="AA498" i="52"/>
  <c r="A154" i="57"/>
  <c r="L106" i="57"/>
  <c r="N106" i="57" s="1"/>
  <c r="G147" i="57"/>
  <c r="X356" i="52"/>
  <c r="Y107" i="38"/>
  <c r="G2128" i="50" s="1"/>
  <c r="G106" i="62" s="1"/>
  <c r="I161" i="57"/>
  <c r="Y108" i="38"/>
  <c r="G2129" i="50" s="1"/>
  <c r="H2129" i="50" s="1"/>
  <c r="H107" i="62" s="1"/>
  <c r="F170" i="57"/>
  <c r="F184" i="57"/>
  <c r="S115" i="57"/>
  <c r="I86" i="57"/>
  <c r="B180" i="57"/>
  <c r="U123" i="57"/>
  <c r="E213" i="57"/>
  <c r="R201" i="57"/>
  <c r="G585" i="52"/>
  <c r="G192" i="57"/>
  <c r="O149" i="57"/>
  <c r="S168" i="57"/>
  <c r="U148" i="57"/>
  <c r="B139" i="57"/>
  <c r="T156" i="57"/>
  <c r="Y116" i="38"/>
  <c r="G2137" i="50"/>
  <c r="G115" i="62" s="1"/>
  <c r="I148" i="57"/>
  <c r="Z571" i="52"/>
  <c r="AG571" i="52"/>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c r="AG406" i="52"/>
  <c r="G158" i="57"/>
  <c r="T158" i="57"/>
  <c r="M197" i="57"/>
  <c r="G490" i="52"/>
  <c r="Z604" i="52"/>
  <c r="AG604" i="52" s="1"/>
  <c r="U161" i="57"/>
  <c r="F148" i="57"/>
  <c r="X638" i="52"/>
  <c r="O85" i="57"/>
  <c r="G648" i="52"/>
  <c r="N648" i="52" s="1"/>
  <c r="G472" i="52"/>
  <c r="X472" i="52" s="1"/>
  <c r="G146" i="57"/>
  <c r="Z438" i="52"/>
  <c r="AG438" i="52"/>
  <c r="L123" i="57"/>
  <c r="N123" i="57"/>
  <c r="M198" i="57"/>
  <c r="R155" i="57"/>
  <c r="R196" i="57"/>
  <c r="L176" i="57"/>
  <c r="N176" i="57" s="1"/>
  <c r="G530" i="52"/>
  <c r="X530" i="52" s="1"/>
  <c r="T77" i="57"/>
  <c r="D199" i="57"/>
  <c r="Z564" i="52"/>
  <c r="AG564" i="52" s="1"/>
  <c r="F197" i="57"/>
  <c r="H195" i="57"/>
  <c r="S178" i="57"/>
  <c r="Y123" i="38"/>
  <c r="G2144" i="50"/>
  <c r="Q200" i="57"/>
  <c r="AN498" i="52"/>
  <c r="X431" i="52"/>
  <c r="M148" i="57"/>
  <c r="X532" i="52"/>
  <c r="M104" i="57"/>
  <c r="X373" i="52"/>
  <c r="L204" i="57"/>
  <c r="N204" i="57" s="1"/>
  <c r="F192" i="57"/>
  <c r="S186" i="57"/>
  <c r="Y101" i="38"/>
  <c r="G2122" i="50" s="1"/>
  <c r="G100" i="62" s="1"/>
  <c r="R198" i="57"/>
  <c r="Q156" i="57"/>
  <c r="D198" i="57"/>
  <c r="AB498" i="52"/>
  <c r="Z525" i="52"/>
  <c r="AG525" i="52"/>
  <c r="T181" i="57"/>
  <c r="G198" i="57"/>
  <c r="X561" i="52"/>
  <c r="Y84" i="38"/>
  <c r="G2105" i="50" s="1"/>
  <c r="G83" i="62" s="1"/>
  <c r="Y118" i="38"/>
  <c r="G2139" i="50"/>
  <c r="L152" i="57"/>
  <c r="N152" i="57"/>
  <c r="P154" i="57"/>
  <c r="A155" i="57"/>
  <c r="M186" i="57"/>
  <c r="O102" i="57"/>
  <c r="I149" i="57"/>
  <c r="R174" i="57"/>
  <c r="G602" i="52"/>
  <c r="U122" i="57"/>
  <c r="I97" i="57"/>
  <c r="Z509" i="52"/>
  <c r="AG509" i="52" s="1"/>
  <c r="F179" i="57"/>
  <c r="Y141" i="38"/>
  <c r="G2162" i="50"/>
  <c r="L202" i="57"/>
  <c r="N202" i="57"/>
  <c r="Z529" i="52"/>
  <c r="AG529" i="52"/>
  <c r="T191" i="57"/>
  <c r="A222" i="52"/>
  <c r="H124" i="57"/>
  <c r="X447" i="52"/>
  <c r="X595" i="52"/>
  <c r="G458" i="52"/>
  <c r="X458" i="52" s="1"/>
  <c r="G601" i="52"/>
  <c r="X601" i="52" s="1"/>
  <c r="U188" i="57"/>
  <c r="S166" i="57"/>
  <c r="Y109" i="38"/>
  <c r="G2130" i="50" s="1"/>
  <c r="G108" i="62" s="1"/>
  <c r="Q199" i="57"/>
  <c r="H157" i="57"/>
  <c r="E199" i="57"/>
  <c r="A259" i="52"/>
  <c r="Q144" i="57"/>
  <c r="H118" i="57"/>
  <c r="Y102" i="38"/>
  <c r="G2123" i="50"/>
  <c r="H2123" i="50" s="1"/>
  <c r="H101" i="62" s="1"/>
  <c r="G565" i="52"/>
  <c r="A173" i="57"/>
  <c r="Y110" i="38"/>
  <c r="G2131" i="50"/>
  <c r="U132" i="57"/>
  <c r="S196" i="57"/>
  <c r="B204" i="57"/>
  <c r="X444" i="52"/>
  <c r="I113" i="57"/>
  <c r="H149" i="57"/>
  <c r="Y92" i="38"/>
  <c r="G2113" i="50"/>
  <c r="G91" i="62" s="1"/>
  <c r="A238" i="52"/>
  <c r="L100" i="57"/>
  <c r="N100" i="57"/>
  <c r="O109" i="57"/>
  <c r="T185" i="57"/>
  <c r="A130" i="57"/>
  <c r="G564" i="52"/>
  <c r="G572" i="52"/>
  <c r="N572" i="52"/>
  <c r="Z623" i="52"/>
  <c r="AG623" i="52"/>
  <c r="O111" i="57"/>
  <c r="C214" i="57"/>
  <c r="I158" i="57"/>
  <c r="T118" i="57"/>
  <c r="X547" i="52"/>
  <c r="X415" i="52"/>
  <c r="Y77" i="38"/>
  <c r="G2098" i="50"/>
  <c r="G76" i="62" s="1"/>
  <c r="S137" i="57"/>
  <c r="M181" i="57"/>
  <c r="G526" i="52"/>
  <c r="X526" i="52" s="1"/>
  <c r="H141" i="57"/>
  <c r="A200" i="57"/>
  <c r="Q151" i="57"/>
  <c r="M92" i="57"/>
  <c r="S188" i="57"/>
  <c r="Y72" i="38"/>
  <c r="G2093" i="50"/>
  <c r="Y137" i="38"/>
  <c r="G2158" i="50"/>
  <c r="G136" i="62" s="1"/>
  <c r="M203" i="57"/>
  <c r="Z474" i="52"/>
  <c r="AG474" i="52"/>
  <c r="X443" i="52"/>
  <c r="I108" i="57"/>
  <c r="G620" i="52"/>
  <c r="X620" i="52"/>
  <c r="S184" i="57"/>
  <c r="X652" i="52"/>
  <c r="X370" i="52"/>
  <c r="G556" i="52"/>
  <c r="N556" i="52" s="1"/>
  <c r="S146" i="57"/>
  <c r="G527" i="52"/>
  <c r="N527" i="52"/>
  <c r="S201" i="57"/>
  <c r="E158" i="57"/>
  <c r="O199" i="57"/>
  <c r="I102" i="57"/>
  <c r="T105" i="57"/>
  <c r="L118" i="57"/>
  <c r="N118" i="57" s="1"/>
  <c r="Y86" i="38"/>
  <c r="G2107" i="50" s="1"/>
  <c r="H2107" i="50" s="1"/>
  <c r="H85" i="62" s="1"/>
  <c r="G630" i="52"/>
  <c r="M174" i="57"/>
  <c r="U131" i="57"/>
  <c r="P202" i="57"/>
  <c r="S130" i="57"/>
  <c r="G623" i="52"/>
  <c r="X560" i="52"/>
  <c r="M128" i="57"/>
  <c r="I143" i="57"/>
  <c r="Z426" i="52"/>
  <c r="AG426" i="52"/>
  <c r="H161" i="57"/>
  <c r="O105" i="57"/>
  <c r="G682" i="52"/>
  <c r="F131" i="57"/>
  <c r="X488" i="52"/>
  <c r="Z630" i="52"/>
  <c r="AG630" i="52" s="1"/>
  <c r="I105" i="57"/>
  <c r="X427" i="52"/>
  <c r="Z585" i="52"/>
  <c r="AG585" i="52" s="1"/>
  <c r="B202" i="57"/>
  <c r="B200" i="57"/>
  <c r="T193" i="57"/>
  <c r="U175" i="57"/>
  <c r="I106" i="57"/>
  <c r="O119" i="57"/>
  <c r="C417" i="52"/>
  <c r="C465" i="52" s="1"/>
  <c r="O369" i="52"/>
  <c r="G198" i="38" s="1"/>
  <c r="C434" i="52"/>
  <c r="C482" i="52" s="1"/>
  <c r="C530" i="52" s="1"/>
  <c r="C578" i="52" s="1"/>
  <c r="C626" i="52" s="1"/>
  <c r="C674" i="52" s="1"/>
  <c r="C387" i="52"/>
  <c r="O387" i="52" s="1"/>
  <c r="Q387" i="52" s="1"/>
  <c r="AQ211" i="50"/>
  <c r="K211" i="50"/>
  <c r="T399" i="50"/>
  <c r="T404" i="50"/>
  <c r="T403" i="50"/>
  <c r="T400" i="50"/>
  <c r="T402" i="50"/>
  <c r="K386" i="50"/>
  <c r="T387" i="50"/>
  <c r="Y401" i="50"/>
  <c r="T643" i="50"/>
  <c r="T647" i="50"/>
  <c r="T644" i="50"/>
  <c r="K629" i="50"/>
  <c r="T646" i="50"/>
  <c r="T641" i="50"/>
  <c r="T642" i="50"/>
  <c r="T630" i="50"/>
  <c r="Y645" i="50" s="1"/>
  <c r="AY645" i="50" s="1"/>
  <c r="T1457" i="50"/>
  <c r="T1456" i="50"/>
  <c r="T1449" i="50"/>
  <c r="T1453" i="50"/>
  <c r="T1455" i="50"/>
  <c r="T1440" i="50"/>
  <c r="Y1451" i="50" s="1"/>
  <c r="AY1451" i="50" s="1"/>
  <c r="T1452" i="50"/>
  <c r="T1451" i="50"/>
  <c r="B362" i="52"/>
  <c r="B410" i="52"/>
  <c r="B458" i="52" s="1"/>
  <c r="B506" i="52" s="1"/>
  <c r="B554" i="52" s="1"/>
  <c r="B602" i="52" s="1"/>
  <c r="B650" i="52" s="1"/>
  <c r="B409" i="52"/>
  <c r="B457" i="52" s="1"/>
  <c r="B505" i="52" s="1"/>
  <c r="B553" i="52" s="1"/>
  <c r="B601" i="52" s="1"/>
  <c r="B649" i="52" s="1"/>
  <c r="AK71" i="58"/>
  <c r="BD1179" i="50"/>
  <c r="AA533" i="50"/>
  <c r="AH533" i="50" s="1"/>
  <c r="T1046" i="50"/>
  <c r="T1050" i="50"/>
  <c r="BD1125" i="50"/>
  <c r="AA130" i="58"/>
  <c r="AC130" i="58"/>
  <c r="T1602" i="50"/>
  <c r="Y1619" i="50"/>
  <c r="BD1206" i="50"/>
  <c r="G120" i="57"/>
  <c r="G84" i="57"/>
  <c r="X580" i="52"/>
  <c r="AA1104" i="50"/>
  <c r="AH1104" i="50"/>
  <c r="N390" i="52"/>
  <c r="AG424" i="52"/>
  <c r="AG431" i="52"/>
  <c r="T620" i="50"/>
  <c r="T617" i="50"/>
  <c r="T614" i="50"/>
  <c r="K602" i="50"/>
  <c r="AQ1075" i="50"/>
  <c r="K1075" i="50" s="1"/>
  <c r="I193" i="57"/>
  <c r="I162" i="57"/>
  <c r="I192" i="57"/>
  <c r="I189" i="57"/>
  <c r="I184" i="57"/>
  <c r="I129" i="57"/>
  <c r="I112" i="57"/>
  <c r="D113" i="10"/>
  <c r="F169" i="38"/>
  <c r="F65" i="62"/>
  <c r="C274" i="52"/>
  <c r="N25" i="38"/>
  <c r="T2007" i="50"/>
  <c r="Y2021" i="50" s="1"/>
  <c r="T1044" i="50"/>
  <c r="G129" i="57"/>
  <c r="BD990" i="50"/>
  <c r="F27" i="60"/>
  <c r="T1668" i="50"/>
  <c r="BD1476" i="50"/>
  <c r="R256" i="58"/>
  <c r="U251" i="58"/>
  <c r="L266" i="58"/>
  <c r="BA250" i="58" s="1"/>
  <c r="E141" i="57"/>
  <c r="E187" i="57"/>
  <c r="E186" i="57"/>
  <c r="T1665" i="50"/>
  <c r="BD1530" i="50"/>
  <c r="BD1532" i="50" s="1"/>
  <c r="F55" i="28"/>
  <c r="BD1719" i="50"/>
  <c r="X480" i="52"/>
  <c r="AA807" i="50"/>
  <c r="AH807" i="50"/>
  <c r="K1655" i="50"/>
  <c r="Q1665" i="50"/>
  <c r="T1656" i="50"/>
  <c r="Y1667" i="50"/>
  <c r="AY1667" i="50" s="1"/>
  <c r="K1238" i="50"/>
  <c r="AV1238" i="50"/>
  <c r="I183" i="57"/>
  <c r="BD126" i="50"/>
  <c r="BD2070" i="50"/>
  <c r="AV563" i="50"/>
  <c r="I181" i="57"/>
  <c r="AK259" i="58"/>
  <c r="M259" i="58"/>
  <c r="AA259" i="58"/>
  <c r="AF259" i="58"/>
  <c r="AG259" i="58" s="1"/>
  <c r="I168" i="57"/>
  <c r="T1617" i="50"/>
  <c r="T1611" i="50"/>
  <c r="T1613" i="50"/>
  <c r="AQ1670" i="50"/>
  <c r="K1670" i="50" s="1"/>
  <c r="BD1071" i="50"/>
  <c r="BD1584" i="50"/>
  <c r="BD1587" i="50"/>
  <c r="BD450" i="50"/>
  <c r="BD72" i="50"/>
  <c r="F358" i="52"/>
  <c r="F375" i="52"/>
  <c r="F423" i="52" s="1"/>
  <c r="F471" i="52" s="1"/>
  <c r="F519" i="52" s="1"/>
  <c r="F567" i="52" s="1"/>
  <c r="F615" i="52" s="1"/>
  <c r="F663" i="52" s="1"/>
  <c r="BD1395" i="50"/>
  <c r="BD774" i="50"/>
  <c r="BD1665" i="50"/>
  <c r="BD342" i="50"/>
  <c r="BD1908" i="50"/>
  <c r="BD153" i="50"/>
  <c r="BD1557" i="50"/>
  <c r="BD801" i="50"/>
  <c r="BD1746" i="50"/>
  <c r="BD396" i="50"/>
  <c r="BD1611" i="50"/>
  <c r="BD315" i="50"/>
  <c r="BD1152" i="50"/>
  <c r="BD909" i="50"/>
  <c r="BD1260" i="50"/>
  <c r="BD1044" i="50"/>
  <c r="BD963" i="50"/>
  <c r="I187" i="57"/>
  <c r="T603" i="50"/>
  <c r="Y612" i="50"/>
  <c r="BD288" i="50"/>
  <c r="I182" i="57"/>
  <c r="BD504" i="50"/>
  <c r="AG420" i="52"/>
  <c r="AA429" i="50"/>
  <c r="AH429" i="50"/>
  <c r="Y136" i="58"/>
  <c r="K373" i="50"/>
  <c r="AV373" i="50"/>
  <c r="X576" i="52"/>
  <c r="X583" i="52"/>
  <c r="BC1588" i="50"/>
  <c r="AA1181" i="50"/>
  <c r="AH1181" i="50"/>
  <c r="AA1965" i="50"/>
  <c r="AH1965" i="50"/>
  <c r="X453" i="52"/>
  <c r="X456" i="52"/>
  <c r="P90" i="57"/>
  <c r="P78" i="57"/>
  <c r="F366" i="52"/>
  <c r="F414" i="52"/>
  <c r="F462" i="52" s="1"/>
  <c r="F510" i="52" s="1"/>
  <c r="F558" i="52" s="1"/>
  <c r="F606" i="52" s="1"/>
  <c r="F654" i="52" s="1"/>
  <c r="F392" i="52"/>
  <c r="F440" i="52" s="1"/>
  <c r="F488" i="52" s="1"/>
  <c r="F536" i="52" s="1"/>
  <c r="F584" i="52" s="1"/>
  <c r="F632" i="52" s="1"/>
  <c r="F680" i="52" s="1"/>
  <c r="AA318" i="50"/>
  <c r="AH318" i="50"/>
  <c r="AA830" i="50"/>
  <c r="AH830" i="50"/>
  <c r="AQ860" i="50"/>
  <c r="K860" i="50"/>
  <c r="AA1100" i="50"/>
  <c r="AH1100" i="50"/>
  <c r="N386" i="52"/>
  <c r="AA1991" i="50"/>
  <c r="AH1991" i="50"/>
  <c r="N374" i="52"/>
  <c r="AA344" i="50"/>
  <c r="AH344" i="50" s="1"/>
  <c r="AA1560" i="50"/>
  <c r="AH1560" i="50" s="1"/>
  <c r="AA1695" i="50"/>
  <c r="AH1695" i="50" s="1"/>
  <c r="AG425" i="52"/>
  <c r="AA237" i="50"/>
  <c r="AH237" i="50"/>
  <c r="AA375" i="50"/>
  <c r="AH375" i="50"/>
  <c r="AA1320" i="50"/>
  <c r="AH1320" i="50"/>
  <c r="X459" i="52"/>
  <c r="Y232" i="58"/>
  <c r="AA1667" i="50"/>
  <c r="AH1667" i="50"/>
  <c r="N362" i="52"/>
  <c r="N407" i="52"/>
  <c r="N380" i="52"/>
  <c r="AA1266" i="50"/>
  <c r="AH1266" i="50" s="1"/>
  <c r="O408" i="52"/>
  <c r="Q408" i="52" s="1"/>
  <c r="X467" i="52"/>
  <c r="AA398" i="50"/>
  <c r="AH398" i="50"/>
  <c r="AA939" i="50"/>
  <c r="AH939" i="50"/>
  <c r="AA1509" i="50"/>
  <c r="AH1509" i="50"/>
  <c r="AA1614" i="50"/>
  <c r="AH1614" i="50"/>
  <c r="N385" i="52"/>
  <c r="Y1533" i="50"/>
  <c r="AY1533" i="50" s="1"/>
  <c r="Y1535" i="50"/>
  <c r="AY1535" i="50" s="1"/>
  <c r="Y1538" i="50"/>
  <c r="AY1538" i="50" s="1"/>
  <c r="Y1532" i="50"/>
  <c r="Y1534" i="50"/>
  <c r="AY1534" i="50"/>
  <c r="Y1530" i="50"/>
  <c r="AR1530" i="50"/>
  <c r="AC534" i="52"/>
  <c r="AC515" i="52"/>
  <c r="AC535" i="52"/>
  <c r="AC500" i="52"/>
  <c r="AC532" i="52"/>
  <c r="AC528" i="52"/>
  <c r="AC510" i="52"/>
  <c r="AQ779" i="50"/>
  <c r="K779" i="50" s="1"/>
  <c r="K980" i="50"/>
  <c r="AK992" i="50" s="1"/>
  <c r="T997" i="50"/>
  <c r="T994" i="50"/>
  <c r="T995" i="50"/>
  <c r="T993" i="50"/>
  <c r="AA660" i="52"/>
  <c r="AG660" i="52" s="1"/>
  <c r="AA658" i="52"/>
  <c r="AA677" i="52"/>
  <c r="AA652" i="52"/>
  <c r="AA664" i="52"/>
  <c r="AV266" i="50"/>
  <c r="T1802" i="50"/>
  <c r="T1791" i="50"/>
  <c r="AC1795" i="50" s="1"/>
  <c r="K1790" i="50"/>
  <c r="Q1800" i="50" s="1"/>
  <c r="T1807" i="50"/>
  <c r="T1806" i="50"/>
  <c r="T1808" i="50"/>
  <c r="T1805" i="50"/>
  <c r="T1804" i="50"/>
  <c r="T315" i="50"/>
  <c r="T318" i="50"/>
  <c r="T321" i="50"/>
  <c r="T317" i="50"/>
  <c r="T323" i="50"/>
  <c r="R162" i="58"/>
  <c r="R163" i="58" s="1"/>
  <c r="H487" i="52"/>
  <c r="H456" i="52"/>
  <c r="AC1741" i="50"/>
  <c r="Y1753" i="50"/>
  <c r="AY1753" i="50"/>
  <c r="Y1749" i="50"/>
  <c r="Y1746" i="50"/>
  <c r="AR1746" i="50" s="1"/>
  <c r="BH1736" i="50" s="1"/>
  <c r="Y1754" i="50"/>
  <c r="Y1751" i="50"/>
  <c r="AY1751" i="50" s="1"/>
  <c r="Y1748" i="50"/>
  <c r="AY1748" i="50" s="1"/>
  <c r="C411" i="52"/>
  <c r="C459" i="52" s="1"/>
  <c r="C507" i="52" s="1"/>
  <c r="C555" i="52" s="1"/>
  <c r="C603" i="52" s="1"/>
  <c r="C651" i="52" s="1"/>
  <c r="C364" i="52"/>
  <c r="B377" i="52"/>
  <c r="B424" i="52"/>
  <c r="B472" i="52" s="1"/>
  <c r="B520" i="52" s="1"/>
  <c r="B568" i="52" s="1"/>
  <c r="B616" i="52" s="1"/>
  <c r="B664" i="52" s="1"/>
  <c r="L349" i="46"/>
  <c r="L279" i="46"/>
  <c r="L34" i="46"/>
  <c r="L69" i="46"/>
  <c r="L174" i="46"/>
  <c r="L104" i="46"/>
  <c r="L139" i="46"/>
  <c r="L209" i="46"/>
  <c r="E59" i="50"/>
  <c r="E55" i="58"/>
  <c r="T522" i="50"/>
  <c r="Y533" i="50" s="1"/>
  <c r="AY533" i="50" s="1"/>
  <c r="T538" i="50"/>
  <c r="T535" i="50"/>
  <c r="K521" i="50"/>
  <c r="T534" i="50"/>
  <c r="T927" i="50"/>
  <c r="T942" i="50"/>
  <c r="T944" i="50"/>
  <c r="T936" i="50"/>
  <c r="T941" i="50"/>
  <c r="K926" i="50"/>
  <c r="T940" i="50"/>
  <c r="T943" i="50"/>
  <c r="T1197" i="50"/>
  <c r="Y1208" i="50"/>
  <c r="T1214" i="50"/>
  <c r="K1196" i="50"/>
  <c r="T1211" i="50"/>
  <c r="T1210" i="50"/>
  <c r="T1212" i="50"/>
  <c r="T1208" i="50"/>
  <c r="T1348" i="50"/>
  <c r="T1346" i="50"/>
  <c r="T1341" i="50"/>
  <c r="K1331" i="50"/>
  <c r="Q1331" i="50" s="1"/>
  <c r="T1345" i="50"/>
  <c r="T1349" i="50"/>
  <c r="T1343" i="50"/>
  <c r="Y1537" i="50"/>
  <c r="AY1537" i="50"/>
  <c r="Y1536" i="50"/>
  <c r="AQ76" i="50"/>
  <c r="K76" i="50" s="1"/>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K1532" i="50"/>
  <c r="BC1533" i="50"/>
  <c r="R1530" i="50"/>
  <c r="BX1520" i="50"/>
  <c r="T1803" i="50"/>
  <c r="T1800" i="50"/>
  <c r="T939" i="50"/>
  <c r="AQ914" i="50"/>
  <c r="K914" i="50" s="1"/>
  <c r="T697" i="50"/>
  <c r="T701" i="50"/>
  <c r="T698" i="50"/>
  <c r="AM534" i="52"/>
  <c r="AM510" i="52"/>
  <c r="AM504" i="52"/>
  <c r="P194" i="57"/>
  <c r="Y1179" i="50"/>
  <c r="E188" i="57"/>
  <c r="AM535" i="52"/>
  <c r="P170" i="57"/>
  <c r="E147" i="57"/>
  <c r="AM512" i="52"/>
  <c r="V127" i="46"/>
  <c r="Q127" i="46"/>
  <c r="Q128" i="46"/>
  <c r="AQ752" i="50"/>
  <c r="K752" i="50" s="1"/>
  <c r="H482" i="52"/>
  <c r="H451" i="52"/>
  <c r="H450" i="52"/>
  <c r="H465" i="52"/>
  <c r="O376" i="52"/>
  <c r="E284" i="52" s="1"/>
  <c r="P191" i="57"/>
  <c r="W230" i="58"/>
  <c r="I230" i="58"/>
  <c r="W229" i="58"/>
  <c r="AA229" i="58"/>
  <c r="R228" i="58"/>
  <c r="T425" i="50"/>
  <c r="T423" i="50"/>
  <c r="T429" i="50"/>
  <c r="K1763" i="50"/>
  <c r="R1773" i="50"/>
  <c r="BX1763" i="50" s="1"/>
  <c r="T1779" i="50"/>
  <c r="T1777" i="50"/>
  <c r="C428" i="52"/>
  <c r="O380" i="52"/>
  <c r="C381" i="52"/>
  <c r="O381" i="52" s="1"/>
  <c r="AV536" i="50"/>
  <c r="Y1187" i="50"/>
  <c r="AY1187" i="50"/>
  <c r="AV562" i="50"/>
  <c r="N370" i="52"/>
  <c r="H453" i="52"/>
  <c r="AB652" i="52"/>
  <c r="Q233" i="46"/>
  <c r="Q232" i="46"/>
  <c r="AQ454" i="50"/>
  <c r="K454" i="50"/>
  <c r="T565" i="50"/>
  <c r="AM500" i="52"/>
  <c r="R320" i="58"/>
  <c r="M339" i="58"/>
  <c r="W327" i="58"/>
  <c r="I327" i="58"/>
  <c r="T639" i="50"/>
  <c r="T645" i="50"/>
  <c r="BC1557" i="50"/>
  <c r="BC855" i="50"/>
  <c r="BC504" i="50"/>
  <c r="BC585" i="50"/>
  <c r="BC587" i="50" s="1"/>
  <c r="BC153" i="50"/>
  <c r="BC747" i="50"/>
  <c r="BC369" i="50"/>
  <c r="AG428" i="52"/>
  <c r="E189" i="57"/>
  <c r="E170" i="57"/>
  <c r="E192" i="57"/>
  <c r="E194" i="57"/>
  <c r="P184" i="57"/>
  <c r="P182" i="57"/>
  <c r="P164" i="57"/>
  <c r="Q1277" i="50"/>
  <c r="T562" i="50"/>
  <c r="K683" i="50"/>
  <c r="AK693" i="50"/>
  <c r="AM528" i="52"/>
  <c r="AQ184" i="50"/>
  <c r="K184" i="50" s="1"/>
  <c r="T2022" i="50"/>
  <c r="T2023" i="50"/>
  <c r="K2006" i="50"/>
  <c r="T2024" i="50"/>
  <c r="T2018" i="50"/>
  <c r="T2020" i="50"/>
  <c r="T2021" i="50"/>
  <c r="R27" i="60"/>
  <c r="BD1503" i="50"/>
  <c r="BD1233" i="50"/>
  <c r="BD585" i="50"/>
  <c r="BD1989" i="50"/>
  <c r="BD1098" i="50"/>
  <c r="BD531" i="50"/>
  <c r="BD1935" i="50"/>
  <c r="BD1017" i="50"/>
  <c r="BD477" i="50"/>
  <c r="BD1881" i="50"/>
  <c r="BD936" i="50"/>
  <c r="BD423" i="50"/>
  <c r="F365" i="52"/>
  <c r="F413" i="52" s="1"/>
  <c r="F461" i="52" s="1"/>
  <c r="F509" i="52" s="1"/>
  <c r="F557" i="52" s="1"/>
  <c r="F605" i="52" s="1"/>
  <c r="F653" i="52" s="1"/>
  <c r="BD1692" i="50"/>
  <c r="BD855" i="50"/>
  <c r="BD369" i="50"/>
  <c r="BD1638" i="50"/>
  <c r="BD2016" i="50"/>
  <c r="BD666" i="50"/>
  <c r="F364" i="52"/>
  <c r="F412" i="52"/>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c r="H433" i="52"/>
  <c r="H402" i="52"/>
  <c r="I555" i="52"/>
  <c r="I576" i="52"/>
  <c r="E169" i="57"/>
  <c r="K481" i="50"/>
  <c r="T560" i="50"/>
  <c r="T198" i="50"/>
  <c r="Y210" i="50" s="1"/>
  <c r="AY210" i="50" s="1"/>
  <c r="K1021" i="50"/>
  <c r="AV1021" i="50"/>
  <c r="T699" i="50"/>
  <c r="T511" i="50"/>
  <c r="T504" i="50"/>
  <c r="T512" i="50"/>
  <c r="K899" i="50"/>
  <c r="T900" i="50"/>
  <c r="Y916" i="50" s="1"/>
  <c r="T913" i="50"/>
  <c r="F384" i="52"/>
  <c r="F432" i="52"/>
  <c r="F480" i="52" s="1"/>
  <c r="F528" i="52" s="1"/>
  <c r="F576" i="52" s="1"/>
  <c r="F624" i="52" s="1"/>
  <c r="F672" i="52" s="1"/>
  <c r="BE1449" i="50"/>
  <c r="BE1422" i="50"/>
  <c r="BE477" i="50"/>
  <c r="F387" i="52"/>
  <c r="F435" i="52"/>
  <c r="F483" i="52" s="1"/>
  <c r="F531" i="52" s="1"/>
  <c r="F579" i="52" s="1"/>
  <c r="F627" i="52" s="1"/>
  <c r="F675" i="52" s="1"/>
  <c r="BE2043" i="50"/>
  <c r="BE1395" i="50"/>
  <c r="BE450" i="50"/>
  <c r="F390" i="52"/>
  <c r="F438" i="52"/>
  <c r="F486" i="52" s="1"/>
  <c r="F534" i="52" s="1"/>
  <c r="F582" i="52" s="1"/>
  <c r="F630" i="52" s="1"/>
  <c r="F678" i="52" s="1"/>
  <c r="BE2016" i="50"/>
  <c r="BE1233" i="50"/>
  <c r="BE423" i="50"/>
  <c r="BE1773" i="50"/>
  <c r="BE1017" i="50"/>
  <c r="BE315" i="50"/>
  <c r="BE1746" i="50"/>
  <c r="BE1749" i="50" s="1"/>
  <c r="BE990" i="50"/>
  <c r="BE234" i="50"/>
  <c r="BE1611" i="50"/>
  <c r="BE936" i="50"/>
  <c r="BE126" i="50"/>
  <c r="BE1989" i="50"/>
  <c r="BE855" i="50"/>
  <c r="BE666" i="50"/>
  <c r="F28" i="60"/>
  <c r="BE1935" i="50"/>
  <c r="BE1939" i="50"/>
  <c r="BE1665" i="50"/>
  <c r="BE639" i="50"/>
  <c r="BE1368" i="50"/>
  <c r="BE963" i="50"/>
  <c r="BE261" i="50"/>
  <c r="BE72" i="50"/>
  <c r="BE1719" i="50"/>
  <c r="BE828" i="50"/>
  <c r="BE720" i="50"/>
  <c r="BE1530" i="50"/>
  <c r="BE1152" i="50"/>
  <c r="BE585" i="50"/>
  <c r="BE589" i="50" s="1"/>
  <c r="F34" i="60"/>
  <c r="U92" i="46"/>
  <c r="T754" i="50"/>
  <c r="N1277" i="50"/>
  <c r="BT1277" i="50"/>
  <c r="M128" i="58"/>
  <c r="K548" i="50"/>
  <c r="AK560" i="50" s="1"/>
  <c r="P167" i="57"/>
  <c r="H594" i="52"/>
  <c r="T212" i="50"/>
  <c r="T693" i="50"/>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T563" i="50"/>
  <c r="Q154" i="58"/>
  <c r="Q346" i="58"/>
  <c r="Q58" i="58"/>
  <c r="Q282" i="58"/>
  <c r="Q250" i="58"/>
  <c r="Q90" i="58"/>
  <c r="F394" i="52"/>
  <c r="F442" i="52"/>
  <c r="F490" i="52" s="1"/>
  <c r="F538" i="52" s="1"/>
  <c r="F586" i="52" s="1"/>
  <c r="F634" i="52" s="1"/>
  <c r="F682" i="52" s="1"/>
  <c r="W136" i="58"/>
  <c r="AA136" i="58" s="1"/>
  <c r="T561" i="50"/>
  <c r="E149" i="57"/>
  <c r="H595" i="52"/>
  <c r="C436" i="52"/>
  <c r="O436" i="52"/>
  <c r="Q436" i="52" s="1"/>
  <c r="T695" i="50"/>
  <c r="AV1049" i="50"/>
  <c r="U127" i="46"/>
  <c r="Q1286" i="50"/>
  <c r="T558" i="50"/>
  <c r="T566" i="50"/>
  <c r="E165" i="57"/>
  <c r="T700" i="50"/>
  <c r="AC1093" i="50"/>
  <c r="AC1098" i="50" s="1"/>
  <c r="Y1102" i="50"/>
  <c r="AY1102" i="50" s="1"/>
  <c r="Y1104" i="50"/>
  <c r="AY1104" i="50" s="1"/>
  <c r="W165" i="58"/>
  <c r="W166" i="58"/>
  <c r="AK166" i="58"/>
  <c r="M166" i="58" s="1"/>
  <c r="AQ1210" i="50"/>
  <c r="K1210" i="50" s="1"/>
  <c r="AQ1346" i="50"/>
  <c r="K1346" i="50" s="1"/>
  <c r="R1280" i="50"/>
  <c r="BV1277" i="50" s="1"/>
  <c r="R327" i="58"/>
  <c r="Y1101" i="50"/>
  <c r="AY1101" i="50"/>
  <c r="AV1913" i="50"/>
  <c r="T752" i="50"/>
  <c r="Q186" i="58"/>
  <c r="AQ1750" i="50"/>
  <c r="U162" i="46"/>
  <c r="AQ1616" i="50"/>
  <c r="K1616" i="50" s="1"/>
  <c r="P185" i="57"/>
  <c r="P149" i="57"/>
  <c r="T738" i="50"/>
  <c r="Y749" i="50" s="1"/>
  <c r="U22" i="46"/>
  <c r="F29" i="60"/>
  <c r="AA131" i="58"/>
  <c r="AF131" i="58" s="1"/>
  <c r="P181" i="57"/>
  <c r="U302" i="46"/>
  <c r="T214" i="50"/>
  <c r="T213" i="50"/>
  <c r="T215" i="50"/>
  <c r="T209" i="50"/>
  <c r="K157" i="50"/>
  <c r="AV157" i="50"/>
  <c r="AK1287" i="50"/>
  <c r="P148" i="57"/>
  <c r="P186" i="57"/>
  <c r="AV886" i="50"/>
  <c r="W322" i="58"/>
  <c r="T747" i="50"/>
  <c r="N379" i="52"/>
  <c r="N393" i="52"/>
  <c r="N431" i="52"/>
  <c r="U267" i="46"/>
  <c r="O384" i="52"/>
  <c r="G213" i="38" s="1"/>
  <c r="N394" i="52"/>
  <c r="N427" i="52"/>
  <c r="AG441" i="52"/>
  <c r="N381" i="52"/>
  <c r="BA98" i="61"/>
  <c r="AA98" i="61" s="1"/>
  <c r="AA1428" i="50"/>
  <c r="AH1428" i="50" s="1"/>
  <c r="N360" i="52"/>
  <c r="N364" i="52"/>
  <c r="N372" i="52"/>
  <c r="N691" i="52"/>
  <c r="AV1237" i="50"/>
  <c r="N373" i="52"/>
  <c r="N369" i="52"/>
  <c r="AG430" i="52"/>
  <c r="AV1265" i="50"/>
  <c r="K1265" i="50"/>
  <c r="Q1874" i="50"/>
  <c r="T454" i="50"/>
  <c r="AK1586" i="50"/>
  <c r="AQ77" i="50"/>
  <c r="K77" i="50" s="1"/>
  <c r="K1967" i="50"/>
  <c r="AV1967" i="50"/>
  <c r="B368" i="52"/>
  <c r="B416" i="52" s="1"/>
  <c r="B464" i="52" s="1"/>
  <c r="B512" i="52" s="1"/>
  <c r="B560" i="52" s="1"/>
  <c r="B608" i="52" s="1"/>
  <c r="B656" i="52" s="1"/>
  <c r="B415" i="52"/>
  <c r="B463" i="52"/>
  <c r="B511" i="52" s="1"/>
  <c r="B559" i="52" s="1"/>
  <c r="B607" i="52" s="1"/>
  <c r="B655" i="52" s="1"/>
  <c r="V337" i="46"/>
  <c r="AK345" i="46"/>
  <c r="AK346" i="46" s="1"/>
  <c r="Q337" i="46"/>
  <c r="U337" i="46"/>
  <c r="AV2021" i="50"/>
  <c r="K2021" i="50"/>
  <c r="T456" i="50"/>
  <c r="AK587" i="50"/>
  <c r="BD1290" i="50"/>
  <c r="BD1289" i="50"/>
  <c r="AQ1831" i="50"/>
  <c r="K1831" i="50" s="1"/>
  <c r="AV1130" i="50"/>
  <c r="K1129" i="50"/>
  <c r="L318" i="46"/>
  <c r="L108" i="46"/>
  <c r="L248" i="46"/>
  <c r="L38" i="46"/>
  <c r="L353" i="46"/>
  <c r="L283" i="46"/>
  <c r="L178" i="46"/>
  <c r="L73" i="46"/>
  <c r="L213" i="46"/>
  <c r="L143" i="46"/>
  <c r="T453" i="50"/>
  <c r="T506" i="50"/>
  <c r="AQ751" i="50"/>
  <c r="K751" i="50" s="1"/>
  <c r="C473" i="52"/>
  <c r="O425" i="52"/>
  <c r="Q425" i="52"/>
  <c r="B53" i="57"/>
  <c r="Y1233" i="50"/>
  <c r="AR1233" i="50"/>
  <c r="BH1223" i="50" s="1"/>
  <c r="Y1241" i="50"/>
  <c r="AY1241" i="50" s="1"/>
  <c r="Y1237" i="50"/>
  <c r="AY1237" i="50" s="1"/>
  <c r="Q1935" i="50"/>
  <c r="Q1928" i="50"/>
  <c r="AV482" i="50"/>
  <c r="K482" i="50"/>
  <c r="AQ319" i="50"/>
  <c r="K319" i="50" s="1"/>
  <c r="T1561" i="50"/>
  <c r="T1557" i="50"/>
  <c r="T1559" i="50"/>
  <c r="T1563" i="50"/>
  <c r="T1560" i="50"/>
  <c r="K1547" i="50"/>
  <c r="AC1255" i="50"/>
  <c r="Y1262" i="50"/>
  <c r="Y1260" i="50"/>
  <c r="Y1264" i="50"/>
  <c r="AY1264" i="50"/>
  <c r="Y1263" i="50"/>
  <c r="Y1266" i="50"/>
  <c r="AY1266" i="50" s="1"/>
  <c r="Y1265" i="50"/>
  <c r="Y1267" i="50"/>
  <c r="AY1267" i="50"/>
  <c r="Y1239" i="50"/>
  <c r="AY1239" i="50"/>
  <c r="AC1282" i="50"/>
  <c r="AC1284" i="50"/>
  <c r="Y1289" i="50"/>
  <c r="AY1289" i="50"/>
  <c r="Y1292" i="50"/>
  <c r="AY1292" i="50"/>
  <c r="Y1291" i="50"/>
  <c r="AY1291" i="50"/>
  <c r="Y1294" i="50"/>
  <c r="AY1294" i="50"/>
  <c r="Y1293" i="50"/>
  <c r="AY1293" i="50"/>
  <c r="N1278" i="50"/>
  <c r="BU1277" i="50"/>
  <c r="Y1290" i="50"/>
  <c r="AY1290" i="50"/>
  <c r="AQ1481" i="50"/>
  <c r="K1481" i="50"/>
  <c r="C378" i="52"/>
  <c r="AV940" i="50"/>
  <c r="AV1318" i="50"/>
  <c r="K1318" i="50"/>
  <c r="O377" i="52"/>
  <c r="Q377" i="52"/>
  <c r="AV859" i="50"/>
  <c r="Q369" i="52"/>
  <c r="AQ697" i="50"/>
  <c r="K697" i="50"/>
  <c r="Y23" i="28"/>
  <c r="Y24" i="28"/>
  <c r="K8" i="28"/>
  <c r="K1157" i="50"/>
  <c r="AV1157" i="50"/>
  <c r="T239" i="50"/>
  <c r="K224" i="50"/>
  <c r="Q225" i="50" s="1"/>
  <c r="T238" i="50"/>
  <c r="T225" i="50"/>
  <c r="Y236" i="50"/>
  <c r="T240" i="50"/>
  <c r="AQ292" i="50"/>
  <c r="K292" i="50" s="1"/>
  <c r="AQ428" i="50"/>
  <c r="K428" i="50" s="1"/>
  <c r="T507" i="50"/>
  <c r="T509" i="50"/>
  <c r="T495" i="50"/>
  <c r="Y512" i="50" s="1"/>
  <c r="T508" i="50"/>
  <c r="T510" i="50"/>
  <c r="K494" i="50"/>
  <c r="Y828" i="50"/>
  <c r="M828" i="50"/>
  <c r="T347" i="50"/>
  <c r="T333" i="50"/>
  <c r="Y347" i="50" s="1"/>
  <c r="T342" i="50"/>
  <c r="K332" i="50"/>
  <c r="T346" i="50"/>
  <c r="T350" i="50"/>
  <c r="T349" i="50"/>
  <c r="Q1584" i="50"/>
  <c r="BC1586" i="50"/>
  <c r="Q1574" i="50"/>
  <c r="Q1575" i="50"/>
  <c r="K440" i="50"/>
  <c r="T441" i="50"/>
  <c r="T452" i="50"/>
  <c r="T450" i="50"/>
  <c r="T457" i="50"/>
  <c r="AQ130" i="50"/>
  <c r="K130" i="50" s="1"/>
  <c r="AQ400" i="50"/>
  <c r="K400" i="50"/>
  <c r="K1859" i="50"/>
  <c r="AV1859" i="50"/>
  <c r="N140" i="57"/>
  <c r="G127" i="57"/>
  <c r="N165" i="57"/>
  <c r="G111" i="57"/>
  <c r="G87" i="57"/>
  <c r="N167" i="57"/>
  <c r="G95" i="57"/>
  <c r="N194" i="57"/>
  <c r="N182" i="57"/>
  <c r="G96" i="57"/>
  <c r="N193" i="57"/>
  <c r="G124" i="57"/>
  <c r="G100" i="57"/>
  <c r="G121" i="57"/>
  <c r="N169" i="57"/>
  <c r="AQ1400" i="50"/>
  <c r="K1400" i="50" s="1"/>
  <c r="Q303" i="46"/>
  <c r="AA1020" i="50"/>
  <c r="AH1020" i="50"/>
  <c r="T1830" i="50"/>
  <c r="H378" i="52"/>
  <c r="N378" i="52" s="1"/>
  <c r="G114" i="57"/>
  <c r="Y295" i="58"/>
  <c r="T1480" i="50"/>
  <c r="T1478" i="50"/>
  <c r="T1831" i="50"/>
  <c r="Q302" i="46"/>
  <c r="AA861" i="50"/>
  <c r="AH861" i="50" s="1"/>
  <c r="K1817" i="50"/>
  <c r="N162" i="57"/>
  <c r="AA1209" i="50"/>
  <c r="AH1209" i="50" s="1"/>
  <c r="T619" i="50"/>
  <c r="Q22" i="46"/>
  <c r="BA95" i="61"/>
  <c r="AC95" i="61" s="1"/>
  <c r="Q23" i="46"/>
  <c r="V22" i="46"/>
  <c r="T1832" i="50"/>
  <c r="N190" i="57"/>
  <c r="AA1671" i="50"/>
  <c r="AH1671" i="50" s="1"/>
  <c r="AK275" i="46"/>
  <c r="AK276" i="46" s="1"/>
  <c r="AV239" i="50"/>
  <c r="AA1347" i="50"/>
  <c r="AH1347" i="50"/>
  <c r="T684" i="50"/>
  <c r="T696" i="50"/>
  <c r="AA1343" i="50"/>
  <c r="AH1343" i="50"/>
  <c r="AA1937" i="50"/>
  <c r="AH1937" i="50"/>
  <c r="T2051" i="50"/>
  <c r="K2033" i="50"/>
  <c r="BE2045" i="50" s="1"/>
  <c r="G88" i="57"/>
  <c r="AV455" i="50"/>
  <c r="T11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s="1"/>
  <c r="AQ185" i="50"/>
  <c r="K185" i="50" s="1"/>
  <c r="T533" i="50"/>
  <c r="T537" i="50"/>
  <c r="T539" i="50"/>
  <c r="AQ589" i="50"/>
  <c r="K589" i="50"/>
  <c r="T1588" i="50"/>
  <c r="T1592" i="50"/>
  <c r="T1589" i="50"/>
  <c r="T1587" i="50"/>
  <c r="T1723" i="50"/>
  <c r="T1724" i="50"/>
  <c r="N148" i="57"/>
  <c r="AA182" i="50"/>
  <c r="AH182" i="50" s="1"/>
  <c r="G90" i="57"/>
  <c r="T674" i="50"/>
  <c r="T671" i="50"/>
  <c r="T666" i="50"/>
  <c r="T657" i="50"/>
  <c r="Y666" i="50"/>
  <c r="M666" i="50" s="1"/>
  <c r="T673" i="50"/>
  <c r="AA915" i="50"/>
  <c r="AH915" i="50"/>
  <c r="AQ1643" i="50"/>
  <c r="K1643" i="50"/>
  <c r="K1142" i="50"/>
  <c r="T1158" i="50"/>
  <c r="T1156" i="50"/>
  <c r="T1157" i="50"/>
  <c r="Y1776" i="50"/>
  <c r="AY1776" i="50"/>
  <c r="A257" i="52"/>
  <c r="AV1994" i="50"/>
  <c r="R231" i="58"/>
  <c r="W231" i="58"/>
  <c r="R232" i="58"/>
  <c r="U219" i="58"/>
  <c r="L240" i="58" s="1"/>
  <c r="T1426" i="50"/>
  <c r="T1425" i="50"/>
  <c r="T1429" i="50"/>
  <c r="T1413" i="50"/>
  <c r="K1412" i="50"/>
  <c r="Q1421" i="50" s="1"/>
  <c r="T1422" i="50"/>
  <c r="AQ104" i="50"/>
  <c r="K104" i="50"/>
  <c r="Y1098" i="50"/>
  <c r="N151" i="57"/>
  <c r="AV158" i="50"/>
  <c r="K158" i="50"/>
  <c r="AV293" i="50"/>
  <c r="AA1289" i="50"/>
  <c r="AH1289" i="50" s="1"/>
  <c r="T1400" i="50"/>
  <c r="T1399" i="50"/>
  <c r="T1386" i="50"/>
  <c r="K1385" i="50"/>
  <c r="T1403" i="50"/>
  <c r="AA1617" i="50"/>
  <c r="AH1617" i="50"/>
  <c r="N355" i="52"/>
  <c r="N388" i="52"/>
  <c r="I558" i="52"/>
  <c r="I552" i="52"/>
  <c r="I580" i="52"/>
  <c r="I584" i="52"/>
  <c r="I577" i="52"/>
  <c r="I553" i="52"/>
  <c r="N553" i="52"/>
  <c r="I578" i="52"/>
  <c r="I582" i="52"/>
  <c r="I549" i="52"/>
  <c r="AV131" i="50"/>
  <c r="AV535" i="50"/>
  <c r="T781" i="50"/>
  <c r="T765" i="50"/>
  <c r="Y777" i="50"/>
  <c r="AY777" i="50" s="1"/>
  <c r="T782" i="50"/>
  <c r="K764" i="50"/>
  <c r="AK774" i="50"/>
  <c r="T777" i="50"/>
  <c r="T1829" i="50"/>
  <c r="T1835" i="50"/>
  <c r="T1833" i="50"/>
  <c r="AA506" i="50"/>
  <c r="AH506" i="50"/>
  <c r="AA749" i="50"/>
  <c r="AH749" i="50"/>
  <c r="AA348" i="50"/>
  <c r="AH348" i="50"/>
  <c r="AA1668" i="50"/>
  <c r="AH1668" i="50" s="1"/>
  <c r="AB576" i="52"/>
  <c r="AB558" i="52"/>
  <c r="AB578" i="52"/>
  <c r="G117" i="57"/>
  <c r="Y135" i="58"/>
  <c r="AA236" i="50"/>
  <c r="AH236" i="50" s="1"/>
  <c r="AV265" i="50"/>
  <c r="AQ401" i="50"/>
  <c r="K401" i="50"/>
  <c r="AV1291" i="50"/>
  <c r="AQ1454" i="50"/>
  <c r="K1454" i="50" s="1"/>
  <c r="T1670" i="50"/>
  <c r="T1669" i="50"/>
  <c r="T1673" i="50"/>
  <c r="T1671" i="50"/>
  <c r="L402" i="52"/>
  <c r="L403" i="52"/>
  <c r="L405" i="52"/>
  <c r="L413" i="52"/>
  <c r="AJ561" i="52"/>
  <c r="AJ582" i="52"/>
  <c r="AJ579" i="52"/>
  <c r="AJ590" i="52"/>
  <c r="AJ576" i="52"/>
  <c r="AJ553" i="52"/>
  <c r="AJ558" i="52"/>
  <c r="AQ1724" i="50"/>
  <c r="K1724" i="50" s="1"/>
  <c r="L49" i="38"/>
  <c r="L6" i="50"/>
  <c r="L147" i="38"/>
  <c r="AB156" i="38" s="1"/>
  <c r="C371" i="52"/>
  <c r="C370" i="52"/>
  <c r="C418" i="52"/>
  <c r="C466" i="52" s="1"/>
  <c r="N186" i="57"/>
  <c r="G125" i="57"/>
  <c r="T1154" i="50"/>
  <c r="T618" i="50"/>
  <c r="AA672" i="50"/>
  <c r="AH672" i="50"/>
  <c r="T1237" i="50"/>
  <c r="T1241" i="50"/>
  <c r="T1238" i="50"/>
  <c r="K1223" i="50"/>
  <c r="AQ2020" i="50"/>
  <c r="K2020" i="50"/>
  <c r="AC433" i="52"/>
  <c r="AC403" i="52"/>
  <c r="AC417" i="52"/>
  <c r="AG417" i="52"/>
  <c r="AC405" i="52"/>
  <c r="AC434" i="52"/>
  <c r="H534" i="52"/>
  <c r="H528" i="52"/>
  <c r="H500" i="52"/>
  <c r="H536" i="52"/>
  <c r="H515" i="52"/>
  <c r="H510" i="52"/>
  <c r="H532" i="52"/>
  <c r="H512" i="52"/>
  <c r="G105" i="57"/>
  <c r="N184" i="57"/>
  <c r="T1152" i="50"/>
  <c r="T780" i="50"/>
  <c r="T616" i="50"/>
  <c r="Y264" i="58"/>
  <c r="W98" i="58"/>
  <c r="I98" i="58"/>
  <c r="W99" i="58"/>
  <c r="W356" i="58"/>
  <c r="W359" i="58"/>
  <c r="W352" i="58"/>
  <c r="W354" i="58"/>
  <c r="W357" i="58"/>
  <c r="T322" i="50"/>
  <c r="T319" i="50"/>
  <c r="K305" i="50"/>
  <c r="Q314" i="50"/>
  <c r="T306" i="50"/>
  <c r="T320" i="50"/>
  <c r="AA1829" i="50"/>
  <c r="AH1829" i="50"/>
  <c r="AQ968" i="50"/>
  <c r="K968" i="50"/>
  <c r="T1506" i="50"/>
  <c r="T1505" i="50"/>
  <c r="T1511" i="50"/>
  <c r="AA537" i="50"/>
  <c r="AH537" i="50" s="1"/>
  <c r="T1507" i="50"/>
  <c r="G77" i="57"/>
  <c r="T612" i="50"/>
  <c r="N183" i="57"/>
  <c r="AA1536" i="50"/>
  <c r="AH1536" i="50" s="1"/>
  <c r="T889" i="50"/>
  <c r="T885" i="50"/>
  <c r="T887" i="50"/>
  <c r="T1047" i="50"/>
  <c r="T1048" i="50"/>
  <c r="K1034" i="50"/>
  <c r="Q1037" i="50"/>
  <c r="T1049" i="50"/>
  <c r="T1209" i="50"/>
  <c r="T1206" i="50"/>
  <c r="T1213" i="50"/>
  <c r="T1940" i="50"/>
  <c r="T1926" i="50"/>
  <c r="I188" i="57"/>
  <c r="I166" i="57"/>
  <c r="I191" i="57"/>
  <c r="I164" i="57"/>
  <c r="I169" i="57"/>
  <c r="I186" i="57"/>
  <c r="I93" i="57"/>
  <c r="I165" i="57"/>
  <c r="I167" i="57"/>
  <c r="F2087" i="50"/>
  <c r="F378" i="58"/>
  <c r="F134" i="37"/>
  <c r="F372" i="46"/>
  <c r="C354" i="52"/>
  <c r="O354" i="52" s="1"/>
  <c r="O353" i="52"/>
  <c r="Y71" i="58"/>
  <c r="AA614" i="50"/>
  <c r="AH614" i="50" s="1"/>
  <c r="AA1563" i="50"/>
  <c r="AH1563" i="50" s="1"/>
  <c r="O363" i="52"/>
  <c r="AA1316" i="50"/>
  <c r="AH1316" i="50"/>
  <c r="N367" i="52"/>
  <c r="N371" i="52"/>
  <c r="N387" i="52"/>
  <c r="AA645" i="50"/>
  <c r="AH645" i="50" s="1"/>
  <c r="AA1154" i="50"/>
  <c r="AH1154" i="50" s="1"/>
  <c r="N384" i="52"/>
  <c r="AA1640" i="50"/>
  <c r="AH1640" i="50"/>
  <c r="AG407" i="52"/>
  <c r="AG427" i="52"/>
  <c r="AG442" i="52"/>
  <c r="AA1641" i="50"/>
  <c r="AH1641" i="50" s="1"/>
  <c r="AA1802" i="50"/>
  <c r="AH1802" i="50" s="1"/>
  <c r="N363" i="52"/>
  <c r="N368" i="52"/>
  <c r="O372" i="52"/>
  <c r="N376" i="52"/>
  <c r="AA1451" i="50"/>
  <c r="AH1451" i="50" s="1"/>
  <c r="AG413" i="52"/>
  <c r="P118" i="57"/>
  <c r="AA1779" i="50"/>
  <c r="AH1779" i="50" s="1"/>
  <c r="AG429" i="52"/>
  <c r="P98" i="57"/>
  <c r="Y356" i="58"/>
  <c r="AA209" i="50"/>
  <c r="AH209" i="50"/>
  <c r="AA402" i="50"/>
  <c r="AH402" i="50"/>
  <c r="N389" i="52"/>
  <c r="AG423" i="52"/>
  <c r="N430" i="52"/>
  <c r="AA105" i="50"/>
  <c r="AH105" i="50" s="1"/>
  <c r="AA641" i="50"/>
  <c r="AH641" i="50" s="1"/>
  <c r="AA1590" i="50"/>
  <c r="AH1590" i="50" s="1"/>
  <c r="AA1911" i="50"/>
  <c r="AH1911" i="50" s="1"/>
  <c r="Q551" i="50"/>
  <c r="I262" i="58"/>
  <c r="AK262" i="58"/>
  <c r="M262" i="58" s="1"/>
  <c r="AA262" i="58"/>
  <c r="H664" i="52"/>
  <c r="H677" i="52"/>
  <c r="H667" i="52"/>
  <c r="H660" i="52"/>
  <c r="H671" i="52"/>
  <c r="H668" i="52"/>
  <c r="H652" i="52"/>
  <c r="H655" i="52"/>
  <c r="H685" i="52"/>
  <c r="H658" i="52"/>
  <c r="AQ1372" i="50"/>
  <c r="AV1372" i="50"/>
  <c r="AD535" i="52"/>
  <c r="AD500" i="52"/>
  <c r="AD515" i="52"/>
  <c r="AD528" i="52"/>
  <c r="AD512" i="52"/>
  <c r="AD504" i="52"/>
  <c r="AD510" i="52"/>
  <c r="AD532" i="52"/>
  <c r="AD534" i="52"/>
  <c r="AK68" i="58"/>
  <c r="I68" i="58"/>
  <c r="AV1697" i="50"/>
  <c r="K1697" i="50"/>
  <c r="AE465" i="52"/>
  <c r="AE450" i="52"/>
  <c r="AE451" i="52"/>
  <c r="AE481" i="52"/>
  <c r="AE459" i="52"/>
  <c r="AE494" i="52"/>
  <c r="AE453" i="52"/>
  <c r="AE482" i="52"/>
  <c r="H549" i="52"/>
  <c r="H590" i="52"/>
  <c r="H561" i="52"/>
  <c r="H578" i="52"/>
  <c r="J434" i="52"/>
  <c r="N434" i="52" s="1"/>
  <c r="J403" i="52"/>
  <c r="J405" i="52"/>
  <c r="J433" i="52"/>
  <c r="J402" i="52"/>
  <c r="J417" i="52"/>
  <c r="J411" i="52"/>
  <c r="N411" i="52"/>
  <c r="AA553" i="52"/>
  <c r="AA578" i="52"/>
  <c r="AG578" i="52" s="1"/>
  <c r="AA583" i="52"/>
  <c r="AA582" i="52"/>
  <c r="AA580" i="52"/>
  <c r="AA552" i="52"/>
  <c r="AG552" i="52" s="1"/>
  <c r="AA563" i="52"/>
  <c r="AA579" i="52"/>
  <c r="AA548" i="52"/>
  <c r="AG545" i="52"/>
  <c r="AA555" i="52"/>
  <c r="AA577" i="52"/>
  <c r="AG577" i="52" s="1"/>
  <c r="AA558" i="52"/>
  <c r="AG558" i="52" s="1"/>
  <c r="AA547" i="52"/>
  <c r="AA561" i="52"/>
  <c r="AA584" i="52"/>
  <c r="AA546" i="52"/>
  <c r="AA576" i="52"/>
  <c r="AA560" i="52"/>
  <c r="AA590" i="52"/>
  <c r="C677" i="52"/>
  <c r="H425" i="52"/>
  <c r="H413" i="52"/>
  <c r="H426" i="52"/>
  <c r="AB421" i="52"/>
  <c r="AG421" i="52" s="1"/>
  <c r="I421" i="52"/>
  <c r="I425" i="52"/>
  <c r="I426" i="52"/>
  <c r="AV1832" i="50"/>
  <c r="K1832" i="50"/>
  <c r="D434" i="52"/>
  <c r="O386" i="52"/>
  <c r="AE433" i="52"/>
  <c r="AE403" i="52"/>
  <c r="AE434" i="52"/>
  <c r="AE402" i="52"/>
  <c r="AE411" i="52"/>
  <c r="AE405" i="52"/>
  <c r="K512" i="52"/>
  <c r="K532" i="52"/>
  <c r="K534" i="52"/>
  <c r="K528" i="52"/>
  <c r="K531" i="52"/>
  <c r="K500" i="52"/>
  <c r="K510" i="52"/>
  <c r="K536" i="52"/>
  <c r="K515" i="52"/>
  <c r="K505" i="52"/>
  <c r="K504" i="52"/>
  <c r="K535" i="52"/>
  <c r="C583" i="52"/>
  <c r="O535" i="52"/>
  <c r="Q535" i="52" s="1"/>
  <c r="AQ1076" i="50"/>
  <c r="AQ1399" i="50"/>
  <c r="K1399" i="50"/>
  <c r="K1751" i="50"/>
  <c r="AV1751" i="50"/>
  <c r="AQ1939" i="50"/>
  <c r="K1939" i="50"/>
  <c r="AM417" i="52"/>
  <c r="AM434" i="52"/>
  <c r="AM402" i="52"/>
  <c r="AM433" i="52"/>
  <c r="AM411" i="52"/>
  <c r="AM403" i="52"/>
  <c r="L510" i="52"/>
  <c r="L515" i="52"/>
  <c r="L531" i="52"/>
  <c r="L528" i="52"/>
  <c r="L505" i="52"/>
  <c r="L532" i="52"/>
  <c r="L536" i="52"/>
  <c r="L534" i="52"/>
  <c r="L500" i="52"/>
  <c r="L535" i="52"/>
  <c r="L512" i="52"/>
  <c r="L504" i="52"/>
  <c r="AY1268" i="50"/>
  <c r="E58" i="50"/>
  <c r="E54" i="58"/>
  <c r="B364" i="52"/>
  <c r="B411" i="52"/>
  <c r="B459" i="52"/>
  <c r="B507" i="52" s="1"/>
  <c r="B555" i="52"/>
  <c r="B603" i="52" s="1"/>
  <c r="B651" i="52" s="1"/>
  <c r="D419" i="52"/>
  <c r="D467" i="52"/>
  <c r="I685" i="52"/>
  <c r="I677" i="52"/>
  <c r="I655" i="52"/>
  <c r="I668" i="52"/>
  <c r="I660" i="52"/>
  <c r="I652" i="52"/>
  <c r="I664" i="52"/>
  <c r="I658" i="52"/>
  <c r="I194" i="58"/>
  <c r="C415" i="52"/>
  <c r="O367" i="52"/>
  <c r="C368" i="52"/>
  <c r="Y2051" i="50"/>
  <c r="L110" i="46"/>
  <c r="L250" i="46"/>
  <c r="L215" i="46"/>
  <c r="L145" i="46"/>
  <c r="L180" i="46"/>
  <c r="L75" i="46"/>
  <c r="L355" i="46"/>
  <c r="L40" i="46"/>
  <c r="L285" i="46"/>
  <c r="L320" i="46"/>
  <c r="AE515" i="52"/>
  <c r="AE510" i="52"/>
  <c r="AE535" i="52"/>
  <c r="AE528" i="52"/>
  <c r="AE500" i="52"/>
  <c r="AE534" i="52"/>
  <c r="AE512" i="52"/>
  <c r="AE536" i="52"/>
  <c r="AE504" i="52"/>
  <c r="AE531" i="52"/>
  <c r="AE532" i="52"/>
  <c r="Y1886" i="50"/>
  <c r="AY1886" i="50" s="1"/>
  <c r="Y1885" i="50"/>
  <c r="Y1238" i="50"/>
  <c r="AY1238" i="50"/>
  <c r="Y1240" i="50"/>
  <c r="AY1240" i="50"/>
  <c r="Y1235" i="50"/>
  <c r="AY1235" i="50"/>
  <c r="Y1236" i="50"/>
  <c r="AY1236" i="50"/>
  <c r="AC1228" i="50"/>
  <c r="K103" i="50"/>
  <c r="AK293" i="58"/>
  <c r="M293" i="58"/>
  <c r="C449" i="52"/>
  <c r="O401" i="52"/>
  <c r="Q401" i="52" s="1"/>
  <c r="Y2043" i="50"/>
  <c r="Y2047" i="50"/>
  <c r="Y2049" i="50"/>
  <c r="Y2050" i="50"/>
  <c r="AY2050" i="50"/>
  <c r="AC2038" i="50"/>
  <c r="Y2045" i="50"/>
  <c r="Y2046" i="50"/>
  <c r="Y2048" i="50"/>
  <c r="AY2048" i="50" s="1"/>
  <c r="T1021" i="50"/>
  <c r="T1008" i="50"/>
  <c r="T1025" i="50"/>
  <c r="T1019" i="50"/>
  <c r="T1020" i="50"/>
  <c r="T1017" i="50"/>
  <c r="K1007" i="50"/>
  <c r="AK1019" i="50" s="1"/>
  <c r="T1024" i="50"/>
  <c r="T1022" i="50"/>
  <c r="T1023" i="50"/>
  <c r="N392" i="52"/>
  <c r="AD411" i="52"/>
  <c r="AD433" i="52"/>
  <c r="AD402" i="52"/>
  <c r="AD403" i="52"/>
  <c r="AD434" i="52"/>
  <c r="AD417" i="52"/>
  <c r="N423" i="52"/>
  <c r="J531" i="52"/>
  <c r="J504" i="52"/>
  <c r="J532" i="52"/>
  <c r="J510" i="52"/>
  <c r="J535" i="52"/>
  <c r="J515" i="52"/>
  <c r="J534" i="52"/>
  <c r="J500" i="52"/>
  <c r="J505" i="52"/>
  <c r="J512" i="52"/>
  <c r="J528" i="52"/>
  <c r="J536" i="52"/>
  <c r="AV1319" i="50"/>
  <c r="K1319" i="50"/>
  <c r="AQ1589" i="50"/>
  <c r="K1589" i="50"/>
  <c r="AA528" i="52"/>
  <c r="AA536" i="52"/>
  <c r="AA512" i="52"/>
  <c r="AA500" i="52"/>
  <c r="AA504" i="52"/>
  <c r="AA532" i="52"/>
  <c r="AA515" i="52"/>
  <c r="AA510" i="52"/>
  <c r="AA534" i="52"/>
  <c r="AA531" i="52"/>
  <c r="Y1071" i="50"/>
  <c r="BE1264" i="50"/>
  <c r="Q1253" i="50"/>
  <c r="Q1278" i="50"/>
  <c r="R1287" i="50"/>
  <c r="BX1277" i="50"/>
  <c r="Q1577" i="50"/>
  <c r="Q1583" i="50"/>
  <c r="AK1584" i="50"/>
  <c r="Y1781" i="50"/>
  <c r="AY1781" i="50" s="1"/>
  <c r="Y1780" i="50"/>
  <c r="Y1779" i="50"/>
  <c r="Y1773" i="50"/>
  <c r="M1773" i="50" s="1"/>
  <c r="T160" i="50"/>
  <c r="T159" i="50"/>
  <c r="T161" i="50"/>
  <c r="K143" i="50"/>
  <c r="T157" i="50"/>
  <c r="T155" i="50"/>
  <c r="T158" i="50"/>
  <c r="T156" i="50"/>
  <c r="T153" i="50"/>
  <c r="T969" i="50"/>
  <c r="T968" i="50"/>
  <c r="T971" i="50"/>
  <c r="T963" i="50"/>
  <c r="K953" i="50"/>
  <c r="T967" i="50"/>
  <c r="T954" i="50"/>
  <c r="T965" i="50"/>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B580" i="52"/>
  <c r="AB552" i="52"/>
  <c r="AB582" i="52"/>
  <c r="AB555" i="52"/>
  <c r="AB579" i="52"/>
  <c r="AB548" i="52"/>
  <c r="AB583" i="52"/>
  <c r="AB590" i="52"/>
  <c r="AB561" i="52"/>
  <c r="AB553" i="52"/>
  <c r="AG553" i="52"/>
  <c r="Y835" i="50"/>
  <c r="AC823" i="50"/>
  <c r="Y832" i="50"/>
  <c r="T468" i="50"/>
  <c r="Y483" i="50" s="1"/>
  <c r="T485" i="50"/>
  <c r="T484" i="50"/>
  <c r="T480" i="50"/>
  <c r="T477" i="50"/>
  <c r="T483" i="50"/>
  <c r="T481" i="50"/>
  <c r="T479" i="50"/>
  <c r="K913" i="50"/>
  <c r="AV913" i="50"/>
  <c r="N361" i="52"/>
  <c r="AV1940" i="50"/>
  <c r="K1940" i="50"/>
  <c r="T1319" i="50"/>
  <c r="K1304" i="50"/>
  <c r="T1318" i="50"/>
  <c r="T1321" i="50"/>
  <c r="T1316" i="50"/>
  <c r="Y1049" i="50"/>
  <c r="Y1048" i="50"/>
  <c r="AQ1183" i="50"/>
  <c r="AV1183" i="50"/>
  <c r="AQ1345" i="50"/>
  <c r="K1345" i="50"/>
  <c r="AQ1696" i="50"/>
  <c r="K1696" i="50"/>
  <c r="T266" i="50"/>
  <c r="T252" i="50"/>
  <c r="T267" i="50"/>
  <c r="T269" i="50"/>
  <c r="T261" i="50"/>
  <c r="T264" i="50"/>
  <c r="AQ1022" i="50"/>
  <c r="AQ2074" i="50"/>
  <c r="K2074" i="50" s="1"/>
  <c r="BC2016" i="50"/>
  <c r="BC1098" i="50"/>
  <c r="BC180" i="50"/>
  <c r="BC828" i="50"/>
  <c r="BC1341" i="50"/>
  <c r="BC1314" i="50"/>
  <c r="F353" i="52"/>
  <c r="BC936" i="50"/>
  <c r="BC1449" i="50"/>
  <c r="F363" i="52"/>
  <c r="F411" i="52"/>
  <c r="F459" i="52" s="1"/>
  <c r="F507" i="52" s="1"/>
  <c r="F555" i="52" s="1"/>
  <c r="F603" i="52" s="1"/>
  <c r="F651" i="52" s="1"/>
  <c r="BC1503" i="50"/>
  <c r="BC1368" i="50"/>
  <c r="BC1800" i="50"/>
  <c r="BC882" i="50"/>
  <c r="BC1935" i="50"/>
  <c r="BC1939" i="50" s="1"/>
  <c r="BC1125" i="50"/>
  <c r="BC1692" i="50"/>
  <c r="BC1017" i="50"/>
  <c r="BC1881" i="50"/>
  <c r="BC774" i="50"/>
  <c r="BC558" i="50"/>
  <c r="BC560" i="50"/>
  <c r="BC288" i="50"/>
  <c r="BC1179" i="50"/>
  <c r="BC477" i="50"/>
  <c r="BC396" i="50"/>
  <c r="BC450" i="50"/>
  <c r="BC207" i="50"/>
  <c r="BC315" i="50"/>
  <c r="BC1962" i="50"/>
  <c r="BC1206" i="50"/>
  <c r="BC99" i="50"/>
  <c r="BC1233" i="50"/>
  <c r="BC234" i="50"/>
  <c r="BC1908" i="50"/>
  <c r="BC963" i="50"/>
  <c r="BC1287" i="50"/>
  <c r="BC1291" i="50"/>
  <c r="BC72" i="50"/>
  <c r="BC693" i="50"/>
  <c r="BC1746" i="50"/>
  <c r="BC1611" i="50"/>
  <c r="BC1422" i="50"/>
  <c r="BC2070" i="50"/>
  <c r="BC1719" i="50"/>
  <c r="BC1665" i="50"/>
  <c r="BC1152" i="50"/>
  <c r="BC1395" i="50"/>
  <c r="BC1044" i="50"/>
  <c r="BC342" i="50"/>
  <c r="BC126" i="50"/>
  <c r="BC2043" i="50"/>
  <c r="D108" i="61"/>
  <c r="Q23" i="28"/>
  <c r="AB677" i="52"/>
  <c r="AB668" i="52"/>
  <c r="AB658" i="52"/>
  <c r="AB655" i="52"/>
  <c r="AB664" i="52"/>
  <c r="AV2047" i="50"/>
  <c r="K2047" i="50"/>
  <c r="W100" i="58"/>
  <c r="W96" i="58"/>
  <c r="R100" i="58"/>
  <c r="R96" i="58"/>
  <c r="R101" i="58"/>
  <c r="R102" i="58" s="1"/>
  <c r="R104" i="58"/>
  <c r="W160" i="58"/>
  <c r="M179" i="58"/>
  <c r="R164" i="58"/>
  <c r="R168" i="58"/>
  <c r="W167" i="58"/>
  <c r="K1669" i="50"/>
  <c r="AV1669" i="50"/>
  <c r="BC1587" i="50"/>
  <c r="D432" i="52"/>
  <c r="D480" i="52"/>
  <c r="D528" i="52" s="1"/>
  <c r="D576" i="52"/>
  <c r="D624" i="52" s="1"/>
  <c r="D672" i="52" s="1"/>
  <c r="T372" i="50"/>
  <c r="T377" i="50"/>
  <c r="T375" i="50"/>
  <c r="T373" i="50"/>
  <c r="T369" i="50"/>
  <c r="K359" i="50"/>
  <c r="T376" i="50"/>
  <c r="T374" i="50"/>
  <c r="AQ967" i="50"/>
  <c r="AV967" i="50"/>
  <c r="AQ590" i="50"/>
  <c r="K1102" i="50"/>
  <c r="AV1102" i="50"/>
  <c r="AQ1264" i="50"/>
  <c r="K1264" i="50" s="1"/>
  <c r="T1726" i="50"/>
  <c r="T1722" i="50"/>
  <c r="T1721" i="50"/>
  <c r="T1710" i="50"/>
  <c r="K1709" i="50"/>
  <c r="T1719" i="50"/>
  <c r="T1725" i="50"/>
  <c r="T1727" i="50"/>
  <c r="AQ1103" i="50"/>
  <c r="AV1507" i="50"/>
  <c r="K1507" i="50"/>
  <c r="M115" i="58"/>
  <c r="W258" i="58"/>
  <c r="W260" i="58"/>
  <c r="K1211" i="50"/>
  <c r="AV1211" i="50"/>
  <c r="T1503" i="50"/>
  <c r="T1509" i="50"/>
  <c r="K1493"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c r="AV994" i="50"/>
  <c r="K994" i="50"/>
  <c r="T1105" i="50"/>
  <c r="K1088" i="50"/>
  <c r="T1101" i="50"/>
  <c r="AQ1184" i="50"/>
  <c r="N354" i="52"/>
  <c r="Y1105" i="50"/>
  <c r="Y1103" i="50"/>
  <c r="Y1100" i="50"/>
  <c r="AA2022" i="50"/>
  <c r="AH2022" i="50"/>
  <c r="AA669" i="50"/>
  <c r="AH669" i="50"/>
  <c r="AA1506" i="50"/>
  <c r="AH1506" i="50"/>
  <c r="AA1803" i="50"/>
  <c r="AA1613" i="50"/>
  <c r="AH1613" i="50" s="1"/>
  <c r="AA750" i="50"/>
  <c r="AA510" i="50"/>
  <c r="AH510" i="50"/>
  <c r="Y328" i="58"/>
  <c r="AA722" i="50"/>
  <c r="AH722" i="50" s="1"/>
  <c r="AA1505" i="50"/>
  <c r="AH1505" i="50" s="1"/>
  <c r="AA155" i="50"/>
  <c r="AH155" i="50" s="1"/>
  <c r="Y167" i="58"/>
  <c r="AA2046" i="50"/>
  <c r="AH2046" i="50"/>
  <c r="AA456" i="50"/>
  <c r="AH456" i="50"/>
  <c r="AA1074" i="50"/>
  <c r="AH1074" i="50"/>
  <c r="AA186" i="50"/>
  <c r="AH186" i="50"/>
  <c r="AA156" i="50"/>
  <c r="AH156" i="50"/>
  <c r="AA263" i="50"/>
  <c r="AH263" i="50"/>
  <c r="AA1721" i="50"/>
  <c r="AH1721" i="50"/>
  <c r="AA483" i="50"/>
  <c r="AH483" i="50"/>
  <c r="AA942" i="50"/>
  <c r="AH942" i="50"/>
  <c r="AA1725" i="50"/>
  <c r="AH1725" i="50"/>
  <c r="AA2076" i="50"/>
  <c r="AH2076" i="50"/>
  <c r="AA1263" i="50"/>
  <c r="AH1263" i="50"/>
  <c r="AA264" i="50"/>
  <c r="AH264" i="50"/>
  <c r="AA1236" i="50"/>
  <c r="AH1236" i="50"/>
  <c r="Y103" i="58"/>
  <c r="AA1077" i="50"/>
  <c r="AH1077" i="50" s="1"/>
  <c r="AA1968" i="50"/>
  <c r="AH1968" i="50" s="1"/>
  <c r="AA294" i="50"/>
  <c r="AH294" i="50" s="1"/>
  <c r="AA996" i="50"/>
  <c r="AA618" i="50"/>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T171" i="50"/>
  <c r="Y184" i="50" s="1"/>
  <c r="T184" i="50"/>
  <c r="T180" i="50"/>
  <c r="K170" i="50"/>
  <c r="K1858" i="50"/>
  <c r="AV1858" i="50"/>
  <c r="K791" i="50"/>
  <c r="Q794" i="50"/>
  <c r="T807" i="50"/>
  <c r="T808" i="50"/>
  <c r="AV941" i="50"/>
  <c r="AQ346" i="50"/>
  <c r="K346" i="50" s="1"/>
  <c r="K698" i="50"/>
  <c r="AV698" i="50"/>
  <c r="C275" i="52"/>
  <c r="N24" i="38"/>
  <c r="D437" i="52"/>
  <c r="O389" i="52"/>
  <c r="C480" i="52"/>
  <c r="T210" i="50"/>
  <c r="T211" i="50"/>
  <c r="K197" i="50"/>
  <c r="BA9" i="61"/>
  <c r="T1116" i="50"/>
  <c r="Y1132" i="50"/>
  <c r="T1132" i="50"/>
  <c r="T1131" i="50"/>
  <c r="T1133" i="50"/>
  <c r="T1127" i="50"/>
  <c r="AQ1912" i="50"/>
  <c r="K1912" i="50"/>
  <c r="T430" i="50"/>
  <c r="K413" i="50"/>
  <c r="T426" i="50"/>
  <c r="T431" i="50"/>
  <c r="O360" i="52"/>
  <c r="C361" i="52"/>
  <c r="AQ616" i="50"/>
  <c r="K616" i="50"/>
  <c r="T1564" i="50"/>
  <c r="T1562" i="50"/>
  <c r="AQ1615" i="50"/>
  <c r="AV1615" i="50"/>
  <c r="L6" i="46"/>
  <c r="AL326" i="46"/>
  <c r="AL327" i="46" s="1"/>
  <c r="AL328" i="46"/>
  <c r="AL329" i="46" s="1"/>
  <c r="S329" i="46" s="1"/>
  <c r="L6" i="58"/>
  <c r="AQ833" i="50"/>
  <c r="AA1398" i="50"/>
  <c r="Y168" i="58"/>
  <c r="Y228" i="58"/>
  <c r="AQ617" i="50"/>
  <c r="AV617" i="50"/>
  <c r="AA1964" i="50"/>
  <c r="AH1964" i="50"/>
  <c r="T531" i="50"/>
  <c r="T536" i="50"/>
  <c r="AA1559" i="50"/>
  <c r="AH1559" i="50"/>
  <c r="AA591" i="50"/>
  <c r="AH591" i="50"/>
  <c r="AA938" i="50"/>
  <c r="AH938" i="50"/>
  <c r="T1467" i="50"/>
  <c r="T1481" i="50"/>
  <c r="K1466" i="50"/>
  <c r="T1476" i="50"/>
  <c r="AQ1723" i="50"/>
  <c r="K1723" i="50"/>
  <c r="AA1910" i="50"/>
  <c r="AH1910" i="50"/>
  <c r="Y231" i="58"/>
  <c r="AA1317" i="50"/>
  <c r="AH1317" i="50" s="1"/>
  <c r="AA1941" i="50"/>
  <c r="AH1941" i="50" s="1"/>
  <c r="AA885" i="50"/>
  <c r="AH885" i="50" s="1"/>
  <c r="K1601" i="50"/>
  <c r="T1614" i="50"/>
  <c r="T1618" i="50"/>
  <c r="AA1698" i="50"/>
  <c r="AH1698" i="50"/>
  <c r="AA1857" i="50"/>
  <c r="AH1857" i="50"/>
  <c r="AA2073" i="50"/>
  <c r="AA1073" i="50"/>
  <c r="AH1073" i="50" s="1"/>
  <c r="A172" i="57"/>
  <c r="P195" i="57"/>
  <c r="B158" i="57"/>
  <c r="I154" i="57"/>
  <c r="D153" i="57"/>
  <c r="Y96" i="38"/>
  <c r="G2117" i="50"/>
  <c r="H2117" i="50" s="1"/>
  <c r="H95" i="62"/>
  <c r="I202" i="57"/>
  <c r="U155" i="57"/>
  <c r="D42" i="52"/>
  <c r="G645" i="52"/>
  <c r="O194" i="57"/>
  <c r="G497" i="52"/>
  <c r="S182" i="57"/>
  <c r="Z627" i="52"/>
  <c r="AG627" i="52" s="1"/>
  <c r="F166" i="57"/>
  <c r="U109" i="57"/>
  <c r="M164" i="57"/>
  <c r="U107" i="57"/>
  <c r="I78" i="57"/>
  <c r="S183" i="57"/>
  <c r="Q142" i="57"/>
  <c r="H79" i="57"/>
  <c r="F127" i="57"/>
  <c r="M166" i="57"/>
  <c r="I85" i="57"/>
  <c r="X402" i="52"/>
  <c r="T142" i="57"/>
  <c r="Z618" i="52"/>
  <c r="AG618" i="52"/>
  <c r="G598" i="52"/>
  <c r="G503" i="52"/>
  <c r="X639" i="52"/>
  <c r="H87" i="57"/>
  <c r="L129" i="57"/>
  <c r="N129" i="57"/>
  <c r="G511" i="52"/>
  <c r="M97" i="57"/>
  <c r="Z498" i="52"/>
  <c r="AG498" i="52"/>
  <c r="L124" i="57"/>
  <c r="N124" i="57"/>
  <c r="G617" i="52"/>
  <c r="E197" i="57"/>
  <c r="R202" i="57"/>
  <c r="D135" i="57"/>
  <c r="S152" i="57"/>
  <c r="G160" i="57"/>
  <c r="T175" i="57"/>
  <c r="Y327" i="58"/>
  <c r="N391" i="52"/>
  <c r="AA888" i="50"/>
  <c r="AH888" i="50" s="1"/>
  <c r="AA1047" i="50"/>
  <c r="AA1290" i="50"/>
  <c r="AH1290" i="50"/>
  <c r="AA1938" i="50"/>
  <c r="AH1938" i="50"/>
  <c r="Y132" i="58"/>
  <c r="AA1019" i="50"/>
  <c r="AH1019" i="50" s="1"/>
  <c r="Y359" i="58"/>
  <c r="AA1050" i="50"/>
  <c r="AH1050" i="50"/>
  <c r="AA1452" i="50"/>
  <c r="AH1452" i="50"/>
  <c r="AA1884" i="50"/>
  <c r="AA1023" i="50"/>
  <c r="Y200" i="58"/>
  <c r="AA291" i="50"/>
  <c r="AA507" i="50"/>
  <c r="AH507" i="50"/>
  <c r="AA696" i="50"/>
  <c r="AH696" i="50"/>
  <c r="AA1239" i="50"/>
  <c r="AH1239" i="50"/>
  <c r="AA1397" i="50"/>
  <c r="AH1397" i="50"/>
  <c r="AA912" i="50"/>
  <c r="AH912" i="50"/>
  <c r="AA210" i="50"/>
  <c r="AH210" i="50"/>
  <c r="AA1644" i="50"/>
  <c r="AH1644" i="50"/>
  <c r="AA183" i="50"/>
  <c r="AH183" i="50"/>
  <c r="AA1833" i="50"/>
  <c r="AH1833" i="50"/>
  <c r="N366" i="52"/>
  <c r="AA668" i="50"/>
  <c r="AH668" i="50"/>
  <c r="AA695" i="50"/>
  <c r="AH695" i="50"/>
  <c r="AA1532" i="50"/>
  <c r="AH1532" i="50"/>
  <c r="AA1806" i="50"/>
  <c r="AH1806" i="50"/>
  <c r="N357" i="52"/>
  <c r="AA723" i="50"/>
  <c r="AH723" i="50" s="1"/>
  <c r="AA1293" i="50"/>
  <c r="AH1293" i="50" s="1"/>
  <c r="AA1533" i="50"/>
  <c r="AH1533" i="50" s="1"/>
  <c r="AA2072" i="50"/>
  <c r="AH2072" i="50" s="1"/>
  <c r="N353" i="52"/>
  <c r="N383" i="52"/>
  <c r="AG410" i="52"/>
  <c r="AA1212" i="50"/>
  <c r="AH1212" i="50"/>
  <c r="Y100" i="58"/>
  <c r="AA1370" i="50"/>
  <c r="AH1370" i="50" s="1"/>
  <c r="X26" i="38"/>
  <c r="AA911" i="50"/>
  <c r="AA1856" i="50"/>
  <c r="AH1856" i="50" s="1"/>
  <c r="AA653" i="52"/>
  <c r="AA669" i="52"/>
  <c r="AA661" i="52"/>
  <c r="AA665" i="52"/>
  <c r="P13" i="57"/>
  <c r="I594" i="52"/>
  <c r="I595" i="52"/>
  <c r="I597" i="52"/>
  <c r="AE595" i="52"/>
  <c r="AE594" i="52"/>
  <c r="B387" i="52"/>
  <c r="B435" i="52" s="1"/>
  <c r="B483" i="52"/>
  <c r="B531" i="52" s="1"/>
  <c r="B579" i="52" s="1"/>
  <c r="B627" i="52" s="1"/>
  <c r="B675" i="52" s="1"/>
  <c r="B434" i="52"/>
  <c r="B482" i="52"/>
  <c r="B530" i="52" s="1"/>
  <c r="B578" i="52" s="1"/>
  <c r="B626" i="52" s="1"/>
  <c r="B674" i="52" s="1"/>
  <c r="H437" i="52"/>
  <c r="N437" i="52"/>
  <c r="H424" i="52"/>
  <c r="N424" i="52"/>
  <c r="H418" i="52"/>
  <c r="N418" i="52"/>
  <c r="H420" i="52"/>
  <c r="N420" i="52"/>
  <c r="H415" i="52"/>
  <c r="N415" i="52"/>
  <c r="H412" i="52"/>
  <c r="N412" i="52"/>
  <c r="J481" i="52"/>
  <c r="J465" i="52"/>
  <c r="J482" i="52"/>
  <c r="J459" i="52"/>
  <c r="J494" i="52"/>
  <c r="J453" i="52"/>
  <c r="J450" i="52"/>
  <c r="J451" i="52"/>
  <c r="B393" i="52"/>
  <c r="B440" i="52"/>
  <c r="B488" i="52" s="1"/>
  <c r="B536" i="52" s="1"/>
  <c r="B584" i="52" s="1"/>
  <c r="B632" i="52" s="1"/>
  <c r="B680" i="52" s="1"/>
  <c r="AC465" i="52"/>
  <c r="AC459" i="52"/>
  <c r="AC482" i="52"/>
  <c r="AC481" i="52"/>
  <c r="AC453" i="52"/>
  <c r="AC451" i="52"/>
  <c r="AC494" i="52"/>
  <c r="AC450" i="52"/>
  <c r="K1561" i="50"/>
  <c r="AV1561" i="50"/>
  <c r="C393" i="52"/>
  <c r="O392" i="52"/>
  <c r="C440" i="52"/>
  <c r="T1914" i="50"/>
  <c r="T1915" i="50"/>
  <c r="T1912" i="50"/>
  <c r="T1899" i="50"/>
  <c r="T1911" i="50"/>
  <c r="T1910" i="50"/>
  <c r="T1916" i="50"/>
  <c r="T1913" i="50"/>
  <c r="T1908" i="50"/>
  <c r="K1898" i="50"/>
  <c r="AB653" i="52"/>
  <c r="AB661" i="52"/>
  <c r="AB669" i="52"/>
  <c r="AB665" i="52"/>
  <c r="L594" i="52"/>
  <c r="L595" i="52"/>
  <c r="L481" i="52"/>
  <c r="L451" i="52"/>
  <c r="L453" i="52"/>
  <c r="L459" i="52"/>
  <c r="L494" i="52"/>
  <c r="L482" i="52"/>
  <c r="L450" i="52"/>
  <c r="L465" i="52"/>
  <c r="T1996" i="50"/>
  <c r="T1994" i="50"/>
  <c r="T1980" i="50"/>
  <c r="T1989" i="50"/>
  <c r="T1995" i="50"/>
  <c r="T1997" i="50"/>
  <c r="T1993" i="50"/>
  <c r="K1979" i="50"/>
  <c r="T1992" i="50"/>
  <c r="T1991" i="50"/>
  <c r="O379" i="52"/>
  <c r="C427" i="52"/>
  <c r="AB595" i="52"/>
  <c r="AB594" i="52"/>
  <c r="AB597" i="52"/>
  <c r="AA415" i="52"/>
  <c r="AG415" i="52" s="1"/>
  <c r="AA418" i="52"/>
  <c r="AG418" i="52" s="1"/>
  <c r="AA412" i="52"/>
  <c r="AG412" i="52" s="1"/>
  <c r="AQ1588" i="50"/>
  <c r="D433" i="52"/>
  <c r="O385" i="52"/>
  <c r="AA68" i="58"/>
  <c r="K670" i="50"/>
  <c r="AV670" i="50"/>
  <c r="AQ1534" i="50"/>
  <c r="K1534" i="50" s="1"/>
  <c r="I130" i="58"/>
  <c r="AK130" i="58"/>
  <c r="M130" i="58"/>
  <c r="BA85" i="61"/>
  <c r="E85" i="61" s="1"/>
  <c r="C186" i="58"/>
  <c r="AC229" i="50"/>
  <c r="D451" i="52"/>
  <c r="D499" i="52" s="1"/>
  <c r="D547" i="52"/>
  <c r="D595" i="52" s="1"/>
  <c r="D643" i="52" s="1"/>
  <c r="AK291" i="58"/>
  <c r="M291" i="58"/>
  <c r="AV2075" i="50"/>
  <c r="K2075" i="50"/>
  <c r="AR1287" i="50"/>
  <c r="BC1534" i="50"/>
  <c r="BC1532" i="50"/>
  <c r="Q1521" i="50"/>
  <c r="P305" i="50"/>
  <c r="D431" i="52"/>
  <c r="O383" i="52"/>
  <c r="N410" i="52"/>
  <c r="AA494" i="52"/>
  <c r="AA451" i="52"/>
  <c r="AA453" i="52"/>
  <c r="AA481" i="52"/>
  <c r="AA450" i="52"/>
  <c r="AA482" i="52"/>
  <c r="AA459" i="52"/>
  <c r="AA465" i="52"/>
  <c r="AA595" i="52"/>
  <c r="AG593" i="52"/>
  <c r="K508" i="50"/>
  <c r="AV508" i="50"/>
  <c r="Q576" i="50"/>
  <c r="AV1886" i="50"/>
  <c r="AV509" i="50"/>
  <c r="Y1775" i="50"/>
  <c r="Y1777" i="50"/>
  <c r="AV643" i="50"/>
  <c r="K643" i="50"/>
  <c r="D459" i="52"/>
  <c r="K374" i="50"/>
  <c r="AV374" i="50"/>
  <c r="T857" i="50"/>
  <c r="T858" i="50"/>
  <c r="T860" i="50"/>
  <c r="K845" i="50"/>
  <c r="T862" i="50"/>
  <c r="T846" i="50"/>
  <c r="T861" i="50"/>
  <c r="T855" i="50"/>
  <c r="J177" i="38"/>
  <c r="I177" i="38"/>
  <c r="G177" i="38"/>
  <c r="Q1925" i="50"/>
  <c r="AK1935" i="50"/>
  <c r="I413" i="52"/>
  <c r="M275" i="58"/>
  <c r="W261" i="58"/>
  <c r="R260" i="58"/>
  <c r="H553" i="52"/>
  <c r="H563" i="52"/>
  <c r="N563" i="52"/>
  <c r="H552" i="52"/>
  <c r="N552" i="52" s="1"/>
  <c r="H560" i="52"/>
  <c r="N560" i="52" s="1"/>
  <c r="H546" i="52"/>
  <c r="H547" i="52"/>
  <c r="H576" i="52"/>
  <c r="H583" i="52"/>
  <c r="N583" i="52"/>
  <c r="H548" i="52"/>
  <c r="N548" i="52"/>
  <c r="H584" i="52"/>
  <c r="H579" i="52"/>
  <c r="N579" i="52" s="1"/>
  <c r="H580" i="52"/>
  <c r="H582" i="52"/>
  <c r="H577" i="52"/>
  <c r="H555" i="52"/>
  <c r="N545" i="52"/>
  <c r="H558" i="52"/>
  <c r="Q1259" i="50"/>
  <c r="BE1262" i="50"/>
  <c r="AK1262" i="50"/>
  <c r="AQ238" i="50"/>
  <c r="AV238" i="50" s="1"/>
  <c r="T482" i="50"/>
  <c r="K467" i="50"/>
  <c r="Q122" i="58"/>
  <c r="F393" i="52"/>
  <c r="F441" i="52"/>
  <c r="F489" i="52" s="1"/>
  <c r="F537" i="52"/>
  <c r="F585" i="52" s="1"/>
  <c r="F633" i="52" s="1"/>
  <c r="F681" i="52" s="1"/>
  <c r="R29" i="60"/>
  <c r="Q218" i="58"/>
  <c r="H403" i="52"/>
  <c r="H441" i="52"/>
  <c r="N441" i="52"/>
  <c r="L426" i="52"/>
  <c r="N426" i="52"/>
  <c r="L421" i="52"/>
  <c r="L425" i="52"/>
  <c r="I590" i="52"/>
  <c r="I547" i="52"/>
  <c r="N547" i="52" s="1"/>
  <c r="I546" i="52"/>
  <c r="AQ212" i="50"/>
  <c r="AV212" i="50"/>
  <c r="J175" i="38"/>
  <c r="I175" i="38"/>
  <c r="H175" i="38"/>
  <c r="N143" i="57"/>
  <c r="G115" i="57"/>
  <c r="N146" i="57"/>
  <c r="G85" i="57"/>
  <c r="N141" i="57"/>
  <c r="N164" i="57"/>
  <c r="N192" i="57"/>
  <c r="G103" i="57"/>
  <c r="N191" i="57"/>
  <c r="G122" i="57"/>
  <c r="L81" i="61"/>
  <c r="AJ81" i="61"/>
  <c r="AJ94" i="61"/>
  <c r="B420" i="52"/>
  <c r="B468" i="52"/>
  <c r="B516" i="52" s="1"/>
  <c r="B564" i="52"/>
  <c r="B612" i="52" s="1"/>
  <c r="B660" i="52" s="1"/>
  <c r="B373" i="52"/>
  <c r="AA2018" i="50"/>
  <c r="AA1722" i="50"/>
  <c r="AA1587" i="50"/>
  <c r="AA1208" i="50"/>
  <c r="AA992" i="50"/>
  <c r="AA969" i="50"/>
  <c r="AA803" i="50"/>
  <c r="AA317" i="50"/>
  <c r="AA290" i="50"/>
  <c r="Y263" i="58"/>
  <c r="AA1425" i="50"/>
  <c r="AA1127" i="50"/>
  <c r="AA372" i="50"/>
  <c r="AA1776" i="50"/>
  <c r="AA1586" i="50"/>
  <c r="AA642" i="50"/>
  <c r="AA1887" i="50"/>
  <c r="AA1830" i="50"/>
  <c r="AA1752" i="50"/>
  <c r="AA1424" i="50"/>
  <c r="AA1344" i="50"/>
  <c r="AA834" i="50"/>
  <c r="AA371" i="50"/>
  <c r="Y164" i="58"/>
  <c r="AA1749" i="50"/>
  <c r="AA1131" i="50"/>
  <c r="AA993" i="50"/>
  <c r="AA884" i="50"/>
  <c r="AA426" i="50"/>
  <c r="Y296" i="58"/>
  <c r="Y68" i="58"/>
  <c r="AA399" i="50"/>
  <c r="AA1748" i="50"/>
  <c r="AA453" i="50"/>
  <c r="AA321" i="50"/>
  <c r="AA267" i="50"/>
  <c r="Y72" i="58"/>
  <c r="AA966" i="50"/>
  <c r="AA831" i="50"/>
  <c r="AA534" i="50"/>
  <c r="AA425" i="50"/>
  <c r="AA1455" i="50"/>
  <c r="AA858" i="50"/>
  <c r="AA2019" i="50"/>
  <c r="AA1694" i="50"/>
  <c r="AA777" i="50"/>
  <c r="AA159" i="50"/>
  <c r="AA78" i="50"/>
  <c r="AH78" i="50"/>
  <c r="AA1478" i="50"/>
  <c r="AA965" i="50"/>
  <c r="AA2045" i="50"/>
  <c r="AA776" i="50"/>
  <c r="AA240" i="50"/>
  <c r="AA132" i="50"/>
  <c r="Y324" i="58"/>
  <c r="AA345" i="50"/>
  <c r="AA213" i="50"/>
  <c r="AA564" i="50"/>
  <c r="Y292" i="58"/>
  <c r="C373" i="52"/>
  <c r="C420" i="52"/>
  <c r="P81" i="61"/>
  <c r="P94" i="61"/>
  <c r="AN81" i="61"/>
  <c r="AN94" i="61"/>
  <c r="B36" i="52"/>
  <c r="C41" i="52"/>
  <c r="Q338" i="46"/>
  <c r="AA1185" i="50"/>
  <c r="AA1775" i="50"/>
  <c r="I81" i="61"/>
  <c r="I107" i="61"/>
  <c r="Y196" i="58"/>
  <c r="AA615" i="50"/>
  <c r="AA1046" i="50"/>
  <c r="AG81" i="61"/>
  <c r="AG107" i="61"/>
  <c r="R28" i="60"/>
  <c r="F388" i="52"/>
  <c r="F436" i="52"/>
  <c r="F484" i="52" s="1"/>
  <c r="F532" i="52"/>
  <c r="F580" i="52" s="1"/>
  <c r="F628" i="52" s="1"/>
  <c r="F676" i="52" s="1"/>
  <c r="AA1101" i="50"/>
  <c r="AA1401" i="50"/>
  <c r="AA1860" i="50"/>
  <c r="AA699" i="50"/>
  <c r="AA1128" i="50"/>
  <c r="AA1914" i="50"/>
  <c r="AA1182" i="50"/>
  <c r="AA1479" i="50"/>
  <c r="Y360" i="58"/>
  <c r="AA1158" i="50"/>
  <c r="AA479" i="50"/>
  <c r="AA857" i="50"/>
  <c r="AA480" i="50"/>
  <c r="AA587" i="50"/>
  <c r="AA1995" i="50"/>
  <c r="AA588" i="50"/>
  <c r="AA780" i="50"/>
  <c r="B403" i="52"/>
  <c r="B451" i="52"/>
  <c r="B499" i="52" s="1"/>
  <c r="B547" i="52" s="1"/>
  <c r="B595" i="52" s="1"/>
  <c r="B643" i="52" s="1"/>
  <c r="B356" i="52"/>
  <c r="B404" i="52"/>
  <c r="B452" i="52" s="1"/>
  <c r="B500" i="52" s="1"/>
  <c r="B548" i="52" s="1"/>
  <c r="B596" i="52" s="1"/>
  <c r="B644" i="52" s="1"/>
  <c r="Y909" i="50"/>
  <c r="AR909" i="50" s="1"/>
  <c r="BH899" i="50"/>
  <c r="Y1316" i="50"/>
  <c r="AY1316" i="50"/>
  <c r="BE615" i="50"/>
  <c r="Y1185" i="50"/>
  <c r="AY1185" i="50" s="1"/>
  <c r="Q1955" i="50"/>
  <c r="Y1321" i="50"/>
  <c r="AY1321" i="50"/>
  <c r="Y1700" i="50"/>
  <c r="AY1700" i="50"/>
  <c r="Y1697" i="50"/>
  <c r="AY1697" i="50"/>
  <c r="AC1066" i="50"/>
  <c r="AC1068" i="50"/>
  <c r="AI1530" i="50"/>
  <c r="I1530" i="50"/>
  <c r="H484" i="52"/>
  <c r="Y1077" i="50"/>
  <c r="Y1078" i="50"/>
  <c r="H464" i="52"/>
  <c r="Q737" i="50"/>
  <c r="H452" i="52"/>
  <c r="R1259" i="50"/>
  <c r="BW1250" i="50"/>
  <c r="AC1309" i="50"/>
  <c r="AC1314" i="50"/>
  <c r="AG1530" i="50"/>
  <c r="Q1953" i="50"/>
  <c r="N1520" i="50"/>
  <c r="BT1520" i="50"/>
  <c r="AA163" i="58"/>
  <c r="BE1532" i="50"/>
  <c r="Q1530" i="50"/>
  <c r="Y1318" i="50"/>
  <c r="AY1318" i="50" s="1"/>
  <c r="Q1260" i="50"/>
  <c r="R1523" i="50"/>
  <c r="BV1520" i="50"/>
  <c r="Q1251" i="50"/>
  <c r="BC1263" i="50"/>
  <c r="Y1314" i="50"/>
  <c r="M1314" i="50"/>
  <c r="Y725" i="50"/>
  <c r="AY725" i="50"/>
  <c r="H462" i="52"/>
  <c r="H480" i="52"/>
  <c r="Y1073" i="50"/>
  <c r="AY1073" i="50"/>
  <c r="R1881" i="50"/>
  <c r="BX1871" i="50"/>
  <c r="O472" i="52"/>
  <c r="Q472" i="52"/>
  <c r="Y1155" i="50"/>
  <c r="AY1155" i="50"/>
  <c r="H483" i="52"/>
  <c r="Y1317" i="50"/>
  <c r="AY1317" i="50" s="1"/>
  <c r="AC1147" i="50"/>
  <c r="AC1149" i="50" s="1"/>
  <c r="X514" i="52"/>
  <c r="R1874" i="50"/>
  <c r="BV1871" i="50"/>
  <c r="AK830" i="50"/>
  <c r="AK722" i="50"/>
  <c r="Y1800" i="50"/>
  <c r="BE1263" i="50"/>
  <c r="BD587" i="50"/>
  <c r="R1071" i="50"/>
  <c r="BX1061" i="50" s="1"/>
  <c r="Q1656" i="50"/>
  <c r="N873" i="50"/>
  <c r="BU872" i="50"/>
  <c r="Q578" i="50"/>
  <c r="BE723" i="50"/>
  <c r="AK585" i="50"/>
  <c r="AK1530" i="50"/>
  <c r="BD724" i="50"/>
  <c r="R1260" i="50"/>
  <c r="BX1250" i="50" s="1"/>
  <c r="R69" i="58"/>
  <c r="R70" i="58" s="1"/>
  <c r="X404" i="52"/>
  <c r="R882" i="50"/>
  <c r="BX872" i="50"/>
  <c r="N576" i="50"/>
  <c r="BU575" i="50"/>
  <c r="AK720" i="50"/>
  <c r="Y884" i="50"/>
  <c r="AA132" i="58"/>
  <c r="BD723" i="50"/>
  <c r="N575" i="50"/>
  <c r="BT575" i="50"/>
  <c r="AK1667" i="50"/>
  <c r="R584" i="50"/>
  <c r="BW575" i="50" s="1"/>
  <c r="Q1523" i="50"/>
  <c r="Y882" i="50"/>
  <c r="M882" i="50"/>
  <c r="BC1262" i="50"/>
  <c r="N631" i="52"/>
  <c r="Q1520" i="50"/>
  <c r="BD722" i="50"/>
  <c r="N1250" i="50"/>
  <c r="BT1250" i="50"/>
  <c r="Q1529" i="50"/>
  <c r="R1172" i="50"/>
  <c r="BV1169" i="50" s="1"/>
  <c r="N1521" i="50"/>
  <c r="BU1520" i="50" s="1"/>
  <c r="N519" i="52"/>
  <c r="Y889" i="50"/>
  <c r="AY889" i="50"/>
  <c r="AC877" i="50"/>
  <c r="R578" i="50"/>
  <c r="BV575" i="50" s="1"/>
  <c r="N1791" i="50"/>
  <c r="BU1790" i="50" s="1"/>
  <c r="BE1344" i="50"/>
  <c r="R1253" i="50"/>
  <c r="BV1250" i="50"/>
  <c r="X537" i="52"/>
  <c r="Q710" i="50"/>
  <c r="X621" i="52"/>
  <c r="BC724" i="50"/>
  <c r="Y887" i="50"/>
  <c r="AY887" i="50"/>
  <c r="Y888" i="50"/>
  <c r="AY888" i="50"/>
  <c r="Y885" i="50"/>
  <c r="AY885" i="50"/>
  <c r="Y618" i="50"/>
  <c r="Y1184" i="50"/>
  <c r="AY1184" i="50" s="1"/>
  <c r="N1251" i="50"/>
  <c r="BU1250" i="50" s="1"/>
  <c r="Q585" i="50"/>
  <c r="Q711" i="50"/>
  <c r="Q584" i="50"/>
  <c r="N470" i="52"/>
  <c r="BE1182" i="50"/>
  <c r="BD1263" i="50"/>
  <c r="Y890" i="50"/>
  <c r="AY890" i="50" s="1"/>
  <c r="Y1182" i="50"/>
  <c r="AY1182" i="50" s="1"/>
  <c r="Q1061" i="50"/>
  <c r="AK1665" i="50"/>
  <c r="BC1264" i="50"/>
  <c r="N872" i="50"/>
  <c r="BT872" i="50"/>
  <c r="Y429" i="50"/>
  <c r="R1070" i="50"/>
  <c r="BW1061" i="50" s="1"/>
  <c r="E296" i="52"/>
  <c r="Q1664" i="50"/>
  <c r="N522" i="52"/>
  <c r="R1962" i="50"/>
  <c r="BX1952" i="50"/>
  <c r="BE1451" i="50"/>
  <c r="Y431" i="50"/>
  <c r="Y423" i="50"/>
  <c r="AR423" i="50" s="1"/>
  <c r="BH413" i="50" s="1"/>
  <c r="BD750" i="50"/>
  <c r="Q747" i="50"/>
  <c r="BE993" i="50"/>
  <c r="BC750" i="50"/>
  <c r="AC1536" i="50"/>
  <c r="AO1536" i="50"/>
  <c r="AF1530" i="50"/>
  <c r="AK1638" i="50"/>
  <c r="N628" i="52"/>
  <c r="R746" i="50"/>
  <c r="BW737" i="50" s="1"/>
  <c r="BD2020" i="50"/>
  <c r="Q1115" i="50"/>
  <c r="BE1938" i="50"/>
  <c r="O417" i="52"/>
  <c r="Q417" i="52"/>
  <c r="BE750" i="50"/>
  <c r="Q740" i="50"/>
  <c r="Q1125" i="50"/>
  <c r="AA66" i="58"/>
  <c r="AC66" i="58" s="1"/>
  <c r="Q746" i="50"/>
  <c r="AK165" i="58"/>
  <c r="BD749" i="50"/>
  <c r="BE751" i="50"/>
  <c r="AC1532" i="50"/>
  <c r="AN1532" i="50" s="1"/>
  <c r="BC722" i="50"/>
  <c r="Y643" i="50"/>
  <c r="AY643" i="50" s="1"/>
  <c r="AC1538" i="50"/>
  <c r="AR1538" i="50" s="1"/>
  <c r="BS1520" i="50" s="1"/>
  <c r="R197" i="58"/>
  <c r="R198" i="58"/>
  <c r="BE1694" i="50"/>
  <c r="N523" i="52"/>
  <c r="AK261" i="50"/>
  <c r="BC723" i="50"/>
  <c r="Y427" i="50"/>
  <c r="AK749" i="50"/>
  <c r="N672" i="52"/>
  <c r="Y426" i="50"/>
  <c r="AC426" i="50" s="1"/>
  <c r="AN426" i="50"/>
  <c r="N657" i="52"/>
  <c r="I135" i="58"/>
  <c r="Q720" i="50"/>
  <c r="Q719" i="50"/>
  <c r="Y639" i="50"/>
  <c r="Y724" i="50"/>
  <c r="AY724" i="50" s="1"/>
  <c r="Y1696" i="50"/>
  <c r="AC1696" i="50" s="1"/>
  <c r="BD265" i="50"/>
  <c r="BD1534" i="50"/>
  <c r="L305" i="58"/>
  <c r="BF282" i="58" s="1"/>
  <c r="X527" i="52"/>
  <c r="BE400" i="50"/>
  <c r="Q2063" i="50"/>
  <c r="N625" i="52"/>
  <c r="AE256" i="58"/>
  <c r="L202" i="58"/>
  <c r="BA186" i="58"/>
  <c r="Y726" i="50"/>
  <c r="AY726" i="50"/>
  <c r="BC534" i="50"/>
  <c r="R719" i="50"/>
  <c r="BW710" i="50" s="1"/>
  <c r="AA133" i="58"/>
  <c r="AF133" i="58" s="1"/>
  <c r="AC634" i="50"/>
  <c r="Y369" i="50"/>
  <c r="AR369" i="50"/>
  <c r="BH359" i="50" s="1"/>
  <c r="Y728" i="50"/>
  <c r="AY728" i="50" s="1"/>
  <c r="BE508" i="50"/>
  <c r="Y1322" i="50"/>
  <c r="AY1322" i="50"/>
  <c r="Y1692" i="50"/>
  <c r="M1692" i="50"/>
  <c r="Y720" i="50"/>
  <c r="M720" i="50"/>
  <c r="N478" i="52"/>
  <c r="N618" i="52"/>
  <c r="Y723" i="50"/>
  <c r="AY723" i="50"/>
  <c r="AG555" i="52"/>
  <c r="AK162" i="58"/>
  <c r="M162" i="58" s="1"/>
  <c r="Y1698" i="50"/>
  <c r="R1631" i="50"/>
  <c r="BV1628" i="50"/>
  <c r="AC715" i="50"/>
  <c r="AC717" i="50" s="1"/>
  <c r="N513" i="52"/>
  <c r="Q261" i="50"/>
  <c r="L273" i="58"/>
  <c r="BF250" i="58" s="1"/>
  <c r="AF1692" i="50"/>
  <c r="Y373" i="50"/>
  <c r="AY373" i="50"/>
  <c r="Y1694" i="50"/>
  <c r="Y727" i="50"/>
  <c r="AY727" i="50" s="1"/>
  <c r="Y1695" i="50"/>
  <c r="AY1695" i="50" s="1"/>
  <c r="L304" i="58"/>
  <c r="AP259" i="58"/>
  <c r="AP261" i="58"/>
  <c r="Y372" i="50"/>
  <c r="AY372" i="50"/>
  <c r="BE1046" i="50"/>
  <c r="I263" i="58"/>
  <c r="R720" i="50"/>
  <c r="BX710" i="50"/>
  <c r="BZ391" i="50"/>
  <c r="BZ396" i="50"/>
  <c r="N557" i="52"/>
  <c r="N279" i="50"/>
  <c r="BU278" i="50" s="1"/>
  <c r="BE1966" i="50"/>
  <c r="Y642" i="50"/>
  <c r="AY642" i="50"/>
  <c r="Y647" i="50"/>
  <c r="AY647" i="50"/>
  <c r="BC1696" i="50"/>
  <c r="BE1181" i="50"/>
  <c r="Y1699" i="50"/>
  <c r="AC1699" i="50"/>
  <c r="N710" i="50"/>
  <c r="BT710" i="50"/>
  <c r="Q1685" i="50"/>
  <c r="AC1689" i="50"/>
  <c r="Y620" i="50"/>
  <c r="AY620" i="50"/>
  <c r="Y1808" i="50"/>
  <c r="AY1808" i="50" s="1"/>
  <c r="AK164" i="58"/>
  <c r="BC1775" i="50"/>
  <c r="N711" i="50"/>
  <c r="BU710" i="50" s="1"/>
  <c r="Y614" i="50"/>
  <c r="AO259" i="58"/>
  <c r="AO261" i="58"/>
  <c r="BE1289" i="50"/>
  <c r="BE1885" i="50"/>
  <c r="BE1642" i="50"/>
  <c r="Y646" i="50"/>
  <c r="AY646" i="50" s="1"/>
  <c r="W264" i="58"/>
  <c r="I264" i="58"/>
  <c r="R1692" i="50"/>
  <c r="BX1682" i="50"/>
  <c r="Y836" i="50"/>
  <c r="AY836" i="50"/>
  <c r="Y644" i="50"/>
  <c r="AY644" i="50"/>
  <c r="Y831" i="50"/>
  <c r="AY831" i="50"/>
  <c r="R713" i="50"/>
  <c r="BV710" i="50"/>
  <c r="Y619" i="50"/>
  <c r="AY619" i="50"/>
  <c r="L272" i="58"/>
  <c r="BE250" i="58"/>
  <c r="N1628" i="50"/>
  <c r="BT1628" i="50"/>
  <c r="Q1952" i="50"/>
  <c r="Y290" i="50"/>
  <c r="AY290" i="50" s="1"/>
  <c r="BC588" i="50"/>
  <c r="BE1804" i="50"/>
  <c r="Y1510" i="50"/>
  <c r="N507" i="52"/>
  <c r="L74" i="58"/>
  <c r="BA58" i="58" s="1"/>
  <c r="R133" i="58"/>
  <c r="R134" i="58" s="1"/>
  <c r="Q827" i="50"/>
  <c r="AK2070" i="50"/>
  <c r="Y1349" i="50"/>
  <c r="AY1349" i="50" s="1"/>
  <c r="BE886" i="50"/>
  <c r="AK1802" i="50"/>
  <c r="AA67" i="58"/>
  <c r="AE67" i="58" s="1"/>
  <c r="AU58" i="58" s="1"/>
  <c r="Y1503" i="50"/>
  <c r="AR1503" i="50"/>
  <c r="BH1493" i="50" s="1"/>
  <c r="AO67" i="58"/>
  <c r="AO68" i="58" s="1"/>
  <c r="AO70" i="58" s="1"/>
  <c r="N1170" i="50"/>
  <c r="BU1169" i="50"/>
  <c r="Y1750" i="50"/>
  <c r="AY1750" i="50"/>
  <c r="AG411" i="52"/>
  <c r="BE1641" i="50"/>
  <c r="N278" i="50"/>
  <c r="BT278" i="50"/>
  <c r="I195" i="58"/>
  <c r="AK133" i="58"/>
  <c r="M133" i="58" s="1"/>
  <c r="N561" i="52"/>
  <c r="I164" i="58"/>
  <c r="Q818" i="50"/>
  <c r="Y1672" i="50"/>
  <c r="AY1672" i="50"/>
  <c r="L138" i="58"/>
  <c r="BA122" i="58"/>
  <c r="Y616" i="50"/>
  <c r="AY616" i="50"/>
  <c r="R1658" i="50"/>
  <c r="BV1655" i="50"/>
  <c r="AC1174" i="50"/>
  <c r="AC1179" i="50"/>
  <c r="BD2074" i="50"/>
  <c r="R827" i="50"/>
  <c r="BW818" i="50" s="1"/>
  <c r="Y1506" i="50"/>
  <c r="AY1506" i="50" s="1"/>
  <c r="Q279" i="50"/>
  <c r="Y1183" i="50"/>
  <c r="AY1183" i="50"/>
  <c r="N1169" i="50"/>
  <c r="BT1169" i="50"/>
  <c r="AK288" i="50"/>
  <c r="BD264" i="50"/>
  <c r="BD290" i="50"/>
  <c r="BZ1012" i="50"/>
  <c r="BZ1017" i="50" s="1"/>
  <c r="N654" i="52"/>
  <c r="BC264" i="50"/>
  <c r="AW108" i="61"/>
  <c r="R1584" i="50"/>
  <c r="BX1574" i="50"/>
  <c r="R821" i="50"/>
  <c r="BV818" i="50"/>
  <c r="Y1505" i="50"/>
  <c r="AY1505" i="50"/>
  <c r="AK828" i="50"/>
  <c r="AK1692" i="50"/>
  <c r="L170" i="58"/>
  <c r="BA154" i="58"/>
  <c r="Y1181" i="50"/>
  <c r="AY1181" i="50"/>
  <c r="R1178" i="50"/>
  <c r="BW1169" i="50"/>
  <c r="L80" i="58"/>
  <c r="BE58" i="58"/>
  <c r="Y1341" i="50"/>
  <c r="AR1341" i="50"/>
  <c r="B41" i="57"/>
  <c r="Q251" i="50"/>
  <c r="R828" i="50"/>
  <c r="BX818" i="50"/>
  <c r="AC1498" i="50"/>
  <c r="AC1500" i="50"/>
  <c r="AK2016" i="50"/>
  <c r="Q2060" i="50"/>
  <c r="BE1290" i="50"/>
  <c r="BD1696" i="50"/>
  <c r="Q1692" i="50"/>
  <c r="AO163" i="58"/>
  <c r="AO165" i="58" s="1"/>
  <c r="R1955" i="50"/>
  <c r="BV1952" i="50" s="1"/>
  <c r="BE884" i="50"/>
  <c r="R2069" i="50"/>
  <c r="BW2060" i="50"/>
  <c r="N1629" i="50"/>
  <c r="BU1628" i="50"/>
  <c r="Y2077" i="50"/>
  <c r="AY2077" i="50"/>
  <c r="Y1348" i="50"/>
  <c r="AY1348" i="50"/>
  <c r="M1530" i="50"/>
  <c r="N819" i="50"/>
  <c r="BU818" i="50" s="1"/>
  <c r="Q260" i="50"/>
  <c r="I101" i="58"/>
  <c r="AA195" i="58"/>
  <c r="AF195" i="58" s="1"/>
  <c r="AP164" i="58"/>
  <c r="AP166" i="58" s="1"/>
  <c r="Q2069" i="50"/>
  <c r="Q288" i="50"/>
  <c r="M320" i="58"/>
  <c r="AK1694" i="50"/>
  <c r="L176" i="58"/>
  <c r="BE154" i="58" s="1"/>
  <c r="Y295" i="50"/>
  <c r="AY295" i="50" s="1"/>
  <c r="AC526" i="50"/>
  <c r="BE2072" i="50"/>
  <c r="AC283" i="50"/>
  <c r="E291" i="52"/>
  <c r="BE1588" i="50"/>
  <c r="I67" i="58"/>
  <c r="AK2072" i="50"/>
  <c r="R1637" i="50"/>
  <c r="BW1628" i="50"/>
  <c r="R1691" i="50"/>
  <c r="BW1682" i="50"/>
  <c r="L177" i="58"/>
  <c r="BF154" i="58"/>
  <c r="N605" i="52"/>
  <c r="BD1047" i="50"/>
  <c r="R1745" i="50"/>
  <c r="BW1736" i="50"/>
  <c r="Y538" i="50"/>
  <c r="AY538" i="50"/>
  <c r="BE2074" i="50"/>
  <c r="Y534" i="50"/>
  <c r="AY534" i="50" s="1"/>
  <c r="BE2073" i="50"/>
  <c r="BE1695" i="50"/>
  <c r="B49" i="57"/>
  <c r="BD1586" i="50"/>
  <c r="X634" i="52"/>
  <c r="Q2061" i="50"/>
  <c r="AP131" i="58"/>
  <c r="AP133" i="58" s="1"/>
  <c r="AK290" i="50"/>
  <c r="N1683" i="50"/>
  <c r="BU1682" i="50"/>
  <c r="X644" i="52"/>
  <c r="AP68" i="58"/>
  <c r="AP70" i="58" s="1"/>
  <c r="I198" i="58"/>
  <c r="BE1965" i="50"/>
  <c r="N438" i="52"/>
  <c r="Y535" i="50"/>
  <c r="AY535" i="50"/>
  <c r="BD1694" i="50"/>
  <c r="Y1344" i="50"/>
  <c r="AY1344" i="50" s="1"/>
  <c r="AK135" i="58"/>
  <c r="Q278" i="50"/>
  <c r="R288" i="50"/>
  <c r="BX278" i="50" s="1"/>
  <c r="Q1682" i="50"/>
  <c r="AC1537" i="50"/>
  <c r="Q821" i="50"/>
  <c r="N1575" i="50"/>
  <c r="BU1574" i="50"/>
  <c r="Y536" i="50"/>
  <c r="AY536" i="50"/>
  <c r="R1685" i="50"/>
  <c r="BV1682" i="50"/>
  <c r="Y1509" i="50"/>
  <c r="AY1509" i="50"/>
  <c r="L362" i="58"/>
  <c r="BA346" i="58"/>
  <c r="M1746" i="50"/>
  <c r="AC1336" i="50"/>
  <c r="AC1338" i="50" s="1"/>
  <c r="N1682" i="50"/>
  <c r="BT1682" i="50" s="1"/>
  <c r="N1332" i="50"/>
  <c r="BU1331" i="50" s="1"/>
  <c r="Y1343" i="50"/>
  <c r="AY1343" i="50" s="1"/>
  <c r="O390" i="52"/>
  <c r="Q390" i="52" s="1"/>
  <c r="AY108" i="61"/>
  <c r="Y539" i="50"/>
  <c r="AY539" i="50"/>
  <c r="N586" i="52"/>
  <c r="BE1696" i="50"/>
  <c r="BZ1601" i="50"/>
  <c r="Y1511" i="50"/>
  <c r="L369" i="58"/>
  <c r="BF346" i="58"/>
  <c r="C486" i="52"/>
  <c r="N417" i="52"/>
  <c r="Y1345" i="50"/>
  <c r="AY1345" i="50"/>
  <c r="N1952" i="50"/>
  <c r="BT1952" i="50"/>
  <c r="Y537" i="50"/>
  <c r="Y1508" i="50"/>
  <c r="AY1508" i="50" s="1"/>
  <c r="L75" i="58"/>
  <c r="BB58" i="58" s="1"/>
  <c r="Q281" i="50"/>
  <c r="BD830" i="50"/>
  <c r="Y1346" i="50"/>
  <c r="AY1346" i="50" s="1"/>
  <c r="R1502" i="50"/>
  <c r="BW1493" i="50" s="1"/>
  <c r="L81" i="58"/>
  <c r="BF58" i="58" s="1"/>
  <c r="Q819" i="50"/>
  <c r="L171" i="58"/>
  <c r="BB154" i="58"/>
  <c r="R638" i="50"/>
  <c r="BW629" i="50"/>
  <c r="AK1964" i="50"/>
  <c r="Y641" i="50"/>
  <c r="AY641" i="50" s="1"/>
  <c r="AV1156" i="50"/>
  <c r="N526" i="52"/>
  <c r="R773" i="50"/>
  <c r="BW764" i="50" s="1"/>
  <c r="AE130" i="58"/>
  <c r="AT122" i="58" s="1"/>
  <c r="N1493" i="50"/>
  <c r="BT1493" i="50" s="1"/>
  <c r="Y615" i="50"/>
  <c r="AY615" i="50" s="1"/>
  <c r="F380" i="52"/>
  <c r="F428" i="52" s="1"/>
  <c r="F476" i="52" s="1"/>
  <c r="F524" i="52" s="1"/>
  <c r="F572" i="52" s="1"/>
  <c r="F620" i="52" s="1"/>
  <c r="F668" i="52" s="1"/>
  <c r="BD2018" i="50"/>
  <c r="N472" i="52"/>
  <c r="Q2042" i="50"/>
  <c r="X648" i="52"/>
  <c r="BZ1844" i="50"/>
  <c r="Y617" i="50"/>
  <c r="AY617" i="50" s="1"/>
  <c r="BE641" i="50"/>
  <c r="Y1618" i="50"/>
  <c r="AC607" i="50"/>
  <c r="AC612" i="50" s="1"/>
  <c r="AC614" i="50" s="1"/>
  <c r="AV1616" i="50"/>
  <c r="N659" i="52"/>
  <c r="Y1616" i="50"/>
  <c r="AY1532" i="50"/>
  <c r="BZ170" i="50"/>
  <c r="Y1611" i="50"/>
  <c r="AR1611" i="50" s="1"/>
  <c r="BZ629" i="50"/>
  <c r="BE1128" i="50"/>
  <c r="BD291" i="50"/>
  <c r="BE291" i="50"/>
  <c r="Y782" i="50"/>
  <c r="AY782" i="50" s="1"/>
  <c r="Y1806" i="50"/>
  <c r="AY1806" i="50" s="1"/>
  <c r="O418" i="52"/>
  <c r="Q418" i="52" s="1"/>
  <c r="AG664" i="52"/>
  <c r="Y776" i="50"/>
  <c r="AY776" i="50"/>
  <c r="F377" i="52"/>
  <c r="F425" i="52"/>
  <c r="F473" i="52" s="1"/>
  <c r="F521" i="52" s="1"/>
  <c r="F569" i="52" s="1"/>
  <c r="F617" i="52" s="1"/>
  <c r="F665" i="52" s="1"/>
  <c r="BE1964" i="50"/>
  <c r="AF134" i="58"/>
  <c r="AG134" i="58"/>
  <c r="AE134" i="58"/>
  <c r="AX122" i="58"/>
  <c r="BE805" i="50"/>
  <c r="Y398" i="50"/>
  <c r="AY398" i="50" s="1"/>
  <c r="N1844" i="50"/>
  <c r="BT1844" i="50" s="1"/>
  <c r="BE1667" i="50"/>
  <c r="AC364" i="50"/>
  <c r="Y1854" i="50"/>
  <c r="Y374" i="50"/>
  <c r="R1800" i="50"/>
  <c r="BX1790" i="50" s="1"/>
  <c r="L330" i="58"/>
  <c r="BA314" i="58" s="1"/>
  <c r="L234" i="58"/>
  <c r="BA218" i="58" s="1"/>
  <c r="N1331" i="50"/>
  <c r="BT1331" i="50" s="1"/>
  <c r="Q1871" i="50"/>
  <c r="BE1074" i="50"/>
  <c r="N549" i="50"/>
  <c r="BU548" i="50" s="1"/>
  <c r="BC589" i="50"/>
  <c r="BC535" i="50"/>
  <c r="BE1127" i="50"/>
  <c r="B56" i="57"/>
  <c r="N1737" i="50"/>
  <c r="BU1736" i="50" s="1"/>
  <c r="Q1118" i="50"/>
  <c r="Q1116" i="50"/>
  <c r="I196" i="58"/>
  <c r="AA290" i="58"/>
  <c r="Y1050" i="50"/>
  <c r="AY1050" i="50" s="1"/>
  <c r="R1793" i="50"/>
  <c r="BV1790" i="50" s="1"/>
  <c r="BE1883" i="50"/>
  <c r="AK1071" i="50"/>
  <c r="AK1073" i="50"/>
  <c r="BD1885" i="50"/>
  <c r="AC1660" i="50"/>
  <c r="AC1665" i="50"/>
  <c r="AK1125" i="50"/>
  <c r="Y1646" i="50"/>
  <c r="AY1646" i="50" s="1"/>
  <c r="V72" i="38"/>
  <c r="Y1044" i="50"/>
  <c r="I325" i="58"/>
  <c r="B382" i="52"/>
  <c r="B430" i="52" s="1"/>
  <c r="B478" i="52" s="1"/>
  <c r="B526" i="52" s="1"/>
  <c r="B574" i="52" s="1"/>
  <c r="B622" i="52" s="1"/>
  <c r="B670" i="52" s="1"/>
  <c r="AA292" i="58"/>
  <c r="AC292" i="58"/>
  <c r="BC1776" i="50"/>
  <c r="R290" i="58"/>
  <c r="R291" i="58" s="1"/>
  <c r="BC1804" i="50"/>
  <c r="BC1073" i="50"/>
  <c r="AA263" i="58"/>
  <c r="AE263" i="58" s="1"/>
  <c r="AY250" i="58" s="1"/>
  <c r="AC420" i="50"/>
  <c r="BD2019" i="50"/>
  <c r="Q1655" i="50"/>
  <c r="BE1640" i="50"/>
  <c r="AV751" i="50"/>
  <c r="X473" i="52"/>
  <c r="X525" i="52"/>
  <c r="BE506" i="50"/>
  <c r="R1766" i="50"/>
  <c r="BV1763" i="50"/>
  <c r="AK295" i="58"/>
  <c r="BC1642" i="50"/>
  <c r="R1746" i="50"/>
  <c r="BX1736" i="50"/>
  <c r="R226" i="58"/>
  <c r="R227" i="58"/>
  <c r="AK196" i="58"/>
  <c r="I295" i="58"/>
  <c r="BD1777" i="50"/>
  <c r="I290" i="58"/>
  <c r="BD1749" i="50"/>
  <c r="Y1052" i="50"/>
  <c r="AY1052" i="50" s="1"/>
  <c r="BC1858" i="50"/>
  <c r="I162" i="58"/>
  <c r="R1665" i="50"/>
  <c r="BX1655" i="50" s="1"/>
  <c r="X508" i="52"/>
  <c r="N1061" i="50"/>
  <c r="BT1061" i="50"/>
  <c r="AC1039" i="50"/>
  <c r="AC1041" i="50"/>
  <c r="AX108" i="61"/>
  <c r="BD1775" i="50"/>
  <c r="Q1638" i="50"/>
  <c r="N485" i="52"/>
  <c r="BD588" i="50"/>
  <c r="Q1064" i="50"/>
  <c r="BD589" i="50"/>
  <c r="Y293" i="50"/>
  <c r="AY293" i="50" s="1"/>
  <c r="L299" i="58"/>
  <c r="BB282" i="58" s="1"/>
  <c r="AG597" i="52"/>
  <c r="Y288" i="50"/>
  <c r="AR288" i="50"/>
  <c r="N1764" i="50"/>
  <c r="BU1763" i="50"/>
  <c r="N1062" i="50"/>
  <c r="BU1061" i="50"/>
  <c r="N1871" i="50"/>
  <c r="BT1871" i="50"/>
  <c r="R2009" i="50"/>
  <c r="BV2006" i="50"/>
  <c r="Y1047" i="50"/>
  <c r="AY1047" i="50"/>
  <c r="Y1644" i="50"/>
  <c r="AY1644" i="50"/>
  <c r="AK1343" i="50"/>
  <c r="Q388" i="52"/>
  <c r="R281" i="50"/>
  <c r="BV278" i="50"/>
  <c r="Y1668" i="50"/>
  <c r="AY1668" i="50"/>
  <c r="Y1641" i="50"/>
  <c r="AY1641" i="50"/>
  <c r="Y1638" i="50"/>
  <c r="Y292" i="50"/>
  <c r="AY292" i="50" s="1"/>
  <c r="Y400" i="50"/>
  <c r="AY400" i="50" s="1"/>
  <c r="N1763" i="50"/>
  <c r="BT1763" i="50" s="1"/>
  <c r="AC1854" i="50"/>
  <c r="N2061" i="50"/>
  <c r="BU2060" i="50"/>
  <c r="Y296" i="50"/>
  <c r="AY296" i="50"/>
  <c r="BC1075" i="50"/>
  <c r="AC391" i="50"/>
  <c r="AC396" i="50" s="1"/>
  <c r="X435" i="52"/>
  <c r="N622" i="52"/>
  <c r="Y1642" i="50"/>
  <c r="AY1642" i="50" s="1"/>
  <c r="AU108" i="61"/>
  <c r="BC1641" i="50"/>
  <c r="BD1858" i="50"/>
  <c r="R1739" i="50"/>
  <c r="BV1736" i="50"/>
  <c r="BE292" i="50"/>
  <c r="Y1643" i="50"/>
  <c r="AY1643" i="50" s="1"/>
  <c r="Q391" i="52"/>
  <c r="BD1075" i="50"/>
  <c r="Q1746" i="50"/>
  <c r="L298" i="58"/>
  <c r="BA282" i="58"/>
  <c r="Y2074" i="50"/>
  <c r="AY2074" i="50"/>
  <c r="AO291" i="58"/>
  <c r="N1736" i="50"/>
  <c r="BT1736" i="50" s="1"/>
  <c r="Y1160" i="50"/>
  <c r="AY1160" i="50" s="1"/>
  <c r="Y294" i="50"/>
  <c r="AY294" i="50" s="1"/>
  <c r="BD1074" i="50"/>
  <c r="Y399" i="50"/>
  <c r="AY399" i="50"/>
  <c r="AG405" i="52"/>
  <c r="N562" i="52"/>
  <c r="L267" i="58"/>
  <c r="BB250" i="58"/>
  <c r="Y1158" i="50"/>
  <c r="AY1158" i="50"/>
  <c r="BC1640" i="50"/>
  <c r="Y1645" i="50"/>
  <c r="AY1645" i="50" s="1"/>
  <c r="BE562" i="50"/>
  <c r="N468" i="52"/>
  <c r="AE131" i="58"/>
  <c r="AU122" i="58" s="1"/>
  <c r="Y377" i="50"/>
  <c r="AY377" i="50" s="1"/>
  <c r="AK199" i="58"/>
  <c r="I134" i="58"/>
  <c r="BD1021" i="50"/>
  <c r="BZ1849" i="50"/>
  <c r="BZ1854" i="50"/>
  <c r="Q1071" i="50"/>
  <c r="Y403" i="50"/>
  <c r="AY403" i="50" s="1"/>
  <c r="R314" i="50"/>
  <c r="BW305" i="50" s="1"/>
  <c r="Q1658" i="50"/>
  <c r="AO323" i="58"/>
  <c r="AO325" i="58"/>
  <c r="AC131" i="58"/>
  <c r="AC1700" i="50"/>
  <c r="X599" i="52"/>
  <c r="N568" i="52"/>
  <c r="Y1860" i="50"/>
  <c r="AY1860" i="50"/>
  <c r="BE1884" i="50"/>
  <c r="Q1881" i="50"/>
  <c r="BE1075" i="50"/>
  <c r="Y402" i="50"/>
  <c r="AY402" i="50" s="1"/>
  <c r="N2060" i="50"/>
  <c r="BT2060" i="50" s="1"/>
  <c r="L337" i="58"/>
  <c r="BF314" i="58"/>
  <c r="AK134" i="58"/>
  <c r="M134" i="58"/>
  <c r="Y1051" i="50"/>
  <c r="AY1051" i="50"/>
  <c r="C429" i="52"/>
  <c r="C477" i="52"/>
  <c r="C382" i="52"/>
  <c r="C430" i="52"/>
  <c r="R2070" i="50"/>
  <c r="BX2060" i="50"/>
  <c r="AK324" i="58"/>
  <c r="Y376" i="50"/>
  <c r="AY376" i="50" s="1"/>
  <c r="Y1859" i="50"/>
  <c r="AY1859" i="50" s="1"/>
  <c r="Q1872" i="50"/>
  <c r="Q1062" i="50"/>
  <c r="R2063" i="50"/>
  <c r="BV2060" i="50" s="1"/>
  <c r="R287" i="50"/>
  <c r="BW278" i="50" s="1"/>
  <c r="BD507" i="50"/>
  <c r="AP323" i="58"/>
  <c r="Q1962" i="50"/>
  <c r="AK1962" i="50"/>
  <c r="Y752" i="50"/>
  <c r="AY752" i="50" s="1"/>
  <c r="R1880" i="50"/>
  <c r="BW1871" i="50" s="1"/>
  <c r="BE1073" i="50"/>
  <c r="BD1073" i="50"/>
  <c r="AG546" i="52"/>
  <c r="N581" i="52"/>
  <c r="BD2073" i="50"/>
  <c r="BD1129" i="50"/>
  <c r="BE749" i="50"/>
  <c r="BC1074" i="50"/>
  <c r="Y371" i="50"/>
  <c r="AY371" i="50" s="1"/>
  <c r="I324" i="58"/>
  <c r="BC1883" i="50"/>
  <c r="BE1129" i="50"/>
  <c r="L336" i="58"/>
  <c r="L235" i="58"/>
  <c r="BB218" i="58" s="1"/>
  <c r="BE1345" i="50"/>
  <c r="AK1883" i="50"/>
  <c r="R1064" i="50"/>
  <c r="BV1061" i="50" s="1"/>
  <c r="N1872" i="50"/>
  <c r="BU1871" i="50" s="1"/>
  <c r="G220" i="38"/>
  <c r="AK1127" i="50"/>
  <c r="Y1156" i="50"/>
  <c r="AY1156" i="50" s="1"/>
  <c r="AF130" i="58"/>
  <c r="AG130" i="58" s="1"/>
  <c r="BZ1606" i="50"/>
  <c r="BZ1608" i="50" s="1"/>
  <c r="R1847" i="50"/>
  <c r="BV1844" i="50" s="1"/>
  <c r="BE533" i="50"/>
  <c r="BE263" i="50"/>
  <c r="AV1454" i="50"/>
  <c r="Y1157" i="50"/>
  <c r="AY1157" i="50"/>
  <c r="BE534" i="50"/>
  <c r="AO196" i="58"/>
  <c r="AO198" i="58" s="1"/>
  <c r="BD1721" i="50"/>
  <c r="AK358" i="58"/>
  <c r="M358" i="58"/>
  <c r="I66" i="58"/>
  <c r="N620" i="52"/>
  <c r="BZ197" i="50"/>
  <c r="R260" i="50"/>
  <c r="BW251" i="50" s="1"/>
  <c r="BE535" i="50"/>
  <c r="I293" i="58"/>
  <c r="Q252" i="50"/>
  <c r="W328" i="58"/>
  <c r="BE1587" i="50"/>
  <c r="BE265" i="50"/>
  <c r="K8" i="50"/>
  <c r="N1845" i="50"/>
  <c r="BU1844" i="50"/>
  <c r="BE587" i="50"/>
  <c r="BZ737" i="50"/>
  <c r="BE965" i="50"/>
  <c r="BC265" i="50"/>
  <c r="I163" i="58"/>
  <c r="R1772" i="50"/>
  <c r="BW1763" i="50" s="1"/>
  <c r="BE345" i="50"/>
  <c r="X624" i="52"/>
  <c r="AR1314" i="50"/>
  <c r="BH1304" i="50" s="1"/>
  <c r="BZ1250" i="50"/>
  <c r="Q254" i="50"/>
  <c r="C435" i="52"/>
  <c r="C483" i="52" s="1"/>
  <c r="N566" i="52"/>
  <c r="Y560" i="50"/>
  <c r="AY560" i="50"/>
  <c r="H150" i="62"/>
  <c r="X619" i="52"/>
  <c r="BD2072" i="50"/>
  <c r="Y238" i="50"/>
  <c r="AY238" i="50" s="1"/>
  <c r="BZ1034" i="50"/>
  <c r="AK533" i="50"/>
  <c r="X600" i="52"/>
  <c r="N501" i="52"/>
  <c r="BD831" i="50"/>
  <c r="R503" i="50"/>
  <c r="BW494" i="50"/>
  <c r="AK132" i="58"/>
  <c r="N416" i="52"/>
  <c r="AC1633" i="50"/>
  <c r="AC1635" i="50"/>
  <c r="BZ688" i="50"/>
  <c r="BZ693" i="50"/>
  <c r="N530" i="52"/>
  <c r="Y508" i="50"/>
  <c r="AY508" i="50" s="1"/>
  <c r="BZ359" i="50"/>
  <c r="AG668" i="52"/>
  <c r="BC238" i="50"/>
  <c r="BC1506" i="50"/>
  <c r="AP355" i="58"/>
  <c r="AP356" i="58" s="1"/>
  <c r="AP358" i="58" s="1"/>
  <c r="R1232" i="50"/>
  <c r="BW1223" i="50"/>
  <c r="BD1883" i="50"/>
  <c r="AA101" i="58"/>
  <c r="AE101" i="58" s="1"/>
  <c r="AW90" i="58" s="1"/>
  <c r="BD832" i="50"/>
  <c r="AV454" i="50"/>
  <c r="N1143" i="50"/>
  <c r="BU1142" i="50"/>
  <c r="BE290" i="50"/>
  <c r="AS423" i="50"/>
  <c r="AT423" i="50" s="1"/>
  <c r="AA230" i="58"/>
  <c r="AF230" i="58" s="1"/>
  <c r="AK263" i="50"/>
  <c r="BZ1196" i="50"/>
  <c r="Y1154" i="50"/>
  <c r="AY1154" i="50" s="1"/>
  <c r="AG402" i="52"/>
  <c r="Y2078" i="50"/>
  <c r="AY2078" i="50"/>
  <c r="Y2075" i="50"/>
  <c r="AY2075" i="50"/>
  <c r="Y2072" i="50"/>
  <c r="AY2072" i="50"/>
  <c r="AC2065" i="50"/>
  <c r="Y2073" i="50"/>
  <c r="AY2073" i="50" s="1"/>
  <c r="Y2076" i="50"/>
  <c r="AY2076" i="50" s="1"/>
  <c r="Y2070" i="50"/>
  <c r="G205" i="38"/>
  <c r="L209" i="58"/>
  <c r="BF186" i="58" s="1"/>
  <c r="AA326" i="58"/>
  <c r="AE326" i="58" s="1"/>
  <c r="AX314" i="58" s="1"/>
  <c r="Y565" i="50"/>
  <c r="AY565" i="50"/>
  <c r="L203" i="58"/>
  <c r="BB186" i="58"/>
  <c r="L208" i="58"/>
  <c r="BE186" i="58"/>
  <c r="BE2019" i="50"/>
  <c r="N673" i="52"/>
  <c r="AA198" i="58"/>
  <c r="Y428" i="50"/>
  <c r="Y425" i="50"/>
  <c r="AY425" i="50"/>
  <c r="Y430" i="50"/>
  <c r="AY430" i="50"/>
  <c r="Q765" i="50"/>
  <c r="I326" i="58"/>
  <c r="Y1858" i="50"/>
  <c r="AY1858" i="50"/>
  <c r="M1152" i="50"/>
  <c r="AC553" i="50"/>
  <c r="AC558" i="50" s="1"/>
  <c r="W72" i="58"/>
  <c r="AE64" i="58"/>
  <c r="Q2036" i="50"/>
  <c r="AP195" i="58"/>
  <c r="AP196" i="58"/>
  <c r="AP198" i="58" s="1"/>
  <c r="BE778" i="50"/>
  <c r="Y1857" i="50"/>
  <c r="AY1857" i="50"/>
  <c r="Q2015" i="50"/>
  <c r="Y558" i="50"/>
  <c r="N575" i="52"/>
  <c r="BC506" i="50"/>
  <c r="BZ1282" i="50"/>
  <c r="BZ1284" i="50"/>
  <c r="Q522" i="50"/>
  <c r="Y1856" i="50"/>
  <c r="AY1856" i="50" s="1"/>
  <c r="Y562" i="50"/>
  <c r="BZ634" i="50"/>
  <c r="BZ639" i="50"/>
  <c r="BZ791" i="50"/>
  <c r="Y1862" i="50"/>
  <c r="AY1862" i="50" s="1"/>
  <c r="BE264" i="50"/>
  <c r="BE1397" i="50"/>
  <c r="Y563" i="50"/>
  <c r="AY563" i="50" s="1"/>
  <c r="AO355" i="58"/>
  <c r="AO357" i="58" s="1"/>
  <c r="Y566" i="50"/>
  <c r="AY566" i="50" s="1"/>
  <c r="BC749" i="50"/>
  <c r="BC263" i="50"/>
  <c r="BC776" i="50"/>
  <c r="Y1861" i="50"/>
  <c r="AY1861" i="50"/>
  <c r="Y1159" i="50"/>
  <c r="AY1159" i="50"/>
  <c r="Y561" i="50"/>
  <c r="AY561" i="50"/>
  <c r="AK747" i="50"/>
  <c r="Q738" i="50"/>
  <c r="R605" i="50"/>
  <c r="BV602" i="50"/>
  <c r="BD2046" i="50"/>
  <c r="AK614" i="50"/>
  <c r="AK612" i="50"/>
  <c r="BD616" i="50"/>
  <c r="Q2043" i="50"/>
  <c r="BD1884" i="50"/>
  <c r="Q603" i="50"/>
  <c r="AV292" i="50"/>
  <c r="BC616" i="50"/>
  <c r="N517" i="52"/>
  <c r="BD1533" i="50"/>
  <c r="BD1127" i="50"/>
  <c r="BC1048" i="50"/>
  <c r="AC1534" i="50"/>
  <c r="I1534" i="50"/>
  <c r="AK1044" i="50"/>
  <c r="BE616" i="50"/>
  <c r="BD643" i="50"/>
  <c r="BD1128" i="50"/>
  <c r="V73" i="38"/>
  <c r="AK2045" i="50"/>
  <c r="AK1341" i="50"/>
  <c r="N1035" i="50"/>
  <c r="BU1034" i="50" s="1"/>
  <c r="BZ1466" i="50"/>
  <c r="BD535" i="50"/>
  <c r="BZ364" i="50"/>
  <c r="BE1343" i="50"/>
  <c r="BE614" i="50"/>
  <c r="BE237" i="50"/>
  <c r="AK323" i="58"/>
  <c r="M323" i="58" s="1"/>
  <c r="AV1426" i="50"/>
  <c r="Q612" i="50"/>
  <c r="R1449" i="50"/>
  <c r="BX1439" i="50" s="1"/>
  <c r="N1034" i="50"/>
  <c r="BT1034" i="50" s="1"/>
  <c r="BC614" i="50"/>
  <c r="Y1449" i="50"/>
  <c r="AR1449" i="50"/>
  <c r="R639" i="50"/>
  <c r="BX629" i="50"/>
  <c r="Q1035" i="50"/>
  <c r="BZ1547" i="50"/>
  <c r="BD318" i="50"/>
  <c r="Q1332" i="50"/>
  <c r="N504" i="52"/>
  <c r="BC615" i="50"/>
  <c r="Y913" i="50"/>
  <c r="AY913" i="50"/>
  <c r="R1341" i="50"/>
  <c r="BX1331" i="50"/>
  <c r="BE1937" i="50"/>
  <c r="N603" i="50"/>
  <c r="BU602" i="50" s="1"/>
  <c r="R1017" i="50"/>
  <c r="BX1007" i="50" s="1"/>
  <c r="R1044" i="50"/>
  <c r="BX1034" i="50" s="1"/>
  <c r="R2043" i="50"/>
  <c r="BX2033" i="50" s="1"/>
  <c r="Q1340" i="50"/>
  <c r="BC1047" i="50"/>
  <c r="BZ1574" i="50"/>
  <c r="Q1341" i="50"/>
  <c r="BE2047" i="50"/>
  <c r="R611" i="50"/>
  <c r="BW602" i="50" s="1"/>
  <c r="AC2011" i="50"/>
  <c r="AC2013" i="50" s="1"/>
  <c r="AA197" i="58"/>
  <c r="AF197" i="58" s="1"/>
  <c r="Q1334" i="50"/>
  <c r="N1655" i="50"/>
  <c r="BT1655" i="50"/>
  <c r="BD1856" i="50"/>
  <c r="BE1776" i="50"/>
  <c r="BD1668" i="50"/>
  <c r="I323" i="58"/>
  <c r="BD533" i="50"/>
  <c r="BD778" i="50"/>
  <c r="BD614" i="50"/>
  <c r="Q602" i="50"/>
  <c r="BD1345" i="50"/>
  <c r="R234" i="50"/>
  <c r="BX224" i="50" s="1"/>
  <c r="Q1494" i="50"/>
  <c r="Q1034" i="50"/>
  <c r="BD994" i="50"/>
  <c r="BZ602" i="50"/>
  <c r="AG655" i="52"/>
  <c r="N602" i="50"/>
  <c r="BT602" i="50"/>
  <c r="N559" i="52"/>
  <c r="I197" i="58"/>
  <c r="Y1665" i="50"/>
  <c r="AR1665" i="50"/>
  <c r="BH1655" i="50" s="1"/>
  <c r="BC508" i="50"/>
  <c r="BD508" i="50"/>
  <c r="Y242" i="50"/>
  <c r="AY242" i="50" s="1"/>
  <c r="BD1507" i="50"/>
  <c r="Q1044" i="50"/>
  <c r="BZ1741" i="50"/>
  <c r="BZ1746" i="50" s="1"/>
  <c r="BZ1660" i="50"/>
  <c r="BZ1665" i="50" s="1"/>
  <c r="Q384" i="52"/>
  <c r="Y780" i="50"/>
  <c r="AY780" i="50"/>
  <c r="BD615" i="50"/>
  <c r="N402" i="52"/>
  <c r="BD1588" i="50"/>
  <c r="AV2020" i="50"/>
  <c r="BD1667" i="50"/>
  <c r="X626" i="52"/>
  <c r="AV1642" i="50"/>
  <c r="BC1046" i="50"/>
  <c r="Y915" i="50"/>
  <c r="AY915" i="50"/>
  <c r="BZ1169" i="50"/>
  <c r="Y1673" i="50"/>
  <c r="AY1673" i="50" s="1"/>
  <c r="N1656" i="50"/>
  <c r="BU1655" i="50" s="1"/>
  <c r="BE1723" i="50"/>
  <c r="N432" i="52"/>
  <c r="X432" i="52"/>
  <c r="BE1047" i="50"/>
  <c r="BD1048" i="50"/>
  <c r="Y1671" i="50"/>
  <c r="AY1671" i="50"/>
  <c r="Q605" i="50"/>
  <c r="R1340" i="50"/>
  <c r="BW1331" i="50" s="1"/>
  <c r="R1334" i="50"/>
  <c r="BV1331" i="50" s="1"/>
  <c r="T98" i="61"/>
  <c r="BZ656" i="50"/>
  <c r="AC164" i="58"/>
  <c r="AD164" i="58" s="1"/>
  <c r="Y1669" i="50"/>
  <c r="AY1669" i="50" s="1"/>
  <c r="N460" i="52"/>
  <c r="Q1737" i="50"/>
  <c r="Q1739" i="50"/>
  <c r="Q1736" i="50"/>
  <c r="AK1746" i="50"/>
  <c r="Q1745" i="50"/>
  <c r="R530" i="50"/>
  <c r="BW521" i="50" s="1"/>
  <c r="BE1048" i="50"/>
  <c r="Q524" i="50"/>
  <c r="Q1043" i="50"/>
  <c r="AV1481" i="50"/>
  <c r="BD1182" i="50"/>
  <c r="R1664" i="50"/>
  <c r="BW1655" i="50"/>
  <c r="BE588" i="50"/>
  <c r="AV1075" i="50"/>
  <c r="R1037" i="50"/>
  <c r="BV1034" i="50"/>
  <c r="AK1046" i="50"/>
  <c r="BZ1930" i="50"/>
  <c r="BZ1935" i="50" s="1"/>
  <c r="BE643" i="50"/>
  <c r="AV1670" i="50"/>
  <c r="L139" i="58"/>
  <c r="BB122" i="58" s="1"/>
  <c r="L145" i="58"/>
  <c r="BF122" i="58" s="1"/>
  <c r="L144" i="58"/>
  <c r="N421" i="52"/>
  <c r="BZ580" i="50"/>
  <c r="BZ582" i="50" s="1"/>
  <c r="AC1287" i="50"/>
  <c r="AC1289" i="50" s="1"/>
  <c r="BZ1336" i="50"/>
  <c r="BZ1338" i="50" s="1"/>
  <c r="BZ1520" i="50"/>
  <c r="BZ1439" i="50"/>
  <c r="BD1019" i="50"/>
  <c r="R612" i="50"/>
  <c r="BX602" i="50"/>
  <c r="Q521" i="50"/>
  <c r="AV1643" i="50"/>
  <c r="AK2018" i="50"/>
  <c r="Q376" i="52"/>
  <c r="BD1046" i="50"/>
  <c r="Q1683" i="50"/>
  <c r="Q1691" i="50"/>
  <c r="X615" i="52"/>
  <c r="BZ1115" i="50"/>
  <c r="Q611" i="50"/>
  <c r="AK228" i="58"/>
  <c r="R1448" i="50"/>
  <c r="BW1439" i="50" s="1"/>
  <c r="AK1640" i="50"/>
  <c r="Q1637" i="50"/>
  <c r="Q1631" i="50"/>
  <c r="R1638" i="50"/>
  <c r="BX1628" i="50"/>
  <c r="Q1629" i="50"/>
  <c r="Y531" i="50"/>
  <c r="AR531" i="50" s="1"/>
  <c r="N629" i="50"/>
  <c r="BT629" i="50" s="1"/>
  <c r="BZ1790" i="50"/>
  <c r="N2033" i="50"/>
  <c r="BT2033" i="50"/>
  <c r="I165" i="58"/>
  <c r="L241" i="58"/>
  <c r="BF218" i="58" s="1"/>
  <c r="Q1226" i="50"/>
  <c r="BC533" i="50"/>
  <c r="AA228" i="58"/>
  <c r="AC228" i="58" s="1"/>
  <c r="Q2006" i="50"/>
  <c r="Y1670" i="50"/>
  <c r="AY1670" i="50"/>
  <c r="N1574" i="50"/>
  <c r="BT1574" i="50"/>
  <c r="Y1074" i="50"/>
  <c r="AY1074" i="50"/>
  <c r="Y1075" i="50"/>
  <c r="AY1075" i="50"/>
  <c r="Y1079" i="50"/>
  <c r="AY1079" i="50"/>
  <c r="V131" i="38"/>
  <c r="V132" i="38"/>
  <c r="R2015" i="50"/>
  <c r="BW2006" i="50" s="1"/>
  <c r="AF290" i="58"/>
  <c r="AG290" i="58" s="1"/>
  <c r="AC290" i="58"/>
  <c r="X596" i="52"/>
  <c r="N596" i="52"/>
  <c r="Q233" i="50"/>
  <c r="Y2020" i="50"/>
  <c r="N225" i="50"/>
  <c r="BU224" i="50"/>
  <c r="V142" i="38"/>
  <c r="Y779" i="50"/>
  <c r="AY779" i="50" s="1"/>
  <c r="BD1236" i="50"/>
  <c r="F362" i="52"/>
  <c r="F410" i="52"/>
  <c r="F458" i="52" s="1"/>
  <c r="F506" i="52" s="1"/>
  <c r="F554" i="52" s="1"/>
  <c r="F602" i="52" s="1"/>
  <c r="F650" i="52" s="1"/>
  <c r="Y1453" i="50"/>
  <c r="AV211" i="50"/>
  <c r="N455" i="52"/>
  <c r="X455" i="52"/>
  <c r="X567" i="52"/>
  <c r="N567" i="52"/>
  <c r="Q684" i="50"/>
  <c r="V91" i="38"/>
  <c r="AV400" i="50"/>
  <c r="Y2024" i="50"/>
  <c r="AY2024" i="50" s="1"/>
  <c r="V133" i="38"/>
  <c r="BD1425" i="50"/>
  <c r="Y350" i="50"/>
  <c r="AY350" i="50" s="1"/>
  <c r="V106" i="38"/>
  <c r="V116" i="38"/>
  <c r="BC236" i="50"/>
  <c r="AK396" i="50"/>
  <c r="R1226" i="50"/>
  <c r="BV1223" i="50" s="1"/>
  <c r="F367" i="52"/>
  <c r="F415" i="52" s="1"/>
  <c r="F463" i="52"/>
  <c r="F511" i="52" s="1"/>
  <c r="F559" i="52" s="1"/>
  <c r="F607" i="52" s="1"/>
  <c r="F655" i="52" s="1"/>
  <c r="N670" i="52"/>
  <c r="X670" i="52"/>
  <c r="N646" i="52"/>
  <c r="X646" i="52"/>
  <c r="X609" i="52"/>
  <c r="N609" i="52"/>
  <c r="X674" i="52"/>
  <c r="N674" i="52"/>
  <c r="AK355" i="58"/>
  <c r="M355" i="58"/>
  <c r="AA355" i="58"/>
  <c r="R389" i="50"/>
  <c r="BV386" i="50" s="1"/>
  <c r="BE1236" i="50"/>
  <c r="AC1444" i="50"/>
  <c r="Y1456" i="50"/>
  <c r="AY1456" i="50" s="1"/>
  <c r="N623" i="52"/>
  <c r="X623" i="52"/>
  <c r="N2007" i="50"/>
  <c r="BU2006" i="50" s="1"/>
  <c r="I226" i="58"/>
  <c r="AY1536" i="50"/>
  <c r="V115" i="38"/>
  <c r="V87" i="38"/>
  <c r="N463" i="52"/>
  <c r="R342" i="50"/>
  <c r="BX332" i="50"/>
  <c r="L368" i="58"/>
  <c r="BE346" i="58"/>
  <c r="Y778" i="50"/>
  <c r="AY778" i="50"/>
  <c r="N1224" i="50"/>
  <c r="BU1223" i="50"/>
  <c r="N578" i="52"/>
  <c r="BE1399" i="50"/>
  <c r="BD1183" i="50"/>
  <c r="N574" i="52"/>
  <c r="X574" i="52"/>
  <c r="X678" i="52"/>
  <c r="N678" i="52"/>
  <c r="X498" i="52"/>
  <c r="N498" i="52"/>
  <c r="X518" i="52"/>
  <c r="N518" i="52"/>
  <c r="X603" i="52"/>
  <c r="N603" i="52"/>
  <c r="V130" i="38"/>
  <c r="Y672" i="50"/>
  <c r="AY672" i="50"/>
  <c r="N2006" i="50"/>
  <c r="BT2006" i="50"/>
  <c r="Y673" i="50"/>
  <c r="AY673" i="50"/>
  <c r="BE427" i="50"/>
  <c r="R1233" i="50"/>
  <c r="BX1223" i="50" s="1"/>
  <c r="X611" i="52"/>
  <c r="N611" i="52"/>
  <c r="N632" i="52"/>
  <c r="X632" i="52"/>
  <c r="N608" i="52"/>
  <c r="X608" i="52"/>
  <c r="N474" i="52"/>
  <c r="X474" i="52"/>
  <c r="Q1854" i="50"/>
  <c r="BC1857" i="50"/>
  <c r="Q1847" i="50"/>
  <c r="AK1854" i="50"/>
  <c r="Q1853" i="50"/>
  <c r="Q1845" i="50"/>
  <c r="BE1858" i="50"/>
  <c r="Q1844" i="50"/>
  <c r="BE1857" i="50"/>
  <c r="BE1856" i="50"/>
  <c r="X529" i="52"/>
  <c r="BC1235" i="50"/>
  <c r="AC661" i="50"/>
  <c r="AC666" i="50" s="1"/>
  <c r="AG666" i="50"/>
  <c r="N1439" i="50"/>
  <c r="BT1439" i="50"/>
  <c r="AE133" i="58"/>
  <c r="AW122" i="58"/>
  <c r="W1943" i="50"/>
  <c r="X610" i="52"/>
  <c r="AC1535" i="50"/>
  <c r="AR1535" i="50"/>
  <c r="N387" i="50"/>
  <c r="BU386" i="50"/>
  <c r="N521" i="52"/>
  <c r="B34" i="57"/>
  <c r="E278" i="52"/>
  <c r="X516" i="52"/>
  <c r="N516" i="52"/>
  <c r="X651" i="52"/>
  <c r="N651" i="52"/>
  <c r="N573" i="52"/>
  <c r="X573" i="52"/>
  <c r="Q1223" i="50"/>
  <c r="Y671" i="50"/>
  <c r="AY671" i="50"/>
  <c r="R1442" i="50"/>
  <c r="BV1439" i="50"/>
  <c r="V100" i="38"/>
  <c r="Y209" i="50"/>
  <c r="AY209" i="50" s="1"/>
  <c r="BE722" i="50"/>
  <c r="BD1399" i="50"/>
  <c r="X439" i="52"/>
  <c r="N1440" i="50"/>
  <c r="BU1439" i="50"/>
  <c r="R258" i="58"/>
  <c r="R259" i="58"/>
  <c r="R261" i="58"/>
  <c r="R262" i="58"/>
  <c r="Y1615" i="50"/>
  <c r="AY1615" i="50"/>
  <c r="Y1614" i="50"/>
  <c r="AY1614" i="50"/>
  <c r="Y1617" i="50"/>
  <c r="AY1617" i="50"/>
  <c r="Y1613" i="50"/>
  <c r="AY1613" i="50"/>
  <c r="AC1606" i="50"/>
  <c r="X604" i="52"/>
  <c r="N604" i="52"/>
  <c r="N502" i="52"/>
  <c r="X502" i="52"/>
  <c r="Y2019" i="50"/>
  <c r="AY2019" i="50" s="1"/>
  <c r="N408" i="52"/>
  <c r="X408" i="52"/>
  <c r="R693" i="50"/>
  <c r="BX683" i="50" s="1"/>
  <c r="BE236" i="50"/>
  <c r="BD1237" i="50"/>
  <c r="Y674" i="50"/>
  <c r="AY674" i="50" s="1"/>
  <c r="Y1457" i="50"/>
  <c r="AY1457" i="50" s="1"/>
  <c r="Y215" i="50"/>
  <c r="AY215" i="50" s="1"/>
  <c r="BD238" i="50"/>
  <c r="BE1398" i="50"/>
  <c r="BD1669" i="50"/>
  <c r="AV1831" i="50"/>
  <c r="AA291" i="58"/>
  <c r="X616" i="52"/>
  <c r="N630" i="52"/>
  <c r="X630" i="52"/>
  <c r="X679" i="52"/>
  <c r="N679" i="52"/>
  <c r="N682" i="52"/>
  <c r="X682" i="52"/>
  <c r="Y342" i="50"/>
  <c r="AR342" i="50" s="1"/>
  <c r="BE1534" i="50"/>
  <c r="V145" i="38"/>
  <c r="BC237" i="50"/>
  <c r="BD1398" i="50"/>
  <c r="BC1856" i="50"/>
  <c r="X570" i="52"/>
  <c r="N647" i="52"/>
  <c r="X524" i="52"/>
  <c r="N524" i="52"/>
  <c r="AV1804" i="50"/>
  <c r="AK294" i="58"/>
  <c r="M294" i="58" s="1"/>
  <c r="AA294" i="58"/>
  <c r="I294" i="58"/>
  <c r="N476" i="52"/>
  <c r="X476" i="52"/>
  <c r="Y2022" i="50"/>
  <c r="AY2022" i="50" s="1"/>
  <c r="BE1237" i="50"/>
  <c r="Y669" i="50"/>
  <c r="BZ1444" i="50"/>
  <c r="BZ1446" i="50" s="1"/>
  <c r="BA10" i="61"/>
  <c r="V89" i="38"/>
  <c r="BD1750" i="50"/>
  <c r="N458" i="52"/>
  <c r="Q224" i="50"/>
  <c r="AG515" i="52"/>
  <c r="I227" i="58"/>
  <c r="BE642" i="50"/>
  <c r="X569" i="52"/>
  <c r="N569" i="52"/>
  <c r="N471" i="52"/>
  <c r="X471" i="52"/>
  <c r="Y1587" i="50"/>
  <c r="AY1587" i="50" s="1"/>
  <c r="Y1584" i="50"/>
  <c r="Y1589" i="50"/>
  <c r="AY1589" i="50"/>
  <c r="Y1590" i="50"/>
  <c r="AY1590" i="50"/>
  <c r="Y1588" i="50"/>
  <c r="AY1588" i="50"/>
  <c r="AC1579" i="50"/>
  <c r="Y1586" i="50"/>
  <c r="AY1586" i="50" s="1"/>
  <c r="Y1592" i="50"/>
  <c r="AY1592" i="50" s="1"/>
  <c r="Y1591" i="50"/>
  <c r="AY1591" i="50" s="1"/>
  <c r="Q1232" i="50"/>
  <c r="R2016" i="50"/>
  <c r="BX2006" i="50"/>
  <c r="BD1235" i="50"/>
  <c r="BE1533" i="50"/>
  <c r="Y1452" i="50"/>
  <c r="AY1452" i="50"/>
  <c r="R1043" i="50"/>
  <c r="BW1034" i="50"/>
  <c r="V128" i="38"/>
  <c r="BC1398" i="50"/>
  <c r="R357" i="58"/>
  <c r="R358" i="58"/>
  <c r="N554" i="52"/>
  <c r="AK236" i="50"/>
  <c r="Y1214" i="50"/>
  <c r="AY1214" i="50"/>
  <c r="AA227" i="58"/>
  <c r="N571" i="52"/>
  <c r="N466" i="52"/>
  <c r="X489" i="52"/>
  <c r="N489" i="52"/>
  <c r="X414" i="52"/>
  <c r="N414" i="52"/>
  <c r="X676" i="52"/>
  <c r="N676" i="52"/>
  <c r="X506" i="52"/>
  <c r="N506" i="52"/>
  <c r="X662" i="52"/>
  <c r="N662" i="52"/>
  <c r="AK226" i="58"/>
  <c r="M226" i="58" s="1"/>
  <c r="AC1533" i="50"/>
  <c r="F372" i="52"/>
  <c r="F420" i="52" s="1"/>
  <c r="F468" i="52"/>
  <c r="F516" i="52" s="1"/>
  <c r="F564" i="52" s="1"/>
  <c r="F612" i="52" s="1"/>
  <c r="F660" i="52" s="1"/>
  <c r="F374" i="52"/>
  <c r="F422" i="52"/>
  <c r="F470" i="52" s="1"/>
  <c r="F518" i="52" s="1"/>
  <c r="F566" i="52" s="1"/>
  <c r="F614" i="52" s="1"/>
  <c r="F662" i="52" s="1"/>
  <c r="F373" i="52"/>
  <c r="F421" i="52" s="1"/>
  <c r="F469" i="52"/>
  <c r="F517" i="52" s="1"/>
  <c r="F565" i="52" s="1"/>
  <c r="F613" i="52" s="1"/>
  <c r="F661" i="52" s="1"/>
  <c r="F376" i="52"/>
  <c r="F424" i="52"/>
  <c r="F472" i="52" s="1"/>
  <c r="F520" i="52" s="1"/>
  <c r="F568" i="52" s="1"/>
  <c r="F616" i="52" s="1"/>
  <c r="F664" i="52" s="1"/>
  <c r="F379" i="52"/>
  <c r="F427" i="52" s="1"/>
  <c r="F475" i="52"/>
  <c r="F523" i="52" s="1"/>
  <c r="F571" i="52" s="1"/>
  <c r="F619" i="52" s="1"/>
  <c r="F667" i="52" s="1"/>
  <c r="F406" i="52"/>
  <c r="F454" i="52"/>
  <c r="F502" i="52" s="1"/>
  <c r="F550" i="52" s="1"/>
  <c r="F598" i="52" s="1"/>
  <c r="F646" i="52" s="1"/>
  <c r="F389" i="52"/>
  <c r="F437" i="52"/>
  <c r="F485" i="52" s="1"/>
  <c r="F533" i="52" s="1"/>
  <c r="F581" i="52" s="1"/>
  <c r="F629" i="52" s="1"/>
  <c r="F677" i="52" s="1"/>
  <c r="F359" i="52"/>
  <c r="F407" i="52" s="1"/>
  <c r="F455" i="52"/>
  <c r="F503" i="52" s="1"/>
  <c r="F551" i="52" s="1"/>
  <c r="F599" i="52" s="1"/>
  <c r="F647" i="52" s="1"/>
  <c r="F378" i="52"/>
  <c r="F426" i="52"/>
  <c r="F474" i="52" s="1"/>
  <c r="F522" i="52" s="1"/>
  <c r="F570" i="52" s="1"/>
  <c r="F618" i="52" s="1"/>
  <c r="F666" i="52" s="1"/>
  <c r="F370" i="52"/>
  <c r="F418" i="52" s="1"/>
  <c r="F466" i="52"/>
  <c r="F514" i="52" s="1"/>
  <c r="F562" i="52" s="1"/>
  <c r="F610" i="52" s="1"/>
  <c r="F658" i="52" s="1"/>
  <c r="F382" i="52"/>
  <c r="F430" i="52"/>
  <c r="F478" i="52" s="1"/>
  <c r="F526" i="52" s="1"/>
  <c r="F574" i="52" s="1"/>
  <c r="F622" i="52" s="1"/>
  <c r="F670" i="52" s="1"/>
  <c r="Q342" i="50"/>
  <c r="Y1455" i="50"/>
  <c r="AY1455" i="50"/>
  <c r="Y2023" i="50"/>
  <c r="AY2023" i="50"/>
  <c r="R261" i="50"/>
  <c r="BX251" i="50"/>
  <c r="BC1236" i="50"/>
  <c r="Y1454" i="50"/>
  <c r="AY1454" i="50" s="1"/>
  <c r="N630" i="50"/>
  <c r="BU629" i="50" s="1"/>
  <c r="V88" i="38"/>
  <c r="V99" i="38"/>
  <c r="N475" i="52"/>
  <c r="BD236" i="50"/>
  <c r="M1233" i="50"/>
  <c r="Y1209" i="50"/>
  <c r="AY1209" i="50"/>
  <c r="N607" i="52"/>
  <c r="X556" i="52"/>
  <c r="BD1776" i="50"/>
  <c r="BD399" i="50"/>
  <c r="F381" i="52"/>
  <c r="F429" i="52"/>
  <c r="F477" i="52" s="1"/>
  <c r="F525" i="52" s="1"/>
  <c r="F573" i="52" s="1"/>
  <c r="F621" i="52" s="1"/>
  <c r="F669" i="52" s="1"/>
  <c r="BD292" i="50"/>
  <c r="BD1857" i="50"/>
  <c r="N436" i="52"/>
  <c r="X436" i="52"/>
  <c r="X641" i="52"/>
  <c r="N641" i="52"/>
  <c r="X509" i="52"/>
  <c r="N509" i="52"/>
  <c r="BD1722" i="50"/>
  <c r="X681" i="52"/>
  <c r="N681" i="52"/>
  <c r="Q1233" i="50"/>
  <c r="AC1071" i="50"/>
  <c r="BE399" i="50"/>
  <c r="N675" i="52"/>
  <c r="X675" i="52"/>
  <c r="N461" i="52"/>
  <c r="X461" i="52"/>
  <c r="X551" i="52"/>
  <c r="N551" i="52"/>
  <c r="BE425" i="50"/>
  <c r="Q1224" i="50"/>
  <c r="G216" i="38"/>
  <c r="R632" i="50"/>
  <c r="BV629" i="50" s="1"/>
  <c r="V93" i="38"/>
  <c r="AE290" i="58"/>
  <c r="AT282" i="58"/>
  <c r="N601" i="52"/>
  <c r="Q227" i="50"/>
  <c r="AC259" i="58"/>
  <c r="C552" i="52"/>
  <c r="O552" i="52" s="1"/>
  <c r="Q552" i="52"/>
  <c r="BD1262" i="50"/>
  <c r="BD1264" i="50"/>
  <c r="X633" i="52"/>
  <c r="N633" i="52"/>
  <c r="N614" i="52"/>
  <c r="X614" i="52"/>
  <c r="N656" i="52"/>
  <c r="X656" i="52"/>
  <c r="AP292" i="58"/>
  <c r="AP294" i="58"/>
  <c r="AP293" i="58"/>
  <c r="H467" i="52"/>
  <c r="H486" i="52"/>
  <c r="V92" i="38"/>
  <c r="X650" i="52"/>
  <c r="N650" i="52"/>
  <c r="Q1016" i="50"/>
  <c r="N612" i="52"/>
  <c r="Q416" i="50"/>
  <c r="F297" i="52"/>
  <c r="R1854" i="50"/>
  <c r="BX1844" i="50"/>
  <c r="R98" i="61"/>
  <c r="AE259" i="58"/>
  <c r="AU250" i="58" s="1"/>
  <c r="AV319" i="50"/>
  <c r="B405" i="52"/>
  <c r="B453" i="52"/>
  <c r="B501" i="52" s="1"/>
  <c r="B549" i="52"/>
  <c r="B597" i="52" s="1"/>
  <c r="B645" i="52" s="1"/>
  <c r="X572" i="52"/>
  <c r="N520" i="52"/>
  <c r="AV76" i="50"/>
  <c r="X565" i="52"/>
  <c r="N565" i="52"/>
  <c r="X585" i="52"/>
  <c r="N585" i="52"/>
  <c r="X649" i="52"/>
  <c r="N649" i="52"/>
  <c r="X613" i="52"/>
  <c r="N613" i="52"/>
  <c r="Q1413" i="50"/>
  <c r="V101" i="38"/>
  <c r="AK234" i="50"/>
  <c r="Q629" i="50"/>
  <c r="Q639" i="50"/>
  <c r="Q632" i="50"/>
  <c r="Q630" i="50"/>
  <c r="Q638" i="50"/>
  <c r="AK641" i="50"/>
  <c r="AK639" i="50"/>
  <c r="BE1020" i="50"/>
  <c r="Y2018" i="50"/>
  <c r="AY2018" i="50"/>
  <c r="B52" i="57"/>
  <c r="N602" i="52"/>
  <c r="X602" i="52"/>
  <c r="N533" i="52"/>
  <c r="X533" i="52"/>
  <c r="X629" i="52"/>
  <c r="N629" i="52"/>
  <c r="BD1748" i="50"/>
  <c r="X680" i="52"/>
  <c r="N680" i="52"/>
  <c r="Q1010" i="50"/>
  <c r="R233" i="50"/>
  <c r="BW224" i="50" s="1"/>
  <c r="V129" i="38"/>
  <c r="BC1020" i="50"/>
  <c r="R1853" i="50"/>
  <c r="BW1844" i="50" s="1"/>
  <c r="BD1939" i="50"/>
  <c r="AV184" i="50"/>
  <c r="BC507" i="50"/>
  <c r="X538" i="52"/>
  <c r="Y396" i="50"/>
  <c r="Y404" i="50"/>
  <c r="AY404" i="50"/>
  <c r="N419" i="52"/>
  <c r="X419" i="52"/>
  <c r="Q389" i="50"/>
  <c r="Q387" i="50"/>
  <c r="Q386" i="50"/>
  <c r="N386" i="50"/>
  <c r="BT386" i="50" s="1"/>
  <c r="BE398" i="50"/>
  <c r="Q396" i="50"/>
  <c r="BD398" i="50"/>
  <c r="R396" i="50"/>
  <c r="BX386" i="50"/>
  <c r="AK398" i="50"/>
  <c r="Q395" i="50"/>
  <c r="X479" i="52"/>
  <c r="N479" i="52"/>
  <c r="AE224" i="58"/>
  <c r="W232" i="58"/>
  <c r="N224" i="50"/>
  <c r="BT224" i="50"/>
  <c r="V79" i="38"/>
  <c r="BD1937" i="50"/>
  <c r="Y2016" i="50"/>
  <c r="AR2016" i="50"/>
  <c r="BH2006" i="50" s="1"/>
  <c r="AV428" i="50"/>
  <c r="BD400" i="50"/>
  <c r="N490" i="52"/>
  <c r="X490" i="52"/>
  <c r="X469" i="52"/>
  <c r="N469" i="52"/>
  <c r="N642" i="52"/>
  <c r="X642" i="52"/>
  <c r="AE288" i="58"/>
  <c r="W296" i="58"/>
  <c r="G131" i="62"/>
  <c r="AC1095" i="50"/>
  <c r="R395" i="50"/>
  <c r="BW386" i="50" s="1"/>
  <c r="X643" i="52"/>
  <c r="X440" i="52"/>
  <c r="N564" i="52"/>
  <c r="X564" i="52"/>
  <c r="N499" i="52"/>
  <c r="X499" i="52"/>
  <c r="X627" i="52"/>
  <c r="N627" i="52"/>
  <c r="Y668" i="50"/>
  <c r="AY668" i="50" s="1"/>
  <c r="Y670" i="50"/>
  <c r="AY670" i="50" s="1"/>
  <c r="Y774" i="50"/>
  <c r="AR774" i="50" s="1"/>
  <c r="BH764" i="50" s="1"/>
  <c r="F383" i="52"/>
  <c r="F431" i="52"/>
  <c r="F479" i="52" s="1"/>
  <c r="F527" i="52"/>
  <c r="F575" i="52" s="1"/>
  <c r="F623" i="52" s="1"/>
  <c r="F671" i="52" s="1"/>
  <c r="AV185" i="50"/>
  <c r="X454" i="52"/>
  <c r="N606" i="52"/>
  <c r="AV860" i="50"/>
  <c r="N477" i="52"/>
  <c r="X477" i="52"/>
  <c r="N550" i="52"/>
  <c r="X550" i="52"/>
  <c r="R1577" i="50"/>
  <c r="BV1574" i="50" s="1"/>
  <c r="AC136" i="58"/>
  <c r="AD136" i="58" s="1"/>
  <c r="AF136" i="58" s="1"/>
  <c r="K136" i="58"/>
  <c r="AE136" i="58"/>
  <c r="AZ122" i="58"/>
  <c r="C484" i="52"/>
  <c r="C532" i="52"/>
  <c r="I322" i="58"/>
  <c r="AK322" i="58"/>
  <c r="M322" i="58" s="1"/>
  <c r="AA322" i="58"/>
  <c r="Y751" i="50"/>
  <c r="AY751" i="50"/>
  <c r="Y747" i="50"/>
  <c r="BD1965" i="50"/>
  <c r="BD1964" i="50"/>
  <c r="BD1966" i="50"/>
  <c r="E286" i="52"/>
  <c r="Q380" i="52"/>
  <c r="G209" i="38"/>
  <c r="B45" i="57"/>
  <c r="R936" i="50"/>
  <c r="BX926" i="50"/>
  <c r="Q936" i="50"/>
  <c r="AK938" i="50"/>
  <c r="Q935" i="50"/>
  <c r="Q927" i="50"/>
  <c r="Q926" i="50"/>
  <c r="AK936" i="50"/>
  <c r="R929" i="50"/>
  <c r="BV926" i="50"/>
  <c r="N926" i="50"/>
  <c r="BT926" i="50"/>
  <c r="Q929" i="50"/>
  <c r="R935" i="50"/>
  <c r="BW926" i="50" s="1"/>
  <c r="Q422" i="50"/>
  <c r="AC499" i="50"/>
  <c r="AC504" i="50"/>
  <c r="AC508" i="50" s="1"/>
  <c r="BZ337" i="50"/>
  <c r="W1997" i="50"/>
  <c r="W1349" i="50"/>
  <c r="V114" i="38"/>
  <c r="V124" i="38"/>
  <c r="AV2074" i="50"/>
  <c r="N305" i="50"/>
  <c r="BT305" i="50"/>
  <c r="R2042" i="50"/>
  <c r="BW2033" i="50"/>
  <c r="AV130" i="50"/>
  <c r="AV1210" i="50"/>
  <c r="C476" i="52"/>
  <c r="O428" i="52"/>
  <c r="Q428" i="52" s="1"/>
  <c r="BD562" i="50"/>
  <c r="Q549" i="50"/>
  <c r="R1799" i="50"/>
  <c r="BW1790" i="50" s="1"/>
  <c r="BE1802" i="50"/>
  <c r="Q423" i="50"/>
  <c r="Y507" i="50"/>
  <c r="AY507" i="50" s="1"/>
  <c r="AC337" i="50"/>
  <c r="AC339" i="50" s="1"/>
  <c r="N1790" i="50"/>
  <c r="BT1790" i="50" s="1"/>
  <c r="V120" i="38"/>
  <c r="V105" i="38"/>
  <c r="V103" i="38"/>
  <c r="N170" i="50"/>
  <c r="BT170" i="50"/>
  <c r="BC1425" i="50"/>
  <c r="Q306" i="50"/>
  <c r="BC1289" i="50"/>
  <c r="BZ769" i="50"/>
  <c r="BZ774" i="50" s="1"/>
  <c r="N531" i="52"/>
  <c r="AE229" i="58"/>
  <c r="AW218" i="58" s="1"/>
  <c r="I166" i="58"/>
  <c r="AA166" i="58"/>
  <c r="BE724" i="50"/>
  <c r="BE2018" i="50"/>
  <c r="Q2016" i="50"/>
  <c r="Q2009" i="50"/>
  <c r="Q2007" i="50"/>
  <c r="BE2020" i="50"/>
  <c r="Y1805" i="50"/>
  <c r="AY1805" i="50" s="1"/>
  <c r="Y1803" i="50"/>
  <c r="AY1803" i="50" s="1"/>
  <c r="Y1804" i="50"/>
  <c r="AY1804" i="50" s="1"/>
  <c r="Y1807" i="50"/>
  <c r="AY1807" i="50" s="1"/>
  <c r="Y1802" i="50"/>
  <c r="AY1802" i="50" s="1"/>
  <c r="Y506" i="50"/>
  <c r="AY506" i="50" s="1"/>
  <c r="BE1235" i="50"/>
  <c r="Y348" i="50"/>
  <c r="AY348" i="50"/>
  <c r="BC1803" i="50"/>
  <c r="V98" i="38"/>
  <c r="V137" i="38"/>
  <c r="W1456" i="50"/>
  <c r="N900" i="50"/>
  <c r="BU899" i="50" s="1"/>
  <c r="Y914" i="50"/>
  <c r="AY914" i="50" s="1"/>
  <c r="Y917" i="50"/>
  <c r="AY917" i="50"/>
  <c r="Y911" i="50"/>
  <c r="AC904" i="50"/>
  <c r="AC906" i="50" s="1"/>
  <c r="Y912" i="50"/>
  <c r="AK1773" i="50"/>
  <c r="Q1772" i="50"/>
  <c r="BC1777" i="50"/>
  <c r="BE1775" i="50"/>
  <c r="Q1773" i="50"/>
  <c r="Q1766" i="50"/>
  <c r="BE1777" i="50"/>
  <c r="AK1775" i="50"/>
  <c r="Q1764" i="50"/>
  <c r="Q1763" i="50"/>
  <c r="N737" i="50"/>
  <c r="BT737" i="50" s="1"/>
  <c r="BD1695" i="50"/>
  <c r="AG652" i="52"/>
  <c r="BE939" i="50"/>
  <c r="N555" i="52"/>
  <c r="AK1800" i="50"/>
  <c r="V80" i="38"/>
  <c r="W1942" i="50"/>
  <c r="V127" i="38"/>
  <c r="V122" i="38"/>
  <c r="V143" i="38"/>
  <c r="V78" i="38"/>
  <c r="BD1156" i="50"/>
  <c r="Y754" i="50"/>
  <c r="AY754" i="50" s="1"/>
  <c r="AK1395" i="50"/>
  <c r="N433" i="52"/>
  <c r="Q557" i="50"/>
  <c r="I136" i="58"/>
  <c r="AP132" i="58"/>
  <c r="AP134" i="58" s="1"/>
  <c r="AC742" i="50"/>
  <c r="AC744" i="50"/>
  <c r="N548" i="50"/>
  <c r="BT548" i="50"/>
  <c r="AK136" i="58"/>
  <c r="N403" i="52"/>
  <c r="Q1793" i="50"/>
  <c r="AG453" i="52"/>
  <c r="V121" i="38"/>
  <c r="R1151" i="50"/>
  <c r="BW1142" i="50" s="1"/>
  <c r="BC1802" i="50"/>
  <c r="BD940" i="50"/>
  <c r="BE938" i="50"/>
  <c r="BC751" i="50"/>
  <c r="Y755" i="50"/>
  <c r="AY755" i="50" s="1"/>
  <c r="AG512" i="52"/>
  <c r="R551" i="50"/>
  <c r="BV548" i="50"/>
  <c r="BE695" i="50"/>
  <c r="AC98" i="61"/>
  <c r="AW98" i="61"/>
  <c r="U98" i="61"/>
  <c r="E98" i="61"/>
  <c r="BE1669" i="50"/>
  <c r="AR1179" i="50"/>
  <c r="BH1169" i="50"/>
  <c r="M1179" i="50"/>
  <c r="R531" i="50"/>
  <c r="BX521" i="50" s="1"/>
  <c r="Q530" i="50"/>
  <c r="Q531" i="50"/>
  <c r="N522" i="50"/>
  <c r="BU521" i="50" s="1"/>
  <c r="AK531" i="50"/>
  <c r="BD534" i="50"/>
  <c r="R524" i="50"/>
  <c r="BV521" i="50" s="1"/>
  <c r="N521" i="50"/>
  <c r="BT521" i="50" s="1"/>
  <c r="BD1641" i="50"/>
  <c r="BD1640" i="50"/>
  <c r="BC318" i="50"/>
  <c r="V71" i="38"/>
  <c r="N405" i="52"/>
  <c r="AO132" i="58"/>
  <c r="AO134" i="58"/>
  <c r="AO133" i="58"/>
  <c r="R341" i="50"/>
  <c r="BW332" i="50" s="1"/>
  <c r="Q1799" i="50"/>
  <c r="W1996" i="50"/>
  <c r="V81" i="38"/>
  <c r="V117" i="38"/>
  <c r="V123" i="38"/>
  <c r="V138" i="38"/>
  <c r="AV1912" i="50"/>
  <c r="AG677" i="52"/>
  <c r="BD1426" i="50"/>
  <c r="BE940" i="50"/>
  <c r="AO227" i="58"/>
  <c r="R740" i="50"/>
  <c r="BV737" i="50" s="1"/>
  <c r="AG536" i="52"/>
  <c r="Q1395" i="50"/>
  <c r="N252" i="50"/>
  <c r="BU251" i="50" s="1"/>
  <c r="AG576" i="52"/>
  <c r="AK558" i="50"/>
  <c r="I229" i="58"/>
  <c r="BE697" i="50"/>
  <c r="BE1748" i="50"/>
  <c r="BE1750" i="50"/>
  <c r="BD1343" i="50"/>
  <c r="BD1344" i="50"/>
  <c r="AY1754" i="50"/>
  <c r="Q902" i="50"/>
  <c r="BE913" i="50"/>
  <c r="BE911" i="50"/>
  <c r="Q899" i="50"/>
  <c r="BC913" i="50"/>
  <c r="BD913" i="50"/>
  <c r="Q909" i="50"/>
  <c r="Q908" i="50"/>
  <c r="BC911" i="50"/>
  <c r="Q900" i="50"/>
  <c r="N899" i="50"/>
  <c r="BT899" i="50"/>
  <c r="BD912" i="50"/>
  <c r="R908" i="50"/>
  <c r="BW899" i="50" s="1"/>
  <c r="AK909" i="50"/>
  <c r="BD911" i="50"/>
  <c r="BC912" i="50"/>
  <c r="AK911" i="50"/>
  <c r="BE238" i="50"/>
  <c r="N332" i="50"/>
  <c r="BT332" i="50"/>
  <c r="BE1803" i="50"/>
  <c r="Q1791" i="50"/>
  <c r="V85" i="38"/>
  <c r="V84" i="38"/>
  <c r="V102" i="38"/>
  <c r="V119" i="38"/>
  <c r="V135" i="38"/>
  <c r="N495" i="50"/>
  <c r="BU494" i="50" s="1"/>
  <c r="C355" i="52"/>
  <c r="AP227" i="58"/>
  <c r="N738" i="50"/>
  <c r="BU737" i="50"/>
  <c r="Q1394" i="50"/>
  <c r="BE561" i="50"/>
  <c r="BD695" i="50"/>
  <c r="AK229" i="58"/>
  <c r="M229" i="58" s="1"/>
  <c r="BD696" i="50"/>
  <c r="AE196" i="58"/>
  <c r="AV186" i="58"/>
  <c r="AC196" i="58"/>
  <c r="AD196" i="58"/>
  <c r="K196" i="58" s="1"/>
  <c r="M196" i="58"/>
  <c r="BD1642" i="50"/>
  <c r="O411" i="52"/>
  <c r="Q411" i="52" s="1"/>
  <c r="AG658" i="52"/>
  <c r="BD938" i="50"/>
  <c r="BD1154" i="50"/>
  <c r="Y188" i="50"/>
  <c r="AY188" i="50"/>
  <c r="N494" i="50"/>
  <c r="BT494" i="50"/>
  <c r="BD344" i="50"/>
  <c r="V83" i="38"/>
  <c r="V104" i="38"/>
  <c r="V141" i="38"/>
  <c r="C402" i="52"/>
  <c r="O402" i="52"/>
  <c r="Q402" i="52" s="1"/>
  <c r="R747" i="50"/>
  <c r="BX737" i="50" s="1"/>
  <c r="Q1385" i="50"/>
  <c r="AG584" i="52"/>
  <c r="R557" i="50"/>
  <c r="BW548" i="50" s="1"/>
  <c r="R902" i="50"/>
  <c r="BV899" i="50" s="1"/>
  <c r="R909" i="50"/>
  <c r="BX899" i="50" s="1"/>
  <c r="BD697" i="50"/>
  <c r="Q683" i="50"/>
  <c r="AY1752" i="50"/>
  <c r="N582" i="52"/>
  <c r="Y186" i="50"/>
  <c r="AY186" i="50" s="1"/>
  <c r="Q333" i="50"/>
  <c r="V77" i="38"/>
  <c r="V144" i="38"/>
  <c r="V112" i="38"/>
  <c r="AK695" i="50"/>
  <c r="Y750" i="50"/>
  <c r="AY750" i="50"/>
  <c r="BD561" i="50"/>
  <c r="Q686" i="50"/>
  <c r="AA327" i="58"/>
  <c r="AK327" i="58"/>
  <c r="AY1749" i="50"/>
  <c r="O364" i="52"/>
  <c r="C412" i="52"/>
  <c r="C365" i="52"/>
  <c r="O365" i="52" s="1"/>
  <c r="N580" i="52"/>
  <c r="Q332" i="50"/>
  <c r="V76" i="38"/>
  <c r="V107" i="38"/>
  <c r="V125" i="38"/>
  <c r="V94" i="38"/>
  <c r="AV346" i="50"/>
  <c r="Y753" i="50"/>
  <c r="AY753" i="50" s="1"/>
  <c r="Q558" i="50"/>
  <c r="Q693" i="50"/>
  <c r="BE1668" i="50"/>
  <c r="BE912" i="50"/>
  <c r="N584" i="52"/>
  <c r="BE346" i="50"/>
  <c r="V134" i="38"/>
  <c r="V90" i="38"/>
  <c r="V110" i="38"/>
  <c r="BC317" i="50"/>
  <c r="AG535" i="52"/>
  <c r="I1537" i="50"/>
  <c r="BD560" i="50"/>
  <c r="BD1803" i="50"/>
  <c r="Q692" i="50"/>
  <c r="BE831" i="50"/>
  <c r="BE830" i="50"/>
  <c r="BE832" i="50"/>
  <c r="R322" i="58"/>
  <c r="R323" i="58" s="1"/>
  <c r="R325" i="58"/>
  <c r="R326" i="58" s="1"/>
  <c r="AC1743" i="50"/>
  <c r="AC1746" i="50"/>
  <c r="AC1754" i="50"/>
  <c r="Q989" i="50"/>
  <c r="Q990" i="50"/>
  <c r="Q980" i="50"/>
  <c r="BC994" i="50"/>
  <c r="BC993" i="50"/>
  <c r="Q981" i="50"/>
  <c r="BC992" i="50"/>
  <c r="Q983" i="50"/>
  <c r="AK990" i="50"/>
  <c r="BD993" i="50"/>
  <c r="BD992" i="50"/>
  <c r="BE992" i="50"/>
  <c r="BE994" i="50"/>
  <c r="V140" i="38"/>
  <c r="R335" i="50"/>
  <c r="BV332" i="50" s="1"/>
  <c r="V126" i="38"/>
  <c r="W1348" i="50"/>
  <c r="W1457" i="50"/>
  <c r="AG547" i="52"/>
  <c r="BE560" i="50"/>
  <c r="BD1802" i="50"/>
  <c r="Y213" i="50"/>
  <c r="AY213" i="50" s="1"/>
  <c r="AC202" i="50"/>
  <c r="Y211" i="50"/>
  <c r="AY211" i="50" s="1"/>
  <c r="Y212" i="50"/>
  <c r="AY212" i="50" s="1"/>
  <c r="Y214" i="50"/>
  <c r="Y207" i="50"/>
  <c r="AV779" i="50"/>
  <c r="V74" i="38"/>
  <c r="V109" i="38"/>
  <c r="V97" i="38"/>
  <c r="V108" i="38"/>
  <c r="AK315" i="50"/>
  <c r="R558" i="50"/>
  <c r="BX548" i="50"/>
  <c r="Q548" i="50"/>
  <c r="BD1804" i="50"/>
  <c r="Q1790" i="50"/>
  <c r="BE1208" i="50"/>
  <c r="BC1831" i="50"/>
  <c r="N558" i="52"/>
  <c r="N576" i="52"/>
  <c r="Q335" i="50"/>
  <c r="V95" i="38"/>
  <c r="V113" i="38"/>
  <c r="W1564" i="50"/>
  <c r="AK317" i="50"/>
  <c r="AV968" i="50"/>
  <c r="N927" i="50"/>
  <c r="BU926" i="50"/>
  <c r="N459" i="52"/>
  <c r="Y942" i="50"/>
  <c r="Y936" i="50"/>
  <c r="AR936" i="50"/>
  <c r="BH926" i="50" s="1"/>
  <c r="Y941" i="50"/>
  <c r="AY941" i="50" s="1"/>
  <c r="AC931" i="50"/>
  <c r="AC933" i="50" s="1"/>
  <c r="Y943" i="50"/>
  <c r="Y938" i="50"/>
  <c r="AY938" i="50"/>
  <c r="Y939" i="50"/>
  <c r="Y940" i="50"/>
  <c r="AY940" i="50" s="1"/>
  <c r="BD939" i="50"/>
  <c r="V136" i="38"/>
  <c r="V86" i="38"/>
  <c r="W1565" i="50"/>
  <c r="W1834" i="50"/>
  <c r="BD319" i="50"/>
  <c r="Y944" i="50"/>
  <c r="Y1211" i="50"/>
  <c r="AY1211" i="50" s="1"/>
  <c r="Y1212" i="50"/>
  <c r="AY1212" i="50" s="1"/>
  <c r="AC1201" i="50"/>
  <c r="AC1203" i="50" s="1"/>
  <c r="Y1210" i="50"/>
  <c r="AY1210" i="50" s="1"/>
  <c r="Y1206" i="50"/>
  <c r="M1206" i="50" s="1"/>
  <c r="Y1213" i="50"/>
  <c r="AY1213" i="50" s="1"/>
  <c r="V75" i="38"/>
  <c r="V82" i="38"/>
  <c r="V118" i="38"/>
  <c r="BD317" i="50"/>
  <c r="AV1346" i="50"/>
  <c r="AV752" i="50"/>
  <c r="V111" i="38"/>
  <c r="W1835" i="50"/>
  <c r="V96" i="38"/>
  <c r="V139" i="38"/>
  <c r="BC966" i="50"/>
  <c r="BE696" i="50"/>
  <c r="BD641" i="50"/>
  <c r="BD642" i="50"/>
  <c r="AI423" i="50"/>
  <c r="AF423" i="50"/>
  <c r="AG423" i="50"/>
  <c r="AV914" i="50"/>
  <c r="AV1723" i="50"/>
  <c r="AV1400" i="50"/>
  <c r="Q441" i="50"/>
  <c r="BE453" i="50"/>
  <c r="N440" i="50"/>
  <c r="BT440" i="50"/>
  <c r="BD453" i="50"/>
  <c r="Q449" i="50"/>
  <c r="Q440" i="50"/>
  <c r="Q443" i="50"/>
  <c r="Q450" i="50"/>
  <c r="AK450" i="50"/>
  <c r="BD454" i="50"/>
  <c r="BD452" i="50"/>
  <c r="R443" i="50"/>
  <c r="BV440" i="50"/>
  <c r="BE452" i="50"/>
  <c r="BE454" i="50"/>
  <c r="N441" i="50"/>
  <c r="BU440" i="50"/>
  <c r="AK452" i="50"/>
  <c r="AE135" i="58"/>
  <c r="AY122" i="58" s="1"/>
  <c r="AC135" i="58"/>
  <c r="AD135" i="58" s="1"/>
  <c r="AF135" i="58" s="1"/>
  <c r="AG135" i="58" s="1"/>
  <c r="AL127" i="46"/>
  <c r="O370" i="52"/>
  <c r="F278" i="52"/>
  <c r="AG504" i="52"/>
  <c r="AV401" i="50"/>
  <c r="Y1940" i="50"/>
  <c r="AY1940" i="50"/>
  <c r="E276" i="52"/>
  <c r="B28" i="57"/>
  <c r="Q363" i="52"/>
  <c r="G192" i="38"/>
  <c r="AK1233" i="50"/>
  <c r="AK1235" i="50"/>
  <c r="R1421" i="50"/>
  <c r="BW1412" i="50"/>
  <c r="AK1422" i="50"/>
  <c r="R1415" i="50"/>
  <c r="BV1412" i="50" s="1"/>
  <c r="N1412" i="50"/>
  <c r="BT1412" i="50" s="1"/>
  <c r="N1413" i="50"/>
  <c r="BU1412" i="50" s="1"/>
  <c r="R1422" i="50"/>
  <c r="BX1412" i="50" s="1"/>
  <c r="Q1415" i="50"/>
  <c r="BD1424" i="50"/>
  <c r="Q1422" i="50"/>
  <c r="AK1424" i="50"/>
  <c r="Q1412" i="50"/>
  <c r="BE1426" i="50"/>
  <c r="AL170" i="46"/>
  <c r="AL165" i="46" s="1"/>
  <c r="AL166" i="46" s="1"/>
  <c r="AL267" i="46"/>
  <c r="AG595" i="52"/>
  <c r="Q1388" i="50"/>
  <c r="BD1397" i="50"/>
  <c r="AK1397" i="50"/>
  <c r="Q1386" i="50"/>
  <c r="AC1417" i="50"/>
  <c r="AC1419" i="50"/>
  <c r="Y1425" i="50"/>
  <c r="AY1425" i="50"/>
  <c r="Y1426" i="50"/>
  <c r="Y1428" i="50"/>
  <c r="AY1428" i="50" s="1"/>
  <c r="Y1422" i="50"/>
  <c r="AR1422" i="50"/>
  <c r="BH1412" i="50" s="1"/>
  <c r="Y1430" i="50"/>
  <c r="AY1430" i="50" s="1"/>
  <c r="Y1424" i="50"/>
  <c r="AY1424" i="50" s="1"/>
  <c r="Y1429" i="50"/>
  <c r="Y1427" i="50"/>
  <c r="AY1427" i="50" s="1"/>
  <c r="Y241" i="50"/>
  <c r="AY241" i="50" s="1"/>
  <c r="Y237" i="50"/>
  <c r="AY237" i="50" s="1"/>
  <c r="Y234" i="50"/>
  <c r="Y240" i="50"/>
  <c r="AY240" i="50" s="1"/>
  <c r="Y239" i="50"/>
  <c r="AY239" i="50" s="1"/>
  <c r="AY1265" i="50"/>
  <c r="B406" i="52"/>
  <c r="B454" i="52"/>
  <c r="B502" i="52" s="1"/>
  <c r="B550" i="52"/>
  <c r="B598" i="52" s="1"/>
  <c r="B646" i="52" s="1"/>
  <c r="B359" i="52"/>
  <c r="B407" i="52"/>
  <c r="B455" i="52" s="1"/>
  <c r="B503" i="52"/>
  <c r="B551" i="52" s="1"/>
  <c r="B599" i="52" s="1"/>
  <c r="B647" i="52" s="1"/>
  <c r="R450" i="50"/>
  <c r="BX440" i="50" s="1"/>
  <c r="Y454" i="50"/>
  <c r="AY454" i="50" s="1"/>
  <c r="Y453" i="50"/>
  <c r="AY453" i="50" s="1"/>
  <c r="Y457" i="50"/>
  <c r="Y456" i="50"/>
  <c r="AY456" i="50"/>
  <c r="Y452" i="50"/>
  <c r="AY452" i="50"/>
  <c r="AL162" i="46"/>
  <c r="AV616" i="50"/>
  <c r="AV1696" i="50"/>
  <c r="AC1390" i="50"/>
  <c r="AV589" i="50"/>
  <c r="R692" i="50"/>
  <c r="BW683" i="50"/>
  <c r="M909" i="50"/>
  <c r="O432" i="52"/>
  <c r="Q432" i="52" s="1"/>
  <c r="R497" i="50"/>
  <c r="BV494" i="50" s="1"/>
  <c r="R504" i="50"/>
  <c r="BX494" i="50" s="1"/>
  <c r="Q494" i="50"/>
  <c r="Q503" i="50"/>
  <c r="Q495" i="50"/>
  <c r="Q504" i="50"/>
  <c r="BE507" i="50"/>
  <c r="Q497" i="50"/>
  <c r="AK504" i="50"/>
  <c r="AK506" i="50"/>
  <c r="BD506" i="50"/>
  <c r="R227" i="50"/>
  <c r="BV224" i="50"/>
  <c r="BD237" i="50"/>
  <c r="Q234" i="50"/>
  <c r="AY1263" i="50"/>
  <c r="R686" i="50"/>
  <c r="BV683" i="50" s="1"/>
  <c r="AV1589" i="50"/>
  <c r="BC1399" i="50"/>
  <c r="AV1939" i="50"/>
  <c r="AG434" i="52"/>
  <c r="N549" i="52"/>
  <c r="O473" i="52"/>
  <c r="Q473" i="52"/>
  <c r="C521" i="52"/>
  <c r="AV1534" i="50"/>
  <c r="AG594" i="52"/>
  <c r="AG583" i="52"/>
  <c r="AG403" i="52"/>
  <c r="AG548" i="52"/>
  <c r="G182" i="38"/>
  <c r="B18" i="57"/>
  <c r="Q353" i="52"/>
  <c r="Y319" i="50"/>
  <c r="AY319" i="50" s="1"/>
  <c r="Y321" i="50"/>
  <c r="Y323" i="50"/>
  <c r="Y317" i="50"/>
  <c r="AY317" i="50" s="1"/>
  <c r="Y322" i="50"/>
  <c r="AY322" i="50" s="1"/>
  <c r="Y318" i="50"/>
  <c r="AC310" i="50"/>
  <c r="Y315" i="50"/>
  <c r="M315" i="50" s="1"/>
  <c r="Y320" i="50"/>
  <c r="AY320" i="50" s="1"/>
  <c r="N765" i="50"/>
  <c r="BU764" i="50" s="1"/>
  <c r="Q767" i="50"/>
  <c r="BE777" i="50"/>
  <c r="Q773" i="50"/>
  <c r="BE776" i="50"/>
  <c r="R774" i="50"/>
  <c r="BX764" i="50" s="1"/>
  <c r="R767" i="50"/>
  <c r="BV764" i="50" s="1"/>
  <c r="BD777" i="50"/>
  <c r="BD776" i="50"/>
  <c r="Q764" i="50"/>
  <c r="N764" i="50"/>
  <c r="BT764" i="50"/>
  <c r="Q774" i="50"/>
  <c r="AK776" i="50"/>
  <c r="AY916" i="50"/>
  <c r="AR1260" i="50"/>
  <c r="BH1250" i="50" s="1"/>
  <c r="M1260" i="50"/>
  <c r="AG433" i="52"/>
  <c r="BE319" i="50"/>
  <c r="N306" i="50"/>
  <c r="BU305" i="50"/>
  <c r="BE318" i="50"/>
  <c r="Q305" i="50"/>
  <c r="BE317" i="50"/>
  <c r="Q315" i="50"/>
  <c r="R308" i="50"/>
  <c r="BV305" i="50"/>
  <c r="Q308" i="50"/>
  <c r="R315" i="50"/>
  <c r="BX305" i="50" s="1"/>
  <c r="Y510" i="50"/>
  <c r="AY510" i="50" s="1"/>
  <c r="Y511" i="50"/>
  <c r="AY511" i="50" s="1"/>
  <c r="Y509" i="50"/>
  <c r="Y504" i="50"/>
  <c r="AR504" i="50"/>
  <c r="BH494" i="50" s="1"/>
  <c r="AY1262" i="50"/>
  <c r="N1925" i="50"/>
  <c r="BT1925" i="50"/>
  <c r="B37" i="57"/>
  <c r="Q372" i="52"/>
  <c r="G201" i="38"/>
  <c r="E283" i="52"/>
  <c r="Y781" i="50"/>
  <c r="AY781" i="50"/>
  <c r="AC769" i="50"/>
  <c r="AC774" i="50"/>
  <c r="I231" i="58"/>
  <c r="AK231" i="58"/>
  <c r="AA231" i="58"/>
  <c r="AE231" i="58"/>
  <c r="AY218" i="58" s="1"/>
  <c r="B42" i="57"/>
  <c r="F284" i="52"/>
  <c r="G206" i="38"/>
  <c r="AC1257" i="50"/>
  <c r="AC1260" i="50"/>
  <c r="R1935" i="50"/>
  <c r="BX1925" i="50" s="1"/>
  <c r="AV104" i="50"/>
  <c r="N536" i="52"/>
  <c r="AV1399" i="50"/>
  <c r="Q2033" i="50"/>
  <c r="BD2047" i="50"/>
  <c r="Q2034" i="50"/>
  <c r="BD2045" i="50"/>
  <c r="N2034" i="50"/>
  <c r="BU2033" i="50"/>
  <c r="BE2046" i="50"/>
  <c r="AK2043" i="50"/>
  <c r="AV77" i="50"/>
  <c r="AG534" i="52"/>
  <c r="I357" i="58"/>
  <c r="AK357" i="58"/>
  <c r="M357" i="58" s="1"/>
  <c r="AA357" i="58"/>
  <c r="AV697" i="50"/>
  <c r="R2036" i="50"/>
  <c r="BV2033" i="50" s="1"/>
  <c r="AE132" i="58"/>
  <c r="AV122" i="58" s="1"/>
  <c r="AC132" i="58"/>
  <c r="AD132" i="58" s="1"/>
  <c r="K132" i="58"/>
  <c r="M132" i="58" s="1"/>
  <c r="AA354" i="58"/>
  <c r="AC354" i="58" s="1"/>
  <c r="I354" i="58"/>
  <c r="AK354" i="58"/>
  <c r="M354" i="58" s="1"/>
  <c r="M352" i="58"/>
  <c r="W360" i="58"/>
  <c r="AE352" i="58"/>
  <c r="I359" i="58"/>
  <c r="AK359" i="58"/>
  <c r="AA359" i="58"/>
  <c r="AC359" i="58"/>
  <c r="AD359" i="58" s="1"/>
  <c r="N534" i="52"/>
  <c r="I356" i="58"/>
  <c r="AK356" i="58"/>
  <c r="AA356" i="58"/>
  <c r="AC356" i="58"/>
  <c r="AD356" i="58" s="1"/>
  <c r="Y701" i="50"/>
  <c r="AY701" i="50" s="1"/>
  <c r="Y697" i="50"/>
  <c r="AY697" i="50" s="1"/>
  <c r="Y693" i="50"/>
  <c r="AC688" i="50"/>
  <c r="AC690" i="50"/>
  <c r="Y700" i="50"/>
  <c r="AY700" i="50"/>
  <c r="Y699" i="50"/>
  <c r="AY699" i="50"/>
  <c r="Y696" i="50"/>
  <c r="AY696" i="50"/>
  <c r="Y695" i="50"/>
  <c r="AY695" i="50"/>
  <c r="Y698" i="50"/>
  <c r="AY698" i="50"/>
  <c r="N683" i="50"/>
  <c r="BT683" i="50"/>
  <c r="AY562" i="50"/>
  <c r="AC445" i="50"/>
  <c r="AC447" i="50" s="1"/>
  <c r="Y1937" i="50"/>
  <c r="AY1937" i="50" s="1"/>
  <c r="AA99" i="58"/>
  <c r="I99" i="58"/>
  <c r="BD346" i="50"/>
  <c r="BD345" i="50"/>
  <c r="N333" i="50"/>
  <c r="BU332" i="50" s="1"/>
  <c r="Q341" i="50"/>
  <c r="AK344" i="50"/>
  <c r="AK342" i="50"/>
  <c r="BE344" i="50"/>
  <c r="C426" i="52"/>
  <c r="O426" i="52" s="1"/>
  <c r="O378" i="52"/>
  <c r="Q1550" i="50"/>
  <c r="BC1560" i="50"/>
  <c r="Q1547" i="50"/>
  <c r="Y455" i="50"/>
  <c r="AY455" i="50"/>
  <c r="Y1941" i="50"/>
  <c r="AY1941" i="50"/>
  <c r="AK98" i="58"/>
  <c r="M98" i="58"/>
  <c r="AA98" i="58"/>
  <c r="AF98" i="58"/>
  <c r="AR1098" i="50"/>
  <c r="BH1088" i="50"/>
  <c r="M1098" i="50"/>
  <c r="AC1341" i="50"/>
  <c r="R98" i="58"/>
  <c r="R99" i="58" s="1"/>
  <c r="Y450" i="50"/>
  <c r="M450" i="50" s="1"/>
  <c r="N1926" i="50"/>
  <c r="BU1925" i="50" s="1"/>
  <c r="N510" i="52"/>
  <c r="AR828" i="50"/>
  <c r="BH818" i="50"/>
  <c r="K148" i="38"/>
  <c r="AB157" i="38"/>
  <c r="AB158" i="38" s="1"/>
  <c r="AB159" i="38" s="1"/>
  <c r="AB160" i="38" s="1"/>
  <c r="AB161" i="38" s="1"/>
  <c r="AB162" i="38" s="1"/>
  <c r="AB163" i="38" s="1"/>
  <c r="AB164" i="38" s="1"/>
  <c r="AB165" i="38" s="1"/>
  <c r="Y349" i="50"/>
  <c r="AY349" i="50"/>
  <c r="Y344" i="50"/>
  <c r="AY344" i="50"/>
  <c r="Y346" i="50"/>
  <c r="AY346" i="50"/>
  <c r="Y345" i="50"/>
  <c r="AY345" i="50"/>
  <c r="Y1942" i="50"/>
  <c r="AY1942" i="50"/>
  <c r="BZ2006" i="50"/>
  <c r="BZ1331" i="50"/>
  <c r="BZ1201" i="50"/>
  <c r="BZ1709" i="50"/>
  <c r="BZ1493" i="50"/>
  <c r="BZ1763" i="50"/>
  <c r="BZ1898" i="50"/>
  <c r="BZ1952" i="50"/>
  <c r="BZ904" i="50"/>
  <c r="BZ310" i="50"/>
  <c r="BZ413" i="50"/>
  <c r="BZ1309" i="50"/>
  <c r="BZ1311" i="50"/>
  <c r="BZ1061" i="50"/>
  <c r="BZ1498" i="50"/>
  <c r="BZ1039" i="50"/>
  <c r="BZ1041" i="50"/>
  <c r="BZ877" i="50"/>
  <c r="BZ879" i="50"/>
  <c r="BZ683" i="50"/>
  <c r="BZ548" i="50"/>
  <c r="BZ202" i="50"/>
  <c r="BZ575" i="50"/>
  <c r="BZ2060" i="50"/>
  <c r="BZ1579" i="50"/>
  <c r="BZ1581" i="50" s="1"/>
  <c r="BZ899" i="50"/>
  <c r="BZ445" i="50"/>
  <c r="BZ764" i="50"/>
  <c r="BZ521" i="50"/>
  <c r="BZ1277" i="50"/>
  <c r="BZ1525" i="50"/>
  <c r="BZ1530" i="50"/>
  <c r="BZ553" i="50"/>
  <c r="BZ558" i="50"/>
  <c r="BZ224" i="50"/>
  <c r="BZ418" i="50"/>
  <c r="BZ420" i="50" s="1"/>
  <c r="BZ143" i="50"/>
  <c r="BZ1385" i="50"/>
  <c r="BZ1066" i="50"/>
  <c r="BZ1068" i="50" s="1"/>
  <c r="BZ931" i="50"/>
  <c r="BZ936" i="50" s="1"/>
  <c r="BZ229" i="50"/>
  <c r="BZ62" i="50"/>
  <c r="BZ1957" i="50"/>
  <c r="BZ1962" i="50"/>
  <c r="BZ2065" i="50"/>
  <c r="BE1154" i="50"/>
  <c r="BE1155" i="50"/>
  <c r="N1142" i="50"/>
  <c r="BT1142" i="50" s="1"/>
  <c r="Q1143" i="50"/>
  <c r="Q1152" i="50"/>
  <c r="AK1152" i="50"/>
  <c r="BD1155" i="50"/>
  <c r="Q1145" i="50"/>
  <c r="Q1151" i="50"/>
  <c r="Q1142" i="50"/>
  <c r="BE1156" i="50"/>
  <c r="BE1831" i="50"/>
  <c r="BE1829" i="50"/>
  <c r="R1934" i="50"/>
  <c r="BW1925" i="50" s="1"/>
  <c r="R449" i="50"/>
  <c r="BW440" i="50" s="1"/>
  <c r="N450" i="52"/>
  <c r="Y458" i="50"/>
  <c r="AY458" i="50"/>
  <c r="N528" i="52"/>
  <c r="AB71" i="38"/>
  <c r="AB72" i="38" s="1"/>
  <c r="AB73" i="38"/>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AB120" i="38" s="1"/>
  <c r="K50" i="38"/>
  <c r="Y1938" i="50"/>
  <c r="AY1938" i="50" s="1"/>
  <c r="AC1930" i="50"/>
  <c r="Y1943" i="50"/>
  <c r="AY1943" i="50"/>
  <c r="Y1935" i="50"/>
  <c r="AR1935" i="50"/>
  <c r="BH1925" i="50" s="1"/>
  <c r="R1928" i="50"/>
  <c r="BV1925" i="50" s="1"/>
  <c r="Y1939" i="50"/>
  <c r="AY1939" i="50" s="1"/>
  <c r="AV1724" i="50"/>
  <c r="N684" i="50"/>
  <c r="BU683" i="50"/>
  <c r="K1615" i="50"/>
  <c r="BC345" i="50"/>
  <c r="BC344" i="50"/>
  <c r="BC346" i="50"/>
  <c r="AY749" i="50"/>
  <c r="AK1476" i="50"/>
  <c r="BE1478" i="50"/>
  <c r="N1466" i="50"/>
  <c r="BT1466" i="50" s="1"/>
  <c r="BC1478" i="50"/>
  <c r="N1467" i="50"/>
  <c r="BU1466" i="50"/>
  <c r="R1469" i="50"/>
  <c r="BV1466" i="50"/>
  <c r="R1475" i="50"/>
  <c r="BW1466" i="50"/>
  <c r="BE1479" i="50"/>
  <c r="Q1469" i="50"/>
  <c r="AK1478" i="50"/>
  <c r="BD1480" i="50"/>
  <c r="R1476" i="50"/>
  <c r="BX1466" i="50"/>
  <c r="Q1476" i="50"/>
  <c r="BE1480" i="50"/>
  <c r="BC1480" i="50"/>
  <c r="Q1466" i="50"/>
  <c r="BD1478" i="50"/>
  <c r="BD1479" i="50"/>
  <c r="Q1475" i="50"/>
  <c r="Q1467" i="50"/>
  <c r="BC1479" i="50"/>
  <c r="AC1230" i="50"/>
  <c r="AC1233" i="50"/>
  <c r="AC1236" i="50"/>
  <c r="AN1236" i="50" s="1"/>
  <c r="B365" i="52"/>
  <c r="B412" i="52"/>
  <c r="B460" i="52" s="1"/>
  <c r="B508" i="52" s="1"/>
  <c r="B556" i="52" s="1"/>
  <c r="B604" i="52" s="1"/>
  <c r="B652" i="52" s="1"/>
  <c r="BC1748" i="50"/>
  <c r="BC1749" i="50"/>
  <c r="BC1750" i="50"/>
  <c r="AY2045" i="50"/>
  <c r="AK1100" i="50"/>
  <c r="Q1097" i="50"/>
  <c r="N1089" i="50"/>
  <c r="BU1088" i="50" s="1"/>
  <c r="Q1098" i="50"/>
  <c r="BD1100" i="50"/>
  <c r="BE1102" i="50"/>
  <c r="Q1091" i="50"/>
  <c r="BC1101" i="50"/>
  <c r="Q1088" i="50"/>
  <c r="BC1100" i="50"/>
  <c r="BD1102" i="50"/>
  <c r="R1091" i="50"/>
  <c r="BV1088" i="50" s="1"/>
  <c r="BE1101" i="50"/>
  <c r="N1088" i="50"/>
  <c r="BT1088" i="50"/>
  <c r="R1098" i="50"/>
  <c r="BX1088" i="50"/>
  <c r="R1097" i="50"/>
  <c r="BW1088" i="50"/>
  <c r="BE1100" i="50"/>
  <c r="BD1101" i="50"/>
  <c r="BC1102" i="50"/>
  <c r="BC1345" i="50"/>
  <c r="BC1343" i="50"/>
  <c r="BC1694" i="50"/>
  <c r="BC1695" i="50"/>
  <c r="K1103" i="50"/>
  <c r="BC1344" i="50"/>
  <c r="AC2043" i="50"/>
  <c r="AC2047" i="50" s="1"/>
  <c r="AC2040" i="50"/>
  <c r="BC399" i="50"/>
  <c r="BC398" i="50"/>
  <c r="BC400" i="50"/>
  <c r="R1503" i="50"/>
  <c r="BX1493" i="50" s="1"/>
  <c r="Q1496" i="50"/>
  <c r="AK1503" i="50"/>
  <c r="AK1505" i="50"/>
  <c r="BE1507" i="50"/>
  <c r="N1494" i="50"/>
  <c r="BU1493" i="50" s="1"/>
  <c r="BD1505" i="50"/>
  <c r="BC1505" i="50"/>
  <c r="Q1502" i="50"/>
  <c r="BC1507" i="50"/>
  <c r="BE1506" i="50"/>
  <c r="R1496" i="50"/>
  <c r="BV1493" i="50"/>
  <c r="BD1506" i="50"/>
  <c r="BE1505" i="50"/>
  <c r="Q1503" i="50"/>
  <c r="Q1493" i="50"/>
  <c r="AV1103" i="50"/>
  <c r="AC288" i="50"/>
  <c r="AC292" i="50" s="1"/>
  <c r="AR292" i="50" s="1"/>
  <c r="AC285" i="50"/>
  <c r="AH618" i="50"/>
  <c r="Q369" i="50"/>
  <c r="BE371" i="50"/>
  <c r="BC373" i="50"/>
  <c r="BD372" i="50"/>
  <c r="Q359" i="50"/>
  <c r="BC372" i="50"/>
  <c r="AK369" i="50"/>
  <c r="Q368" i="50"/>
  <c r="Q362" i="50"/>
  <c r="BE373" i="50"/>
  <c r="Q360" i="50"/>
  <c r="BD371" i="50"/>
  <c r="AK371" i="50"/>
  <c r="BE372" i="50"/>
  <c r="BD373" i="50"/>
  <c r="R369" i="50"/>
  <c r="BX359" i="50" s="1"/>
  <c r="R362" i="50"/>
  <c r="BV359" i="50" s="1"/>
  <c r="N360" i="50"/>
  <c r="BU359" i="50" s="1"/>
  <c r="BC371" i="50"/>
  <c r="R368" i="50"/>
  <c r="BW359" i="50"/>
  <c r="N359" i="50"/>
  <c r="BT359" i="50"/>
  <c r="AR1773" i="50"/>
  <c r="BH1763" i="50"/>
  <c r="Y1726" i="50"/>
  <c r="Y1727" i="50"/>
  <c r="Y1725" i="50"/>
  <c r="AY1725" i="50"/>
  <c r="Y1719" i="50"/>
  <c r="AR1719" i="50"/>
  <c r="BH1709" i="50" s="1"/>
  <c r="AC1714" i="50"/>
  <c r="Y1724" i="50"/>
  <c r="AY1724" i="50"/>
  <c r="Y1723" i="50"/>
  <c r="AY1723" i="50"/>
  <c r="BZ1714" i="50"/>
  <c r="BZ1719" i="50"/>
  <c r="N1709" i="50"/>
  <c r="BT1709" i="50"/>
  <c r="Y1722" i="50"/>
  <c r="AY1722" i="50"/>
  <c r="Y1721" i="50"/>
  <c r="AY1721" i="50"/>
  <c r="R1718" i="50"/>
  <c r="BW1709" i="50"/>
  <c r="BC157" i="50"/>
  <c r="BD155" i="50"/>
  <c r="BE155" i="50"/>
  <c r="Q153" i="50"/>
  <c r="Q144" i="50"/>
  <c r="Q146" i="50"/>
  <c r="BE157" i="50"/>
  <c r="Q152" i="50"/>
  <c r="BA7" i="61"/>
  <c r="AY7" i="61"/>
  <c r="BD157" i="50"/>
  <c r="BE156" i="50"/>
  <c r="BC156" i="50"/>
  <c r="Q143" i="50"/>
  <c r="BD156" i="50"/>
  <c r="BC155" i="50"/>
  <c r="AK153" i="50"/>
  <c r="AK155" i="50"/>
  <c r="AG561" i="52"/>
  <c r="AK258" i="58"/>
  <c r="M258" i="58" s="1"/>
  <c r="AA258" i="58"/>
  <c r="AF258" i="58" s="1"/>
  <c r="I258" i="58"/>
  <c r="AY1048" i="50"/>
  <c r="BC453" i="50"/>
  <c r="BC452" i="50"/>
  <c r="BC454" i="50"/>
  <c r="AH911" i="50"/>
  <c r="AH2073" i="50"/>
  <c r="K617" i="50"/>
  <c r="AY1049" i="50"/>
  <c r="N482" i="52"/>
  <c r="B25" i="57"/>
  <c r="Q360" i="52"/>
  <c r="G189" i="38"/>
  <c r="E275" i="52"/>
  <c r="AH996" i="50"/>
  <c r="AY832" i="50"/>
  <c r="BE218" i="58"/>
  <c r="AH1398" i="50"/>
  <c r="B51" i="57"/>
  <c r="G215" i="38"/>
  <c r="E297" i="52"/>
  <c r="Q386" i="52"/>
  <c r="K833" i="50"/>
  <c r="AV833" i="50"/>
  <c r="Q956" i="50"/>
  <c r="BD966" i="50"/>
  <c r="BD967" i="50"/>
  <c r="R956" i="50"/>
  <c r="BV953" i="50" s="1"/>
  <c r="R963" i="50"/>
  <c r="BX953" i="50" s="1"/>
  <c r="BC967" i="50"/>
  <c r="N954" i="50"/>
  <c r="BU953" i="50"/>
  <c r="AK965" i="50"/>
  <c r="R962" i="50"/>
  <c r="BW953" i="50" s="1"/>
  <c r="Q963" i="50"/>
  <c r="Q962" i="50"/>
  <c r="AK963" i="50"/>
  <c r="BD965" i="50"/>
  <c r="Q954" i="50"/>
  <c r="Q953" i="50"/>
  <c r="BC965" i="50"/>
  <c r="BE966" i="50"/>
  <c r="B32" i="57"/>
  <c r="G196" i="38"/>
  <c r="E277" i="52"/>
  <c r="Q367" i="52"/>
  <c r="AH291" i="50"/>
  <c r="Q1089" i="50"/>
  <c r="O368" i="52"/>
  <c r="C416" i="52"/>
  <c r="C464" i="52"/>
  <c r="AK1098" i="50"/>
  <c r="Q1611" i="50"/>
  <c r="N1602" i="50"/>
  <c r="BU1601" i="50"/>
  <c r="Q1601" i="50"/>
  <c r="R1610" i="50"/>
  <c r="BW1601" i="50" s="1"/>
  <c r="Q1610" i="50"/>
  <c r="BD1615" i="50"/>
  <c r="AK1613" i="50"/>
  <c r="Q1604" i="50"/>
  <c r="Q1602" i="50"/>
  <c r="N1601" i="50"/>
  <c r="BT1601" i="50"/>
  <c r="BC1613" i="50"/>
  <c r="BE1613" i="50"/>
  <c r="BE1614" i="50"/>
  <c r="BC1615" i="50"/>
  <c r="R1604" i="50"/>
  <c r="BV1601" i="50"/>
  <c r="AK1611" i="50"/>
  <c r="R1611" i="50"/>
  <c r="BX1601" i="50" s="1"/>
  <c r="BD1613" i="50"/>
  <c r="BE1615" i="50"/>
  <c r="BC1614" i="50"/>
  <c r="BD1614" i="50"/>
  <c r="K590" i="50"/>
  <c r="AV590" i="50"/>
  <c r="AY1779" i="50"/>
  <c r="O434" i="52"/>
  <c r="Q434" i="52"/>
  <c r="D482" i="52"/>
  <c r="BE967" i="50"/>
  <c r="K1076" i="50"/>
  <c r="AV1076" i="50"/>
  <c r="AF293" i="58"/>
  <c r="AG293" i="58"/>
  <c r="AE293" i="58"/>
  <c r="AW282" i="58"/>
  <c r="Q1305" i="50"/>
  <c r="BC1318" i="50"/>
  <c r="Q1307" i="50"/>
  <c r="R1314" i="50"/>
  <c r="BX1304" i="50" s="1"/>
  <c r="Q1314" i="50"/>
  <c r="AK1314" i="50"/>
  <c r="BE1316" i="50"/>
  <c r="BD1318" i="50"/>
  <c r="BC1316" i="50"/>
  <c r="AK1316" i="50"/>
  <c r="N1304" i="50"/>
  <c r="BT1304" i="50" s="1"/>
  <c r="BE1317" i="50"/>
  <c r="BD1317" i="50"/>
  <c r="BE1318" i="50"/>
  <c r="N1305" i="50"/>
  <c r="BU1304" i="50"/>
  <c r="Q1304" i="50"/>
  <c r="BD1316" i="50"/>
  <c r="R1313" i="50"/>
  <c r="BW1304" i="50"/>
  <c r="Q1313" i="50"/>
  <c r="BC1317" i="50"/>
  <c r="R1307" i="50"/>
  <c r="BV1304" i="50"/>
  <c r="K1022" i="50"/>
  <c r="AV1022" i="50"/>
  <c r="Y1021" i="50"/>
  <c r="Y1019" i="50"/>
  <c r="AY1019" i="50" s="1"/>
  <c r="Y1017" i="50"/>
  <c r="AR1017" i="50" s="1"/>
  <c r="BH1007" i="50"/>
  <c r="AC1012" i="50"/>
  <c r="AC1017" i="50"/>
  <c r="Y1023" i="50"/>
  <c r="Y1022" i="50"/>
  <c r="AY1022" i="50" s="1"/>
  <c r="Y1020" i="50"/>
  <c r="AY1020" i="50" s="1"/>
  <c r="Y1025" i="50"/>
  <c r="AY1025" i="50" s="1"/>
  <c r="Y1024" i="50"/>
  <c r="N1007" i="50"/>
  <c r="BT1007" i="50"/>
  <c r="N535" i="52"/>
  <c r="AE456" i="52"/>
  <c r="AE483" i="52"/>
  <c r="AE452" i="52"/>
  <c r="AE487" i="52"/>
  <c r="AE488" i="52"/>
  <c r="AE467" i="52"/>
  <c r="AE462" i="52"/>
  <c r="AE480" i="52"/>
  <c r="AE457" i="52"/>
  <c r="AE486" i="52"/>
  <c r="AE484" i="52"/>
  <c r="X617" i="52"/>
  <c r="N617" i="52"/>
  <c r="G218" i="38"/>
  <c r="B54" i="57"/>
  <c r="Q389" i="52"/>
  <c r="E279" i="52"/>
  <c r="AV1264" i="50"/>
  <c r="AV1345" i="50"/>
  <c r="BC319" i="50"/>
  <c r="R254" i="50"/>
  <c r="BV251" i="50" s="1"/>
  <c r="AG532" i="52"/>
  <c r="AY2051" i="50"/>
  <c r="AY401" i="50"/>
  <c r="BC1885" i="50"/>
  <c r="BC562" i="50"/>
  <c r="AY614" i="50"/>
  <c r="H653" i="52"/>
  <c r="H661" i="52"/>
  <c r="AA663" i="52"/>
  <c r="AG663" i="52" s="1"/>
  <c r="H663" i="52"/>
  <c r="H669" i="52"/>
  <c r="H665" i="52"/>
  <c r="H666" i="52"/>
  <c r="R180" i="50"/>
  <c r="BX170" i="50" s="1"/>
  <c r="N250" i="58"/>
  <c r="BH250" i="58" s="1"/>
  <c r="Y182" i="50"/>
  <c r="AY182" i="50" s="1"/>
  <c r="Y477" i="50"/>
  <c r="M477" i="50" s="1"/>
  <c r="D485" i="52"/>
  <c r="O437" i="52"/>
  <c r="Q437" i="52"/>
  <c r="AV778" i="50"/>
  <c r="BC2047" i="50"/>
  <c r="BC2045" i="50"/>
  <c r="AG500" i="52"/>
  <c r="AY2049" i="50"/>
  <c r="Q354" i="52"/>
  <c r="B19" i="57"/>
  <c r="G183" i="38"/>
  <c r="I661" i="52"/>
  <c r="I653" i="52"/>
  <c r="I665" i="52"/>
  <c r="I666" i="52"/>
  <c r="I669" i="52"/>
  <c r="AG580" i="52"/>
  <c r="AC472" i="50"/>
  <c r="AC477" i="50"/>
  <c r="X497" i="52"/>
  <c r="N497" i="52"/>
  <c r="BC1964" i="50"/>
  <c r="BC1966" i="50"/>
  <c r="BC1965" i="50"/>
  <c r="BC1452" i="50"/>
  <c r="BC1451" i="50"/>
  <c r="BC1453" i="50"/>
  <c r="AC609" i="50"/>
  <c r="AI1098" i="50"/>
  <c r="AJ1098" i="50" s="1"/>
  <c r="BI1088" i="50"/>
  <c r="AC1104" i="50"/>
  <c r="AN1104" i="50"/>
  <c r="AC1101" i="50"/>
  <c r="AJ1101" i="50"/>
  <c r="AS1098" i="50"/>
  <c r="AT1098" i="50"/>
  <c r="AF1098" i="50"/>
  <c r="AC1102" i="50"/>
  <c r="AR1102" i="50" s="1"/>
  <c r="AG1098" i="50"/>
  <c r="AY2047" i="50"/>
  <c r="AG582" i="52"/>
  <c r="AH1023" i="50"/>
  <c r="Y187" i="50"/>
  <c r="AY187" i="50" s="1"/>
  <c r="AC175" i="50"/>
  <c r="AC180" i="50" s="1"/>
  <c r="BJ160" i="58"/>
  <c r="BJ128" i="58"/>
  <c r="BJ282" i="58"/>
  <c r="BJ224" i="58"/>
  <c r="K8" i="58"/>
  <c r="BJ192" i="58"/>
  <c r="BJ346" i="58"/>
  <c r="BJ64" i="58"/>
  <c r="BJ58" i="58"/>
  <c r="BJ256" i="58"/>
  <c r="BJ264" i="58"/>
  <c r="BJ320" i="58"/>
  <c r="BJ352" i="58"/>
  <c r="BJ314" i="58"/>
  <c r="BJ218" i="58"/>
  <c r="BJ288" i="58"/>
  <c r="BJ250" i="58"/>
  <c r="V3" i="58"/>
  <c r="BJ96" i="58"/>
  <c r="BJ100" i="58" s="1"/>
  <c r="BJ154" i="58"/>
  <c r="BJ90" i="58"/>
  <c r="BJ122" i="58"/>
  <c r="BJ186" i="58"/>
  <c r="BC940" i="50"/>
  <c r="BC939" i="50"/>
  <c r="BC938" i="50"/>
  <c r="K1183" i="50"/>
  <c r="BE314" i="58"/>
  <c r="AR2043" i="50"/>
  <c r="BH2033" i="50"/>
  <c r="M2043" i="50"/>
  <c r="AY1885" i="50"/>
  <c r="D515" i="52"/>
  <c r="AY2020" i="50"/>
  <c r="N511" i="52"/>
  <c r="X511" i="52"/>
  <c r="X645" i="52"/>
  <c r="N645" i="52"/>
  <c r="AL6" i="46"/>
  <c r="AL135" i="46"/>
  <c r="AL186" i="46"/>
  <c r="AL187" i="46"/>
  <c r="AL188" i="46" s="1"/>
  <c r="AL189" i="46" s="1"/>
  <c r="S189" i="46" s="1"/>
  <c r="AL337" i="46"/>
  <c r="AL81" i="46"/>
  <c r="AL82" i="46"/>
  <c r="AL83" i="46" s="1"/>
  <c r="AL84" i="46" s="1"/>
  <c r="S84" i="46" s="1"/>
  <c r="AL22" i="46"/>
  <c r="AL275" i="46"/>
  <c r="V3" i="46"/>
  <c r="AL345" i="46"/>
  <c r="AL256" i="46"/>
  <c r="AL257" i="46" s="1"/>
  <c r="AL258" i="46" s="1"/>
  <c r="AL259" i="46" s="1"/>
  <c r="S259" i="46" s="1"/>
  <c r="K8" i="46"/>
  <c r="AL310" i="46"/>
  <c r="AL302" i="46"/>
  <c r="AL232" i="46"/>
  <c r="AL221" i="46"/>
  <c r="AL222" i="46"/>
  <c r="AL223" i="46" s="1"/>
  <c r="AL224" i="46" s="1"/>
  <c r="S224" i="46" s="1"/>
  <c r="AL92" i="46"/>
  <c r="AL291" i="46"/>
  <c r="AL292" i="46"/>
  <c r="AL293" i="46" s="1"/>
  <c r="AL294" i="46" s="1"/>
  <c r="S294" i="46" s="1"/>
  <c r="AL116" i="46"/>
  <c r="AL117" i="46" s="1"/>
  <c r="AL118" i="46" s="1"/>
  <c r="AL119" i="46" s="1"/>
  <c r="S119" i="46" s="1"/>
  <c r="AL100" i="46"/>
  <c r="AL240" i="46"/>
  <c r="AL57" i="46"/>
  <c r="AL361" i="46"/>
  <c r="AL362" i="46" s="1"/>
  <c r="AL363" i="46" s="1"/>
  <c r="AL364" i="46" s="1"/>
  <c r="S364" i="46" s="1"/>
  <c r="AL65" i="46"/>
  <c r="AL66" i="46"/>
  <c r="AL69" i="46" s="1"/>
  <c r="AL71" i="46" s="1"/>
  <c r="AL46" i="46"/>
  <c r="AL47" i="46"/>
  <c r="AL48" i="46" s="1"/>
  <c r="AL49" i="46"/>
  <c r="S49" i="46" s="1"/>
  <c r="AL151" i="46"/>
  <c r="AL152" i="46" s="1"/>
  <c r="AL153" i="46"/>
  <c r="AL154" i="46" s="1"/>
  <c r="S154" i="46" s="1"/>
  <c r="AL205" i="46"/>
  <c r="AL197" i="46"/>
  <c r="F369" i="52"/>
  <c r="F417" i="52"/>
  <c r="F465" i="52" s="1"/>
  <c r="F513" i="52"/>
  <c r="F561" i="52" s="1"/>
  <c r="F609" i="52" s="1"/>
  <c r="F657" i="52" s="1"/>
  <c r="F357" i="52"/>
  <c r="F405" i="52" s="1"/>
  <c r="F453" i="52" s="1"/>
  <c r="F501" i="52" s="1"/>
  <c r="F549" i="52" s="1"/>
  <c r="F597" i="52" s="1"/>
  <c r="F645" i="52" s="1"/>
  <c r="F385" i="52"/>
  <c r="F433" i="52"/>
  <c r="F481" i="52" s="1"/>
  <c r="F529" i="52"/>
  <c r="F577" i="52" s="1"/>
  <c r="F625" i="52" s="1"/>
  <c r="F673" i="52" s="1"/>
  <c r="F401" i="52"/>
  <c r="F449" i="52" s="1"/>
  <c r="F497" i="52" s="1"/>
  <c r="F545" i="52" s="1"/>
  <c r="F593" i="52" s="1"/>
  <c r="F641" i="52" s="1"/>
  <c r="F355" i="52"/>
  <c r="F403" i="52" s="1"/>
  <c r="F451" i="52"/>
  <c r="F499" i="52" s="1"/>
  <c r="F547" i="52" s="1"/>
  <c r="F595" i="52" s="1"/>
  <c r="F643" i="52" s="1"/>
  <c r="F354" i="52"/>
  <c r="F402" i="52"/>
  <c r="F450" i="52" s="1"/>
  <c r="F498" i="52" s="1"/>
  <c r="F546" i="52" s="1"/>
  <c r="F594" i="52" s="1"/>
  <c r="F642" i="52" s="1"/>
  <c r="F386" i="52"/>
  <c r="F434" i="52" s="1"/>
  <c r="F482" i="52"/>
  <c r="F530" i="52" s="1"/>
  <c r="F578" i="52" s="1"/>
  <c r="F626" i="52" s="1"/>
  <c r="F674" i="52" s="1"/>
  <c r="AY618" i="50"/>
  <c r="AG528" i="52"/>
  <c r="BC832" i="50"/>
  <c r="BC830" i="50"/>
  <c r="BC831" i="50"/>
  <c r="AC828" i="50"/>
  <c r="AC831" i="50" s="1"/>
  <c r="AC825" i="50"/>
  <c r="C463" i="52"/>
  <c r="O415" i="52"/>
  <c r="Q415" i="52" s="1"/>
  <c r="AY1077" i="50"/>
  <c r="N503" i="52"/>
  <c r="X503" i="52"/>
  <c r="Y1130" i="50"/>
  <c r="AY1130" i="50"/>
  <c r="Y1127" i="50"/>
  <c r="AY1127" i="50"/>
  <c r="Y1131" i="50"/>
  <c r="AY1131" i="50"/>
  <c r="N1116" i="50"/>
  <c r="BU1115" i="50"/>
  <c r="R1125" i="50"/>
  <c r="BX1115" i="50"/>
  <c r="R1118" i="50"/>
  <c r="BV1115" i="50"/>
  <c r="Y1128" i="50"/>
  <c r="AY1128" i="50"/>
  <c r="N1115" i="50"/>
  <c r="BT1115" i="50"/>
  <c r="Y1125" i="50"/>
  <c r="Y1133" i="50"/>
  <c r="AY1133" i="50" s="1"/>
  <c r="Y1129" i="50"/>
  <c r="AY1129" i="50" s="1"/>
  <c r="R1124" i="50"/>
  <c r="BW1115" i="50" s="1"/>
  <c r="AC1120" i="50"/>
  <c r="AK167" i="58"/>
  <c r="AA167" i="58"/>
  <c r="AE167" i="58" s="1"/>
  <c r="AY154" i="58"/>
  <c r="I167" i="58"/>
  <c r="AY1616" i="50"/>
  <c r="BC1182" i="50"/>
  <c r="BC1181" i="50"/>
  <c r="BC1183" i="50"/>
  <c r="BC183" i="50"/>
  <c r="AY835" i="50"/>
  <c r="BC1397" i="50"/>
  <c r="Y1481" i="50"/>
  <c r="AY1481" i="50"/>
  <c r="Y1483" i="50"/>
  <c r="Y1480" i="50"/>
  <c r="AY1480" i="50" s="1"/>
  <c r="Y1482" i="50"/>
  <c r="AY1482" i="50" s="1"/>
  <c r="Y1484" i="50"/>
  <c r="AY1484" i="50" s="1"/>
  <c r="Y1478" i="50"/>
  <c r="Y1479" i="50"/>
  <c r="AY1479" i="50"/>
  <c r="AC1471" i="50"/>
  <c r="AC1473" i="50"/>
  <c r="Y1476" i="50"/>
  <c r="AR1476" i="50"/>
  <c r="AY1618" i="50"/>
  <c r="AY1699" i="50"/>
  <c r="X598" i="52"/>
  <c r="N598" i="52"/>
  <c r="BD209" i="50"/>
  <c r="BD210" i="50"/>
  <c r="N197" i="50"/>
  <c r="BT197" i="50"/>
  <c r="R200" i="50"/>
  <c r="BV197" i="50"/>
  <c r="Q206" i="50"/>
  <c r="R206" i="50"/>
  <c r="BW197" i="50" s="1"/>
  <c r="Q207" i="50"/>
  <c r="BC210" i="50"/>
  <c r="BE211" i="50"/>
  <c r="BD211" i="50"/>
  <c r="Q200" i="50"/>
  <c r="BE210" i="50"/>
  <c r="R207" i="50"/>
  <c r="BX197" i="50" s="1"/>
  <c r="BC209" i="50"/>
  <c r="Q197" i="50"/>
  <c r="N198" i="50"/>
  <c r="BU197" i="50" s="1"/>
  <c r="Q198" i="50"/>
  <c r="AK207" i="50"/>
  <c r="BC211" i="50"/>
  <c r="AK209" i="50"/>
  <c r="BE209" i="50"/>
  <c r="AY1100" i="50"/>
  <c r="AC1100" i="50"/>
  <c r="AR1100" i="50" s="1"/>
  <c r="BJ1088" i="50" s="1"/>
  <c r="BC1154" i="50"/>
  <c r="BC1156" i="50"/>
  <c r="BC1155" i="50"/>
  <c r="BC290" i="50"/>
  <c r="BC291" i="50"/>
  <c r="BC292" i="50"/>
  <c r="AG579" i="52"/>
  <c r="AG510" i="52"/>
  <c r="AC163" i="58"/>
  <c r="AE163" i="58"/>
  <c r="AU154" i="58" s="1"/>
  <c r="N451" i="52"/>
  <c r="AY1103" i="50"/>
  <c r="AC1103" i="50"/>
  <c r="AR1103" i="50" s="1"/>
  <c r="AY1619" i="50"/>
  <c r="BC1667" i="50"/>
  <c r="BC1668" i="50"/>
  <c r="BC1669" i="50"/>
  <c r="BC2020" i="50"/>
  <c r="BC2019" i="50"/>
  <c r="BC2018" i="50"/>
  <c r="AY1078" i="50"/>
  <c r="AK1017" i="50"/>
  <c r="Q1008" i="50"/>
  <c r="BC1021" i="50"/>
  <c r="BE1021" i="50"/>
  <c r="BD1020" i="50"/>
  <c r="BE1019" i="50"/>
  <c r="Q1007" i="50"/>
  <c r="Q1017" i="50"/>
  <c r="R1010" i="50"/>
  <c r="BV1007" i="50" s="1"/>
  <c r="BC1019" i="50"/>
  <c r="N1008" i="50"/>
  <c r="BU1007" i="50"/>
  <c r="R1016" i="50"/>
  <c r="BW1007" i="50"/>
  <c r="BC1884" i="50"/>
  <c r="AF262" i="58"/>
  <c r="AG262" i="58" s="1"/>
  <c r="AE262" i="58"/>
  <c r="AX250" i="58" s="1"/>
  <c r="N413" i="52"/>
  <c r="AC1105" i="50"/>
  <c r="AO1105" i="50"/>
  <c r="AQ1105" i="50" s="1"/>
  <c r="AY1105" i="50"/>
  <c r="BC777" i="50"/>
  <c r="BC778" i="50"/>
  <c r="AR1071" i="50"/>
  <c r="BH1061" i="50"/>
  <c r="M1071" i="50"/>
  <c r="N512" i="52"/>
  <c r="C497" i="52"/>
  <c r="O497" i="52"/>
  <c r="O449" i="52"/>
  <c r="Q449" i="52"/>
  <c r="AG560" i="52"/>
  <c r="Q801" i="50"/>
  <c r="Q792" i="50"/>
  <c r="BE804" i="50"/>
  <c r="AK803" i="50"/>
  <c r="Q800" i="50"/>
  <c r="Q791" i="50"/>
  <c r="BE803" i="50"/>
  <c r="AK801" i="50"/>
  <c r="BC804" i="50"/>
  <c r="BD805" i="50"/>
  <c r="BD803" i="50"/>
  <c r="BD804" i="50"/>
  <c r="BC805" i="50"/>
  <c r="BC803" i="50"/>
  <c r="BC2073" i="50"/>
  <c r="BC2072" i="50"/>
  <c r="BC2074" i="50"/>
  <c r="B46" i="57"/>
  <c r="F286" i="52"/>
  <c r="G210" i="38"/>
  <c r="Q381" i="52"/>
  <c r="AH1047" i="50"/>
  <c r="C362" i="52"/>
  <c r="C409" i="52"/>
  <c r="O409" i="52"/>
  <c r="Q409" i="52" s="1"/>
  <c r="O361" i="52"/>
  <c r="C528" i="52"/>
  <c r="O480" i="52"/>
  <c r="Q480" i="52" s="1"/>
  <c r="BZ1471" i="50"/>
  <c r="BZ1476" i="50" s="1"/>
  <c r="W168" i="58"/>
  <c r="M160" i="58"/>
  <c r="AE160" i="58"/>
  <c r="BC1424" i="50"/>
  <c r="BC1426" i="50"/>
  <c r="BC2046" i="50"/>
  <c r="BC1290" i="50"/>
  <c r="N500" i="52"/>
  <c r="O382" i="52"/>
  <c r="AH750" i="50"/>
  <c r="BC696" i="50"/>
  <c r="BC697" i="50"/>
  <c r="BC695" i="50"/>
  <c r="BC1127" i="50"/>
  <c r="BC1128" i="50"/>
  <c r="BC1129" i="50"/>
  <c r="Y479" i="50"/>
  <c r="Y482" i="50"/>
  <c r="AY482" i="50"/>
  <c r="Y485" i="50"/>
  <c r="AY485" i="50"/>
  <c r="BZ472" i="50"/>
  <c r="BZ474" i="50"/>
  <c r="Y480" i="50"/>
  <c r="Y481" i="50"/>
  <c r="AY481" i="50" s="1"/>
  <c r="Y484" i="50"/>
  <c r="AY484" i="50" s="1"/>
  <c r="AY1511" i="50"/>
  <c r="O486" i="52"/>
  <c r="Q486" i="52"/>
  <c r="C534" i="52"/>
  <c r="AF162" i="58"/>
  <c r="AG162" i="58" s="1"/>
  <c r="AC162" i="58"/>
  <c r="AE162" i="58"/>
  <c r="AT154" i="58"/>
  <c r="Y185" i="50"/>
  <c r="AY185" i="50"/>
  <c r="W104" i="58"/>
  <c r="I104" i="58"/>
  <c r="M96" i="58"/>
  <c r="AE96" i="58"/>
  <c r="BC561" i="50"/>
  <c r="AH1803" i="50"/>
  <c r="K1184" i="50"/>
  <c r="K967" i="50"/>
  <c r="AA100" i="58"/>
  <c r="AK100" i="58"/>
  <c r="I100" i="58"/>
  <c r="BC1938" i="50"/>
  <c r="BC1937" i="50"/>
  <c r="AY1507" i="50"/>
  <c r="AR666" i="50"/>
  <c r="BH656" i="50" s="1"/>
  <c r="AJ1530" i="50"/>
  <c r="K1372" i="50"/>
  <c r="N425" i="52"/>
  <c r="Y183" i="50"/>
  <c r="AY183" i="50"/>
  <c r="BC426" i="50"/>
  <c r="N413" i="50"/>
  <c r="BT413" i="50" s="1"/>
  <c r="BC427" i="50"/>
  <c r="R422" i="50"/>
  <c r="BW413" i="50"/>
  <c r="AK425" i="50"/>
  <c r="BD426" i="50"/>
  <c r="R423" i="50"/>
  <c r="BX413" i="50"/>
  <c r="BD427" i="50"/>
  <c r="BE426" i="50"/>
  <c r="BD425" i="50"/>
  <c r="Q413" i="50"/>
  <c r="R416" i="50"/>
  <c r="BV413" i="50"/>
  <c r="BC425" i="50"/>
  <c r="Q414" i="50"/>
  <c r="N414" i="50"/>
  <c r="BU413" i="50"/>
  <c r="AK423" i="50"/>
  <c r="Q170" i="50"/>
  <c r="Q173" i="50"/>
  <c r="BD184" i="50"/>
  <c r="BE184" i="50"/>
  <c r="BD182" i="50"/>
  <c r="BE183" i="50"/>
  <c r="BC182" i="50"/>
  <c r="BE182" i="50"/>
  <c r="BD183" i="50"/>
  <c r="Q171" i="50"/>
  <c r="AK180" i="50"/>
  <c r="BC184" i="50"/>
  <c r="BA8" i="61"/>
  <c r="Q180" i="50"/>
  <c r="R179" i="50"/>
  <c r="BW170" i="50" s="1"/>
  <c r="AK182" i="50"/>
  <c r="N171" i="50"/>
  <c r="BU170" i="50"/>
  <c r="R173" i="50"/>
  <c r="BV170" i="50"/>
  <c r="Q179" i="50"/>
  <c r="AV1184" i="50"/>
  <c r="AK260" i="58"/>
  <c r="I260" i="58"/>
  <c r="AA260" i="58"/>
  <c r="AE260" i="58"/>
  <c r="AV250" i="58" s="1"/>
  <c r="Q1718" i="50"/>
  <c r="R1712" i="50"/>
  <c r="BV1709" i="50"/>
  <c r="AK1719" i="50"/>
  <c r="BC1723" i="50"/>
  <c r="Q1719" i="50"/>
  <c r="Q1709" i="50"/>
  <c r="Q1712" i="50"/>
  <c r="R1719" i="50"/>
  <c r="BX1709" i="50" s="1"/>
  <c r="BC1722" i="50"/>
  <c r="Q1710" i="50"/>
  <c r="BE1721" i="50"/>
  <c r="BD1723" i="50"/>
  <c r="BC1721" i="50"/>
  <c r="BE1722" i="50"/>
  <c r="AK1721" i="50"/>
  <c r="BC886" i="50"/>
  <c r="BC884" i="50"/>
  <c r="BC885" i="50"/>
  <c r="BZ256" i="50"/>
  <c r="BZ261" i="50" s="1"/>
  <c r="Y261" i="50"/>
  <c r="M261" i="50" s="1"/>
  <c r="Y268" i="50"/>
  <c r="AY268" i="50" s="1"/>
  <c r="AC256" i="50"/>
  <c r="Y265" i="50"/>
  <c r="AY265" i="50"/>
  <c r="Y267" i="50"/>
  <c r="AY267" i="50"/>
  <c r="Y263" i="50"/>
  <c r="AY263" i="50"/>
  <c r="Y269" i="50"/>
  <c r="Y264" i="50"/>
  <c r="AY264" i="50" s="1"/>
  <c r="N251" i="50"/>
  <c r="BT251" i="50" s="1"/>
  <c r="Y266" i="50"/>
  <c r="AY266" i="50" s="1"/>
  <c r="AY1510" i="50"/>
  <c r="N953" i="50"/>
  <c r="BT953" i="50"/>
  <c r="Y968" i="50"/>
  <c r="AY968" i="50"/>
  <c r="Y971" i="50"/>
  <c r="AY971" i="50"/>
  <c r="Y963" i="50"/>
  <c r="Y966" i="50"/>
  <c r="AY966" i="50" s="1"/>
  <c r="AC958" i="50"/>
  <c r="AC960" i="50" s="1"/>
  <c r="Y969" i="50"/>
  <c r="AY969" i="50" s="1"/>
  <c r="Y967" i="50"/>
  <c r="BZ958" i="50"/>
  <c r="BZ960" i="50"/>
  <c r="Y965" i="50"/>
  <c r="AY965" i="50"/>
  <c r="Y970" i="50"/>
  <c r="AY2046" i="50"/>
  <c r="N532" i="52"/>
  <c r="O583" i="52"/>
  <c r="Q583" i="52" s="1"/>
  <c r="C631" i="52"/>
  <c r="C679" i="52" s="1"/>
  <c r="O679" i="52" s="1"/>
  <c r="Q679" i="52" s="1"/>
  <c r="Y180" i="50"/>
  <c r="AR180" i="50" s="1"/>
  <c r="BH170" i="50" s="1"/>
  <c r="AH1884" i="50"/>
  <c r="AY1780" i="50"/>
  <c r="N515" i="52"/>
  <c r="AG563" i="52"/>
  <c r="AH534" i="50"/>
  <c r="AH642" i="50"/>
  <c r="Y858" i="50"/>
  <c r="Y855" i="50"/>
  <c r="AR855" i="50" s="1"/>
  <c r="BH845" i="50"/>
  <c r="Y861" i="50"/>
  <c r="AY861" i="50"/>
  <c r="AC850" i="50"/>
  <c r="AC852" i="50"/>
  <c r="Y860" i="50"/>
  <c r="Y862" i="50"/>
  <c r="AY862" i="50" s="1"/>
  <c r="Y857" i="50"/>
  <c r="Y863" i="50"/>
  <c r="Y859" i="50"/>
  <c r="BZ850" i="50"/>
  <c r="BZ855" i="50"/>
  <c r="AC68" i="58"/>
  <c r="AD68" i="58"/>
  <c r="AE68" i="58"/>
  <c r="AV58" i="58"/>
  <c r="K1588" i="50"/>
  <c r="L486" i="52"/>
  <c r="N486" i="52" s="1"/>
  <c r="L488" i="52"/>
  <c r="L464" i="52"/>
  <c r="L452" i="52"/>
  <c r="L456" i="52"/>
  <c r="L467" i="52"/>
  <c r="L483" i="52"/>
  <c r="L480" i="52"/>
  <c r="L462" i="52"/>
  <c r="L484" i="52"/>
  <c r="L487" i="52"/>
  <c r="L457" i="52"/>
  <c r="C394" i="52"/>
  <c r="C441" i="52"/>
  <c r="O393" i="52"/>
  <c r="AG665" i="52"/>
  <c r="AH1127" i="50"/>
  <c r="AH1586" i="50"/>
  <c r="AC67" i="58"/>
  <c r="AV1588" i="50"/>
  <c r="AG661" i="52"/>
  <c r="AH425" i="50"/>
  <c r="AC639" i="50"/>
  <c r="AC641" i="50"/>
  <c r="AC636" i="50"/>
  <c r="AH1479" i="50"/>
  <c r="AH831" i="50"/>
  <c r="AA462" i="52"/>
  <c r="AA488" i="52"/>
  <c r="AA467" i="52"/>
  <c r="AA480" i="52"/>
  <c r="AA484" i="52"/>
  <c r="AA457" i="52"/>
  <c r="AA464" i="52"/>
  <c r="AA486" i="52"/>
  <c r="AA456" i="52"/>
  <c r="AA483" i="52"/>
  <c r="AA487" i="52"/>
  <c r="AA452" i="52"/>
  <c r="AH1182" i="50"/>
  <c r="AH966" i="50"/>
  <c r="AH1776" i="50"/>
  <c r="AK855" i="50"/>
  <c r="BE857" i="50"/>
  <c r="BE859" i="50"/>
  <c r="BE858" i="50"/>
  <c r="BD859" i="50"/>
  <c r="BC858" i="50"/>
  <c r="R848" i="50"/>
  <c r="BV845" i="50" s="1"/>
  <c r="Q848" i="50"/>
  <c r="BD857" i="50"/>
  <c r="BD858" i="50"/>
  <c r="R854" i="50"/>
  <c r="BW845" i="50"/>
  <c r="BC857" i="50"/>
  <c r="BC859" i="50"/>
  <c r="AK857" i="50"/>
  <c r="Q855" i="50"/>
  <c r="R855" i="50"/>
  <c r="BX845" i="50"/>
  <c r="N845" i="50"/>
  <c r="BT845" i="50"/>
  <c r="Q846" i="50"/>
  <c r="N846" i="50"/>
  <c r="BU845" i="50" s="1"/>
  <c r="Q845" i="50"/>
  <c r="Q854" i="50"/>
  <c r="AY1777" i="50"/>
  <c r="O466" i="52"/>
  <c r="Q466" i="52"/>
  <c r="C514" i="52"/>
  <c r="N453" i="52"/>
  <c r="AG669" i="52"/>
  <c r="AH1478" i="50"/>
  <c r="AH1158" i="50"/>
  <c r="AC324" i="58"/>
  <c r="AD324" i="58" s="1"/>
  <c r="K324" i="58"/>
  <c r="M324" i="58" s="1"/>
  <c r="AE324" i="58"/>
  <c r="AV314" i="58" s="1"/>
  <c r="AH1914" i="50"/>
  <c r="C468" i="52"/>
  <c r="O420" i="52"/>
  <c r="Q420" i="52"/>
  <c r="AH372" i="50"/>
  <c r="AY1775" i="50"/>
  <c r="G212" i="38"/>
  <c r="E290" i="52"/>
  <c r="E289" i="52"/>
  <c r="Q383" i="52"/>
  <c r="B48" i="57"/>
  <c r="J484" i="52"/>
  <c r="J486" i="52"/>
  <c r="J467" i="52"/>
  <c r="J487" i="52"/>
  <c r="N487" i="52" s="1"/>
  <c r="J488" i="52"/>
  <c r="J457" i="52"/>
  <c r="J452" i="52"/>
  <c r="J483" i="52"/>
  <c r="J456" i="52"/>
  <c r="N456" i="52" s="1"/>
  <c r="J462" i="52"/>
  <c r="J464" i="52"/>
  <c r="J480" i="52"/>
  <c r="AG653" i="52"/>
  <c r="AY429" i="50"/>
  <c r="AC429" i="50"/>
  <c r="AO429" i="50" s="1"/>
  <c r="AH1860" i="50"/>
  <c r="AH564" i="50"/>
  <c r="AH453" i="50"/>
  <c r="AC528" i="50"/>
  <c r="AC531" i="50"/>
  <c r="AY431" i="50"/>
  <c r="AC431" i="50"/>
  <c r="I431" i="50" s="1"/>
  <c r="N465" i="52"/>
  <c r="AY884" i="50"/>
  <c r="AF1532" i="50"/>
  <c r="AR1532" i="50"/>
  <c r="BJ1520" i="50"/>
  <c r="AO1532" i="50"/>
  <c r="AH1748" i="50"/>
  <c r="AR882" i="50"/>
  <c r="BH872" i="50"/>
  <c r="N481" i="52"/>
  <c r="AH1101" i="50"/>
  <c r="AH345" i="50"/>
  <c r="AH399" i="50"/>
  <c r="AH317" i="50"/>
  <c r="R476" i="50"/>
  <c r="BW467" i="50" s="1"/>
  <c r="BE479" i="50"/>
  <c r="BD479" i="50"/>
  <c r="BE481" i="50"/>
  <c r="Q476" i="50"/>
  <c r="BC479" i="50"/>
  <c r="AK477" i="50"/>
  <c r="Q477" i="50"/>
  <c r="Q467" i="50"/>
  <c r="AK479" i="50"/>
  <c r="BD481" i="50"/>
  <c r="R470" i="50"/>
  <c r="BV467" i="50" s="1"/>
  <c r="Q468" i="50"/>
  <c r="BD480" i="50"/>
  <c r="N468" i="50"/>
  <c r="BU467" i="50" s="1"/>
  <c r="BC481" i="50"/>
  <c r="BE480" i="50"/>
  <c r="R477" i="50"/>
  <c r="BX467" i="50" s="1"/>
  <c r="N467" i="50"/>
  <c r="BT467" i="50" s="1"/>
  <c r="Q470" i="50"/>
  <c r="BC480" i="50"/>
  <c r="AO293" i="58"/>
  <c r="AO292" i="58"/>
  <c r="AO294" i="58"/>
  <c r="AH699" i="50"/>
  <c r="AY184" i="50"/>
  <c r="AH803" i="50"/>
  <c r="Q1982" i="50"/>
  <c r="Q1979" i="50"/>
  <c r="Q1988" i="50"/>
  <c r="BD1992" i="50"/>
  <c r="AK1989" i="50"/>
  <c r="BE1992" i="50"/>
  <c r="BC1993" i="50"/>
  <c r="Q1980" i="50"/>
  <c r="N1980" i="50"/>
  <c r="BU1979" i="50" s="1"/>
  <c r="R1982" i="50"/>
  <c r="BV1979" i="50" s="1"/>
  <c r="AK1991" i="50"/>
  <c r="BC1992" i="50"/>
  <c r="Q1989" i="50"/>
  <c r="R1988" i="50"/>
  <c r="BW1979" i="50"/>
  <c r="BE1991" i="50"/>
  <c r="BD1993" i="50"/>
  <c r="N1979" i="50"/>
  <c r="BT1979" i="50"/>
  <c r="BC1991" i="50"/>
  <c r="R1989" i="50"/>
  <c r="BX1979" i="50" s="1"/>
  <c r="BE1993" i="50"/>
  <c r="BD1991" i="50"/>
  <c r="D507" i="52"/>
  <c r="O459" i="52"/>
  <c r="Q459" i="52"/>
  <c r="AH321" i="50"/>
  <c r="BH1277" i="50"/>
  <c r="AH290" i="50"/>
  <c r="AH132" i="50"/>
  <c r="AH969" i="50"/>
  <c r="AH240" i="50"/>
  <c r="AH426" i="50"/>
  <c r="AH992" i="50"/>
  <c r="BZ339" i="50"/>
  <c r="BZ342" i="50"/>
  <c r="Y1910" i="50"/>
  <c r="AY1910" i="50"/>
  <c r="Y1916" i="50"/>
  <c r="AY1916" i="50"/>
  <c r="Y1913" i="50"/>
  <c r="AY1913" i="50"/>
  <c r="AC1903" i="50"/>
  <c r="AC1905" i="50"/>
  <c r="Y1912" i="50"/>
  <c r="Y1911" i="50"/>
  <c r="BZ1903" i="50"/>
  <c r="Y1915" i="50"/>
  <c r="Y1914" i="50"/>
  <c r="AY1914" i="50"/>
  <c r="Y1908" i="50"/>
  <c r="AR1908" i="50"/>
  <c r="BH1898" i="50" s="1"/>
  <c r="AH1401" i="50"/>
  <c r="AH776" i="50"/>
  <c r="AH884" i="50"/>
  <c r="I261" i="58"/>
  <c r="AK261" i="58"/>
  <c r="M261" i="58" s="1"/>
  <c r="AA261" i="58"/>
  <c r="AH267" i="50"/>
  <c r="O431" i="52"/>
  <c r="Q431" i="52" s="1"/>
  <c r="D479" i="52"/>
  <c r="AH1425" i="50"/>
  <c r="BC1910" i="50"/>
  <c r="N1898" i="50"/>
  <c r="BT1898" i="50"/>
  <c r="Q1908" i="50"/>
  <c r="Q1898" i="50"/>
  <c r="R1901" i="50"/>
  <c r="BV1898" i="50"/>
  <c r="BD1910" i="50"/>
  <c r="BE1910" i="50"/>
  <c r="AK1910" i="50"/>
  <c r="BC1911" i="50"/>
  <c r="Q1901" i="50"/>
  <c r="Q1907" i="50"/>
  <c r="BE1912" i="50"/>
  <c r="BD1911" i="50"/>
  <c r="BE1911" i="50"/>
  <c r="Q1899" i="50"/>
  <c r="AK1908" i="50"/>
  <c r="BD1912" i="50"/>
  <c r="R1907" i="50"/>
  <c r="BW1898" i="50"/>
  <c r="BC1912" i="50"/>
  <c r="N1899" i="50"/>
  <c r="BU1898" i="50" s="1"/>
  <c r="R1908" i="50"/>
  <c r="BX1898" i="50" s="1"/>
  <c r="AH213" i="50"/>
  <c r="AH1208" i="50"/>
  <c r="K238" i="50"/>
  <c r="AY537" i="50"/>
  <c r="M1341" i="50"/>
  <c r="AG450" i="52"/>
  <c r="AH1046" i="50"/>
  <c r="AH2045" i="50"/>
  <c r="AH993" i="50"/>
  <c r="AH1587" i="50"/>
  <c r="AC231" i="50"/>
  <c r="AC234" i="50"/>
  <c r="AC242" i="50"/>
  <c r="AR242" i="50" s="1"/>
  <c r="BS224" i="50" s="1"/>
  <c r="AC483" i="52"/>
  <c r="AC452" i="52"/>
  <c r="AC488" i="52"/>
  <c r="AG488" i="52"/>
  <c r="AC480" i="52"/>
  <c r="AC456" i="52"/>
  <c r="AC484" i="52"/>
  <c r="AG484" i="52" s="1"/>
  <c r="AC487" i="52"/>
  <c r="AC486" i="52"/>
  <c r="AC457" i="52"/>
  <c r="AC462" i="52"/>
  <c r="AC467" i="52"/>
  <c r="AH615" i="50"/>
  <c r="AH965" i="50"/>
  <c r="AH1131" i="50"/>
  <c r="AH1722" i="50"/>
  <c r="AR1854" i="50"/>
  <c r="BH1844" i="50" s="1"/>
  <c r="M1854" i="50"/>
  <c r="AY236" i="50"/>
  <c r="AC1984" i="50"/>
  <c r="Y1993" i="50"/>
  <c r="AY1993" i="50"/>
  <c r="Y1995" i="50"/>
  <c r="AY1995" i="50"/>
  <c r="Y1994" i="50"/>
  <c r="Y1997" i="50"/>
  <c r="AY1997" i="50" s="1"/>
  <c r="Y1991" i="50"/>
  <c r="AY1991" i="50" s="1"/>
  <c r="Y1989" i="50"/>
  <c r="M1989" i="50" s="1"/>
  <c r="Y1992" i="50"/>
  <c r="Y1996" i="50"/>
  <c r="AY1996" i="50"/>
  <c r="BZ1984" i="50"/>
  <c r="BZ1986" i="50"/>
  <c r="AG451" i="52"/>
  <c r="AH780" i="50"/>
  <c r="B374" i="52"/>
  <c r="B421" i="52"/>
  <c r="B469" i="52" s="1"/>
  <c r="B517" i="52" s="1"/>
  <c r="B565" i="52" s="1"/>
  <c r="B613" i="52" s="1"/>
  <c r="B661" i="52" s="1"/>
  <c r="AC369" i="50"/>
  <c r="AC374" i="50" s="1"/>
  <c r="AC366" i="50"/>
  <c r="AG481" i="52"/>
  <c r="AY427" i="50"/>
  <c r="AC427" i="50"/>
  <c r="BZ1341" i="50"/>
  <c r="BZ1348" i="50" s="1"/>
  <c r="AH588" i="50"/>
  <c r="AH159" i="50"/>
  <c r="AH371" i="50"/>
  <c r="K212" i="50"/>
  <c r="N546" i="52"/>
  <c r="AG482" i="52"/>
  <c r="AH1749" i="50"/>
  <c r="AH1995" i="50"/>
  <c r="AH834" i="50"/>
  <c r="AY374" i="50"/>
  <c r="AG459" i="52"/>
  <c r="AH777" i="50"/>
  <c r="AH587" i="50"/>
  <c r="AH1185" i="50"/>
  <c r="AH1694" i="50"/>
  <c r="AH1344" i="50"/>
  <c r="AG465" i="52"/>
  <c r="C251" i="50"/>
  <c r="C278" i="50"/>
  <c r="AH1775" i="50"/>
  <c r="AH480" i="50"/>
  <c r="AH2019" i="50"/>
  <c r="AH1424" i="50"/>
  <c r="AF66" i="58"/>
  <c r="AG66" i="58" s="1"/>
  <c r="AR1800" i="50"/>
  <c r="M1800" i="50"/>
  <c r="M369" i="50"/>
  <c r="C218" i="58"/>
  <c r="C250" i="58"/>
  <c r="BA88" i="61"/>
  <c r="BA86" i="61"/>
  <c r="F86" i="61"/>
  <c r="BA87" i="61"/>
  <c r="I1699" i="50"/>
  <c r="AR1699" i="50"/>
  <c r="AO1699" i="50"/>
  <c r="AQ1699" i="50" s="1"/>
  <c r="AH2018" i="50"/>
  <c r="AH857" i="50"/>
  <c r="AH858" i="50"/>
  <c r="AL85" i="61"/>
  <c r="I1700" i="50"/>
  <c r="AR1700" i="50"/>
  <c r="AO1700" i="50"/>
  <c r="AQ1700" i="50" s="1"/>
  <c r="O427" i="52"/>
  <c r="Q427" i="52" s="1"/>
  <c r="C475" i="52"/>
  <c r="B394" i="52"/>
  <c r="B442" i="52"/>
  <c r="B490" i="52" s="1"/>
  <c r="B538" i="52"/>
  <c r="B586" i="52" s="1"/>
  <c r="B634" i="52" s="1"/>
  <c r="B682" i="52" s="1"/>
  <c r="B441" i="52"/>
  <c r="B489" i="52" s="1"/>
  <c r="B537" i="52" s="1"/>
  <c r="B585" i="52" s="1"/>
  <c r="B633" i="52" s="1"/>
  <c r="B681" i="52" s="1"/>
  <c r="AH1752" i="50"/>
  <c r="AH479" i="50"/>
  <c r="A264" i="52"/>
  <c r="AH1455" i="50"/>
  <c r="AH1830" i="50"/>
  <c r="AY512" i="50"/>
  <c r="C513" i="52"/>
  <c r="O513" i="52"/>
  <c r="Q513" i="52" s="1"/>
  <c r="O465" i="52"/>
  <c r="Q465" i="52" s="1"/>
  <c r="M639" i="50"/>
  <c r="AR639" i="50"/>
  <c r="BH629" i="50"/>
  <c r="E295" i="52"/>
  <c r="Q385" i="52"/>
  <c r="G214" i="38"/>
  <c r="B50" i="57"/>
  <c r="E285" i="52"/>
  <c r="Q379" i="52"/>
  <c r="G208" i="38"/>
  <c r="E287" i="52"/>
  <c r="B44" i="57"/>
  <c r="C488" i="52"/>
  <c r="O440" i="52"/>
  <c r="Q440" i="52"/>
  <c r="AH1128" i="50"/>
  <c r="C421" i="52"/>
  <c r="O373" i="52"/>
  <c r="C374" i="52"/>
  <c r="AY1132" i="50"/>
  <c r="AH1887" i="50"/>
  <c r="D481" i="52"/>
  <c r="O433" i="52"/>
  <c r="Q433" i="52" s="1"/>
  <c r="B57" i="57"/>
  <c r="Q392" i="52"/>
  <c r="G221" i="38"/>
  <c r="E280" i="52"/>
  <c r="AC1152" i="50"/>
  <c r="AC1156" i="50" s="1"/>
  <c r="I1156" i="50"/>
  <c r="AC1697" i="50"/>
  <c r="I1697" i="50"/>
  <c r="AE66" i="58"/>
  <c r="AT58" i="58" s="1"/>
  <c r="AI1532" i="50"/>
  <c r="AJ1532" i="50" s="1"/>
  <c r="AP1532" i="50" s="1"/>
  <c r="AQ1532" i="50" s="1"/>
  <c r="O429" i="52"/>
  <c r="Q429" i="52" s="1"/>
  <c r="AY1696" i="50"/>
  <c r="N282" i="58"/>
  <c r="BH282" i="58"/>
  <c r="AC1311" i="50"/>
  <c r="AO164" i="58"/>
  <c r="AO166" i="58" s="1"/>
  <c r="BZ690" i="50"/>
  <c r="BZ393" i="50"/>
  <c r="AG1532" i="50"/>
  <c r="AC555" i="50"/>
  <c r="C600" i="52"/>
  <c r="C648" i="52" s="1"/>
  <c r="O648" i="52" s="1"/>
  <c r="Q648" i="52" s="1"/>
  <c r="AC879" i="50"/>
  <c r="AC882" i="50"/>
  <c r="AC885" i="50"/>
  <c r="I508" i="50"/>
  <c r="M423" i="50"/>
  <c r="BZ1851" i="50"/>
  <c r="AF1536" i="50"/>
  <c r="AG1536" i="50"/>
  <c r="AR720" i="50"/>
  <c r="BH710" i="50"/>
  <c r="AS1534" i="50"/>
  <c r="AT1534" i="50"/>
  <c r="M288" i="50"/>
  <c r="AR1534" i="50"/>
  <c r="BN1520" i="50" s="1"/>
  <c r="AO260" i="58"/>
  <c r="AO262" i="58" s="1"/>
  <c r="AC1044" i="50"/>
  <c r="AC1051" i="50" s="1"/>
  <c r="BZ585" i="50"/>
  <c r="BZ595" i="50" s="1"/>
  <c r="AR1537" i="50"/>
  <c r="BR1520" i="50" s="1"/>
  <c r="BZ1743" i="50"/>
  <c r="BZ636" i="50"/>
  <c r="AF67" i="58"/>
  <c r="AG67" i="58" s="1"/>
  <c r="AC663" i="50"/>
  <c r="AE197" i="58"/>
  <c r="AW186" i="58"/>
  <c r="AC1638" i="50"/>
  <c r="AC1642" i="50"/>
  <c r="AR1642" i="50" s="1"/>
  <c r="AC720" i="50"/>
  <c r="AF101" i="58"/>
  <c r="AG101" i="58"/>
  <c r="AY426" i="50"/>
  <c r="AK264" i="58"/>
  <c r="AA264" i="58"/>
  <c r="AC264" i="58"/>
  <c r="AD264" i="58" s="1"/>
  <c r="AC2016" i="50"/>
  <c r="AO356" i="58"/>
  <c r="AO358" i="58"/>
  <c r="I1538" i="50"/>
  <c r="AC393" i="50"/>
  <c r="BE282" i="58"/>
  <c r="AO1538" i="50"/>
  <c r="AQ1538" i="50" s="1"/>
  <c r="AS1538" i="50" s="1"/>
  <c r="AT1538" i="50" s="1"/>
  <c r="AC1073" i="50"/>
  <c r="AJ1536" i="50"/>
  <c r="AP1536" i="50"/>
  <c r="AQ1536" i="50" s="1"/>
  <c r="AC195" i="58"/>
  <c r="AN1536" i="50"/>
  <c r="AE195" i="58"/>
  <c r="AU186" i="58" s="1"/>
  <c r="AR1536" i="50"/>
  <c r="BP1520" i="50" s="1"/>
  <c r="AC1858" i="50"/>
  <c r="AR1858" i="50" s="1"/>
  <c r="AF326" i="58"/>
  <c r="AG326" i="58" s="1"/>
  <c r="AS1071" i="50"/>
  <c r="AC1695" i="50"/>
  <c r="AN1695" i="50" s="1"/>
  <c r="BZ1014" i="50"/>
  <c r="M1611" i="50"/>
  <c r="M531" i="50"/>
  <c r="AC1182" i="50"/>
  <c r="AR1182" i="50"/>
  <c r="AS1179" i="50"/>
  <c r="AT1179" i="50"/>
  <c r="AP260" i="58"/>
  <c r="AP262" i="58"/>
  <c r="AY1698" i="50"/>
  <c r="AC1698" i="50"/>
  <c r="AN1698" i="50" s="1"/>
  <c r="AO324" i="58"/>
  <c r="AO326" i="58" s="1"/>
  <c r="AF1071" i="50"/>
  <c r="AC1503" i="50"/>
  <c r="AC1505" i="50"/>
  <c r="AF1533" i="50"/>
  <c r="AR1692" i="50"/>
  <c r="BH1682" i="50"/>
  <c r="AN1533" i="50"/>
  <c r="N186" i="58"/>
  <c r="BH186" i="58"/>
  <c r="BZ1611" i="50"/>
  <c r="BZ1616" i="50"/>
  <c r="AC1185" i="50"/>
  <c r="AJ1185" i="50"/>
  <c r="AE228" i="58"/>
  <c r="AV218" i="58"/>
  <c r="N154" i="58"/>
  <c r="BH154" i="58"/>
  <c r="AG1179" i="50"/>
  <c r="N314" i="58"/>
  <c r="BH314" i="58" s="1"/>
  <c r="AE230" i="58"/>
  <c r="AX218" i="58" s="1"/>
  <c r="M1503" i="50"/>
  <c r="AC1183" i="50"/>
  <c r="I1183" i="50"/>
  <c r="AO69" i="58"/>
  <c r="N58" i="58"/>
  <c r="BH58" i="58" s="1"/>
  <c r="AR426" i="50"/>
  <c r="BL413" i="50" s="1"/>
  <c r="AF426" i="50"/>
  <c r="AC1176" i="50"/>
  <c r="AG426" i="50"/>
  <c r="AC1856" i="50"/>
  <c r="AF1856" i="50"/>
  <c r="G219" i="38"/>
  <c r="B55" i="57"/>
  <c r="AC1857" i="50"/>
  <c r="AN1857" i="50" s="1"/>
  <c r="F279" i="52"/>
  <c r="F282" i="52" s="1"/>
  <c r="AC425" i="50"/>
  <c r="AC263" i="58"/>
  <c r="AD263" i="58"/>
  <c r="K263" i="58" s="1"/>
  <c r="M263" i="58" s="1"/>
  <c r="BZ1287" i="50"/>
  <c r="BZ1295" i="50"/>
  <c r="AJ426" i="50"/>
  <c r="AC1181" i="50"/>
  <c r="AN1181" i="50" s="1"/>
  <c r="AE292" i="58"/>
  <c r="AV282" i="58" s="1"/>
  <c r="AC1670" i="50"/>
  <c r="AC1859" i="50"/>
  <c r="AR1859" i="50"/>
  <c r="AC1672" i="50"/>
  <c r="I1672" i="50" s="1"/>
  <c r="AI1665" i="50"/>
  <c r="AC1668" i="50"/>
  <c r="AF1668" i="50"/>
  <c r="AC1662" i="50"/>
  <c r="AC1667" i="50"/>
  <c r="AI1667" i="50" s="1"/>
  <c r="AC1076" i="50"/>
  <c r="I1076" i="50" s="1"/>
  <c r="M2016" i="50"/>
  <c r="AG1665" i="50"/>
  <c r="M1044" i="50"/>
  <c r="AR1044" i="50"/>
  <c r="BH1034" i="50"/>
  <c r="I1535" i="50"/>
  <c r="AG1071" i="50"/>
  <c r="AC1862" i="50"/>
  <c r="AO1862" i="50"/>
  <c r="AQ1862" i="50" s="1"/>
  <c r="AS1535" i="50"/>
  <c r="AT1535" i="50" s="1"/>
  <c r="AF291" i="58"/>
  <c r="AS1854" i="50"/>
  <c r="AT1854" i="50" s="1"/>
  <c r="M774" i="50"/>
  <c r="AC560" i="50"/>
  <c r="AO560" i="50" s="1"/>
  <c r="AF1854" i="50"/>
  <c r="AO426" i="50"/>
  <c r="AC1860" i="50"/>
  <c r="AF1860" i="50" s="1"/>
  <c r="M1449" i="50"/>
  <c r="AI1854" i="50"/>
  <c r="I1854" i="50"/>
  <c r="AG1854" i="50"/>
  <c r="AR1638" i="50"/>
  <c r="BH1628" i="50" s="1"/>
  <c r="M1638" i="50"/>
  <c r="AP324" i="58"/>
  <c r="AP326" i="58"/>
  <c r="AP325" i="58"/>
  <c r="AC1861" i="50"/>
  <c r="AF1665" i="50"/>
  <c r="AP197" i="58"/>
  <c r="AR2070" i="50"/>
  <c r="BH2060" i="50"/>
  <c r="M2070" i="50"/>
  <c r="AL171" i="46"/>
  <c r="AL174" i="46" s="1"/>
  <c r="AL176" i="46" s="1"/>
  <c r="O484" i="52"/>
  <c r="Q484" i="52"/>
  <c r="AA72" i="58"/>
  <c r="AK72" i="58"/>
  <c r="I72" i="58"/>
  <c r="O435" i="52"/>
  <c r="Q435" i="52" s="1"/>
  <c r="AC2070" i="50"/>
  <c r="AC2067" i="50"/>
  <c r="AC1079" i="50"/>
  <c r="I1079" i="50" s="1"/>
  <c r="N346" i="58"/>
  <c r="BH346" i="58" s="1"/>
  <c r="AP357" i="58"/>
  <c r="AC428" i="50"/>
  <c r="I428" i="50"/>
  <c r="AY428" i="50"/>
  <c r="AC618" i="50"/>
  <c r="AR618" i="50" s="1"/>
  <c r="AF198" i="58"/>
  <c r="AG198" i="58" s="1"/>
  <c r="AE198" i="58"/>
  <c r="AX186" i="58" s="1"/>
  <c r="AR558" i="50"/>
  <c r="BH548" i="50" s="1"/>
  <c r="M558" i="50"/>
  <c r="AK328" i="58"/>
  <c r="I328" i="58"/>
  <c r="AA328" i="58"/>
  <c r="AG1287" i="50"/>
  <c r="AI1287" i="50"/>
  <c r="AC1293" i="50"/>
  <c r="AG1293" i="50" s="1"/>
  <c r="M342" i="50"/>
  <c r="AS1287" i="50"/>
  <c r="AT1287" i="50"/>
  <c r="BZ1662" i="50"/>
  <c r="AC1290" i="50"/>
  <c r="AG1290" i="50"/>
  <c r="AC1294" i="50"/>
  <c r="I1294" i="50"/>
  <c r="AC1295" i="50"/>
  <c r="I1295" i="50" s="1"/>
  <c r="N467" i="52"/>
  <c r="AC1291" i="50"/>
  <c r="I1291" i="50"/>
  <c r="AC430" i="50"/>
  <c r="AF1287" i="50"/>
  <c r="AC1292" i="50"/>
  <c r="I1292" i="50" s="1"/>
  <c r="AC1673" i="50"/>
  <c r="I1673" i="50" s="1"/>
  <c r="M1665" i="50"/>
  <c r="BE122" i="58"/>
  <c r="N122" i="58"/>
  <c r="BH122" i="58" s="1"/>
  <c r="AC1343" i="50"/>
  <c r="BZ369" i="50"/>
  <c r="BZ379" i="50"/>
  <c r="BZ381" i="50" s="1"/>
  <c r="BZ366" i="50"/>
  <c r="AC1669" i="50"/>
  <c r="I1669" i="50"/>
  <c r="BZ1932" i="50"/>
  <c r="AG136" i="58"/>
  <c r="AG480" i="52"/>
  <c r="AC1671" i="50"/>
  <c r="AO1671" i="50" s="1"/>
  <c r="N218" i="58"/>
  <c r="BH218" i="58" s="1"/>
  <c r="O416" i="52"/>
  <c r="Q416" i="52" s="1"/>
  <c r="AC645" i="50"/>
  <c r="AG645" i="50" s="1"/>
  <c r="C450" i="52"/>
  <c r="C498" i="52" s="1"/>
  <c r="C546" i="52" s="1"/>
  <c r="AC643" i="50"/>
  <c r="N483" i="52"/>
  <c r="N452" i="52"/>
  <c r="AK296" i="58"/>
  <c r="AA296" i="58"/>
  <c r="I296" i="58"/>
  <c r="AC1611" i="50"/>
  <c r="AC1608" i="50"/>
  <c r="AO1533" i="50"/>
  <c r="AC1581" i="50"/>
  <c r="AC1584" i="50"/>
  <c r="AR1533" i="50"/>
  <c r="AC747" i="50"/>
  <c r="AC754" i="50"/>
  <c r="AC501" i="50"/>
  <c r="BZ1449" i="50"/>
  <c r="BZ1455" i="50" s="1"/>
  <c r="AC615" i="50"/>
  <c r="AO615" i="50" s="1"/>
  <c r="AF294" i="58"/>
  <c r="AE294" i="58"/>
  <c r="AX282" i="58" s="1"/>
  <c r="AE355" i="58"/>
  <c r="AU346" i="58" s="1"/>
  <c r="AC355" i="58"/>
  <c r="AF355" i="58"/>
  <c r="AG355" i="58"/>
  <c r="AR1584" i="50"/>
  <c r="BH1574" i="50" s="1"/>
  <c r="M1584" i="50"/>
  <c r="N480" i="52"/>
  <c r="AY669" i="50"/>
  <c r="AK232" i="58"/>
  <c r="AC2049" i="50"/>
  <c r="AF2049" i="50" s="1"/>
  <c r="AC1753" i="50"/>
  <c r="AC1446" i="50"/>
  <c r="AC1449" i="50"/>
  <c r="AF227" i="58"/>
  <c r="AG227" i="58" s="1"/>
  <c r="AC227" i="58"/>
  <c r="AE227" i="58"/>
  <c r="AU218" i="58"/>
  <c r="AR1206" i="50"/>
  <c r="BH1196" i="50" s="1"/>
  <c r="AC1206" i="50"/>
  <c r="AI1206" i="50" s="1"/>
  <c r="AJ1206" i="50" s="1"/>
  <c r="BI1196" i="50" s="1"/>
  <c r="AY939" i="50"/>
  <c r="C366" i="52"/>
  <c r="C413" i="52"/>
  <c r="O413" i="52" s="1"/>
  <c r="AE166" i="58"/>
  <c r="AX154" i="58" s="1"/>
  <c r="AF166" i="58"/>
  <c r="AG166" i="58" s="1"/>
  <c r="AY943" i="50"/>
  <c r="B29" i="57"/>
  <c r="F276" i="52"/>
  <c r="AC1344" i="50"/>
  <c r="AR747" i="50"/>
  <c r="BH737" i="50"/>
  <c r="M747" i="50"/>
  <c r="AC1749" i="50"/>
  <c r="AC1752" i="50"/>
  <c r="AJ1752" i="50"/>
  <c r="AY944" i="50"/>
  <c r="BZ771" i="50"/>
  <c r="AF322" i="58"/>
  <c r="AC322" i="58"/>
  <c r="O412" i="52"/>
  <c r="Q412" i="52"/>
  <c r="C460" i="52"/>
  <c r="AC619" i="50"/>
  <c r="AR619" i="50" s="1"/>
  <c r="AY942" i="50"/>
  <c r="AE327" i="58"/>
  <c r="AY314" i="58"/>
  <c r="AC327" i="58"/>
  <c r="AD327" i="58"/>
  <c r="K327" i="58" s="1"/>
  <c r="M327" i="58" s="1"/>
  <c r="AC207" i="50"/>
  <c r="AC213" i="50"/>
  <c r="AC204" i="50"/>
  <c r="AC342" i="50"/>
  <c r="C524" i="52"/>
  <c r="O476" i="52"/>
  <c r="Q476" i="52"/>
  <c r="AY912" i="50"/>
  <c r="M136" i="58"/>
  <c r="AC909" i="50"/>
  <c r="AC911" i="50" s="1"/>
  <c r="AS1746" i="50"/>
  <c r="AT1746" i="50" s="1"/>
  <c r="AG1746" i="50"/>
  <c r="AF1746" i="50"/>
  <c r="AC1748" i="50"/>
  <c r="AC1751" i="50"/>
  <c r="AC1750" i="50"/>
  <c r="AI1746" i="50"/>
  <c r="AJ1746" i="50"/>
  <c r="AY911" i="50"/>
  <c r="BZ906" i="50"/>
  <c r="BZ909" i="50"/>
  <c r="BZ2067" i="50"/>
  <c r="BZ2070" i="50"/>
  <c r="AE357" i="58"/>
  <c r="AW346" i="58" s="1"/>
  <c r="AF357" i="58"/>
  <c r="I360" i="58"/>
  <c r="AA360" i="58"/>
  <c r="AK360" i="58"/>
  <c r="BZ933" i="50"/>
  <c r="BZ207" i="50"/>
  <c r="BZ204" i="50"/>
  <c r="AC231" i="58"/>
  <c r="AD231" i="58"/>
  <c r="AC1265" i="50"/>
  <c r="AR1265" i="50" s="1"/>
  <c r="BO1250" i="50" s="1"/>
  <c r="BZ423" i="50"/>
  <c r="AC771" i="50"/>
  <c r="O521" i="52"/>
  <c r="Q521" i="52" s="1"/>
  <c r="C569" i="52"/>
  <c r="G199" i="38"/>
  <c r="AE99" i="58"/>
  <c r="AU90" i="58" s="1"/>
  <c r="AF99" i="58"/>
  <c r="AC99" i="58"/>
  <c r="B35" i="57"/>
  <c r="M234" i="50"/>
  <c r="AR234" i="50"/>
  <c r="BH224" i="50" s="1"/>
  <c r="AG457" i="52"/>
  <c r="Q370" i="52"/>
  <c r="BZ1527" i="50"/>
  <c r="AG1341" i="50"/>
  <c r="AC1346" i="50"/>
  <c r="AG487" i="52"/>
  <c r="BZ1206" i="50"/>
  <c r="BZ1203" i="50"/>
  <c r="AE359" i="58"/>
  <c r="AY346" i="58" s="1"/>
  <c r="AY1429" i="50"/>
  <c r="BZ450" i="50"/>
  <c r="BZ447" i="50"/>
  <c r="AY318" i="50"/>
  <c r="AC563" i="50"/>
  <c r="AC564" i="50"/>
  <c r="AF558" i="50"/>
  <c r="AC566" i="50"/>
  <c r="AY323" i="50"/>
  <c r="AY1426" i="50"/>
  <c r="AY321" i="50"/>
  <c r="G284" i="52"/>
  <c r="B43" i="57"/>
  <c r="Q378" i="52"/>
  <c r="G207" i="38"/>
  <c r="C474" i="52"/>
  <c r="Q426" i="52"/>
  <c r="AI1260" i="50"/>
  <c r="AC1267" i="50"/>
  <c r="AC1264" i="50"/>
  <c r="AY457" i="50"/>
  <c r="AY967" i="50"/>
  <c r="BJ307" i="58"/>
  <c r="BJ294" i="58"/>
  <c r="BJ295" i="58"/>
  <c r="BJ309" i="58"/>
  <c r="BJ311" i="58" s="1"/>
  <c r="BJ290" i="58"/>
  <c r="BJ291" i="58"/>
  <c r="BJ292" i="58"/>
  <c r="BJ293" i="58"/>
  <c r="BJ296" i="58"/>
  <c r="BJ301" i="58"/>
  <c r="BJ302" i="58"/>
  <c r="AJ1236" i="50"/>
  <c r="AL130" i="46"/>
  <c r="AL131" i="46"/>
  <c r="AL136" i="46"/>
  <c r="AL139" i="46"/>
  <c r="AL141" i="46" s="1"/>
  <c r="BJ261" i="58"/>
  <c r="AC646" i="50"/>
  <c r="AC507" i="50"/>
  <c r="AR507" i="50" s="1"/>
  <c r="AO1236" i="50"/>
  <c r="AF132" i="58"/>
  <c r="AG132" i="58"/>
  <c r="BJ359" i="58"/>
  <c r="BJ371" i="58"/>
  <c r="BJ355" i="58"/>
  <c r="BJ354" i="58"/>
  <c r="BJ365" i="58"/>
  <c r="BJ366" i="58"/>
  <c r="BJ356" i="58"/>
  <c r="BJ358" i="58"/>
  <c r="BJ373" i="58"/>
  <c r="BJ375" i="58"/>
  <c r="BJ357" i="58"/>
  <c r="AL200" i="46"/>
  <c r="AL201" i="46" s="1"/>
  <c r="AL206" i="46"/>
  <c r="AL209" i="46" s="1"/>
  <c r="AL211" i="46" s="1"/>
  <c r="AG1101" i="50"/>
  <c r="AR963" i="50"/>
  <c r="M963" i="50"/>
  <c r="AL60" i="46"/>
  <c r="AL61" i="46" s="1"/>
  <c r="BJ322" i="58"/>
  <c r="BJ323" i="58"/>
  <c r="BJ324" i="58"/>
  <c r="BJ327" i="58"/>
  <c r="BJ339" i="58"/>
  <c r="BJ325" i="58"/>
  <c r="BJ341" i="58"/>
  <c r="BJ343" i="58" s="1"/>
  <c r="BJ333" i="58"/>
  <c r="BJ334" i="58" s="1"/>
  <c r="BJ326" i="58"/>
  <c r="BJ328" i="58"/>
  <c r="AS612" i="50"/>
  <c r="AT612" i="50" s="1"/>
  <c r="AG612" i="50"/>
  <c r="AF612" i="50"/>
  <c r="AC616" i="50"/>
  <c r="AI612" i="50"/>
  <c r="AC617" i="50"/>
  <c r="AC620" i="50"/>
  <c r="AR620" i="50"/>
  <c r="BS602" i="50" s="1"/>
  <c r="N484" i="52"/>
  <c r="O631" i="52"/>
  <c r="Q631" i="52"/>
  <c r="O477" i="52"/>
  <c r="Q477" i="52" s="1"/>
  <c r="C525" i="52"/>
  <c r="AL235" i="46"/>
  <c r="AL236" i="46"/>
  <c r="AL241" i="46"/>
  <c r="AL244" i="46"/>
  <c r="AL246" i="46" s="1"/>
  <c r="BJ85" i="58"/>
  <c r="BJ87" i="58" s="1"/>
  <c r="BJ77" i="58"/>
  <c r="BJ78" i="58" s="1"/>
  <c r="BJ83" i="58"/>
  <c r="BJ72" i="58"/>
  <c r="BJ71" i="58"/>
  <c r="BJ66" i="58"/>
  <c r="BJ68" i="58"/>
  <c r="BJ67" i="58"/>
  <c r="AF288" i="50"/>
  <c r="AG2043" i="50"/>
  <c r="AS2043" i="50"/>
  <c r="AT2043" i="50" s="1"/>
  <c r="AC2051" i="50"/>
  <c r="I2051" i="50" s="1"/>
  <c r="AF2043" i="50"/>
  <c r="AC2050" i="50"/>
  <c r="AC2048" i="50"/>
  <c r="AS2048" i="50" s="1"/>
  <c r="AT2048" i="50" s="1"/>
  <c r="AL101" i="46"/>
  <c r="AL104" i="46"/>
  <c r="AL106" i="46" s="1"/>
  <c r="AL95" i="46"/>
  <c r="AL96" i="46" s="1"/>
  <c r="BJ168" i="58"/>
  <c r="I168" i="58"/>
  <c r="AA168" i="58"/>
  <c r="AK168" i="58"/>
  <c r="BJ199" i="58"/>
  <c r="BJ194" i="58"/>
  <c r="BJ197" i="58"/>
  <c r="BJ196" i="58"/>
  <c r="BJ205" i="58"/>
  <c r="BJ206" i="58" s="1"/>
  <c r="BJ195" i="58"/>
  <c r="BJ211" i="58"/>
  <c r="BJ213" i="58"/>
  <c r="BJ215" i="58" s="1"/>
  <c r="BJ198" i="58"/>
  <c r="E282" i="52"/>
  <c r="E281" i="52"/>
  <c r="BZ1669" i="50"/>
  <c r="BZ1671" i="50"/>
  <c r="BZ1672" i="50"/>
  <c r="BZ1675" i="50"/>
  <c r="BZ1668" i="50"/>
  <c r="BZ1667" i="50"/>
  <c r="BZ1670" i="50"/>
  <c r="BZ1673" i="50"/>
  <c r="B413" i="52"/>
  <c r="B461" i="52"/>
  <c r="B509" i="52" s="1"/>
  <c r="B557" i="52" s="1"/>
  <c r="B605" i="52" s="1"/>
  <c r="B653" i="52" s="1"/>
  <c r="B366" i="52"/>
  <c r="B414" i="52"/>
  <c r="B462" i="52" s="1"/>
  <c r="B510" i="52" s="1"/>
  <c r="B558" i="52" s="1"/>
  <c r="B606" i="52" s="1"/>
  <c r="B654" i="52" s="1"/>
  <c r="BJ277" i="58"/>
  <c r="BJ279" i="58" s="1"/>
  <c r="BJ269" i="58"/>
  <c r="BJ270" i="58" s="1"/>
  <c r="BJ275" i="58"/>
  <c r="BJ259" i="58"/>
  <c r="BJ263" i="58"/>
  <c r="BJ262" i="58"/>
  <c r="AY1478" i="50"/>
  <c r="BJ245" i="58"/>
  <c r="BJ247" i="58"/>
  <c r="BJ237" i="58"/>
  <c r="BJ238" i="58"/>
  <c r="BJ227" i="58"/>
  <c r="BJ232" i="58"/>
  <c r="BJ243" i="58"/>
  <c r="BJ231" i="58"/>
  <c r="BJ226" i="58"/>
  <c r="BJ229" i="58"/>
  <c r="BJ228" i="58"/>
  <c r="BJ230" i="58"/>
  <c r="AG462" i="52"/>
  <c r="C576" i="52"/>
  <c r="O528" i="52"/>
  <c r="Q528" i="52"/>
  <c r="AF614" i="50"/>
  <c r="AG614" i="50"/>
  <c r="AN614" i="50"/>
  <c r="AI614" i="50"/>
  <c r="I614" i="50" s="1"/>
  <c r="AR614" i="50"/>
  <c r="BJ602" i="50" s="1"/>
  <c r="AO614" i="50"/>
  <c r="AF196" i="58"/>
  <c r="AG196" i="58"/>
  <c r="Q361" i="52"/>
  <c r="F275" i="52"/>
  <c r="B26" i="57"/>
  <c r="G190" i="38"/>
  <c r="C545" i="52"/>
  <c r="Q497" i="52"/>
  <c r="BJ134" i="58"/>
  <c r="BJ131" i="58"/>
  <c r="BJ141" i="58"/>
  <c r="BJ142" i="58"/>
  <c r="BJ147" i="58"/>
  <c r="BJ132" i="58"/>
  <c r="BJ149" i="58"/>
  <c r="BJ151" i="58"/>
  <c r="BJ136" i="58"/>
  <c r="BJ133" i="58"/>
  <c r="BJ135" i="58"/>
  <c r="BJ130" i="58"/>
  <c r="AC1716" i="50"/>
  <c r="AC1719" i="50"/>
  <c r="O430" i="52"/>
  <c r="Q430" i="52"/>
  <c r="C478" i="52"/>
  <c r="O478" i="52"/>
  <c r="AY1726" i="50"/>
  <c r="AY1024" i="50"/>
  <c r="C410" i="52"/>
  <c r="O362" i="52"/>
  <c r="Q362" i="52" s="1"/>
  <c r="AC261" i="50"/>
  <c r="AC258" i="50"/>
  <c r="AE100" i="58"/>
  <c r="AV90" i="58" s="1"/>
  <c r="AC100" i="58"/>
  <c r="AD100" i="58" s="1"/>
  <c r="AG396" i="50"/>
  <c r="AI396" i="50"/>
  <c r="AS396" i="50"/>
  <c r="AT396" i="50" s="1"/>
  <c r="AF396" i="50"/>
  <c r="AC404" i="50"/>
  <c r="AC402" i="50"/>
  <c r="G286" i="52"/>
  <c r="G211" i="38"/>
  <c r="B47" i="57"/>
  <c r="Q382" i="52"/>
  <c r="AC1122" i="50"/>
  <c r="AC1125" i="50"/>
  <c r="AL340" i="46"/>
  <c r="AL341" i="46" s="1"/>
  <c r="AL346" i="46"/>
  <c r="AL349" i="46" s="1"/>
  <c r="AL351" i="46" s="1"/>
  <c r="AL353" i="46" s="1"/>
  <c r="AY1023" i="50"/>
  <c r="BJ179" i="58"/>
  <c r="BJ164" i="58"/>
  <c r="BJ173" i="58"/>
  <c r="BJ174" i="58" s="1"/>
  <c r="BJ181" i="58"/>
  <c r="BJ183" i="58" s="1"/>
  <c r="BJ163" i="58"/>
  <c r="BJ165" i="58"/>
  <c r="BJ166" i="58"/>
  <c r="BJ162" i="58"/>
  <c r="O534" i="52"/>
  <c r="Q534" i="52" s="1"/>
  <c r="C582" i="52"/>
  <c r="BJ258" i="58"/>
  <c r="AC403" i="50"/>
  <c r="I403" i="50" s="1"/>
  <c r="AC1241" i="50"/>
  <c r="AS1233" i="50"/>
  <c r="AT1233" i="50"/>
  <c r="AC1240" i="50"/>
  <c r="AI1233" i="50"/>
  <c r="AG1233" i="50"/>
  <c r="AC1235" i="50"/>
  <c r="AC1237" i="50"/>
  <c r="AC1238" i="50"/>
  <c r="I1238" i="50" s="1"/>
  <c r="AC1239" i="50"/>
  <c r="AF1233" i="50"/>
  <c r="AY269" i="50"/>
  <c r="C457" i="52"/>
  <c r="O457" i="52"/>
  <c r="BH1601" i="50"/>
  <c r="AL305" i="46"/>
  <c r="AL306" i="46" s="1"/>
  <c r="AL311" i="46"/>
  <c r="AL314" i="46" s="1"/>
  <c r="AL316" i="46" s="1"/>
  <c r="BI1520" i="50"/>
  <c r="AY479" i="50"/>
  <c r="AL270" i="46"/>
  <c r="AL271" i="46"/>
  <c r="AL276" i="46"/>
  <c r="AL279" i="46"/>
  <c r="AL281" i="46" s="1"/>
  <c r="D563" i="52"/>
  <c r="AY480" i="50"/>
  <c r="N464" i="52"/>
  <c r="AY970" i="50"/>
  <c r="O463" i="52"/>
  <c r="Q463" i="52" s="1"/>
  <c r="C511" i="52"/>
  <c r="BJ117" i="58"/>
  <c r="BJ119" i="58"/>
  <c r="BJ98" i="58"/>
  <c r="BJ109" i="58"/>
  <c r="BJ110" i="58" s="1"/>
  <c r="BJ115" i="58"/>
  <c r="BJ101" i="58"/>
  <c r="BJ99" i="58"/>
  <c r="AC398" i="50"/>
  <c r="AG1236" i="50"/>
  <c r="N462" i="52"/>
  <c r="M1125" i="50"/>
  <c r="AR1125" i="50"/>
  <c r="BH1115" i="50"/>
  <c r="BH278" i="50"/>
  <c r="AY1021" i="50"/>
  <c r="AY1483" i="50"/>
  <c r="BJ260" i="58"/>
  <c r="BJ167" i="58"/>
  <c r="D530" i="52"/>
  <c r="O482" i="52"/>
  <c r="Q482" i="52"/>
  <c r="AC2045" i="50"/>
  <c r="AC1908" i="50"/>
  <c r="AC1915" i="50" s="1"/>
  <c r="AO1915" i="50" s="1"/>
  <c r="AQ1915" i="50" s="1"/>
  <c r="D555" i="52"/>
  <c r="O555" i="52" s="1"/>
  <c r="Q555" i="52" s="1"/>
  <c r="O507" i="52"/>
  <c r="Q507" i="52" s="1"/>
  <c r="AC506" i="50"/>
  <c r="AY859" i="50"/>
  <c r="C536" i="52"/>
  <c r="O488" i="52"/>
  <c r="Q488" i="52"/>
  <c r="C489" i="52"/>
  <c r="O441" i="52"/>
  <c r="Q441" i="52" s="1"/>
  <c r="AY860" i="50"/>
  <c r="F280" i="52"/>
  <c r="G222" i="38"/>
  <c r="Q393" i="52"/>
  <c r="B58" i="57"/>
  <c r="O394" i="52"/>
  <c r="C442" i="52"/>
  <c r="C561" i="52"/>
  <c r="C512" i="52"/>
  <c r="O464" i="52"/>
  <c r="Q464" i="52"/>
  <c r="BH332" i="50"/>
  <c r="AY1992" i="50"/>
  <c r="AI477" i="50"/>
  <c r="AC480" i="50"/>
  <c r="AG477" i="50"/>
  <c r="AS477" i="50"/>
  <c r="AT477" i="50" s="1"/>
  <c r="AC479" i="50"/>
  <c r="AY858" i="50"/>
  <c r="O479" i="52"/>
  <c r="Q479" i="52"/>
  <c r="D527" i="52"/>
  <c r="BH1439" i="50"/>
  <c r="C516" i="52"/>
  <c r="O468" i="52"/>
  <c r="Q468" i="52" s="1"/>
  <c r="AC512" i="50"/>
  <c r="AR512" i="50"/>
  <c r="BS494" i="50" s="1"/>
  <c r="BZ345" i="50"/>
  <c r="BZ349" i="50"/>
  <c r="BZ352" i="50"/>
  <c r="BZ344" i="50"/>
  <c r="BZ346" i="50"/>
  <c r="AY1994" i="50"/>
  <c r="AG486" i="52"/>
  <c r="AE261" i="58"/>
  <c r="AW250" i="58" s="1"/>
  <c r="AF261" i="58"/>
  <c r="AG261" i="58" s="1"/>
  <c r="AR429" i="50"/>
  <c r="BP413" i="50" s="1"/>
  <c r="AJ429" i="50"/>
  <c r="C523" i="52"/>
  <c r="O475" i="52"/>
  <c r="Q475" i="52" s="1"/>
  <c r="BH521" i="50"/>
  <c r="AR431" i="50"/>
  <c r="AO431" i="50"/>
  <c r="AQ431" i="50" s="1"/>
  <c r="AG1073" i="50"/>
  <c r="AF1073" i="50"/>
  <c r="AI1073" i="50"/>
  <c r="AN1073" i="50"/>
  <c r="AO1073" i="50"/>
  <c r="AR1073" i="50"/>
  <c r="BJ1061" i="50" s="1"/>
  <c r="BZ1344" i="50"/>
  <c r="AS369" i="50"/>
  <c r="AT369" i="50"/>
  <c r="AG456" i="52"/>
  <c r="AY857" i="50"/>
  <c r="AC511" i="50"/>
  <c r="AR511" i="50"/>
  <c r="AG504" i="50"/>
  <c r="AC510" i="50"/>
  <c r="AN510" i="50" s="1"/>
  <c r="AI504" i="50"/>
  <c r="AJ504" i="50" s="1"/>
  <c r="AS504" i="50"/>
  <c r="AT504" i="50" s="1"/>
  <c r="AF504" i="50"/>
  <c r="C375" i="52"/>
  <c r="O374" i="52"/>
  <c r="B39" i="57" s="1"/>
  <c r="C422" i="52"/>
  <c r="BA12" i="61"/>
  <c r="J12" i="61"/>
  <c r="AG639" i="50"/>
  <c r="AI639" i="50"/>
  <c r="AJ639" i="50" s="1"/>
  <c r="AF639" i="50"/>
  <c r="AS639" i="50"/>
  <c r="AT639" i="50"/>
  <c r="Q373" i="52"/>
  <c r="F283" i="52"/>
  <c r="B38" i="57"/>
  <c r="G202" i="38"/>
  <c r="AC647" i="50"/>
  <c r="C469" i="52"/>
  <c r="O421" i="52"/>
  <c r="Q421" i="52" s="1"/>
  <c r="AG452" i="52"/>
  <c r="AR427" i="50"/>
  <c r="I427" i="50"/>
  <c r="AG483" i="52"/>
  <c r="AO1295" i="50"/>
  <c r="AQ1295" i="50" s="1"/>
  <c r="C562" i="52"/>
  <c r="O514" i="52"/>
  <c r="Q514" i="52"/>
  <c r="BZ348" i="50"/>
  <c r="AY1915" i="50"/>
  <c r="AY863" i="50"/>
  <c r="BZ1908" i="50"/>
  <c r="BZ1913" i="50" s="1"/>
  <c r="BZ1905" i="50"/>
  <c r="D529" i="52"/>
  <c r="O481" i="52"/>
  <c r="Q481" i="52" s="1"/>
  <c r="K1699" i="50"/>
  <c r="BH1331" i="50"/>
  <c r="AY1911" i="50"/>
  <c r="BH1790" i="50"/>
  <c r="BA11" i="61"/>
  <c r="AY1912" i="50"/>
  <c r="AC642" i="50"/>
  <c r="AG642" i="50"/>
  <c r="AF1503" i="50"/>
  <c r="AC1508" i="50"/>
  <c r="AF1290" i="50"/>
  <c r="AN1290" i="50"/>
  <c r="AC1510" i="50"/>
  <c r="AO1510" i="50"/>
  <c r="AQ1510" i="50" s="1"/>
  <c r="AO1290" i="50"/>
  <c r="AJ1290" i="50"/>
  <c r="AP1290" i="50"/>
  <c r="AQ1290" i="50" s="1"/>
  <c r="AR1695" i="50"/>
  <c r="BL1682" i="50" s="1"/>
  <c r="AC1507" i="50"/>
  <c r="I1507" i="50" s="1"/>
  <c r="AI1503" i="50"/>
  <c r="AC1506" i="50"/>
  <c r="AR1506" i="50"/>
  <c r="F281" i="52"/>
  <c r="BZ1613" i="50"/>
  <c r="BZ1615" i="50"/>
  <c r="AR1079" i="50"/>
  <c r="AO1079" i="50"/>
  <c r="AQ1079" i="50" s="1"/>
  <c r="AO1294" i="50"/>
  <c r="AQ1294" i="50" s="1"/>
  <c r="AR1294" i="50"/>
  <c r="O600" i="52"/>
  <c r="Q600" i="52"/>
  <c r="AS1503" i="50"/>
  <c r="AT1503" i="50"/>
  <c r="AO885" i="50"/>
  <c r="AF885" i="50"/>
  <c r="AN885" i="50"/>
  <c r="AG885" i="50"/>
  <c r="AR885" i="50"/>
  <c r="BL872" i="50"/>
  <c r="AJ885" i="50"/>
  <c r="AI2016" i="50"/>
  <c r="AJ2016" i="50" s="1"/>
  <c r="BI2006" i="50" s="1"/>
  <c r="BZ1452" i="50"/>
  <c r="AI1181" i="50"/>
  <c r="I1181" i="50" s="1"/>
  <c r="AG2016" i="50"/>
  <c r="AS2016" i="50"/>
  <c r="AT2016" i="50"/>
  <c r="AF2016" i="50"/>
  <c r="AC2019" i="50"/>
  <c r="AC889" i="50"/>
  <c r="AO889" i="50" s="1"/>
  <c r="AQ889" i="50" s="1"/>
  <c r="AC888" i="50"/>
  <c r="AG888" i="50"/>
  <c r="AG882" i="50"/>
  <c r="AC884" i="50"/>
  <c r="AC886" i="50"/>
  <c r="AR886" i="50"/>
  <c r="AS882" i="50"/>
  <c r="AT882" i="50"/>
  <c r="AC887" i="50"/>
  <c r="AR887" i="50"/>
  <c r="AI882" i="50"/>
  <c r="AF882" i="50"/>
  <c r="AC890" i="50"/>
  <c r="AC2022" i="50"/>
  <c r="AN2022" i="50" s="1"/>
  <c r="AZ1538" i="50"/>
  <c r="AC2018" i="50"/>
  <c r="AC1590" i="50"/>
  <c r="AN1590" i="50" s="1"/>
  <c r="AC2023" i="50"/>
  <c r="AO2023" i="50" s="1"/>
  <c r="AQ2023" i="50" s="1"/>
  <c r="AR1183" i="50"/>
  <c r="AW1183" i="50"/>
  <c r="AS1183" i="50"/>
  <c r="AT1183" i="50"/>
  <c r="AC2024" i="50"/>
  <c r="I2024" i="50"/>
  <c r="AR1505" i="50"/>
  <c r="BJ1493" i="50"/>
  <c r="AN1505" i="50"/>
  <c r="AI1505" i="50"/>
  <c r="AG1505" i="50"/>
  <c r="AO1505" i="50"/>
  <c r="AF1505" i="50"/>
  <c r="BZ1289" i="50"/>
  <c r="AC752" i="50"/>
  <c r="AR752" i="50" s="1"/>
  <c r="AF1857" i="50"/>
  <c r="AC750" i="50"/>
  <c r="AC749" i="50"/>
  <c r="AO749" i="50" s="1"/>
  <c r="AV1538" i="50"/>
  <c r="AC751" i="50"/>
  <c r="AR751" i="50"/>
  <c r="AW1538" i="50"/>
  <c r="AC753" i="50"/>
  <c r="AG747" i="50"/>
  <c r="BZ1451" i="50"/>
  <c r="AI747" i="50"/>
  <c r="I747" i="50"/>
  <c r="AC755" i="50"/>
  <c r="AO755" i="50"/>
  <c r="AQ755" i="50" s="1"/>
  <c r="AF1695" i="50"/>
  <c r="AS747" i="50"/>
  <c r="AT747" i="50"/>
  <c r="AO1695" i="50"/>
  <c r="I1858" i="50"/>
  <c r="AR1860" i="50"/>
  <c r="BP1844" i="50"/>
  <c r="BZ1453" i="50"/>
  <c r="AR1672" i="50"/>
  <c r="BR1655" i="50" s="1"/>
  <c r="AF747" i="50"/>
  <c r="AJ1293" i="50"/>
  <c r="AS1858" i="50"/>
  <c r="AT1858" i="50" s="1"/>
  <c r="AN1856" i="50"/>
  <c r="AO1860" i="50"/>
  <c r="BZ1459" i="50"/>
  <c r="BZ1463" i="50" s="1"/>
  <c r="AC1641" i="50"/>
  <c r="AR1856" i="50"/>
  <c r="BJ1844" i="50" s="1"/>
  <c r="AG1856" i="50"/>
  <c r="AN1860" i="50"/>
  <c r="I643" i="50"/>
  <c r="AI1856" i="50"/>
  <c r="AJ1856" i="50"/>
  <c r="AJ1860" i="50"/>
  <c r="I1860" i="50"/>
  <c r="AG1857" i="50"/>
  <c r="AR643" i="50"/>
  <c r="AR1857" i="50"/>
  <c r="AF263" i="58"/>
  <c r="AG263" i="58" s="1"/>
  <c r="AO1856" i="50"/>
  <c r="AG1698" i="50"/>
  <c r="AF1698" i="50"/>
  <c r="AJ1698" i="50"/>
  <c r="BQ1682" i="50"/>
  <c r="AO1698" i="50"/>
  <c r="AR1698" i="50"/>
  <c r="BP1682" i="50" s="1"/>
  <c r="AJ1695" i="50"/>
  <c r="AP1695" i="50" s="1"/>
  <c r="AQ1695" i="50" s="1"/>
  <c r="AG1695" i="50"/>
  <c r="AC1509" i="50"/>
  <c r="AN1509" i="50" s="1"/>
  <c r="AG1503" i="50"/>
  <c r="AC1511" i="50"/>
  <c r="I1511" i="50"/>
  <c r="AR1181" i="50"/>
  <c r="BJ1169" i="50"/>
  <c r="AG1860" i="50"/>
  <c r="AF1181" i="50"/>
  <c r="AO1181" i="50"/>
  <c r="AO1293" i="50"/>
  <c r="AR1295" i="50"/>
  <c r="BS1277" i="50"/>
  <c r="AG1668" i="50"/>
  <c r="AN1293" i="50"/>
  <c r="BM413" i="50"/>
  <c r="I426" i="50"/>
  <c r="AS1291" i="50"/>
  <c r="AT1291" i="50"/>
  <c r="AR1668" i="50"/>
  <c r="AF1293" i="50"/>
  <c r="AR1291" i="50"/>
  <c r="AR1667" i="50"/>
  <c r="BJ1655" i="50" s="1"/>
  <c r="AO1668" i="50"/>
  <c r="AS1859" i="50"/>
  <c r="AT1859" i="50"/>
  <c r="AG1667" i="50"/>
  <c r="AN1668" i="50"/>
  <c r="AF1667" i="50"/>
  <c r="AJ1668" i="50"/>
  <c r="AO1667" i="50"/>
  <c r="AP426" i="50"/>
  <c r="AQ426" i="50" s="1"/>
  <c r="AN1667" i="50"/>
  <c r="AR1076" i="50"/>
  <c r="AZ1076" i="50"/>
  <c r="M1076" i="50" s="1"/>
  <c r="AR1293" i="50"/>
  <c r="BP1277" i="50" s="1"/>
  <c r="AS1076" i="50"/>
  <c r="AT1076" i="50" s="1"/>
  <c r="BO1844" i="50"/>
  <c r="AZ1859" i="50"/>
  <c r="M1859" i="50"/>
  <c r="AW1859" i="50"/>
  <c r="AO2049" i="50"/>
  <c r="I1859" i="50"/>
  <c r="AG615" i="50"/>
  <c r="I1861" i="50"/>
  <c r="AR1861" i="50"/>
  <c r="BR1844" i="50"/>
  <c r="AO1861" i="50"/>
  <c r="AQ1861" i="50"/>
  <c r="AS1292" i="50"/>
  <c r="AT1292" i="50"/>
  <c r="AR1292" i="50"/>
  <c r="BO1277" i="50"/>
  <c r="AJ2049" i="50"/>
  <c r="AP2049" i="50"/>
  <c r="AQ2049" i="50" s="1"/>
  <c r="AR2049" i="50"/>
  <c r="BP2033" i="50" s="1"/>
  <c r="AN2049" i="50"/>
  <c r="I430" i="50"/>
  <c r="AR430" i="50"/>
  <c r="BR413" i="50" s="1"/>
  <c r="AO430" i="50"/>
  <c r="AQ430" i="50" s="1"/>
  <c r="AC2072" i="50"/>
  <c r="AG2072" i="50" s="1"/>
  <c r="AG2049" i="50"/>
  <c r="AN507" i="50"/>
  <c r="I619" i="50"/>
  <c r="AG618" i="50"/>
  <c r="AG507" i="50"/>
  <c r="AO619" i="50"/>
  <c r="AQ619" i="50"/>
  <c r="AF618" i="50"/>
  <c r="AN618" i="50"/>
  <c r="AR428" i="50"/>
  <c r="BO413" i="50"/>
  <c r="AS428" i="50"/>
  <c r="AT428" i="50"/>
  <c r="AC72" i="58"/>
  <c r="AD72" i="58"/>
  <c r="AE72" i="58"/>
  <c r="AZ58" i="58"/>
  <c r="AJ618" i="50"/>
  <c r="I618" i="50"/>
  <c r="AO1673" i="50"/>
  <c r="AQ1673" i="50"/>
  <c r="AR1673" i="50"/>
  <c r="AC328" i="58"/>
  <c r="AD328" i="58"/>
  <c r="AE328" i="58"/>
  <c r="AZ314" i="58"/>
  <c r="O450" i="52"/>
  <c r="Q450" i="52"/>
  <c r="AI2070" i="50"/>
  <c r="AC2077" i="50"/>
  <c r="I2077" i="50" s="1"/>
  <c r="AG2070" i="50"/>
  <c r="AF2070" i="50"/>
  <c r="AS2070" i="50"/>
  <c r="AT2070" i="50" s="1"/>
  <c r="AC2073" i="50"/>
  <c r="AJ2073" i="50" s="1"/>
  <c r="AC2078" i="50"/>
  <c r="I2078" i="50" s="1"/>
  <c r="AC2074" i="50"/>
  <c r="AR2074" i="50" s="1"/>
  <c r="AJ645" i="50"/>
  <c r="AF645" i="50"/>
  <c r="AN645" i="50"/>
  <c r="AR1669" i="50"/>
  <c r="BN1655" i="50" s="1"/>
  <c r="AS1669" i="50"/>
  <c r="AT1669" i="50" s="1"/>
  <c r="BZ374" i="50"/>
  <c r="BZ373" i="50"/>
  <c r="BZ371" i="50"/>
  <c r="BZ376" i="50"/>
  <c r="BZ377" i="50"/>
  <c r="AR645" i="50"/>
  <c r="BP629" i="50"/>
  <c r="AC1212" i="50"/>
  <c r="AN1212" i="50"/>
  <c r="AF342" i="50"/>
  <c r="AR1344" i="50"/>
  <c r="BL1331" i="50" s="1"/>
  <c r="AI1343" i="50"/>
  <c r="AR1671" i="50"/>
  <c r="AG1344" i="50"/>
  <c r="AF1671" i="50"/>
  <c r="AN1343" i="50"/>
  <c r="AJ1671" i="50"/>
  <c r="AP1671" i="50"/>
  <c r="AQ1671" i="50" s="1"/>
  <c r="AO1344" i="50"/>
  <c r="AG1671" i="50"/>
  <c r="AS1642" i="50"/>
  <c r="AT1642" i="50" s="1"/>
  <c r="I1642" i="50"/>
  <c r="AR1343" i="50"/>
  <c r="BJ1331" i="50"/>
  <c r="AC1912" i="50"/>
  <c r="AC1211" i="50"/>
  <c r="AS1211" i="50" s="1"/>
  <c r="AT1211" i="50" s="1"/>
  <c r="AF507" i="50"/>
  <c r="AF615" i="50"/>
  <c r="AJ507" i="50"/>
  <c r="AR615" i="50"/>
  <c r="BL602" i="50"/>
  <c r="AN615" i="50"/>
  <c r="AC914" i="50"/>
  <c r="AJ615" i="50"/>
  <c r="I615" i="50"/>
  <c r="AC912" i="50"/>
  <c r="AC1591" i="50"/>
  <c r="AS1584" i="50"/>
  <c r="AT1584" i="50"/>
  <c r="AI1584" i="50"/>
  <c r="AG1584" i="50"/>
  <c r="AF1584" i="50"/>
  <c r="AC1592" i="50"/>
  <c r="AR1592" i="50" s="1"/>
  <c r="BS1574" i="50" s="1"/>
  <c r="BZ453" i="50"/>
  <c r="AC1588" i="50"/>
  <c r="AC1451" i="50"/>
  <c r="AN1451" i="50"/>
  <c r="AC1452" i="50"/>
  <c r="AN1452" i="50"/>
  <c r="AC1454" i="50"/>
  <c r="AI1449" i="50"/>
  <c r="AJ1449" i="50" s="1"/>
  <c r="BI1439" i="50" s="1"/>
  <c r="AF1449" i="50"/>
  <c r="AS1449" i="50"/>
  <c r="AT1449" i="50" s="1"/>
  <c r="AC1456" i="50"/>
  <c r="AR1456" i="50" s="1"/>
  <c r="BR1439" i="50" s="1"/>
  <c r="AG1449" i="50"/>
  <c r="AC1615" i="50"/>
  <c r="AG1611" i="50"/>
  <c r="AC1618" i="50"/>
  <c r="I1618" i="50" s="1"/>
  <c r="AC296" i="58"/>
  <c r="AD296" i="58" s="1"/>
  <c r="K296" i="58" s="1"/>
  <c r="M296" i="58" s="1"/>
  <c r="AO507" i="50"/>
  <c r="AF327" i="58"/>
  <c r="AG327" i="58"/>
  <c r="AF213" i="50"/>
  <c r="AN213" i="50"/>
  <c r="AJ213" i="50"/>
  <c r="AP213" i="50" s="1"/>
  <c r="AQ213" i="50" s="1"/>
  <c r="AO213" i="50"/>
  <c r="AR213" i="50"/>
  <c r="BP197" i="50" s="1"/>
  <c r="AG213" i="50"/>
  <c r="AG1206" i="50"/>
  <c r="AC1214" i="50"/>
  <c r="I1214" i="50" s="1"/>
  <c r="AC1209" i="50"/>
  <c r="AR1209" i="50" s="1"/>
  <c r="AC1213" i="50"/>
  <c r="AO1213" i="50" s="1"/>
  <c r="AQ1213" i="50" s="1"/>
  <c r="AS1206" i="50"/>
  <c r="AT1206" i="50"/>
  <c r="AF911" i="50"/>
  <c r="AG911" i="50"/>
  <c r="AN911" i="50"/>
  <c r="AO911" i="50"/>
  <c r="O524" i="52"/>
  <c r="Q524" i="52"/>
  <c r="C572" i="52"/>
  <c r="AR1752" i="50"/>
  <c r="BP1736" i="50" s="1"/>
  <c r="AN1752" i="50"/>
  <c r="AG1752" i="50"/>
  <c r="AF1752" i="50"/>
  <c r="AJ1749" i="50"/>
  <c r="I1749" i="50" s="1"/>
  <c r="AO1749" i="50"/>
  <c r="AR1749" i="50"/>
  <c r="AF1749" i="50"/>
  <c r="AN1749" i="50"/>
  <c r="AG1749" i="50"/>
  <c r="I1746" i="50"/>
  <c r="AS1750" i="50"/>
  <c r="AT1750" i="50" s="1"/>
  <c r="AR1750" i="50"/>
  <c r="AZ1750" i="50" s="1"/>
  <c r="I1750" i="50"/>
  <c r="AR1751" i="50"/>
  <c r="AZ1751" i="50"/>
  <c r="M1751" i="50" s="1"/>
  <c r="AS1751" i="50"/>
  <c r="AT1751" i="50" s="1"/>
  <c r="I1751" i="50"/>
  <c r="AC1024" i="50"/>
  <c r="AR1024" i="50"/>
  <c r="BR1007" i="50" s="1"/>
  <c r="AO1748" i="50"/>
  <c r="AF1748" i="50"/>
  <c r="AG1748" i="50"/>
  <c r="AN1748" i="50"/>
  <c r="AI1748" i="50"/>
  <c r="I1748" i="50" s="1"/>
  <c r="AR1748" i="50"/>
  <c r="BJ1736" i="50" s="1"/>
  <c r="AC210" i="50"/>
  <c r="AF207" i="50"/>
  <c r="AC211" i="50"/>
  <c r="I211" i="50" s="1"/>
  <c r="AS207" i="50"/>
  <c r="AT207" i="50" s="1"/>
  <c r="AG207" i="50"/>
  <c r="AC214" i="50"/>
  <c r="AR214" i="50"/>
  <c r="BR197" i="50" s="1"/>
  <c r="AC209" i="50"/>
  <c r="AN209" i="50" s="1"/>
  <c r="AC215" i="50"/>
  <c r="I215" i="50" s="1"/>
  <c r="AC212" i="50"/>
  <c r="AR212" i="50" s="1"/>
  <c r="AI207" i="50"/>
  <c r="I207" i="50" s="1"/>
  <c r="AH396" i="50"/>
  <c r="O460" i="52"/>
  <c r="Q460" i="52"/>
  <c r="C508" i="52"/>
  <c r="AC1723" i="50"/>
  <c r="AR1723" i="50" s="1"/>
  <c r="AF909" i="50"/>
  <c r="AG909" i="50"/>
  <c r="AC916" i="50"/>
  <c r="AS909" i="50"/>
  <c r="AT909" i="50"/>
  <c r="AC913" i="50"/>
  <c r="I913" i="50"/>
  <c r="AC915" i="50"/>
  <c r="AI909" i="50"/>
  <c r="AC917" i="50"/>
  <c r="I917" i="50"/>
  <c r="Q413" i="52"/>
  <c r="C461" i="52"/>
  <c r="O461" i="52" s="1"/>
  <c r="Q461" i="52" s="1"/>
  <c r="BZ784" i="50"/>
  <c r="BZ786" i="50"/>
  <c r="BZ782" i="50"/>
  <c r="BZ777" i="50"/>
  <c r="BZ778" i="50"/>
  <c r="BZ776" i="50"/>
  <c r="BZ779" i="50"/>
  <c r="G194" i="38"/>
  <c r="G276" i="52"/>
  <c r="Q365" i="52"/>
  <c r="B30" i="57"/>
  <c r="C414" i="52"/>
  <c r="O366" i="52"/>
  <c r="AJ1260" i="50"/>
  <c r="I1260" i="50"/>
  <c r="BZ1214" i="50"/>
  <c r="BZ1213" i="50"/>
  <c r="BZ1216" i="50"/>
  <c r="BZ1218" i="50"/>
  <c r="BZ1212" i="50"/>
  <c r="BZ1211" i="50"/>
  <c r="BZ1210" i="50"/>
  <c r="BZ1209" i="50"/>
  <c r="AC777" i="50"/>
  <c r="AI774" i="50"/>
  <c r="AJ774" i="50" s="1"/>
  <c r="AS774" i="50"/>
  <c r="AT774" i="50" s="1"/>
  <c r="AC780" i="50"/>
  <c r="AF780" i="50" s="1"/>
  <c r="O569" i="52"/>
  <c r="Q569" i="52" s="1"/>
  <c r="C617" i="52"/>
  <c r="O617" i="52" s="1"/>
  <c r="Q617" i="52" s="1"/>
  <c r="BZ211" i="50"/>
  <c r="BZ213" i="50"/>
  <c r="BZ217" i="50"/>
  <c r="BZ219" i="50"/>
  <c r="BZ212" i="50"/>
  <c r="BZ215" i="50"/>
  <c r="BZ209" i="50"/>
  <c r="BZ941" i="50"/>
  <c r="BZ943" i="50"/>
  <c r="BZ944" i="50"/>
  <c r="BZ938" i="50"/>
  <c r="BZ940" i="50"/>
  <c r="BZ946" i="50"/>
  <c r="BZ942" i="50"/>
  <c r="BZ939" i="50"/>
  <c r="AC360" i="58"/>
  <c r="AD360" i="58" s="1"/>
  <c r="AE360" i="58"/>
  <c r="AZ346" i="58" s="1"/>
  <c r="AR1051" i="50"/>
  <c r="BR1034" i="50" s="1"/>
  <c r="AS1265" i="50"/>
  <c r="AT1265" i="50" s="1"/>
  <c r="I1265" i="50"/>
  <c r="BZ1540" i="50"/>
  <c r="BZ1532" i="50"/>
  <c r="BZ1537" i="50"/>
  <c r="BZ1534" i="50"/>
  <c r="BZ428" i="50"/>
  <c r="BZ425" i="50"/>
  <c r="BZ426" i="50"/>
  <c r="BZ433" i="50"/>
  <c r="BZ437" i="50"/>
  <c r="BZ430" i="50"/>
  <c r="BZ431" i="50"/>
  <c r="BZ427" i="50"/>
  <c r="BZ429" i="50"/>
  <c r="AP1236" i="50"/>
  <c r="AQ1236" i="50"/>
  <c r="AS1236" i="50" s="1"/>
  <c r="AT1236" i="50" s="1"/>
  <c r="C522" i="52"/>
  <c r="O474" i="52"/>
  <c r="Q474" i="52" s="1"/>
  <c r="BZ2073" i="50"/>
  <c r="BZ2072" i="50"/>
  <c r="BZ2075" i="50"/>
  <c r="BZ2078" i="50"/>
  <c r="BZ2077" i="50"/>
  <c r="BZ2080" i="50"/>
  <c r="BZ2076" i="50"/>
  <c r="BZ2074" i="50"/>
  <c r="BZ452" i="50"/>
  <c r="BZ460" i="50"/>
  <c r="BZ462" i="50" s="1"/>
  <c r="I1346" i="50"/>
  <c r="AS1346" i="50"/>
  <c r="AT1346" i="50"/>
  <c r="AR1346" i="50"/>
  <c r="AZ1346" i="50"/>
  <c r="M1346" i="50" s="1"/>
  <c r="AG564" i="50"/>
  <c r="AO564" i="50"/>
  <c r="AS1264" i="50"/>
  <c r="AT1264" i="50" s="1"/>
  <c r="I1267" i="50"/>
  <c r="AO1267" i="50"/>
  <c r="AQ1267" i="50" s="1"/>
  <c r="AR1267" i="50"/>
  <c r="AS563" i="50"/>
  <c r="AT563" i="50"/>
  <c r="I563" i="50"/>
  <c r="AR563" i="50"/>
  <c r="AZ563" i="50" s="1"/>
  <c r="M563" i="50" s="1"/>
  <c r="BZ454" i="50"/>
  <c r="BZ912" i="50"/>
  <c r="BZ914" i="50"/>
  <c r="BZ911" i="50"/>
  <c r="BZ917" i="50"/>
  <c r="BZ919" i="50"/>
  <c r="BZ921" i="50"/>
  <c r="BZ913" i="50"/>
  <c r="BZ916" i="50"/>
  <c r="BZ915" i="50"/>
  <c r="O511" i="52"/>
  <c r="Q511" i="52" s="1"/>
  <c r="C559" i="52"/>
  <c r="C607" i="52" s="1"/>
  <c r="AS1238" i="50"/>
  <c r="AT1238" i="50"/>
  <c r="AR1238" i="50"/>
  <c r="AS1237" i="50"/>
  <c r="AT1237" i="50" s="1"/>
  <c r="AR1237" i="50"/>
  <c r="AW1237" i="50" s="1"/>
  <c r="I1237" i="50"/>
  <c r="B27" i="57"/>
  <c r="G191" i="38"/>
  <c r="G275" i="52"/>
  <c r="AJ614" i="50"/>
  <c r="AP614" i="50" s="1"/>
  <c r="AQ614" i="50" s="1"/>
  <c r="AV614" i="50" s="1"/>
  <c r="AI2045" i="50"/>
  <c r="AJ2045" i="50" s="1"/>
  <c r="AP2045" i="50" s="1"/>
  <c r="AQ2045" i="50" s="1"/>
  <c r="AN2045" i="50"/>
  <c r="AF2045" i="50"/>
  <c r="AG2045" i="50"/>
  <c r="AR2045" i="50"/>
  <c r="BJ2033" i="50"/>
  <c r="AO2045" i="50"/>
  <c r="AR1235" i="50"/>
  <c r="BJ1223" i="50" s="1"/>
  <c r="AN1235" i="50"/>
  <c r="AO1235" i="50"/>
  <c r="AI1235" i="50"/>
  <c r="AG1235" i="50"/>
  <c r="AF1235" i="50"/>
  <c r="C458" i="52"/>
  <c r="O410" i="52"/>
  <c r="Q410" i="52" s="1"/>
  <c r="D611" i="52"/>
  <c r="AC1023" i="50"/>
  <c r="AR1023" i="50"/>
  <c r="BP1007" i="50" s="1"/>
  <c r="AZ1103" i="50"/>
  <c r="M1103" i="50" s="1"/>
  <c r="AC267" i="50"/>
  <c r="AO267" i="50" s="1"/>
  <c r="I1233" i="50"/>
  <c r="AJ1233" i="50"/>
  <c r="BI1223" i="50"/>
  <c r="AG402" i="50"/>
  <c r="AJ402" i="50"/>
  <c r="I402" i="50" s="1"/>
  <c r="AF402" i="50"/>
  <c r="AN402" i="50"/>
  <c r="AO402" i="50"/>
  <c r="AR402" i="50"/>
  <c r="BP386" i="50"/>
  <c r="AI1719" i="50"/>
  <c r="AC1722" i="50"/>
  <c r="AR1722" i="50" s="1"/>
  <c r="BL1709" i="50" s="1"/>
  <c r="O498" i="52"/>
  <c r="Q498" i="52"/>
  <c r="I1240" i="50"/>
  <c r="AO1240" i="50"/>
  <c r="AQ1240" i="50" s="1"/>
  <c r="AR1240" i="50"/>
  <c r="BR1223" i="50" s="1"/>
  <c r="AR404" i="50"/>
  <c r="BS386" i="50" s="1"/>
  <c r="I404" i="50"/>
  <c r="AO404" i="50"/>
  <c r="AQ404" i="50"/>
  <c r="I1241" i="50"/>
  <c r="AO1241" i="50"/>
  <c r="AQ1241" i="50" s="1"/>
  <c r="AR1241" i="50"/>
  <c r="BS1223" i="50" s="1"/>
  <c r="O582" i="52"/>
  <c r="Q582" i="52" s="1"/>
  <c r="C630" i="52"/>
  <c r="C678" i="52" s="1"/>
  <c r="O678" i="52" s="1"/>
  <c r="Q678" i="52" s="1"/>
  <c r="AR617" i="50"/>
  <c r="AZ617" i="50"/>
  <c r="M617" i="50" s="1"/>
  <c r="I617" i="50"/>
  <c r="AS617" i="50"/>
  <c r="AO403" i="50"/>
  <c r="AQ403" i="50"/>
  <c r="AR403" i="50"/>
  <c r="BR386" i="50"/>
  <c r="I396" i="50"/>
  <c r="AJ396" i="50"/>
  <c r="BI386" i="50" s="1"/>
  <c r="C624" i="52"/>
  <c r="C672" i="52" s="1"/>
  <c r="O672" i="52" s="1"/>
  <c r="Q672" i="52" s="1"/>
  <c r="O576" i="52"/>
  <c r="Q576" i="52"/>
  <c r="AJ612" i="50"/>
  <c r="I612" i="50"/>
  <c r="AC263" i="50"/>
  <c r="AF263" i="50"/>
  <c r="C593" i="52"/>
  <c r="O545" i="52"/>
  <c r="Q545" i="52" s="1"/>
  <c r="AC187" i="50"/>
  <c r="I187" i="50" s="1"/>
  <c r="AS180" i="50"/>
  <c r="AT180" i="50" s="1"/>
  <c r="AI180" i="50"/>
  <c r="I180" i="50" s="1"/>
  <c r="AC184" i="50"/>
  <c r="AS184" i="50" s="1"/>
  <c r="AC188" i="50"/>
  <c r="AO188" i="50" s="1"/>
  <c r="AQ188" i="50" s="1"/>
  <c r="BH1466" i="50"/>
  <c r="AR616" i="50"/>
  <c r="AZ616" i="50" s="1"/>
  <c r="M616" i="50" s="1"/>
  <c r="I616" i="50"/>
  <c r="AS616" i="50"/>
  <c r="AT616" i="50" s="1"/>
  <c r="AC1911" i="50"/>
  <c r="AR1911" i="50" s="1"/>
  <c r="AJ1667" i="50"/>
  <c r="I1667" i="50"/>
  <c r="BZ1679" i="50"/>
  <c r="BZ1677" i="50"/>
  <c r="BH953" i="50"/>
  <c r="AE168" i="58"/>
  <c r="AZ154" i="58"/>
  <c r="AC168" i="58"/>
  <c r="AD168" i="58"/>
  <c r="AR2048" i="50"/>
  <c r="AZ2048" i="50"/>
  <c r="M2048" i="50" s="1"/>
  <c r="I2048" i="50"/>
  <c r="AC1916" i="50"/>
  <c r="AO1916" i="50"/>
  <c r="AQ1916" i="50" s="1"/>
  <c r="AS1916" i="50" s="1"/>
  <c r="AT1916" i="50" s="1"/>
  <c r="Q457" i="52"/>
  <c r="C505" i="52"/>
  <c r="O505" i="52"/>
  <c r="Q505" i="52" s="1"/>
  <c r="AG261" i="50"/>
  <c r="AF261" i="50"/>
  <c r="AS261" i="50"/>
  <c r="AT261" i="50"/>
  <c r="I2050" i="50"/>
  <c r="AR2050" i="50"/>
  <c r="BR2033" i="50" s="1"/>
  <c r="AO2050" i="50"/>
  <c r="AQ2050" i="50" s="1"/>
  <c r="O530" i="52"/>
  <c r="Q530" i="52" s="1"/>
  <c r="D578" i="52"/>
  <c r="D626" i="52" s="1"/>
  <c r="D674" i="52" s="1"/>
  <c r="O674" i="52" s="1"/>
  <c r="Q674" i="52" s="1"/>
  <c r="AH2043" i="50"/>
  <c r="AC269" i="50"/>
  <c r="AR269" i="50" s="1"/>
  <c r="BS251" i="50" s="1"/>
  <c r="AO2051" i="50"/>
  <c r="AQ2051" i="50"/>
  <c r="AR2051" i="50"/>
  <c r="BS2033" i="50"/>
  <c r="AF1017" i="50"/>
  <c r="AI1017" i="50"/>
  <c r="I1017" i="50" s="1"/>
  <c r="AS1017" i="50"/>
  <c r="AT1017" i="50" s="1"/>
  <c r="AO620" i="50"/>
  <c r="AQ620" i="50" s="1"/>
  <c r="I620" i="50"/>
  <c r="AC266" i="50"/>
  <c r="AR266" i="50"/>
  <c r="C573" i="52"/>
  <c r="O525" i="52"/>
  <c r="Q525" i="52" s="1"/>
  <c r="AC1128" i="50"/>
  <c r="AC1129" i="50"/>
  <c r="I1129" i="50" s="1"/>
  <c r="AH1233" i="50"/>
  <c r="AO1239" i="50"/>
  <c r="AJ1239" i="50"/>
  <c r="I1239" i="50" s="1"/>
  <c r="AR1239" i="50"/>
  <c r="AN1239" i="50"/>
  <c r="AG1239" i="50"/>
  <c r="AF1239" i="50"/>
  <c r="C526" i="52"/>
  <c r="C574" i="52" s="1"/>
  <c r="Q478" i="52"/>
  <c r="BL1169" i="50"/>
  <c r="G203" i="38"/>
  <c r="Q374" i="52"/>
  <c r="G283" i="52"/>
  <c r="C423" i="52"/>
  <c r="C471" i="52" s="1"/>
  <c r="O375" i="52"/>
  <c r="H283" i="52" s="1"/>
  <c r="BS413" i="50"/>
  <c r="I477" i="50"/>
  <c r="AJ477" i="50"/>
  <c r="BI467" i="50"/>
  <c r="BN1844" i="50"/>
  <c r="AZ1858" i="50"/>
  <c r="M1858" i="50" s="1"/>
  <c r="AW1858" i="50"/>
  <c r="O561" i="52"/>
  <c r="Q561" i="52"/>
  <c r="C609" i="52"/>
  <c r="O609" i="52"/>
  <c r="Q609" i="52" s="1"/>
  <c r="C564" i="52"/>
  <c r="C612" i="52" s="1"/>
  <c r="O516" i="52"/>
  <c r="Q516" i="52"/>
  <c r="AN506" i="50"/>
  <c r="AF506" i="50"/>
  <c r="AR506" i="50"/>
  <c r="BJ494" i="50" s="1"/>
  <c r="AG506" i="50"/>
  <c r="AO506" i="50"/>
  <c r="AI506" i="50"/>
  <c r="I506" i="50" s="1"/>
  <c r="D577" i="52"/>
  <c r="O577" i="52" s="1"/>
  <c r="Q577" i="52" s="1"/>
  <c r="O529" i="52"/>
  <c r="Q529" i="52"/>
  <c r="O523" i="52"/>
  <c r="Q523" i="52"/>
  <c r="C571" i="52"/>
  <c r="O571" i="52"/>
  <c r="Q571" i="52" s="1"/>
  <c r="C537" i="52"/>
  <c r="O489" i="52"/>
  <c r="Q489" i="52"/>
  <c r="C560" i="52"/>
  <c r="O512" i="52"/>
  <c r="Q512" i="52" s="1"/>
  <c r="BK1520" i="50"/>
  <c r="AX1532" i="50"/>
  <c r="AI1908" i="50"/>
  <c r="I1908" i="50" s="1"/>
  <c r="AS1908" i="50"/>
  <c r="AT1908" i="50" s="1"/>
  <c r="AG1908" i="50"/>
  <c r="AF1908" i="50"/>
  <c r="AR510" i="50"/>
  <c r="BP494" i="50" s="1"/>
  <c r="AF510" i="50"/>
  <c r="D575" i="52"/>
  <c r="O527" i="52"/>
  <c r="Q527" i="52" s="1"/>
  <c r="AC1910" i="50"/>
  <c r="AI1910" i="50" s="1"/>
  <c r="C517" i="52"/>
  <c r="O469" i="52"/>
  <c r="Q469" i="52"/>
  <c r="AP429" i="50"/>
  <c r="AQ429" i="50"/>
  <c r="BQ413" i="50"/>
  <c r="I429" i="50"/>
  <c r="I639" i="50"/>
  <c r="AG479" i="50"/>
  <c r="AI479" i="50"/>
  <c r="I479" i="50"/>
  <c r="AR479" i="50"/>
  <c r="BJ467" i="50"/>
  <c r="AN479" i="50"/>
  <c r="I1073" i="50"/>
  <c r="AJ1073" i="50"/>
  <c r="I512" i="50"/>
  <c r="O442" i="52"/>
  <c r="Q442" i="52" s="1"/>
  <c r="C490" i="52"/>
  <c r="O490" i="52" s="1"/>
  <c r="Q490" i="52" s="1"/>
  <c r="AC1913" i="50"/>
  <c r="D603" i="52"/>
  <c r="D651" i="52" s="1"/>
  <c r="O651" i="52" s="1"/>
  <c r="Q651" i="52" s="1"/>
  <c r="O422" i="52"/>
  <c r="Q422" i="52" s="1"/>
  <c r="C470" i="52"/>
  <c r="O470" i="52" s="1"/>
  <c r="Q470" i="52" s="1"/>
  <c r="AJ480" i="50"/>
  <c r="AP480" i="50"/>
  <c r="AQ480" i="50" s="1"/>
  <c r="AF480" i="50"/>
  <c r="AR480" i="50"/>
  <c r="BL467" i="50"/>
  <c r="AG480" i="50"/>
  <c r="AO480" i="50"/>
  <c r="AN480" i="50"/>
  <c r="AG1506" i="50"/>
  <c r="AN749" i="50"/>
  <c r="AF749" i="50"/>
  <c r="AG1641" i="50"/>
  <c r="I1671" i="50"/>
  <c r="AW1642" i="50"/>
  <c r="BN1628" i="50"/>
  <c r="AZ1642" i="50"/>
  <c r="M1642" i="50" s="1"/>
  <c r="I1206" i="50"/>
  <c r="G195" i="38"/>
  <c r="B31" i="57"/>
  <c r="Q366" i="52"/>
  <c r="H276" i="52"/>
  <c r="O572" i="52"/>
  <c r="Q572" i="52" s="1"/>
  <c r="C620" i="52"/>
  <c r="C668" i="52" s="1"/>
  <c r="O668" i="52" s="1"/>
  <c r="Q668" i="52" s="1"/>
  <c r="C556" i="52"/>
  <c r="C604" i="52"/>
  <c r="O508" i="52"/>
  <c r="Q508" i="52"/>
  <c r="C570" i="52"/>
  <c r="O570" i="52" s="1"/>
  <c r="Q570" i="52" s="1"/>
  <c r="O522" i="52"/>
  <c r="Q522" i="52"/>
  <c r="O624" i="52"/>
  <c r="Q624" i="52" s="1"/>
  <c r="C506" i="52"/>
  <c r="O458" i="52"/>
  <c r="Q458" i="52" s="1"/>
  <c r="O559" i="52"/>
  <c r="Q559" i="52" s="1"/>
  <c r="C553" i="52"/>
  <c r="C601" i="52" s="1"/>
  <c r="C641" i="52"/>
  <c r="O641" i="52"/>
  <c r="Q641" i="52" s="1"/>
  <c r="O593" i="52"/>
  <c r="Q593" i="52" s="1"/>
  <c r="D659" i="52"/>
  <c r="O630" i="52"/>
  <c r="Q630" i="52" s="1"/>
  <c r="C619" i="52"/>
  <c r="B40" i="57"/>
  <c r="G204" i="38"/>
  <c r="O517" i="52"/>
  <c r="Q517" i="52" s="1"/>
  <c r="C565" i="52"/>
  <c r="O565" i="52" s="1"/>
  <c r="Q565" i="52" s="1"/>
  <c r="O564" i="52"/>
  <c r="Q564" i="52" s="1"/>
  <c r="C608" i="52"/>
  <c r="O608" i="52" s="1"/>
  <c r="Q608" i="52" s="1"/>
  <c r="O560" i="52"/>
  <c r="Q560" i="52"/>
  <c r="O603" i="52"/>
  <c r="Q603" i="52" s="1"/>
  <c r="C518" i="52"/>
  <c r="C566" i="52" s="1"/>
  <c r="O556" i="52"/>
  <c r="Q556" i="52" s="1"/>
  <c r="O620" i="52"/>
  <c r="Q620" i="52" s="1"/>
  <c r="C618" i="52"/>
  <c r="O618" i="52" s="1"/>
  <c r="Q618" i="52" s="1"/>
  <c r="O553" i="52"/>
  <c r="Q553" i="52" s="1"/>
  <c r="C554" i="52"/>
  <c r="O506" i="52"/>
  <c r="Q506" i="52"/>
  <c r="O518" i="52"/>
  <c r="Q518" i="52" s="1"/>
  <c r="C613" i="52"/>
  <c r="O613" i="52" s="1"/>
  <c r="Q613" i="52" s="1"/>
  <c r="C666" i="52"/>
  <c r="O666" i="52" s="1"/>
  <c r="Q666" i="52" s="1"/>
  <c r="C661" i="52"/>
  <c r="O661" i="52" s="1"/>
  <c r="Q661" i="52" s="1"/>
  <c r="H2137" i="50"/>
  <c r="H115" i="62"/>
  <c r="F84" i="61"/>
  <c r="G127" i="62"/>
  <c r="H2099" i="50"/>
  <c r="H77" i="62"/>
  <c r="G132" i="62"/>
  <c r="H75" i="62"/>
  <c r="AF98" i="61"/>
  <c r="G92" i="62"/>
  <c r="H2113" i="50"/>
  <c r="H91" i="62"/>
  <c r="G79" i="62"/>
  <c r="G110" i="62"/>
  <c r="X97" i="61"/>
  <c r="D88" i="61"/>
  <c r="G82" i="61"/>
  <c r="F82" i="61"/>
  <c r="AR85" i="61"/>
  <c r="D97" i="61"/>
  <c r="AG85" i="61"/>
  <c r="G101" i="62"/>
  <c r="AT82" i="61"/>
  <c r="G98" i="62"/>
  <c r="H2165" i="50"/>
  <c r="H143" i="62"/>
  <c r="AH85" i="61"/>
  <c r="AU85" i="61"/>
  <c r="G130" i="62"/>
  <c r="H2152" i="50"/>
  <c r="H130" i="62" s="1"/>
  <c r="H2134" i="50"/>
  <c r="H112" i="62"/>
  <c r="G112" i="62"/>
  <c r="AE97" i="61"/>
  <c r="V97" i="61"/>
  <c r="T97" i="61"/>
  <c r="S97" i="61"/>
  <c r="AU97" i="61"/>
  <c r="U97" i="61"/>
  <c r="AI84" i="61"/>
  <c r="AO84" i="61"/>
  <c r="AF97" i="61"/>
  <c r="AU84" i="61"/>
  <c r="D84" i="61"/>
  <c r="AK83" i="61"/>
  <c r="AT83" i="61"/>
  <c r="R97" i="61"/>
  <c r="Y97" i="61"/>
  <c r="AR83" i="61"/>
  <c r="E83" i="61"/>
  <c r="D83" i="61"/>
  <c r="G125" i="62"/>
  <c r="H2122" i="50"/>
  <c r="H100" i="62" s="1"/>
  <c r="AB97" i="61"/>
  <c r="E88" i="61"/>
  <c r="W97" i="61"/>
  <c r="AG83" i="61"/>
  <c r="G128" i="62"/>
  <c r="H2164" i="50"/>
  <c r="H142" i="62" s="1"/>
  <c r="AD97" i="61"/>
  <c r="AK84" i="61"/>
  <c r="G84" i="61"/>
  <c r="AT84" i="61"/>
  <c r="AQ88" i="61"/>
  <c r="AJ88" i="61"/>
  <c r="H2160" i="50"/>
  <c r="H138" i="62" s="1"/>
  <c r="AR88" i="61"/>
  <c r="Z97" i="61"/>
  <c r="G74" i="62"/>
  <c r="H2096" i="50"/>
  <c r="H74" i="62"/>
  <c r="E97" i="61"/>
  <c r="AX97" i="61"/>
  <c r="H2140" i="50"/>
  <c r="H118" i="62"/>
  <c r="AS82" i="61"/>
  <c r="AI86" i="61"/>
  <c r="AK86" i="61"/>
  <c r="AL86" i="61"/>
  <c r="AG86" i="61"/>
  <c r="D86" i="61"/>
  <c r="G89" i="62"/>
  <c r="H89" i="62"/>
  <c r="G144" i="62"/>
  <c r="H2166" i="50"/>
  <c r="H144" i="62"/>
  <c r="H2161" i="50"/>
  <c r="H139" i="62"/>
  <c r="G139" i="62"/>
  <c r="H2118" i="50"/>
  <c r="H96" i="62" s="1"/>
  <c r="G96" i="62"/>
  <c r="H2155" i="50"/>
  <c r="H133" i="62"/>
  <c r="G133" i="62"/>
  <c r="G81" i="62"/>
  <c r="G80" i="62"/>
  <c r="G103" i="62"/>
  <c r="H2125" i="50"/>
  <c r="H103" i="62"/>
  <c r="H2119" i="50"/>
  <c r="H97" i="62"/>
  <c r="G97" i="62"/>
  <c r="H384" i="46"/>
  <c r="H154" i="62"/>
  <c r="G154" i="62"/>
  <c r="AU88" i="61"/>
  <c r="F88" i="61"/>
  <c r="G88" i="61"/>
  <c r="AN88" i="61"/>
  <c r="AP88" i="61"/>
  <c r="AG88" i="61"/>
  <c r="AW8" i="61"/>
  <c r="U8" i="61"/>
  <c r="R8" i="61"/>
  <c r="Q8" i="61"/>
  <c r="G7" i="61"/>
  <c r="G85" i="61"/>
  <c r="AK85" i="61"/>
  <c r="AO85" i="61"/>
  <c r="AN85" i="61"/>
  <c r="G120" i="62"/>
  <c r="H2142" i="50"/>
  <c r="H120" i="62" s="1"/>
  <c r="Z98" i="61"/>
  <c r="AY98" i="61"/>
  <c r="AV98" i="61"/>
  <c r="AE98" i="61"/>
  <c r="X98" i="61"/>
  <c r="AD98" i="61"/>
  <c r="W98" i="61"/>
  <c r="AX98" i="61"/>
  <c r="S98" i="61"/>
  <c r="U95" i="61"/>
  <c r="D95" i="61"/>
  <c r="G129" i="62"/>
  <c r="H388" i="46"/>
  <c r="H158" i="62" s="1"/>
  <c r="H2158" i="50"/>
  <c r="H136" i="62" s="1"/>
  <c r="AB98" i="61"/>
  <c r="G157" i="62"/>
  <c r="H387" i="46"/>
  <c r="H157" i="62"/>
  <c r="AA97" i="61"/>
  <c r="AW97" i="61"/>
  <c r="AY97" i="61"/>
  <c r="AD95" i="61"/>
  <c r="W95" i="61"/>
  <c r="AF95" i="61"/>
  <c r="AX95" i="61"/>
  <c r="G114" i="62"/>
  <c r="H2136" i="50"/>
  <c r="H114" i="62" s="1"/>
  <c r="AQ82" i="61"/>
  <c r="S95" i="61"/>
  <c r="V95" i="61"/>
  <c r="E95" i="61"/>
  <c r="AY95" i="61"/>
  <c r="T95" i="61"/>
  <c r="AV95" i="61"/>
  <c r="R95" i="61"/>
  <c r="Z95" i="61"/>
  <c r="Y95" i="61"/>
  <c r="AA95" i="61"/>
  <c r="X95" i="61"/>
  <c r="AB95" i="61"/>
  <c r="AE95" i="61"/>
  <c r="AW95" i="61"/>
  <c r="G156" i="62"/>
  <c r="H386" i="46"/>
  <c r="H156" i="62"/>
  <c r="AK82" i="61"/>
  <c r="E82" i="61"/>
  <c r="AM82" i="61"/>
  <c r="AU82" i="61"/>
  <c r="AJ82" i="61"/>
  <c r="AP82" i="61"/>
  <c r="AI82" i="61"/>
  <c r="AO82" i="61"/>
  <c r="AH82" i="61"/>
  <c r="D82" i="61"/>
  <c r="AG82" i="61"/>
  <c r="AL82" i="61"/>
  <c r="AN82" i="61"/>
  <c r="G111" i="62"/>
  <c r="H2133" i="50"/>
  <c r="H111" i="62"/>
  <c r="G140" i="62"/>
  <c r="H2162" i="50"/>
  <c r="H140" i="62" s="1"/>
  <c r="H2110" i="50"/>
  <c r="H88" i="62"/>
  <c r="G88" i="62"/>
  <c r="H2159" i="50"/>
  <c r="H137" i="62"/>
  <c r="AI85" i="61"/>
  <c r="AL83" i="61"/>
  <c r="AS83" i="61"/>
  <c r="AO83" i="61"/>
  <c r="E7" i="61"/>
  <c r="H2098" i="50"/>
  <c r="H76" i="62" s="1"/>
  <c r="AS85" i="61"/>
  <c r="AP85" i="61"/>
  <c r="AJ85" i="61"/>
  <c r="H2141" i="50"/>
  <c r="H119" i="62"/>
  <c r="H2112" i="50"/>
  <c r="H90" i="62"/>
  <c r="AI83" i="61"/>
  <c r="G83" i="61"/>
  <c r="G107" i="62"/>
  <c r="AJ83" i="61"/>
  <c r="U9" i="61"/>
  <c r="H2116" i="50"/>
  <c r="H94" i="62"/>
  <c r="AR84" i="61"/>
  <c r="AN83" i="61"/>
  <c r="H2106" i="50"/>
  <c r="H84" i="62"/>
  <c r="AM85" i="61"/>
  <c r="F8" i="61"/>
  <c r="AY8" i="61"/>
  <c r="AP83" i="61"/>
  <c r="E8" i="61"/>
  <c r="H383" i="46"/>
  <c r="H153" i="62"/>
  <c r="AL84" i="61"/>
  <c r="E84" i="61"/>
  <c r="H2128" i="50"/>
  <c r="H106" i="62"/>
  <c r="AU83" i="61"/>
  <c r="AQ85" i="61"/>
  <c r="D85" i="61"/>
  <c r="S7" i="61"/>
  <c r="G117" i="62"/>
  <c r="H2139" i="50"/>
  <c r="H117" i="62"/>
  <c r="G116" i="62"/>
  <c r="H381" i="46"/>
  <c r="H151" i="62"/>
  <c r="F10" i="61"/>
  <c r="AT85" i="61"/>
  <c r="AQ83" i="61"/>
  <c r="H382" i="46"/>
  <c r="H152" i="62"/>
  <c r="G152" i="62"/>
  <c r="F85" i="61"/>
  <c r="AH83" i="61"/>
  <c r="AM83" i="61"/>
  <c r="AU98" i="61"/>
  <c r="D98" i="61"/>
  <c r="G99" i="62"/>
  <c r="G95" i="62"/>
  <c r="H2130" i="50"/>
  <c r="H108" i="62"/>
  <c r="U12" i="61"/>
  <c r="I182" i="38"/>
  <c r="I183" i="38"/>
  <c r="H2124" i="50"/>
  <c r="H102" i="62"/>
  <c r="H2163" i="50"/>
  <c r="H141" i="62" s="1"/>
  <c r="E86" i="61"/>
  <c r="H2105" i="50"/>
  <c r="H83" i="62" s="1"/>
  <c r="H2146" i="50"/>
  <c r="H124" i="62" s="1"/>
  <c r="G124" i="62"/>
  <c r="G82" i="62"/>
  <c r="H2104" i="50"/>
  <c r="H82" i="62" s="1"/>
  <c r="G134" i="62"/>
  <c r="H2156" i="50"/>
  <c r="H134" i="62"/>
  <c r="G85" i="62"/>
  <c r="AO88" i="61"/>
  <c r="AT88" i="61"/>
  <c r="AS88" i="61"/>
  <c r="AI88" i="61"/>
  <c r="AL88" i="61"/>
  <c r="AH88" i="61"/>
  <c r="AK88" i="61"/>
  <c r="AM88" i="61"/>
  <c r="G71" i="62"/>
  <c r="E87" i="61"/>
  <c r="AS86" i="61"/>
  <c r="AN86" i="61"/>
  <c r="AR86" i="61"/>
  <c r="G86" i="61"/>
  <c r="AP86" i="61"/>
  <c r="AM86" i="61"/>
  <c r="AJ86" i="61"/>
  <c r="AU86" i="61"/>
  <c r="AH86" i="61"/>
  <c r="AQ86" i="61"/>
  <c r="AT86" i="61"/>
  <c r="AO86" i="61"/>
  <c r="H2148" i="50"/>
  <c r="H126" i="62" s="1"/>
  <c r="H2135" i="50"/>
  <c r="H113" i="62" s="1"/>
  <c r="G113" i="62"/>
  <c r="I9" i="61"/>
  <c r="T8" i="61"/>
  <c r="K8" i="61"/>
  <c r="M8" i="61"/>
  <c r="G8" i="61"/>
  <c r="S8" i="61"/>
  <c r="AV8" i="61"/>
  <c r="AJ84" i="61"/>
  <c r="AM84" i="61"/>
  <c r="AH84" i="61"/>
  <c r="AS84" i="61"/>
  <c r="AP84" i="61"/>
  <c r="V98" i="61"/>
  <c r="Y98" i="61"/>
  <c r="H2109" i="50"/>
  <c r="H87" i="62"/>
  <c r="G87" i="62"/>
  <c r="G73" i="62"/>
  <c r="H2095" i="50"/>
  <c r="H73" i="62" s="1"/>
  <c r="AN84" i="61"/>
  <c r="H2145" i="50"/>
  <c r="H123" i="62" s="1"/>
  <c r="G123" i="62"/>
  <c r="G135" i="62"/>
  <c r="H2157" i="50"/>
  <c r="H135" i="62"/>
  <c r="P278" i="50"/>
  <c r="P251" i="50" s="1"/>
  <c r="P224" i="50" s="1"/>
  <c r="P197" i="50" s="1"/>
  <c r="P170" i="50" s="1"/>
  <c r="P143" i="50" s="1"/>
  <c r="P116" i="50" s="1"/>
  <c r="P89" i="50" s="1"/>
  <c r="P62" i="50" s="1"/>
  <c r="V3" i="50" s="1"/>
  <c r="W96" i="61"/>
  <c r="Y96" i="61"/>
  <c r="AX96" i="61"/>
  <c r="AC96" i="61"/>
  <c r="U96" i="61"/>
  <c r="AB96" i="61"/>
  <c r="S96" i="61"/>
  <c r="AW96" i="61"/>
  <c r="X96" i="61"/>
  <c r="T96" i="61"/>
  <c r="AV96" i="61"/>
  <c r="AA96" i="61"/>
  <c r="AU96" i="61"/>
  <c r="D96" i="61"/>
  <c r="AE96" i="61"/>
  <c r="AY96" i="61"/>
  <c r="AF96" i="61"/>
  <c r="AD96" i="61"/>
  <c r="V96" i="61"/>
  <c r="Z96" i="61"/>
  <c r="R96" i="61"/>
  <c r="E96" i="61"/>
  <c r="C197" i="46"/>
  <c r="C232" i="46"/>
  <c r="C267" i="46" s="1"/>
  <c r="BA101" i="61"/>
  <c r="U101" i="61" s="1"/>
  <c r="BA99" i="61"/>
  <c r="AV97" i="61"/>
  <c r="AU95" i="61"/>
  <c r="BA100" i="61"/>
  <c r="AW99" i="61"/>
  <c r="AF99" i="61"/>
  <c r="AY99" i="61"/>
  <c r="Z99" i="61"/>
  <c r="AY101" i="61"/>
  <c r="AX101" i="61"/>
  <c r="E101" i="61"/>
  <c r="W101" i="61"/>
  <c r="AC101" i="61"/>
  <c r="D101" i="61"/>
  <c r="AU101" i="61"/>
  <c r="Z101" i="61"/>
  <c r="AC100" i="61"/>
  <c r="U100" i="61"/>
  <c r="AW563" i="50"/>
  <c r="AG1910" i="50"/>
  <c r="BZ923" i="50"/>
  <c r="AF1023" i="50"/>
  <c r="G70" i="62"/>
  <c r="H2092" i="50"/>
  <c r="H2093" i="50" s="1"/>
  <c r="AJ780" i="50"/>
  <c r="BQ764" i="50" s="1"/>
  <c r="I1449" i="50"/>
  <c r="AH612" i="50"/>
  <c r="Y1884" i="50"/>
  <c r="AY1884" i="50" s="1"/>
  <c r="Y834" i="50"/>
  <c r="Y1889" i="50"/>
  <c r="AY1889" i="50"/>
  <c r="Y1883" i="50"/>
  <c r="AY1883" i="50"/>
  <c r="AK292" i="58"/>
  <c r="AK230" i="58"/>
  <c r="M230" i="58"/>
  <c r="AC1876" i="50"/>
  <c r="AK1881" i="50"/>
  <c r="Y833" i="50"/>
  <c r="AC833" i="50"/>
  <c r="Y1887" i="50"/>
  <c r="AY1887" i="50"/>
  <c r="BJ360" i="58"/>
  <c r="AS212" i="50"/>
  <c r="AT212" i="50" s="1"/>
  <c r="I1592" i="50"/>
  <c r="AO1024" i="50"/>
  <c r="AQ1024" i="50"/>
  <c r="AJ1509" i="50"/>
  <c r="BQ1493" i="50"/>
  <c r="AI749" i="50"/>
  <c r="I749" i="50"/>
  <c r="AS1723" i="50"/>
  <c r="AT1723" i="50"/>
  <c r="I212" i="50"/>
  <c r="I1723" i="50"/>
  <c r="AF1590" i="50"/>
  <c r="AO510" i="50"/>
  <c r="I646" i="50"/>
  <c r="AS234" i="50"/>
  <c r="AT234" i="50"/>
  <c r="AC2046" i="50"/>
  <c r="AI2043" i="50"/>
  <c r="AG1185" i="50"/>
  <c r="AC1345" i="50"/>
  <c r="AI1341" i="50"/>
  <c r="AZ1700" i="50"/>
  <c r="AZ2051" i="50"/>
  <c r="AG1452" i="50"/>
  <c r="AG1023" i="50"/>
  <c r="AN263" i="50"/>
  <c r="AR780" i="50"/>
  <c r="BP764" i="50"/>
  <c r="AO512" i="50"/>
  <c r="AQ512" i="50"/>
  <c r="I1454" i="50"/>
  <c r="AC265" i="50"/>
  <c r="AR265" i="50"/>
  <c r="AI261" i="50"/>
  <c r="I261" i="50"/>
  <c r="AC264" i="50"/>
  <c r="I1236" i="50"/>
  <c r="BM1223" i="50"/>
  <c r="AR188" i="50"/>
  <c r="I774" i="50"/>
  <c r="AO1452" i="50"/>
  <c r="BZ1542" i="50"/>
  <c r="BZ1544" i="50"/>
  <c r="BZ950" i="50"/>
  <c r="BZ948" i="50"/>
  <c r="AJ777" i="50"/>
  <c r="AO777" i="50"/>
  <c r="AR1913" i="50"/>
  <c r="BQ2033" i="50"/>
  <c r="AW1238" i="50"/>
  <c r="AZ1238" i="50"/>
  <c r="M1238" i="50" s="1"/>
  <c r="BZ2082" i="50"/>
  <c r="BZ2084" i="50"/>
  <c r="AJ909" i="50"/>
  <c r="I909" i="50"/>
  <c r="AR1214" i="50"/>
  <c r="BS1196" i="50" s="1"/>
  <c r="I889" i="50"/>
  <c r="BZ456" i="50"/>
  <c r="BZ455" i="50"/>
  <c r="BZ1536" i="50"/>
  <c r="BZ210" i="50"/>
  <c r="AC779" i="50"/>
  <c r="I779" i="50"/>
  <c r="AF774" i="50"/>
  <c r="AC348" i="50"/>
  <c r="AO348" i="50" s="1"/>
  <c r="AO1752" i="50"/>
  <c r="AF1206" i="50"/>
  <c r="AH1206" i="50"/>
  <c r="AP1206" i="50" s="1"/>
  <c r="AC1457" i="50"/>
  <c r="AC1455" i="50"/>
  <c r="AG1455" i="50"/>
  <c r="AC349" i="50"/>
  <c r="AO349" i="50"/>
  <c r="AQ349" i="50" s="1"/>
  <c r="AN1671" i="50"/>
  <c r="AC345" i="50"/>
  <c r="AG345" i="50"/>
  <c r="BZ372" i="50"/>
  <c r="AO618" i="50"/>
  <c r="K1538" i="50"/>
  <c r="BZ1291" i="50"/>
  <c r="BZ1454" i="50"/>
  <c r="AZ1537" i="50"/>
  <c r="BR1682" i="50"/>
  <c r="M1908" i="50"/>
  <c r="BZ1347" i="50"/>
  <c r="BZ1349" i="50"/>
  <c r="AS342" i="50"/>
  <c r="AT342" i="50"/>
  <c r="BZ1293" i="50"/>
  <c r="BZ1457" i="50"/>
  <c r="AF531" i="50"/>
  <c r="BZ1343" i="50"/>
  <c r="BZ1345" i="50"/>
  <c r="AC241" i="50"/>
  <c r="AP780" i="50"/>
  <c r="AQ780" i="50" s="1"/>
  <c r="AR1910" i="50"/>
  <c r="BJ1898" i="50" s="1"/>
  <c r="AP1073" i="50"/>
  <c r="AQ1073" i="50" s="1"/>
  <c r="AV1073" i="50" s="1"/>
  <c r="AR267" i="50"/>
  <c r="BP251" i="50"/>
  <c r="AR777" i="50"/>
  <c r="BL764" i="50"/>
  <c r="AO1592" i="50"/>
  <c r="AQ1592" i="50"/>
  <c r="AF1509" i="50"/>
  <c r="AO1506" i="50"/>
  <c r="G109" i="62"/>
  <c r="H2131" i="50"/>
  <c r="H109" i="62" s="1"/>
  <c r="AW617" i="50"/>
  <c r="BO1223" i="50"/>
  <c r="BQ386" i="50"/>
  <c r="AO214" i="50"/>
  <c r="AQ214" i="50"/>
  <c r="AJ207" i="50"/>
  <c r="AG1451" i="50"/>
  <c r="BZ383" i="50"/>
  <c r="I1695" i="50"/>
  <c r="BZ258" i="50"/>
  <c r="AZ1241" i="50"/>
  <c r="AP402" i="50"/>
  <c r="AQ402" i="50" s="1"/>
  <c r="AS402" i="50" s="1"/>
  <c r="AT402" i="50" s="1"/>
  <c r="AZ403" i="50"/>
  <c r="BN1223" i="50"/>
  <c r="AF1722" i="50"/>
  <c r="BO2033" i="50"/>
  <c r="BO548" i="50"/>
  <c r="BZ435" i="50"/>
  <c r="I214" i="50"/>
  <c r="AO1214" i="50"/>
  <c r="AQ1214" i="50"/>
  <c r="AV1214" i="50" s="1"/>
  <c r="AR1451" i="50"/>
  <c r="BJ1439" i="50" s="1"/>
  <c r="I1211" i="50"/>
  <c r="AR1511" i="50"/>
  <c r="BS1493" i="50" s="1"/>
  <c r="AF1212" i="50"/>
  <c r="AG510" i="50"/>
  <c r="AR647" i="50"/>
  <c r="BS629" i="50" s="1"/>
  <c r="I1862" i="50"/>
  <c r="AR1290" i="50"/>
  <c r="BL1277" i="50" s="1"/>
  <c r="AI234" i="50"/>
  <c r="BJ104" i="58"/>
  <c r="AR1101" i="50"/>
  <c r="AI828" i="50"/>
  <c r="AO1023" i="50"/>
  <c r="AO263" i="50"/>
  <c r="I188" i="50"/>
  <c r="AZ1237" i="50"/>
  <c r="M1237" i="50" s="1"/>
  <c r="AO1722" i="50"/>
  <c r="AG777" i="50"/>
  <c r="AR915" i="50"/>
  <c r="BP899" i="50"/>
  <c r="AR1452" i="50"/>
  <c r="AR1211" i="50"/>
  <c r="BC429" i="50"/>
  <c r="AR889" i="50"/>
  <c r="AO1212" i="50"/>
  <c r="AC482" i="50"/>
  <c r="BK1061" i="50"/>
  <c r="I2045" i="50"/>
  <c r="AJ1017" i="50"/>
  <c r="AI263" i="50"/>
  <c r="AR184" i="50"/>
  <c r="I266" i="50"/>
  <c r="AW2048" i="50"/>
  <c r="AF777" i="50"/>
  <c r="AN777" i="50"/>
  <c r="AF915" i="50"/>
  <c r="BC428" i="50"/>
  <c r="BQ1844" i="50"/>
  <c r="N1710" i="50"/>
  <c r="BU1709" i="50"/>
  <c r="AX614" i="50"/>
  <c r="AX618" i="50"/>
  <c r="AG267" i="50"/>
  <c r="AF267" i="50"/>
  <c r="AN1209" i="50"/>
  <c r="AG1209" i="50"/>
  <c r="I213" i="50"/>
  <c r="BQ197" i="50"/>
  <c r="BP1655" i="50"/>
  <c r="AJ1908" i="50"/>
  <c r="AO1910" i="50"/>
  <c r="AJ506" i="50"/>
  <c r="BN602" i="50"/>
  <c r="BI602" i="50"/>
  <c r="AN267" i="50"/>
  <c r="BZ221" i="50"/>
  <c r="AN780" i="50"/>
  <c r="AR913" i="50"/>
  <c r="AO215" i="50"/>
  <c r="AQ215" i="50"/>
  <c r="AP1239" i="50"/>
  <c r="AQ1239" i="50"/>
  <c r="BQ1223" i="50"/>
  <c r="AZ2050" i="50"/>
  <c r="AF1910" i="50"/>
  <c r="BK602" i="50"/>
  <c r="AJ267" i="50"/>
  <c r="AS913" i="50"/>
  <c r="AT913" i="50"/>
  <c r="AJ1748" i="50"/>
  <c r="AR215" i="50"/>
  <c r="BM1682" i="50"/>
  <c r="AO1511" i="50"/>
  <c r="AQ1511" i="50" s="1"/>
  <c r="AW1511" i="50" s="1"/>
  <c r="I480" i="50"/>
  <c r="BM467" i="50"/>
  <c r="AG780" i="50"/>
  <c r="AO780" i="50"/>
  <c r="AZ428" i="50"/>
  <c r="M428" i="50" s="1"/>
  <c r="AW428" i="50"/>
  <c r="AS887" i="50"/>
  <c r="AT887" i="50"/>
  <c r="I887" i="50"/>
  <c r="AO242" i="50"/>
  <c r="AQ242" i="50" s="1"/>
  <c r="AV242" i="50" s="1"/>
  <c r="AH1746" i="50"/>
  <c r="T183" i="50"/>
  <c r="AJ510" i="50"/>
  <c r="AG234" i="50"/>
  <c r="AF477" i="50"/>
  <c r="AH477" i="50"/>
  <c r="AP477" i="50" s="1"/>
  <c r="AC1014" i="50"/>
  <c r="AC294" i="50"/>
  <c r="N818" i="50"/>
  <c r="BT818" i="50" s="1"/>
  <c r="U91" i="58"/>
  <c r="W103" i="58"/>
  <c r="T187" i="50"/>
  <c r="AD292" i="58"/>
  <c r="AA199" i="58"/>
  <c r="Y1881" i="50"/>
  <c r="T188" i="50"/>
  <c r="AJ479" i="50"/>
  <c r="AJ180" i="50"/>
  <c r="BI170" i="50" s="1"/>
  <c r="AJ1023" i="50"/>
  <c r="AN1023" i="50"/>
  <c r="BZ354" i="50"/>
  <c r="BZ356" i="50"/>
  <c r="AR187" i="50"/>
  <c r="AO187" i="50"/>
  <c r="AQ187" i="50"/>
  <c r="AZ1240" i="50"/>
  <c r="AJ1722" i="50"/>
  <c r="AG1722" i="50"/>
  <c r="BR494" i="50"/>
  <c r="I1913" i="50"/>
  <c r="AG2073" i="50"/>
  <c r="AR2073" i="50"/>
  <c r="AY347" i="50"/>
  <c r="AC347" i="50"/>
  <c r="AR347" i="50"/>
  <c r="AW347" i="50" s="1"/>
  <c r="BM494" i="50"/>
  <c r="AP507" i="50"/>
  <c r="AQ507" i="50"/>
  <c r="I2070" i="50"/>
  <c r="AJ2070" i="50"/>
  <c r="BI2060" i="50" s="1"/>
  <c r="AJ753" i="50"/>
  <c r="BQ737" i="50" s="1"/>
  <c r="AO753" i="50"/>
  <c r="I1505" i="50"/>
  <c r="AJ1505" i="50"/>
  <c r="AC1155" i="50"/>
  <c r="BZ347" i="50"/>
  <c r="AI531" i="50"/>
  <c r="AJ531" i="50"/>
  <c r="AF369" i="50"/>
  <c r="AC239" i="50"/>
  <c r="AK104" i="58"/>
  <c r="AC836" i="50"/>
  <c r="AS1152" i="50"/>
  <c r="AT1152" i="50"/>
  <c r="BZ350" i="50"/>
  <c r="M1476" i="50"/>
  <c r="AS828" i="50"/>
  <c r="AT828" i="50"/>
  <c r="AR2077" i="50"/>
  <c r="AO2077" i="50"/>
  <c r="AQ2077" i="50" s="1"/>
  <c r="AV2077" i="50" s="1"/>
  <c r="AR2024" i="50"/>
  <c r="BS2006" i="50" s="1"/>
  <c r="AO2024" i="50"/>
  <c r="AQ2024" i="50" s="1"/>
  <c r="AS2024" i="50" s="1"/>
  <c r="AT2024" i="50" s="1"/>
  <c r="BZ1918" i="50"/>
  <c r="BZ1914" i="50"/>
  <c r="AC1025" i="50"/>
  <c r="AO1025" i="50" s="1"/>
  <c r="AC1019" i="50"/>
  <c r="AF1019" i="50"/>
  <c r="AC1021" i="50"/>
  <c r="AR1021" i="50"/>
  <c r="AZ1021" i="50" s="1"/>
  <c r="M1021" i="50" s="1"/>
  <c r="AC1022" i="50"/>
  <c r="AG1017" i="50"/>
  <c r="AH1017" i="50" s="1"/>
  <c r="I755" i="50"/>
  <c r="AR755" i="50"/>
  <c r="AN753" i="50"/>
  <c r="AF753" i="50"/>
  <c r="AN2019" i="50"/>
  <c r="AF2019" i="50"/>
  <c r="AN1910" i="50"/>
  <c r="AS1129" i="50"/>
  <c r="AT1129" i="50"/>
  <c r="I184" i="50"/>
  <c r="AJ1584" i="50"/>
  <c r="BI1574" i="50" s="1"/>
  <c r="I1584" i="50"/>
  <c r="AS886" i="50"/>
  <c r="AT886" i="50"/>
  <c r="I886" i="50"/>
  <c r="AR1129" i="50"/>
  <c r="AX402" i="50"/>
  <c r="AO1618" i="50"/>
  <c r="AQ1618" i="50" s="1"/>
  <c r="AR1618" i="50"/>
  <c r="AR2078" i="50"/>
  <c r="AO2078" i="50"/>
  <c r="AQ2078" i="50" s="1"/>
  <c r="AS2078" i="50" s="1"/>
  <c r="AT2078" i="50" s="1"/>
  <c r="AZ404" i="50"/>
  <c r="BC1671" i="50"/>
  <c r="AC533" i="50"/>
  <c r="AG533" i="50" s="1"/>
  <c r="AC371" i="50"/>
  <c r="AC240" i="50"/>
  <c r="AJ240" i="50" s="1"/>
  <c r="AC855" i="50"/>
  <c r="AC863" i="50" s="1"/>
  <c r="I863" i="50" s="1"/>
  <c r="M1719" i="50"/>
  <c r="BZ1473" i="50"/>
  <c r="AN1101" i="50"/>
  <c r="BZ1584" i="50"/>
  <c r="AZ1292" i="50"/>
  <c r="AW1292" i="50"/>
  <c r="BL1844" i="50"/>
  <c r="BC1860" i="50"/>
  <c r="I511" i="50"/>
  <c r="AO511" i="50"/>
  <c r="AQ511" i="50"/>
  <c r="AS266" i="50"/>
  <c r="AT266" i="50"/>
  <c r="BO602" i="50"/>
  <c r="AN1722" i="50"/>
  <c r="AR1509" i="50"/>
  <c r="BP1493" i="50" s="1"/>
  <c r="AG1509" i="50"/>
  <c r="AO1509" i="50"/>
  <c r="BN1169" i="50"/>
  <c r="AZ1183" i="50"/>
  <c r="M1183" i="50"/>
  <c r="AR2022" i="50"/>
  <c r="BP2006" i="50"/>
  <c r="AG2022" i="50"/>
  <c r="AF2022" i="50"/>
  <c r="AH2070" i="50"/>
  <c r="BZ1989" i="50"/>
  <c r="AA104" i="58"/>
  <c r="AC832" i="50"/>
  <c r="BZ477" i="50"/>
  <c r="BZ483" i="50"/>
  <c r="AO1101" i="50"/>
  <c r="AF1101" i="50"/>
  <c r="AC830" i="50"/>
  <c r="AG828" i="50"/>
  <c r="I1105" i="50"/>
  <c r="AO645" i="50"/>
  <c r="AG1181" i="50"/>
  <c r="AG531" i="50"/>
  <c r="AC377" i="50"/>
  <c r="I377" i="50"/>
  <c r="BZ1346" i="50"/>
  <c r="BZ1351" i="50"/>
  <c r="AC237" i="50"/>
  <c r="AF234" i="50"/>
  <c r="AF324" i="58"/>
  <c r="AG324" i="58"/>
  <c r="AS1156" i="50"/>
  <c r="AT1156" i="50"/>
  <c r="I242" i="50"/>
  <c r="AR508" i="50"/>
  <c r="AC1159" i="50"/>
  <c r="AC835" i="50"/>
  <c r="BZ1297" i="50"/>
  <c r="AC834" i="50"/>
  <c r="AF828" i="50"/>
  <c r="AR1105" i="50"/>
  <c r="BK1655" i="50"/>
  <c r="AP1667" i="50"/>
  <c r="AQ1667" i="50" s="1"/>
  <c r="BZ1220" i="50"/>
  <c r="AP645" i="50"/>
  <c r="AQ645" i="50"/>
  <c r="BQ629" i="50"/>
  <c r="AZ1672" i="50"/>
  <c r="BS1655" i="50"/>
  <c r="AR2072" i="50"/>
  <c r="BJ2060" i="50" s="1"/>
  <c r="AI2072" i="50"/>
  <c r="AR890" i="50"/>
  <c r="AO890" i="50"/>
  <c r="AQ890" i="50" s="1"/>
  <c r="K890" i="50" s="1"/>
  <c r="AJ882" i="50"/>
  <c r="I882" i="50"/>
  <c r="AO884" i="50"/>
  <c r="AI884" i="50"/>
  <c r="I885" i="50"/>
  <c r="AP885" i="50"/>
  <c r="AQ885" i="50" s="1"/>
  <c r="BM872" i="50"/>
  <c r="AR1508" i="50"/>
  <c r="I1508" i="50"/>
  <c r="BN413" i="50"/>
  <c r="AZ427" i="50"/>
  <c r="AZ512" i="50"/>
  <c r="AW616" i="50"/>
  <c r="AN2072" i="50"/>
  <c r="AN884" i="50"/>
  <c r="I2023" i="50"/>
  <c r="AZ511" i="50"/>
  <c r="AR884" i="50"/>
  <c r="BJ872" i="50"/>
  <c r="AS1508" i="50"/>
  <c r="AT1508" i="50"/>
  <c r="I269" i="50"/>
  <c r="AO269" i="50"/>
  <c r="AQ269" i="50" s="1"/>
  <c r="AS269" i="50" s="1"/>
  <c r="AT269" i="50" s="1"/>
  <c r="AC372" i="50"/>
  <c r="AG369" i="50"/>
  <c r="AR1156" i="50"/>
  <c r="AG1152" i="50"/>
  <c r="M1017" i="50"/>
  <c r="AC268" i="50"/>
  <c r="BZ555" i="50"/>
  <c r="AC373" i="50"/>
  <c r="AI369" i="50"/>
  <c r="BZ1456" i="50"/>
  <c r="AS508" i="50"/>
  <c r="AT508" i="50"/>
  <c r="AC1157" i="50"/>
  <c r="AH1098" i="50"/>
  <c r="AH882" i="50"/>
  <c r="AC1645" i="50"/>
  <c r="AX1239" i="50"/>
  <c r="AH1584" i="50"/>
  <c r="AC1644" i="50"/>
  <c r="Y153" i="50"/>
  <c r="M153" i="50" s="1"/>
  <c r="Y157" i="50"/>
  <c r="Y155" i="50"/>
  <c r="N144" i="50"/>
  <c r="BU143" i="50"/>
  <c r="N143" i="50"/>
  <c r="BT143" i="50"/>
  <c r="Y156" i="50"/>
  <c r="Y161" i="50"/>
  <c r="R153" i="50"/>
  <c r="BX143" i="50"/>
  <c r="R152" i="50"/>
  <c r="BW143" i="50"/>
  <c r="AC148" i="50"/>
  <c r="Y160" i="50"/>
  <c r="Y159" i="50"/>
  <c r="Y158" i="50"/>
  <c r="BZ148" i="50"/>
  <c r="R146" i="50"/>
  <c r="BV143" i="50" s="1"/>
  <c r="AI209" i="50"/>
  <c r="AF209" i="50"/>
  <c r="AG263" i="50"/>
  <c r="AR263" i="50"/>
  <c r="BJ251" i="50"/>
  <c r="AF2072" i="50"/>
  <c r="AO2072" i="50"/>
  <c r="AH261" i="50"/>
  <c r="AR749" i="50"/>
  <c r="BJ737" i="50" s="1"/>
  <c r="AP1860" i="50"/>
  <c r="AQ1860" i="50" s="1"/>
  <c r="AV1860" i="50" s="1"/>
  <c r="AG753" i="50"/>
  <c r="AR753" i="50"/>
  <c r="BP737" i="50"/>
  <c r="BZ1461" i="50"/>
  <c r="AH207" i="50"/>
  <c r="AP207" i="50"/>
  <c r="AR1989" i="50"/>
  <c r="BH1979" i="50"/>
  <c r="I1536" i="50"/>
  <c r="AZ1265" i="50"/>
  <c r="M1265" i="50"/>
  <c r="AW1265" i="50"/>
  <c r="BL1736" i="50"/>
  <c r="I1213" i="50"/>
  <c r="AR1213" i="50"/>
  <c r="AW1751" i="50"/>
  <c r="BO1736" i="50"/>
  <c r="AW1750" i="50"/>
  <c r="BN1736" i="50"/>
  <c r="BR1250" i="50"/>
  <c r="AF210" i="50"/>
  <c r="AS1615" i="50"/>
  <c r="AT1615" i="50" s="1"/>
  <c r="AR1615" i="50"/>
  <c r="I1615" i="50"/>
  <c r="AO1455" i="50"/>
  <c r="I1588" i="50"/>
  <c r="AR1591" i="50"/>
  <c r="I1591" i="50"/>
  <c r="AJ1343" i="50"/>
  <c r="I1343" i="50"/>
  <c r="AO2073" i="50"/>
  <c r="AF2073" i="50"/>
  <c r="AN2073" i="50"/>
  <c r="AP618" i="50"/>
  <c r="AQ618" i="50"/>
  <c r="BQ602" i="50"/>
  <c r="AF1641" i="50"/>
  <c r="AO1641" i="50"/>
  <c r="AR1641" i="50"/>
  <c r="AR888" i="50"/>
  <c r="BP872" i="50"/>
  <c r="AF888" i="50"/>
  <c r="AO888" i="50"/>
  <c r="AG2019" i="50"/>
  <c r="AJ2019" i="50"/>
  <c r="AS779" i="50"/>
  <c r="AO1591" i="50"/>
  <c r="AQ1591" i="50" s="1"/>
  <c r="I2016" i="50"/>
  <c r="BZ1911" i="50"/>
  <c r="AW1534" i="50"/>
  <c r="AE258" i="58"/>
  <c r="AT250" i="58"/>
  <c r="AC693" i="50"/>
  <c r="AC701" i="50"/>
  <c r="AC936" i="50"/>
  <c r="AC1210" i="50"/>
  <c r="AS1210" i="50" s="1"/>
  <c r="BZ1915" i="50"/>
  <c r="AZ1295" i="50"/>
  <c r="BZ1019" i="50"/>
  <c r="AC177" i="50"/>
  <c r="AR315" i="50"/>
  <c r="BZ1314" i="50"/>
  <c r="AC98" i="58"/>
  <c r="I1532" i="50"/>
  <c r="AG915" i="50"/>
  <c r="AO915" i="50"/>
  <c r="BM1736" i="50"/>
  <c r="AP1749" i="50"/>
  <c r="AQ1749" i="50" s="1"/>
  <c r="AH1449" i="50"/>
  <c r="AJ1452" i="50"/>
  <c r="AF1452" i="50"/>
  <c r="AJ912" i="50"/>
  <c r="AG912" i="50"/>
  <c r="AN642" i="50"/>
  <c r="AO642" i="50"/>
  <c r="BZ271" i="50"/>
  <c r="BZ268" i="50"/>
  <c r="BZ266" i="50"/>
  <c r="BZ267" i="50"/>
  <c r="BZ269" i="50"/>
  <c r="BZ264" i="50"/>
  <c r="BZ565" i="50"/>
  <c r="BZ564" i="50"/>
  <c r="BZ563" i="50"/>
  <c r="AF750" i="50"/>
  <c r="AO750" i="50"/>
  <c r="AG342" i="50"/>
  <c r="AH342" i="50"/>
  <c r="AI342" i="50"/>
  <c r="AJ342" i="50"/>
  <c r="AC346" i="50"/>
  <c r="I346" i="50"/>
  <c r="AJ1857" i="50"/>
  <c r="AO1857" i="50"/>
  <c r="AJ1854" i="50"/>
  <c r="AX1856" i="50"/>
  <c r="AW1699" i="50"/>
  <c r="AC481" i="50"/>
  <c r="AE264" i="58"/>
  <c r="AZ250" i="58"/>
  <c r="BZ458" i="50"/>
  <c r="M1935" i="50"/>
  <c r="AC1422" i="50"/>
  <c r="AC1430" i="50"/>
  <c r="AE98" i="58"/>
  <c r="AT90" i="58"/>
  <c r="AW643" i="50"/>
  <c r="AZ643" i="50"/>
  <c r="M643" i="50" s="1"/>
  <c r="BN629" i="50"/>
  <c r="AS751" i="50"/>
  <c r="AT751" i="50"/>
  <c r="I751" i="50"/>
  <c r="AF180" i="50"/>
  <c r="AH180" i="50" s="1"/>
  <c r="AP180" i="50" s="1"/>
  <c r="AC182" i="50"/>
  <c r="AC183" i="50"/>
  <c r="AO183" i="50" s="1"/>
  <c r="AG180" i="50"/>
  <c r="AC185" i="50"/>
  <c r="AC186" i="50"/>
  <c r="AF356" i="58"/>
  <c r="AG356" i="58"/>
  <c r="K356" i="58"/>
  <c r="M356" i="58"/>
  <c r="I1024" i="50"/>
  <c r="I890" i="50"/>
  <c r="AR2023" i="50"/>
  <c r="AH1908" i="50"/>
  <c r="I531" i="50"/>
  <c r="AZ1294" i="50"/>
  <c r="BS1061" i="50"/>
  <c r="AW1079" i="50"/>
  <c r="I1503" i="50"/>
  <c r="AJ1503" i="50"/>
  <c r="AX1505" i="50" s="1"/>
  <c r="BM1277" i="50"/>
  <c r="I1290" i="50"/>
  <c r="AR642" i="50"/>
  <c r="AF642" i="50"/>
  <c r="AJ642" i="50"/>
  <c r="I642" i="50" s="1"/>
  <c r="I504" i="50"/>
  <c r="AZ1534" i="50"/>
  <c r="M1534" i="50" s="1"/>
  <c r="M855" i="50"/>
  <c r="BZ852" i="50"/>
  <c r="BZ963" i="50"/>
  <c r="AC258" i="58"/>
  <c r="BZ1022" i="50"/>
  <c r="I1098" i="50"/>
  <c r="K135" i="58"/>
  <c r="M135" i="58" s="1"/>
  <c r="M1422" i="50"/>
  <c r="BZ1044" i="50"/>
  <c r="AE356" i="58"/>
  <c r="AV346" i="58" s="1"/>
  <c r="AC450" i="50"/>
  <c r="AC1914" i="50"/>
  <c r="AJ1914" i="50"/>
  <c r="AH504" i="50"/>
  <c r="AW431" i="50"/>
  <c r="AO1182" i="50"/>
  <c r="BI1250" i="50"/>
  <c r="AO917" i="50"/>
  <c r="AQ917" i="50" s="1"/>
  <c r="AR917" i="50"/>
  <c r="AO209" i="50"/>
  <c r="AR209" i="50"/>
  <c r="BJ197" i="50" s="1"/>
  <c r="AG209" i="50"/>
  <c r="AR211" i="50"/>
  <c r="AS211" i="50"/>
  <c r="AT211" i="50" s="1"/>
  <c r="AF1209" i="50"/>
  <c r="AO1209" i="50"/>
  <c r="AJ1209" i="50"/>
  <c r="AO1456" i="50"/>
  <c r="AQ1456" i="50"/>
  <c r="I1456" i="50"/>
  <c r="AO1451" i="50"/>
  <c r="AI1451" i="50"/>
  <c r="AF1451" i="50"/>
  <c r="AS1912" i="50"/>
  <c r="AT1912" i="50"/>
  <c r="AR1912" i="50"/>
  <c r="AG1212" i="50"/>
  <c r="AR1212" i="50"/>
  <c r="BP1196" i="50"/>
  <c r="AJ1212" i="50"/>
  <c r="AS2074" i="50"/>
  <c r="AT2074" i="50" s="1"/>
  <c r="I2074" i="50"/>
  <c r="BO1061" i="50"/>
  <c r="AW1076" i="50"/>
  <c r="I1668" i="50"/>
  <c r="BM1655" i="50"/>
  <c r="AP1668" i="50"/>
  <c r="AQ1668" i="50"/>
  <c r="AW1291" i="50"/>
  <c r="AZ1291" i="50"/>
  <c r="M1291" i="50" s="1"/>
  <c r="I1698" i="50"/>
  <c r="AP1698" i="50"/>
  <c r="AQ1698" i="50"/>
  <c r="AN1911" i="50"/>
  <c r="AO1911" i="50"/>
  <c r="AW1346" i="50"/>
  <c r="BO1331" i="50"/>
  <c r="AY1046" i="50"/>
  <c r="AC1046" i="50"/>
  <c r="AR1046" i="50" s="1"/>
  <c r="BJ1034" i="50" s="1"/>
  <c r="AJ1641" i="50"/>
  <c r="AN1641" i="50"/>
  <c r="AN888" i="50"/>
  <c r="AJ888" i="50"/>
  <c r="AP888" i="50" s="1"/>
  <c r="AQ888" i="50" s="1"/>
  <c r="AR2019" i="50"/>
  <c r="AO2019" i="50"/>
  <c r="AF1506" i="50"/>
  <c r="I647" i="50"/>
  <c r="AJ1181" i="50"/>
  <c r="AP1181" i="50"/>
  <c r="AQ1181" i="50" s="1"/>
  <c r="AZ1673" i="50"/>
  <c r="AG429" i="50"/>
  <c r="AO1672" i="50"/>
  <c r="AQ1672" i="50" s="1"/>
  <c r="AC295" i="50"/>
  <c r="AO295" i="50" s="1"/>
  <c r="AQ295" i="50" s="1"/>
  <c r="M504" i="50"/>
  <c r="V290" i="50"/>
  <c r="V291" i="50" s="1"/>
  <c r="V292" i="50" s="1"/>
  <c r="V293" i="50" s="1"/>
  <c r="V294" i="50" s="1"/>
  <c r="V295" i="50" s="1"/>
  <c r="V1964" i="50"/>
  <c r="V1965" i="50" s="1"/>
  <c r="V1966" i="50"/>
  <c r="V1967" i="50" s="1"/>
  <c r="V1968" i="50" s="1"/>
  <c r="V1969" i="50" s="1"/>
  <c r="I1856" i="50"/>
  <c r="AP1233" i="50"/>
  <c r="AH909" i="50"/>
  <c r="AP909" i="50" s="1"/>
  <c r="AZ188" i="50"/>
  <c r="BQ1655" i="50"/>
  <c r="AO912" i="50"/>
  <c r="I507" i="50"/>
  <c r="I2049" i="50"/>
  <c r="AN429" i="50"/>
  <c r="BZ1020" i="50"/>
  <c r="AS1102" i="50"/>
  <c r="AT1102" i="50" s="1"/>
  <c r="BZ1290" i="50"/>
  <c r="AS288" i="50"/>
  <c r="AT288" i="50"/>
  <c r="AR1185" i="50"/>
  <c r="BP1169" i="50"/>
  <c r="BZ882" i="50"/>
  <c r="M936" i="50"/>
  <c r="I1021" i="50"/>
  <c r="I1102" i="50"/>
  <c r="AS1103" i="50"/>
  <c r="AT1103" i="50"/>
  <c r="AC1476" i="50"/>
  <c r="AV1079" i="50"/>
  <c r="BL1655" i="50"/>
  <c r="BC1670" i="50"/>
  <c r="AJ750" i="50"/>
  <c r="AG750" i="50"/>
  <c r="AN750" i="50"/>
  <c r="AR750" i="50"/>
  <c r="BL737" i="50"/>
  <c r="AS752" i="50"/>
  <c r="AT752" i="50"/>
  <c r="I752" i="50"/>
  <c r="AF2018" i="50"/>
  <c r="AR2018" i="50"/>
  <c r="BJ2006" i="50"/>
  <c r="AG884" i="50"/>
  <c r="AF884" i="50"/>
  <c r="BR1277" i="50"/>
  <c r="AO1051" i="50"/>
  <c r="AQ1051" i="50" s="1"/>
  <c r="I1051" i="50"/>
  <c r="AC1020" i="50"/>
  <c r="AZ430" i="50"/>
  <c r="AR1862" i="50"/>
  <c r="BS1844" i="50"/>
  <c r="AF429" i="50"/>
  <c r="AC484" i="50"/>
  <c r="AX1536" i="50"/>
  <c r="AC167" i="58"/>
  <c r="AD167" i="58" s="1"/>
  <c r="K167" i="58" s="1"/>
  <c r="M167" i="58" s="1"/>
  <c r="AI1100" i="50"/>
  <c r="I1100" i="50" s="1"/>
  <c r="I292" i="50"/>
  <c r="AG288" i="50"/>
  <c r="AH288" i="50" s="1"/>
  <c r="AI288" i="50"/>
  <c r="BZ1071" i="50"/>
  <c r="AP612" i="50"/>
  <c r="AR261" i="50"/>
  <c r="AJ1104" i="50"/>
  <c r="BZ1959" i="50"/>
  <c r="AC290" i="50"/>
  <c r="AC293" i="50"/>
  <c r="AG1104" i="50"/>
  <c r="AW1103" i="50"/>
  <c r="BO1088" i="50"/>
  <c r="BM602" i="50"/>
  <c r="AC485" i="50"/>
  <c r="I1103" i="50"/>
  <c r="AF1100" i="50"/>
  <c r="AS292" i="50"/>
  <c r="AT292" i="50" s="1"/>
  <c r="BZ1294" i="50"/>
  <c r="AC296" i="50"/>
  <c r="AC291" i="50"/>
  <c r="AR1104" i="50"/>
  <c r="BP1088" i="50"/>
  <c r="AF1104" i="50"/>
  <c r="AN1185" i="50"/>
  <c r="AC781" i="50"/>
  <c r="AC644" i="50"/>
  <c r="AF1638" i="50"/>
  <c r="BC1859" i="50"/>
  <c r="BD1859" i="50" s="1"/>
  <c r="BN1277" i="50"/>
  <c r="AJ747" i="50"/>
  <c r="AX753" i="50"/>
  <c r="AN1100" i="50"/>
  <c r="AO1100" i="50"/>
  <c r="AC260" i="58"/>
  <c r="AD260" i="58"/>
  <c r="K260" i="58" s="1"/>
  <c r="M260" i="58" s="1"/>
  <c r="AO1104" i="50"/>
  <c r="AC963" i="50"/>
  <c r="AC966" i="50" s="1"/>
  <c r="AR450" i="50"/>
  <c r="BH440" i="50"/>
  <c r="BZ1716" i="50"/>
  <c r="I1912" i="50"/>
  <c r="AG1100" i="50"/>
  <c r="AJ831" i="50"/>
  <c r="BM818" i="50" s="1"/>
  <c r="AF831" i="50"/>
  <c r="AG831" i="50"/>
  <c r="AO831" i="50"/>
  <c r="AN831" i="50"/>
  <c r="AN912" i="50"/>
  <c r="AZ1669" i="50"/>
  <c r="M1669" i="50"/>
  <c r="BZ1619" i="50"/>
  <c r="BZ1617" i="50"/>
  <c r="AC537" i="50"/>
  <c r="AP753" i="50"/>
  <c r="AQ753" i="50" s="1"/>
  <c r="AH639" i="50"/>
  <c r="AP639" i="50" s="1"/>
  <c r="AG749" i="50"/>
  <c r="AZ431" i="50"/>
  <c r="AR1916" i="50"/>
  <c r="BS1898" i="50"/>
  <c r="AN1182" i="50"/>
  <c r="AC538" i="50"/>
  <c r="AG425" i="50"/>
  <c r="AC1640" i="50"/>
  <c r="AJ1182" i="50"/>
  <c r="AG1182" i="50"/>
  <c r="AF1182" i="50"/>
  <c r="AR831" i="50"/>
  <c r="BL818" i="50" s="1"/>
  <c r="AR477" i="50"/>
  <c r="BH467" i="50" s="1"/>
  <c r="AI560" i="50"/>
  <c r="AC724" i="50"/>
  <c r="AT724" i="50" s="1"/>
  <c r="AC723" i="50"/>
  <c r="AC726" i="50"/>
  <c r="AG726" i="50" s="1"/>
  <c r="BQ1169" i="50"/>
  <c r="I1185" i="50"/>
  <c r="BO1520" i="50"/>
  <c r="AW1535" i="50"/>
  <c r="AZ1535" i="50"/>
  <c r="M1535" i="50"/>
  <c r="AG1314" i="50"/>
  <c r="AI1314" i="50"/>
  <c r="AJ1314" i="50" s="1"/>
  <c r="AC1316" i="50"/>
  <c r="AO1316" i="50" s="1"/>
  <c r="AC1321" i="50"/>
  <c r="AF1314" i="50"/>
  <c r="AH1314" i="50"/>
  <c r="AC1317" i="50"/>
  <c r="AS1314" i="50"/>
  <c r="AT1314" i="50" s="1"/>
  <c r="AC1322" i="50"/>
  <c r="AC1318" i="50"/>
  <c r="I1318" i="50"/>
  <c r="AC1319" i="50"/>
  <c r="AS1319" i="50"/>
  <c r="AT1319" i="50" s="1"/>
  <c r="AY483" i="50"/>
  <c r="AG1911" i="50"/>
  <c r="AI2018" i="50"/>
  <c r="I2018" i="50" s="1"/>
  <c r="AP615" i="50"/>
  <c r="AQ615" i="50"/>
  <c r="AG2018" i="50"/>
  <c r="AO1185" i="50"/>
  <c r="AJ1911" i="50"/>
  <c r="AF1911" i="50"/>
  <c r="I1916" i="50"/>
  <c r="I645" i="50"/>
  <c r="AW1669" i="50"/>
  <c r="AI1019" i="50"/>
  <c r="AO2018" i="50"/>
  <c r="AH2016" i="50"/>
  <c r="AP2016" i="50"/>
  <c r="AF1185" i="50"/>
  <c r="BQ1520" i="50"/>
  <c r="AC376" i="50"/>
  <c r="AR560" i="50"/>
  <c r="BJ548" i="50" s="1"/>
  <c r="AF425" i="50"/>
  <c r="AC483" i="50"/>
  <c r="AN2018" i="50"/>
  <c r="AR1510" i="50"/>
  <c r="AR1590" i="50"/>
  <c r="BP1574" i="50" s="1"/>
  <c r="AJ1590" i="50"/>
  <c r="AF226" i="58"/>
  <c r="AG226" i="58"/>
  <c r="AC226" i="58"/>
  <c r="AE226" i="58"/>
  <c r="AT218" i="58" s="1"/>
  <c r="AC668" i="50"/>
  <c r="AG668" i="50" s="1"/>
  <c r="AI666" i="50"/>
  <c r="I666" i="50"/>
  <c r="AS666" i="50"/>
  <c r="AT666" i="50"/>
  <c r="AC670" i="50"/>
  <c r="AC673" i="50"/>
  <c r="AR673" i="50" s="1"/>
  <c r="AF666" i="50"/>
  <c r="AH666" i="50"/>
  <c r="AC671" i="50"/>
  <c r="AC669" i="50"/>
  <c r="AC672" i="50"/>
  <c r="AC674" i="50"/>
  <c r="AR674" i="50" s="1"/>
  <c r="BS656" i="50" s="1"/>
  <c r="K164" i="58"/>
  <c r="M164" i="58"/>
  <c r="AF164" i="58"/>
  <c r="AG164" i="58"/>
  <c r="AY1888" i="50"/>
  <c r="AO1590" i="50"/>
  <c r="I1293" i="50"/>
  <c r="BQ1277" i="50"/>
  <c r="AP1293" i="50"/>
  <c r="AQ1293" i="50"/>
  <c r="AV1293" i="50" s="1"/>
  <c r="AY1186" i="50"/>
  <c r="AC1186" i="50"/>
  <c r="AY1106" i="50"/>
  <c r="AC1106" i="50"/>
  <c r="Q666" i="50"/>
  <c r="BE669" i="50"/>
  <c r="Q657" i="50"/>
  <c r="Q656" i="50"/>
  <c r="Q665" i="50"/>
  <c r="BD669" i="50"/>
  <c r="AK668" i="50"/>
  <c r="BE668" i="50"/>
  <c r="BD668" i="50"/>
  <c r="R665" i="50"/>
  <c r="BW656" i="50"/>
  <c r="AK666" i="50"/>
  <c r="BC670" i="50"/>
  <c r="BE670" i="50"/>
  <c r="N656" i="50"/>
  <c r="BT656" i="50" s="1"/>
  <c r="R666" i="50"/>
  <c r="BX656" i="50" s="1"/>
  <c r="N657" i="50"/>
  <c r="BU656" i="50" s="1"/>
  <c r="BC668" i="50"/>
  <c r="Q659" i="50"/>
  <c r="BC669" i="50"/>
  <c r="BD670" i="50"/>
  <c r="R659" i="50"/>
  <c r="BV656" i="50" s="1"/>
  <c r="Y1560" i="50"/>
  <c r="Y1564" i="50"/>
  <c r="Y1562" i="50"/>
  <c r="AY1562" i="50" s="1"/>
  <c r="R1557" i="50"/>
  <c r="BX1547" i="50" s="1"/>
  <c r="R1550" i="50"/>
  <c r="BV1547" i="50" s="1"/>
  <c r="AC1552" i="50"/>
  <c r="Y1559" i="50"/>
  <c r="N1547" i="50"/>
  <c r="BT1547" i="50" s="1"/>
  <c r="N1548" i="50"/>
  <c r="BU1547" i="50" s="1"/>
  <c r="Y1565" i="50"/>
  <c r="Y1563" i="50"/>
  <c r="Y1557" i="50"/>
  <c r="M1557" i="50" s="1"/>
  <c r="R1556" i="50"/>
  <c r="BW1547" i="50" s="1"/>
  <c r="BZ1552" i="50"/>
  <c r="Y1561" i="50"/>
  <c r="AG1590" i="50"/>
  <c r="I1510" i="50"/>
  <c r="V614" i="50"/>
  <c r="V615" i="50" s="1"/>
  <c r="V616" i="50"/>
  <c r="V617" i="50" s="1"/>
  <c r="V618" i="50" s="1"/>
  <c r="V619" i="50" s="1"/>
  <c r="M1538" i="50"/>
  <c r="BZ1292" i="50"/>
  <c r="AC375" i="50"/>
  <c r="AN560" i="50"/>
  <c r="AI425" i="50"/>
  <c r="AI1638" i="50"/>
  <c r="AG1638" i="50"/>
  <c r="AS890" i="50"/>
  <c r="AT890" i="50" s="1"/>
  <c r="K264" i="58"/>
  <c r="M264" i="58" s="1"/>
  <c r="AF264" i="58"/>
  <c r="AG264" i="58" s="1"/>
  <c r="I1210" i="50"/>
  <c r="AC1187" i="50"/>
  <c r="AF1179" i="50"/>
  <c r="AH1179" i="50"/>
  <c r="AC1184" i="50"/>
  <c r="AI1179" i="50"/>
  <c r="AJ1179" i="50" s="1"/>
  <c r="AC1797" i="50"/>
  <c r="AC1800" i="50"/>
  <c r="AC1806" i="50" s="1"/>
  <c r="AC323" i="58"/>
  <c r="AE323" i="58"/>
  <c r="AU314" i="58" s="1"/>
  <c r="BC1697" i="50"/>
  <c r="BE1697" i="50" s="1"/>
  <c r="AH747" i="50"/>
  <c r="Y809" i="50"/>
  <c r="Y801" i="50"/>
  <c r="M801" i="50" s="1"/>
  <c r="BZ796" i="50"/>
  <c r="BZ798" i="50"/>
  <c r="R794" i="50"/>
  <c r="BV791" i="50"/>
  <c r="R800" i="50"/>
  <c r="BW791" i="50"/>
  <c r="Y804" i="50"/>
  <c r="N792" i="50"/>
  <c r="BU791" i="50" s="1"/>
  <c r="AC796" i="50"/>
  <c r="Y807" i="50"/>
  <c r="AY807" i="50"/>
  <c r="Y808" i="50"/>
  <c r="R801" i="50"/>
  <c r="BX791" i="50" s="1"/>
  <c r="Y805" i="50"/>
  <c r="AY805" i="50" s="1"/>
  <c r="Y803" i="50"/>
  <c r="Y806" i="50"/>
  <c r="N791" i="50"/>
  <c r="BT791" i="50"/>
  <c r="AC1646" i="50"/>
  <c r="AR1646" i="50"/>
  <c r="AS1638" i="50"/>
  <c r="AT1638" i="50"/>
  <c r="AC1643" i="50"/>
  <c r="AC534" i="50"/>
  <c r="AF534" i="50" s="1"/>
  <c r="AC535" i="50"/>
  <c r="BC1698" i="50"/>
  <c r="AC2075" i="50"/>
  <c r="AC2076" i="50"/>
  <c r="AG84" i="61"/>
  <c r="V452" i="50"/>
  <c r="V453" i="50"/>
  <c r="V454" i="50" s="1"/>
  <c r="V455" i="50"/>
  <c r="V456" i="50" s="1"/>
  <c r="V457" i="50" s="1"/>
  <c r="V911" i="50"/>
  <c r="V912" i="50"/>
  <c r="V913" i="50" s="1"/>
  <c r="V914" i="50"/>
  <c r="V915" i="50" s="1"/>
  <c r="V916" i="50" s="1"/>
  <c r="V1370" i="50"/>
  <c r="V1371" i="50"/>
  <c r="V1372" i="50" s="1"/>
  <c r="V1373" i="50"/>
  <c r="V1374" i="50" s="1"/>
  <c r="V1375" i="50" s="1"/>
  <c r="V1694" i="50"/>
  <c r="V1695" i="50"/>
  <c r="V1696" i="50" s="1"/>
  <c r="V1697" i="50"/>
  <c r="V1698" i="50" s="1"/>
  <c r="V1699" i="50" s="1"/>
  <c r="V1235" i="50"/>
  <c r="V1236" i="50"/>
  <c r="V1237" i="50" s="1"/>
  <c r="V1238" i="50"/>
  <c r="V1239" i="50" s="1"/>
  <c r="V1240" i="50" s="1"/>
  <c r="W1240" i="50" s="1"/>
  <c r="K168" i="58"/>
  <c r="M168" i="58"/>
  <c r="AF168" i="58"/>
  <c r="AG168" i="58"/>
  <c r="AC1587" i="50"/>
  <c r="AN1587" i="50" s="1"/>
  <c r="AC1586" i="50"/>
  <c r="AI1316" i="50"/>
  <c r="AJ1506" i="50"/>
  <c r="AN1506" i="50"/>
  <c r="AJ2022" i="50"/>
  <c r="BZ1618" i="50"/>
  <c r="BZ1621" i="50"/>
  <c r="BZ1614" i="50"/>
  <c r="AJ1665" i="50"/>
  <c r="I1665" i="50"/>
  <c r="AC1160" i="50"/>
  <c r="AR1160" i="50"/>
  <c r="AI1152" i="50"/>
  <c r="AJ1152" i="50"/>
  <c r="AC1158" i="50"/>
  <c r="AF1152" i="50"/>
  <c r="AH1152" i="50" s="1"/>
  <c r="AC1154" i="50"/>
  <c r="AG1154" i="50" s="1"/>
  <c r="AO2022" i="50"/>
  <c r="AH1503" i="50"/>
  <c r="AH1665" i="50"/>
  <c r="AC1049" i="50"/>
  <c r="AS1049" i="50" s="1"/>
  <c r="AS1044" i="50"/>
  <c r="AT1044" i="50"/>
  <c r="AG1044" i="50"/>
  <c r="AC1047" i="50"/>
  <c r="AC1048" i="50"/>
  <c r="AC1052" i="50"/>
  <c r="AC1050" i="50"/>
  <c r="AF1044" i="50"/>
  <c r="AI1044" i="50"/>
  <c r="M180" i="50"/>
  <c r="AC238" i="50"/>
  <c r="AP1185" i="50"/>
  <c r="AQ1185" i="50" s="1"/>
  <c r="AC236" i="50"/>
  <c r="AO236" i="50" s="1"/>
  <c r="AG560" i="50"/>
  <c r="AC474" i="50"/>
  <c r="AS1697" i="50"/>
  <c r="AT1697" i="50"/>
  <c r="AC728" i="50"/>
  <c r="AO728" i="50"/>
  <c r="AQ728" i="50" s="1"/>
  <c r="AI720" i="50"/>
  <c r="AJ720" i="50" s="1"/>
  <c r="AC536" i="50"/>
  <c r="AT536" i="50" s="1"/>
  <c r="AR1697" i="50"/>
  <c r="AC725" i="50"/>
  <c r="AT725" i="50" s="1"/>
  <c r="AK1179" i="50"/>
  <c r="Q1179" i="50"/>
  <c r="Q1172" i="50"/>
  <c r="BD1181" i="50"/>
  <c r="Q1170" i="50"/>
  <c r="BE1183" i="50"/>
  <c r="Q1178" i="50"/>
  <c r="AK1181" i="50"/>
  <c r="Q1169" i="50"/>
  <c r="R1179" i="50"/>
  <c r="BX1169" i="50" s="1"/>
  <c r="BE1453" i="50"/>
  <c r="Q1448" i="50"/>
  <c r="Q1440" i="50"/>
  <c r="Q1439" i="50"/>
  <c r="BE1452" i="50"/>
  <c r="AK1451" i="50"/>
  <c r="BD1452" i="50"/>
  <c r="AK1449" i="50"/>
  <c r="BD1453" i="50"/>
  <c r="Q1449" i="50"/>
  <c r="Q1442" i="50"/>
  <c r="BD1451" i="50"/>
  <c r="Y1829" i="50"/>
  <c r="AC1822" i="50"/>
  <c r="Y1832" i="50"/>
  <c r="AY1832" i="50" s="1"/>
  <c r="Y1827" i="50"/>
  <c r="Y1833" i="50"/>
  <c r="Y1835" i="50"/>
  <c r="AY1835" i="50" s="1"/>
  <c r="Y1830" i="50"/>
  <c r="AY1830" i="50"/>
  <c r="Y1831" i="50"/>
  <c r="Y1834" i="50"/>
  <c r="AY1834" i="50" s="1"/>
  <c r="AG197" i="58"/>
  <c r="AC580" i="50"/>
  <c r="AC585" i="50"/>
  <c r="Y585" i="50"/>
  <c r="R585" i="50"/>
  <c r="BX575" i="50" s="1"/>
  <c r="Y592" i="50"/>
  <c r="AY592" i="50" s="1"/>
  <c r="Y588" i="50"/>
  <c r="Y590" i="50"/>
  <c r="AY590" i="50" s="1"/>
  <c r="Y591" i="50"/>
  <c r="BZ591" i="50"/>
  <c r="Y593" i="50"/>
  <c r="Y587" i="50"/>
  <c r="AY587" i="50" s="1"/>
  <c r="Y589" i="50"/>
  <c r="BE885" i="50"/>
  <c r="Q873" i="50"/>
  <c r="BD886" i="50"/>
  <c r="Q875" i="50"/>
  <c r="BD884" i="50"/>
  <c r="Q881" i="50"/>
  <c r="BD885" i="50"/>
  <c r="Q872" i="50"/>
  <c r="AK882" i="50"/>
  <c r="Q882" i="50"/>
  <c r="AK884" i="50"/>
  <c r="R881" i="50"/>
  <c r="BW872" i="50" s="1"/>
  <c r="R875" i="50"/>
  <c r="BV872" i="50" s="1"/>
  <c r="W200" i="58"/>
  <c r="M192" i="58"/>
  <c r="AE192" i="58"/>
  <c r="AR153" i="50"/>
  <c r="Y1969" i="50"/>
  <c r="AY1969" i="50"/>
  <c r="R1961" i="50"/>
  <c r="BW1952" i="50"/>
  <c r="Y1965" i="50"/>
  <c r="Y1968" i="50"/>
  <c r="AY1968" i="50" s="1"/>
  <c r="Y1970" i="50"/>
  <c r="Y1966" i="50"/>
  <c r="Y1967" i="50"/>
  <c r="N1953" i="50"/>
  <c r="BU1952" i="50" s="1"/>
  <c r="Y1964" i="50"/>
  <c r="AC1957" i="50"/>
  <c r="Y1962" i="50"/>
  <c r="AF163" i="58"/>
  <c r="AG163" i="58"/>
  <c r="R1827" i="50"/>
  <c r="BX1817" i="50"/>
  <c r="V641" i="50"/>
  <c r="V642" i="50"/>
  <c r="V643" i="50" s="1"/>
  <c r="V644" i="50"/>
  <c r="V645" i="50" s="1"/>
  <c r="V646" i="50" s="1"/>
  <c r="V1775" i="50"/>
  <c r="V1776" i="50"/>
  <c r="V1777" i="50" s="1"/>
  <c r="V1778" i="50"/>
  <c r="V1779" i="50" s="1"/>
  <c r="V1780" i="50" s="1"/>
  <c r="V695" i="50"/>
  <c r="V696" i="50"/>
  <c r="V697" i="50" s="1"/>
  <c r="V698" i="50"/>
  <c r="V699" i="50" s="1"/>
  <c r="V700" i="50" s="1"/>
  <c r="M326" i="58"/>
  <c r="M67" i="58"/>
  <c r="V884" i="50"/>
  <c r="V885" i="50"/>
  <c r="V886" i="50" s="1"/>
  <c r="V887" i="50"/>
  <c r="V888" i="50" s="1"/>
  <c r="V889" i="50" s="1"/>
  <c r="V890" i="50" s="1"/>
  <c r="W890" i="50" s="1"/>
  <c r="V992" i="50"/>
  <c r="V993" i="50"/>
  <c r="V994" i="50" s="1"/>
  <c r="V995" i="50" s="1"/>
  <c r="V996" i="50" s="1"/>
  <c r="V997" i="50" s="1"/>
  <c r="V1667" i="50"/>
  <c r="V1668" i="50"/>
  <c r="V1669" i="50" s="1"/>
  <c r="V1670" i="50" s="1"/>
  <c r="V1671" i="50" s="1"/>
  <c r="V1672" i="50" s="1"/>
  <c r="M163" i="58"/>
  <c r="V506" i="50"/>
  <c r="V507" i="50" s="1"/>
  <c r="V508" i="50"/>
  <c r="V509" i="50" s="1"/>
  <c r="V510" i="50" s="1"/>
  <c r="V511" i="50" s="1"/>
  <c r="V1181" i="50"/>
  <c r="V1182" i="50" s="1"/>
  <c r="V1183" i="50" s="1"/>
  <c r="V1184" i="50" s="1"/>
  <c r="V1185" i="50" s="1"/>
  <c r="V1186" i="50" s="1"/>
  <c r="I1025" i="50"/>
  <c r="AQ1025" i="50"/>
  <c r="AV1025" i="50" s="1"/>
  <c r="AS1021" i="50"/>
  <c r="AT1021" i="50" s="1"/>
  <c r="AS1507" i="50"/>
  <c r="AT1507" i="50" s="1"/>
  <c r="AF1236" i="50"/>
  <c r="AR1236" i="50"/>
  <c r="AR1507" i="50"/>
  <c r="AO1160" i="50"/>
  <c r="AQ1160" i="50"/>
  <c r="AV1160" i="50" s="1"/>
  <c r="AS643" i="50"/>
  <c r="AT643" i="50"/>
  <c r="AF560" i="50"/>
  <c r="AS1665" i="50"/>
  <c r="AT1665" i="50" s="1"/>
  <c r="AC1589" i="50"/>
  <c r="AC722" i="50"/>
  <c r="AC727" i="50"/>
  <c r="AF720" i="50"/>
  <c r="AO1537" i="50"/>
  <c r="AQ1537" i="50" s="1"/>
  <c r="AG230" i="58"/>
  <c r="AK99" i="58"/>
  <c r="M99" i="58"/>
  <c r="H2143" i="50"/>
  <c r="H121" i="62"/>
  <c r="G121" i="62"/>
  <c r="G93" i="62"/>
  <c r="H2115" i="50"/>
  <c r="H93" i="62"/>
  <c r="AK131" i="58"/>
  <c r="M131" i="58"/>
  <c r="I131" i="58"/>
  <c r="G122" i="62"/>
  <c r="H2144" i="50"/>
  <c r="H122" i="62"/>
  <c r="AF229" i="58"/>
  <c r="AG229" i="58"/>
  <c r="G104" i="62"/>
  <c r="G78" i="62"/>
  <c r="H2108" i="50"/>
  <c r="AF323" i="58"/>
  <c r="AG323" i="58" s="1"/>
  <c r="AK197" i="58"/>
  <c r="M197" i="58" s="1"/>
  <c r="AS1530" i="50"/>
  <c r="AT1530" i="50" s="1"/>
  <c r="AK66" i="58"/>
  <c r="M66" i="58" s="1"/>
  <c r="Y1320" i="50"/>
  <c r="AC1320" i="50" s="1"/>
  <c r="V155" i="50"/>
  <c r="V156" i="50"/>
  <c r="V157" i="50" s="1"/>
  <c r="V158" i="50" s="1"/>
  <c r="V159" i="50" s="1"/>
  <c r="V160" i="50" s="1"/>
  <c r="V161" i="50" s="1"/>
  <c r="H2127" i="50"/>
  <c r="H105" i="62"/>
  <c r="M227" i="58"/>
  <c r="G75" i="62"/>
  <c r="V209" i="50"/>
  <c r="V210" i="50"/>
  <c r="V211" i="50" s="1"/>
  <c r="V212" i="50" s="1"/>
  <c r="V213" i="50" s="1"/>
  <c r="V214" i="50" s="1"/>
  <c r="V263" i="50"/>
  <c r="V264" i="50"/>
  <c r="V265" i="50" s="1"/>
  <c r="V266" i="50" s="1"/>
  <c r="V267" i="50" s="1"/>
  <c r="V268" i="50" s="1"/>
  <c r="V398" i="50"/>
  <c r="V399" i="50"/>
  <c r="V400" i="50" s="1"/>
  <c r="V401" i="50" s="1"/>
  <c r="V402" i="50" s="1"/>
  <c r="V403" i="50" s="1"/>
  <c r="V425" i="50"/>
  <c r="V426" i="50"/>
  <c r="V427" i="50" s="1"/>
  <c r="V428" i="50" s="1"/>
  <c r="V429" i="50" s="1"/>
  <c r="V430" i="50" s="1"/>
  <c r="V479" i="50"/>
  <c r="V480" i="50"/>
  <c r="V481" i="50" s="1"/>
  <c r="V482" i="50" s="1"/>
  <c r="V483" i="50" s="1"/>
  <c r="V484" i="50" s="1"/>
  <c r="V668" i="50"/>
  <c r="V669" i="50"/>
  <c r="V670" i="50" s="1"/>
  <c r="V671" i="50" s="1"/>
  <c r="V672" i="50" s="1"/>
  <c r="V673" i="50" s="1"/>
  <c r="V857" i="50"/>
  <c r="V858" i="50"/>
  <c r="V859" i="50" s="1"/>
  <c r="V860" i="50" s="1"/>
  <c r="V861" i="50" s="1"/>
  <c r="V862" i="50" s="1"/>
  <c r="V1046" i="50"/>
  <c r="V1047" i="50"/>
  <c r="V1048" i="50" s="1"/>
  <c r="V1049" i="50" s="1"/>
  <c r="V1050" i="50" s="1"/>
  <c r="V1051" i="50" s="1"/>
  <c r="V1073" i="50"/>
  <c r="V1074" i="50"/>
  <c r="V1075" i="50" s="1"/>
  <c r="V1076" i="50" s="1"/>
  <c r="V1077" i="50" s="1"/>
  <c r="V1078" i="50" s="1"/>
  <c r="V1127" i="50"/>
  <c r="V1128" i="50"/>
  <c r="V1129" i="50" s="1"/>
  <c r="V1130" i="50" s="1"/>
  <c r="V1131" i="50" s="1"/>
  <c r="V1132" i="50" s="1"/>
  <c r="V1154" i="50"/>
  <c r="V1155" i="50"/>
  <c r="V1156" i="50" s="1"/>
  <c r="V1157" i="50" s="1"/>
  <c r="V1158" i="50" s="1"/>
  <c r="V1159" i="50" s="1"/>
  <c r="V236" i="50"/>
  <c r="V237" i="50"/>
  <c r="V238" i="50" s="1"/>
  <c r="V239" i="50" s="1"/>
  <c r="V240" i="50" s="1"/>
  <c r="V241" i="50" s="1"/>
  <c r="V344" i="50"/>
  <c r="V345" i="50"/>
  <c r="V346" i="50" s="1"/>
  <c r="V347" i="50" s="1"/>
  <c r="V348" i="50" s="1"/>
  <c r="V349" i="50" s="1"/>
  <c r="V371" i="50"/>
  <c r="V372" i="50"/>
  <c r="V373" i="50" s="1"/>
  <c r="V374" i="50" s="1"/>
  <c r="V375" i="50" s="1"/>
  <c r="V376" i="50" s="1"/>
  <c r="V317" i="50"/>
  <c r="V318" i="50"/>
  <c r="V319" i="50" s="1"/>
  <c r="V320" i="50" s="1"/>
  <c r="V321" i="50" s="1"/>
  <c r="V322" i="50" s="1"/>
  <c r="V182" i="50"/>
  <c r="V183" i="50"/>
  <c r="V184" i="50" s="1"/>
  <c r="V185" i="50" s="1"/>
  <c r="V186" i="50" s="1"/>
  <c r="V187" i="50" s="1"/>
  <c r="V533" i="50"/>
  <c r="V534" i="50"/>
  <c r="V535" i="50" s="1"/>
  <c r="V536" i="50" s="1"/>
  <c r="V537" i="50" s="1"/>
  <c r="V538" i="50" s="1"/>
  <c r="V560" i="50"/>
  <c r="V561" i="50"/>
  <c r="V562" i="50" s="1"/>
  <c r="V563" i="50" s="1"/>
  <c r="V564" i="50" s="1"/>
  <c r="V565" i="50" s="1"/>
  <c r="V587" i="50"/>
  <c r="V588" i="50"/>
  <c r="V589" i="50" s="1"/>
  <c r="V590" i="50" s="1"/>
  <c r="V591" i="50" s="1"/>
  <c r="V592" i="50" s="1"/>
  <c r="V722" i="50"/>
  <c r="V723" i="50"/>
  <c r="V724" i="50" s="1"/>
  <c r="V725" i="50" s="1"/>
  <c r="V726" i="50" s="1"/>
  <c r="V727" i="50" s="1"/>
  <c r="V749" i="50"/>
  <c r="V750" i="50"/>
  <c r="V751" i="50" s="1"/>
  <c r="V752" i="50" s="1"/>
  <c r="V753" i="50" s="1"/>
  <c r="V754" i="50" s="1"/>
  <c r="V776" i="50"/>
  <c r="V777" i="50"/>
  <c r="V778" i="50" s="1"/>
  <c r="V779" i="50" s="1"/>
  <c r="V780" i="50" s="1"/>
  <c r="V781" i="50" s="1"/>
  <c r="V803" i="50"/>
  <c r="V804" i="50"/>
  <c r="V805" i="50" s="1"/>
  <c r="V806" i="50" s="1"/>
  <c r="V807" i="50" s="1"/>
  <c r="V808" i="50" s="1"/>
  <c r="V830" i="50"/>
  <c r="V831" i="50" s="1"/>
  <c r="V832" i="50"/>
  <c r="V833" i="50" s="1"/>
  <c r="V834" i="50" s="1"/>
  <c r="V835" i="50" s="1"/>
  <c r="V938" i="50"/>
  <c r="V939" i="50" s="1"/>
  <c r="V940" i="50" s="1"/>
  <c r="V941" i="50" s="1"/>
  <c r="V942" i="50" s="1"/>
  <c r="V943" i="50" s="1"/>
  <c r="V965" i="50"/>
  <c r="V966" i="50" s="1"/>
  <c r="V967" i="50"/>
  <c r="V968" i="50" s="1"/>
  <c r="V969" i="50" s="1"/>
  <c r="V970" i="50" s="1"/>
  <c r="V1019" i="50"/>
  <c r="V1020" i="50" s="1"/>
  <c r="V1021" i="50" s="1"/>
  <c r="V1022" i="50" s="1"/>
  <c r="V1023" i="50" s="1"/>
  <c r="V1024" i="50" s="1"/>
  <c r="V1100" i="50"/>
  <c r="V1101" i="50" s="1"/>
  <c r="V1102" i="50" s="1"/>
  <c r="V1103" i="50" s="1"/>
  <c r="V1104" i="50" s="1"/>
  <c r="V1105" i="50" s="1"/>
  <c r="V1478" i="50"/>
  <c r="V1479" i="50" s="1"/>
  <c r="V1480" i="50"/>
  <c r="V1481" i="50" s="1"/>
  <c r="V1482" i="50" s="1"/>
  <c r="V1483" i="50" s="1"/>
  <c r="V1505" i="50"/>
  <c r="V1506" i="50" s="1"/>
  <c r="V1507" i="50"/>
  <c r="V1508" i="50" s="1"/>
  <c r="V1509" i="50" s="1"/>
  <c r="V1510" i="50" s="1"/>
  <c r="V1532" i="50"/>
  <c r="V1533" i="50" s="1"/>
  <c r="V1534" i="50" s="1"/>
  <c r="V1535" i="50" s="1"/>
  <c r="V1536" i="50" s="1"/>
  <c r="V1537" i="50" s="1"/>
  <c r="V1538" i="50" s="1"/>
  <c r="W1538" i="50" s="1"/>
  <c r="V1721" i="50"/>
  <c r="V1722" i="50" s="1"/>
  <c r="V1723" i="50" s="1"/>
  <c r="V1724" i="50" s="1"/>
  <c r="V1725" i="50" s="1"/>
  <c r="V1726" i="50" s="1"/>
  <c r="V1748" i="50"/>
  <c r="V1749" i="50" s="1"/>
  <c r="V1750" i="50"/>
  <c r="V1751" i="50" s="1"/>
  <c r="V1752" i="50" s="1"/>
  <c r="V1753" i="50" s="1"/>
  <c r="V1802" i="50"/>
  <c r="V1803" i="50" s="1"/>
  <c r="V1804" i="50" s="1"/>
  <c r="V1805" i="50" s="1"/>
  <c r="V1806" i="50" s="1"/>
  <c r="V1807" i="50" s="1"/>
  <c r="V1856" i="50"/>
  <c r="V1857" i="50" s="1"/>
  <c r="V1858" i="50"/>
  <c r="V1859" i="50" s="1"/>
  <c r="V1860" i="50" s="1"/>
  <c r="V1861" i="50" s="1"/>
  <c r="V2045" i="50"/>
  <c r="V2046" i="50"/>
  <c r="V2047" i="50" s="1"/>
  <c r="V2048" i="50" s="1"/>
  <c r="V2049" i="50" s="1"/>
  <c r="V2050" i="50" s="1"/>
  <c r="V1351" i="50"/>
  <c r="V1459" i="50"/>
  <c r="V1567" i="50"/>
  <c r="V1891" i="50"/>
  <c r="V1999" i="50"/>
  <c r="V1208" i="50"/>
  <c r="V1209" i="50" s="1"/>
  <c r="V1210" i="50" s="1"/>
  <c r="V1211" i="50" s="1"/>
  <c r="V1212" i="50" s="1"/>
  <c r="V1213" i="50" s="1"/>
  <c r="V1262" i="50"/>
  <c r="V1263" i="50" s="1"/>
  <c r="V1264" i="50"/>
  <c r="V1265" i="50" s="1"/>
  <c r="V1266" i="50" s="1"/>
  <c r="V1267" i="50" s="1"/>
  <c r="V1424" i="50"/>
  <c r="V1425" i="50"/>
  <c r="V1426" i="50" s="1"/>
  <c r="V1427" i="50" s="1"/>
  <c r="V1428" i="50" s="1"/>
  <c r="V1429" i="50" s="1"/>
  <c r="V1586" i="50"/>
  <c r="V1587" i="50"/>
  <c r="V1588" i="50" s="1"/>
  <c r="V1589" i="50" s="1"/>
  <c r="V1590" i="50" s="1"/>
  <c r="V1591" i="50" s="1"/>
  <c r="V1613" i="50"/>
  <c r="V1614" i="50" s="1"/>
  <c r="V1615" i="50"/>
  <c r="V1616" i="50" s="1"/>
  <c r="V1617" i="50" s="1"/>
  <c r="V1618" i="50" s="1"/>
  <c r="V1640" i="50"/>
  <c r="V1641" i="50" s="1"/>
  <c r="V1642" i="50" s="1"/>
  <c r="V1643" i="50" s="1"/>
  <c r="V1644" i="50" s="1"/>
  <c r="V1645" i="50" s="1"/>
  <c r="V1910" i="50"/>
  <c r="V1911" i="50" s="1"/>
  <c r="V1912" i="50" s="1"/>
  <c r="V1913" i="50" s="1"/>
  <c r="V1914" i="50" s="1"/>
  <c r="V1915" i="50" s="1"/>
  <c r="V2018" i="50"/>
  <c r="V2019" i="50" s="1"/>
  <c r="V2020" i="50"/>
  <c r="V2021" i="50" s="1"/>
  <c r="V2022" i="50" s="1"/>
  <c r="V2023" i="50" s="1"/>
  <c r="V1289" i="50"/>
  <c r="V1290" i="50" s="1"/>
  <c r="V1291" i="50" s="1"/>
  <c r="V1292" i="50" s="1"/>
  <c r="V1293" i="50" s="1"/>
  <c r="V1294" i="50" s="1"/>
  <c r="V1316" i="50"/>
  <c r="V1317" i="50" s="1"/>
  <c r="V1318" i="50"/>
  <c r="V1319" i="50" s="1"/>
  <c r="V1320" i="50" s="1"/>
  <c r="V1321" i="50" s="1"/>
  <c r="V2072" i="50"/>
  <c r="V2073" i="50"/>
  <c r="V2074" i="50" s="1"/>
  <c r="V2075" i="50" s="1"/>
  <c r="V2076" i="50" s="1"/>
  <c r="V2077" i="50" s="1"/>
  <c r="V1405" i="50"/>
  <c r="V1837" i="50"/>
  <c r="V1945" i="50"/>
  <c r="R100" i="61"/>
  <c r="X100" i="61"/>
  <c r="AD100" i="61"/>
  <c r="W100" i="61"/>
  <c r="S100" i="61"/>
  <c r="T100" i="61"/>
  <c r="AX100" i="61"/>
  <c r="AE100" i="61"/>
  <c r="V100" i="61"/>
  <c r="AV100" i="61"/>
  <c r="AU100" i="61"/>
  <c r="AL352" i="46"/>
  <c r="AL354" i="46"/>
  <c r="AL368" i="46" s="1"/>
  <c r="AL369" i="46"/>
  <c r="BZ649" i="50"/>
  <c r="BZ653" i="50"/>
  <c r="BZ645" i="50"/>
  <c r="BZ642" i="50"/>
  <c r="BZ641" i="50"/>
  <c r="BZ644" i="50"/>
  <c r="BZ646" i="50"/>
  <c r="BZ643" i="50"/>
  <c r="BZ647" i="50"/>
  <c r="BZ275" i="50"/>
  <c r="BZ273" i="50"/>
  <c r="BZ1922" i="50"/>
  <c r="BZ1920" i="50"/>
  <c r="BZ464" i="50"/>
  <c r="BZ788" i="50"/>
  <c r="BZ1910" i="50"/>
  <c r="BZ1912" i="50"/>
  <c r="BZ1942" i="50"/>
  <c r="BZ1939" i="50"/>
  <c r="BZ1937" i="50"/>
  <c r="BZ1941" i="50"/>
  <c r="BZ1940" i="50"/>
  <c r="BZ1916" i="50"/>
  <c r="BZ1722" i="50"/>
  <c r="BZ1721" i="50"/>
  <c r="AB145" i="38"/>
  <c r="AB121" i="38"/>
  <c r="AB122" i="38" s="1"/>
  <c r="AB123" i="38"/>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BZ699" i="50"/>
  <c r="BZ695" i="50"/>
  <c r="BZ700" i="50"/>
  <c r="BZ696" i="50"/>
  <c r="BZ703" i="50"/>
  <c r="BZ705" i="50"/>
  <c r="BZ698" i="50"/>
  <c r="BZ697" i="50"/>
  <c r="BZ701" i="50"/>
  <c r="BZ1025" i="50"/>
  <c r="BZ1027" i="50"/>
  <c r="BZ399" i="50"/>
  <c r="BZ401" i="50"/>
  <c r="BZ402" i="50"/>
  <c r="Y29" i="28"/>
  <c r="Y26" i="28"/>
  <c r="Y27" i="28" s="1"/>
  <c r="Y32" i="28"/>
  <c r="Y33" i="28" s="1"/>
  <c r="Y34" i="28"/>
  <c r="Y35" i="28" s="1"/>
  <c r="Y36" i="28" s="1"/>
  <c r="Y37" i="28" s="1"/>
  <c r="Y38" i="28" s="1"/>
  <c r="Y39" i="28" s="1"/>
  <c r="Y40" i="28" s="1"/>
  <c r="Y41" i="28" s="1"/>
  <c r="Y42" i="28" s="1"/>
  <c r="Y43" i="28" s="1"/>
  <c r="Y44" i="28" s="1"/>
  <c r="Y45" i="28" s="1"/>
  <c r="Y46" i="28" s="1"/>
  <c r="Y47" i="28" s="1"/>
  <c r="Y52" i="28" s="1"/>
  <c r="AL30" i="46"/>
  <c r="AL25" i="46"/>
  <c r="AH369" i="50"/>
  <c r="AP1509" i="50"/>
  <c r="AQ1509" i="50" s="1"/>
  <c r="AV1509" i="50" s="1"/>
  <c r="AF240" i="50"/>
  <c r="AY833" i="50"/>
  <c r="AC1881" i="50"/>
  <c r="AC1878" i="50"/>
  <c r="AY834" i="50"/>
  <c r="AF348" i="50"/>
  <c r="I2043" i="50"/>
  <c r="AJ2043" i="50"/>
  <c r="BI2033" i="50" s="1"/>
  <c r="AJ1341" i="50"/>
  <c r="I1341" i="50"/>
  <c r="AF2046" i="50"/>
  <c r="AG2046" i="50"/>
  <c r="AR2046" i="50"/>
  <c r="AN2046" i="50"/>
  <c r="AJ2046" i="50"/>
  <c r="AO2046" i="50"/>
  <c r="I1345" i="50"/>
  <c r="AR1345" i="50"/>
  <c r="BN1331" i="50" s="1"/>
  <c r="AS1345" i="50"/>
  <c r="AT1345" i="50"/>
  <c r="AR241" i="50"/>
  <c r="I241" i="50"/>
  <c r="AO241" i="50"/>
  <c r="AQ241" i="50"/>
  <c r="BS170" i="50"/>
  <c r="AW188" i="50"/>
  <c r="BI899" i="50"/>
  <c r="AW1913" i="50"/>
  <c r="AZ1913" i="50"/>
  <c r="M1913" i="50"/>
  <c r="BO1898" i="50"/>
  <c r="BM764" i="50"/>
  <c r="AP777" i="50"/>
  <c r="AQ777" i="50"/>
  <c r="AV777" i="50" s="1"/>
  <c r="I777" i="50"/>
  <c r="I833" i="50"/>
  <c r="AS833" i="50"/>
  <c r="K1592" i="50"/>
  <c r="AS1592" i="50"/>
  <c r="AT1592" i="50"/>
  <c r="BI197" i="50"/>
  <c r="AX213" i="50"/>
  <c r="AV214" i="50"/>
  <c r="AO533" i="50"/>
  <c r="I828" i="50"/>
  <c r="AJ828" i="50"/>
  <c r="BI818" i="50" s="1"/>
  <c r="K1214" i="50"/>
  <c r="AW1214" i="50"/>
  <c r="AS1214" i="50"/>
  <c r="AT1214" i="50" s="1"/>
  <c r="I234" i="50"/>
  <c r="AJ234" i="50"/>
  <c r="BI224" i="50"/>
  <c r="AI533" i="50"/>
  <c r="I533" i="50" s="1"/>
  <c r="AP2070" i="50"/>
  <c r="I263" i="50"/>
  <c r="AJ263" i="50"/>
  <c r="BK251" i="50" s="1"/>
  <c r="BD429" i="50"/>
  <c r="BE429" i="50"/>
  <c r="AR482" i="50"/>
  <c r="AS482" i="50"/>
  <c r="AT482" i="50" s="1"/>
  <c r="I482" i="50"/>
  <c r="AW1211" i="50"/>
  <c r="AZ1211" i="50"/>
  <c r="M1211" i="50" s="1"/>
  <c r="BO1196" i="50"/>
  <c r="AZ184" i="50"/>
  <c r="M184" i="50"/>
  <c r="BN170" i="50"/>
  <c r="AW184" i="50"/>
  <c r="BC887" i="50"/>
  <c r="BE887" i="50"/>
  <c r="BL1439" i="50"/>
  <c r="K507" i="50"/>
  <c r="M507" i="50" s="1"/>
  <c r="M1881" i="50"/>
  <c r="AR1881" i="50"/>
  <c r="BH1871" i="50"/>
  <c r="AA103" i="58"/>
  <c r="BJ103" i="58"/>
  <c r="I103" i="58"/>
  <c r="AK103" i="58"/>
  <c r="AF294" i="50"/>
  <c r="AN294" i="50"/>
  <c r="AJ294" i="50"/>
  <c r="AG294" i="50"/>
  <c r="AO294" i="50"/>
  <c r="AR294" i="50"/>
  <c r="BP278" i="50" s="1"/>
  <c r="BQ494" i="50"/>
  <c r="AP510" i="50"/>
  <c r="AQ510" i="50"/>
  <c r="AS510" i="50" s="1"/>
  <c r="AT510" i="50" s="1"/>
  <c r="I510" i="50"/>
  <c r="BS197" i="50"/>
  <c r="AZ215" i="50"/>
  <c r="AZ214" i="50"/>
  <c r="BQ251" i="50"/>
  <c r="I267" i="50"/>
  <c r="AP267" i="50"/>
  <c r="AQ267" i="50"/>
  <c r="AV215" i="50"/>
  <c r="AS215" i="50"/>
  <c r="AT215" i="50" s="1"/>
  <c r="K215" i="50"/>
  <c r="AP506" i="50"/>
  <c r="AQ506" i="50"/>
  <c r="K506" i="50" s="1"/>
  <c r="M506" i="50" s="1"/>
  <c r="AX506" i="50"/>
  <c r="BK494" i="50"/>
  <c r="AE199" i="58"/>
  <c r="AY186" i="58"/>
  <c r="AC199" i="58"/>
  <c r="AD199" i="58"/>
  <c r="L112" i="58"/>
  <c r="L106" i="58"/>
  <c r="BA90" i="58" s="1"/>
  <c r="L113" i="58"/>
  <c r="BF90" i="58" s="1"/>
  <c r="AO99" i="58"/>
  <c r="AO101" i="58" s="1"/>
  <c r="L107" i="58"/>
  <c r="BB90" i="58" s="1"/>
  <c r="AP99" i="58"/>
  <c r="AW913" i="50"/>
  <c r="BN899" i="50"/>
  <c r="AZ913" i="50"/>
  <c r="M913" i="50" s="1"/>
  <c r="K292" i="58"/>
  <c r="M292" i="58" s="1"/>
  <c r="AF292" i="58"/>
  <c r="AG292" i="58" s="1"/>
  <c r="AX1748" i="50"/>
  <c r="BK1736" i="50"/>
  <c r="AP1748" i="50"/>
  <c r="AQ1748" i="50" s="1"/>
  <c r="AS242" i="50"/>
  <c r="AT242" i="50" s="1"/>
  <c r="K242" i="50"/>
  <c r="M242" i="50" s="1"/>
  <c r="K1239" i="50"/>
  <c r="M1239" i="50" s="1"/>
  <c r="AS1239" i="50"/>
  <c r="AT1239" i="50" s="1"/>
  <c r="AV1239" i="50"/>
  <c r="AZ347" i="50"/>
  <c r="M347" i="50" s="1"/>
  <c r="BO332" i="50"/>
  <c r="BL2060" i="50"/>
  <c r="BR170" i="50"/>
  <c r="AZ187" i="50"/>
  <c r="BM1709" i="50"/>
  <c r="AP1722" i="50"/>
  <c r="AQ1722" i="50"/>
  <c r="I1722" i="50"/>
  <c r="AP1023" i="50"/>
  <c r="AQ1023" i="50" s="1"/>
  <c r="BQ1007" i="50"/>
  <c r="I1023" i="50"/>
  <c r="AX479" i="50"/>
  <c r="AP479" i="50"/>
  <c r="AQ479" i="50"/>
  <c r="BK467" i="50"/>
  <c r="AS239" i="50"/>
  <c r="AT239" i="50" s="1"/>
  <c r="I239" i="50"/>
  <c r="AR239" i="50"/>
  <c r="AP1505" i="50"/>
  <c r="AQ1505" i="50" s="1"/>
  <c r="BK1493" i="50"/>
  <c r="I836" i="50"/>
  <c r="AO836" i="50"/>
  <c r="AQ836" i="50" s="1"/>
  <c r="AR836" i="50"/>
  <c r="AN1155" i="50"/>
  <c r="AF1155" i="50"/>
  <c r="AO1155" i="50"/>
  <c r="AG1155" i="50"/>
  <c r="AR1155" i="50"/>
  <c r="BL1142" i="50"/>
  <c r="AJ1155" i="50"/>
  <c r="AV187" i="50"/>
  <c r="AO240" i="50"/>
  <c r="AR240" i="50"/>
  <c r="BP224" i="50"/>
  <c r="AN240" i="50"/>
  <c r="AG240" i="50"/>
  <c r="BD1671" i="50"/>
  <c r="BE1671" i="50"/>
  <c r="BR1601" i="50"/>
  <c r="BN1115" i="50"/>
  <c r="AW1129" i="50"/>
  <c r="AZ1129" i="50"/>
  <c r="M1129" i="50" s="1"/>
  <c r="I1022" i="50"/>
  <c r="AS1022" i="50"/>
  <c r="AT1022" i="50"/>
  <c r="AR1022" i="50"/>
  <c r="K2077" i="50"/>
  <c r="M2077" i="50" s="1"/>
  <c r="AW1618" i="50"/>
  <c r="AS1618" i="50"/>
  <c r="AT1618" i="50" s="1"/>
  <c r="K1618" i="50"/>
  <c r="AV1618" i="50"/>
  <c r="AZ2078" i="50"/>
  <c r="BC2076" i="50"/>
  <c r="BD2076" i="50" s="1"/>
  <c r="BC2075" i="50"/>
  <c r="BE2075" i="50"/>
  <c r="BR2060" i="50"/>
  <c r="AI371" i="50"/>
  <c r="AF371" i="50"/>
  <c r="AV2078" i="50"/>
  <c r="BS737" i="50"/>
  <c r="AR1019" i="50"/>
  <c r="BJ1007" i="50"/>
  <c r="AN1019" i="50"/>
  <c r="AG1019" i="50"/>
  <c r="AV2024" i="50"/>
  <c r="BZ1588" i="50"/>
  <c r="BZ1591" i="50"/>
  <c r="BZ1594" i="50"/>
  <c r="BZ1590" i="50"/>
  <c r="BZ1586" i="50"/>
  <c r="BZ1592" i="50"/>
  <c r="BZ1589" i="50"/>
  <c r="BZ1587" i="50"/>
  <c r="AC860" i="50"/>
  <c r="AG855" i="50"/>
  <c r="AC857" i="50"/>
  <c r="AS855" i="50"/>
  <c r="AT855" i="50"/>
  <c r="AC859" i="50"/>
  <c r="AC862" i="50"/>
  <c r="AR862" i="50" s="1"/>
  <c r="BR845" i="50" s="1"/>
  <c r="AI855" i="50"/>
  <c r="AC858" i="50"/>
  <c r="AF858" i="50" s="1"/>
  <c r="AF855" i="50"/>
  <c r="AN533" i="50"/>
  <c r="AR533" i="50"/>
  <c r="BJ521" i="50"/>
  <c r="AF533" i="50"/>
  <c r="AN1914" i="50"/>
  <c r="AH828" i="50"/>
  <c r="AR1159" i="50"/>
  <c r="BR1142" i="50" s="1"/>
  <c r="I1159" i="50"/>
  <c r="AO1159" i="50"/>
  <c r="AQ1159" i="50" s="1"/>
  <c r="AR377" i="50"/>
  <c r="AO377" i="50"/>
  <c r="AQ377" i="50"/>
  <c r="K377" i="50" s="1"/>
  <c r="BQ224" i="50"/>
  <c r="AX240" i="50"/>
  <c r="AE104" i="58"/>
  <c r="AZ90" i="58"/>
  <c r="AC104" i="58"/>
  <c r="AD104" i="58"/>
  <c r="AJ834" i="50"/>
  <c r="AR834" i="50"/>
  <c r="BP818" i="50" s="1"/>
  <c r="AO834" i="50"/>
  <c r="AG834" i="50"/>
  <c r="AN834" i="50"/>
  <c r="AF834" i="50"/>
  <c r="AZ508" i="50"/>
  <c r="M508" i="50" s="1"/>
  <c r="BN494" i="50"/>
  <c r="AW508" i="50"/>
  <c r="BZ1999" i="50"/>
  <c r="BE1860" i="50"/>
  <c r="BD1860" i="50"/>
  <c r="BZ1299" i="50"/>
  <c r="BZ1301" i="50"/>
  <c r="BZ1353" i="50"/>
  <c r="BZ1355" i="50"/>
  <c r="BZ479" i="50"/>
  <c r="BZ484" i="50"/>
  <c r="BZ487" i="50"/>
  <c r="BZ489" i="50"/>
  <c r="BZ480" i="50"/>
  <c r="BZ482" i="50"/>
  <c r="BZ481" i="50"/>
  <c r="BZ485" i="50"/>
  <c r="BC1103" i="50"/>
  <c r="BC1104" i="50"/>
  <c r="BD1104" i="50" s="1"/>
  <c r="BR1088" i="50"/>
  <c r="AR835" i="50"/>
  <c r="BR818" i="50" s="1"/>
  <c r="I835" i="50"/>
  <c r="AO835" i="50"/>
  <c r="AQ835" i="50" s="1"/>
  <c r="AO237" i="50"/>
  <c r="AR237" i="50"/>
  <c r="AN237" i="50"/>
  <c r="AG237" i="50"/>
  <c r="AF237" i="50"/>
  <c r="AJ237" i="50"/>
  <c r="AR830" i="50"/>
  <c r="BJ818" i="50" s="1"/>
  <c r="AN830" i="50"/>
  <c r="AG830" i="50"/>
  <c r="AF830" i="50"/>
  <c r="AI830" i="50"/>
  <c r="I830" i="50"/>
  <c r="AO830" i="50"/>
  <c r="AS832" i="50"/>
  <c r="AT832" i="50" s="1"/>
  <c r="AR832" i="50"/>
  <c r="AW832" i="50" s="1"/>
  <c r="I832" i="50"/>
  <c r="I373" i="50"/>
  <c r="AR373" i="50"/>
  <c r="AS373" i="50"/>
  <c r="AT373" i="50" s="1"/>
  <c r="AZ1508" i="50"/>
  <c r="M1508" i="50" s="1"/>
  <c r="AW1508" i="50"/>
  <c r="BO1493" i="50"/>
  <c r="AJ884" i="50"/>
  <c r="AX884" i="50" s="1"/>
  <c r="I884" i="50"/>
  <c r="AS1667" i="50"/>
  <c r="AT1667" i="50"/>
  <c r="K1667" i="50"/>
  <c r="AV1667" i="50"/>
  <c r="AW1667" i="50"/>
  <c r="BN1142" i="50"/>
  <c r="AZ1156" i="50"/>
  <c r="M1156" i="50"/>
  <c r="AW1156" i="50"/>
  <c r="AG372" i="50"/>
  <c r="AJ372" i="50"/>
  <c r="AR372" i="50"/>
  <c r="AF372" i="50"/>
  <c r="AN372" i="50"/>
  <c r="AO372" i="50"/>
  <c r="BS872" i="50"/>
  <c r="AR1157" i="50"/>
  <c r="I1157" i="50"/>
  <c r="AS1157" i="50"/>
  <c r="AT1157" i="50"/>
  <c r="AR268" i="50"/>
  <c r="AO268" i="50"/>
  <c r="AQ268" i="50" s="1"/>
  <c r="I268" i="50"/>
  <c r="K269" i="50"/>
  <c r="AV885" i="50"/>
  <c r="I2072" i="50"/>
  <c r="AJ2072" i="50"/>
  <c r="AJ369" i="50"/>
  <c r="BI359" i="50" s="1"/>
  <c r="I369" i="50"/>
  <c r="BI872" i="50"/>
  <c r="I1645" i="50"/>
  <c r="AO1645" i="50"/>
  <c r="AQ1645" i="50" s="1"/>
  <c r="AR1645" i="50"/>
  <c r="AR1644" i="50"/>
  <c r="BP1628" i="50"/>
  <c r="AF1644" i="50"/>
  <c r="AJ1644" i="50"/>
  <c r="BQ1628" i="50" s="1"/>
  <c r="AN1644" i="50"/>
  <c r="AO1644" i="50"/>
  <c r="AG1644" i="50"/>
  <c r="BZ150" i="50"/>
  <c r="BZ153" i="50"/>
  <c r="AC153" i="50"/>
  <c r="AC156" i="50" s="1"/>
  <c r="AC150" i="50"/>
  <c r="AY156" i="50"/>
  <c r="BZ157" i="50"/>
  <c r="AY157" i="50"/>
  <c r="K1860" i="50"/>
  <c r="AW1860" i="50"/>
  <c r="AY158" i="50"/>
  <c r="AJ209" i="50"/>
  <c r="AP209" i="50" s="1"/>
  <c r="AQ209" i="50" s="1"/>
  <c r="I209" i="50"/>
  <c r="AY159" i="50"/>
  <c r="AY160" i="50"/>
  <c r="AY161" i="50"/>
  <c r="AY155" i="50"/>
  <c r="BH305" i="50"/>
  <c r="AP2019" i="50"/>
  <c r="AQ2019" i="50"/>
  <c r="BM2006" i="50"/>
  <c r="I2019" i="50"/>
  <c r="BN1601" i="50"/>
  <c r="AZ1615" i="50"/>
  <c r="M1615" i="50" s="1"/>
  <c r="AW1615" i="50"/>
  <c r="AZ1214" i="50"/>
  <c r="AZ1213" i="50"/>
  <c r="BR1196" i="50"/>
  <c r="AC940" i="50"/>
  <c r="AC938" i="50"/>
  <c r="AS936" i="50"/>
  <c r="AT936" i="50" s="1"/>
  <c r="AF936" i="50"/>
  <c r="AH936" i="50" s="1"/>
  <c r="AP936" i="50" s="1"/>
  <c r="AC944" i="50"/>
  <c r="AC941" i="50"/>
  <c r="AT941" i="50" s="1"/>
  <c r="AC943" i="50"/>
  <c r="AG936" i="50"/>
  <c r="AC942" i="50"/>
  <c r="AC939" i="50"/>
  <c r="AG939" i="50" s="1"/>
  <c r="AI936" i="50"/>
  <c r="AJ936" i="50"/>
  <c r="BK1331" i="50"/>
  <c r="AP1343" i="50"/>
  <c r="AQ1343" i="50" s="1"/>
  <c r="AX1343" i="50"/>
  <c r="BR1574" i="50"/>
  <c r="AZ1592" i="50"/>
  <c r="AZ1591" i="50"/>
  <c r="BZ1318" i="50"/>
  <c r="BZ1324" i="50"/>
  <c r="BZ1326" i="50"/>
  <c r="BZ1321" i="50"/>
  <c r="BZ1317" i="50"/>
  <c r="BZ1322" i="50"/>
  <c r="BZ1319" i="50"/>
  <c r="BZ1316" i="50"/>
  <c r="AC697" i="50"/>
  <c r="AC695" i="50"/>
  <c r="AG693" i="50"/>
  <c r="AC699" i="50"/>
  <c r="AF693" i="50"/>
  <c r="AH693" i="50" s="1"/>
  <c r="AC698" i="50"/>
  <c r="AT698" i="50" s="1"/>
  <c r="AC700" i="50"/>
  <c r="AI693" i="50"/>
  <c r="I693" i="50" s="1"/>
  <c r="AC696" i="50"/>
  <c r="AS693" i="50"/>
  <c r="AT693" i="50" s="1"/>
  <c r="BL1628" i="50"/>
  <c r="I1646" i="50"/>
  <c r="AX1860" i="50"/>
  <c r="M1860" i="50"/>
  <c r="BI1844" i="50"/>
  <c r="AS481" i="50"/>
  <c r="AT481" i="50" s="1"/>
  <c r="AR481" i="50"/>
  <c r="BN467" i="50" s="1"/>
  <c r="I481" i="50"/>
  <c r="AP912" i="50"/>
  <c r="AQ912" i="50" s="1"/>
  <c r="AW912" i="50" s="1"/>
  <c r="I912" i="50"/>
  <c r="BM899" i="50"/>
  <c r="K1749" i="50"/>
  <c r="M1749" i="50" s="1"/>
  <c r="AW1749" i="50"/>
  <c r="AC1425" i="50"/>
  <c r="AC1428" i="50"/>
  <c r="AN1428" i="50" s="1"/>
  <c r="AC1426" i="50"/>
  <c r="AI1422" i="50"/>
  <c r="AJ1422" i="50" s="1"/>
  <c r="AC1427" i="50"/>
  <c r="AR1427" i="50" s="1"/>
  <c r="AC1429" i="50"/>
  <c r="AF1422" i="50"/>
  <c r="AH1422" i="50" s="1"/>
  <c r="AC1424" i="50"/>
  <c r="AG1422" i="50"/>
  <c r="AS1422" i="50"/>
  <c r="AT1422" i="50"/>
  <c r="BM1439" i="50"/>
  <c r="AP1452" i="50"/>
  <c r="AQ1452" i="50" s="1"/>
  <c r="I1452" i="50"/>
  <c r="AW1862" i="50"/>
  <c r="AP642" i="50"/>
  <c r="AQ642" i="50" s="1"/>
  <c r="BM629" i="50"/>
  <c r="BZ1052" i="50"/>
  <c r="BZ1048" i="50"/>
  <c r="BI1493" i="50"/>
  <c r="AX1509" i="50"/>
  <c r="BI521" i="50"/>
  <c r="AG183" i="50"/>
  <c r="AF183" i="50"/>
  <c r="AC458" i="50"/>
  <c r="I458" i="50" s="1"/>
  <c r="AC452" i="50"/>
  <c r="AC453" i="50"/>
  <c r="AJ453" i="50" s="1"/>
  <c r="AC457" i="50"/>
  <c r="AC455" i="50"/>
  <c r="AT455" i="50" s="1"/>
  <c r="AG450" i="50"/>
  <c r="AC456" i="50"/>
  <c r="AN456" i="50" s="1"/>
  <c r="AF450" i="50"/>
  <c r="AH450" i="50"/>
  <c r="AC454" i="50"/>
  <c r="AS450" i="50"/>
  <c r="AT450" i="50" s="1"/>
  <c r="AI450" i="50"/>
  <c r="AJ450" i="50" s="1"/>
  <c r="BI440" i="50" s="1"/>
  <c r="BZ973" i="50"/>
  <c r="BZ977" i="50"/>
  <c r="BZ971" i="50"/>
  <c r="BZ969" i="50"/>
  <c r="BZ966" i="50"/>
  <c r="BZ970" i="50"/>
  <c r="BZ967" i="50"/>
  <c r="BZ968" i="50"/>
  <c r="BZ965" i="50"/>
  <c r="BL629" i="50"/>
  <c r="BR2006" i="50"/>
  <c r="AZ2024" i="50"/>
  <c r="AW2023" i="50"/>
  <c r="AZ2023" i="50"/>
  <c r="AN186" i="50"/>
  <c r="AF186" i="50"/>
  <c r="AJ186" i="50"/>
  <c r="AG186" i="50"/>
  <c r="AR186" i="50"/>
  <c r="BP170" i="50"/>
  <c r="AO186" i="50"/>
  <c r="AF182" i="50"/>
  <c r="AO182" i="50"/>
  <c r="AR182" i="50"/>
  <c r="BJ170" i="50" s="1"/>
  <c r="AG182" i="50"/>
  <c r="AN182" i="50"/>
  <c r="AI182" i="50"/>
  <c r="I182" i="50" s="1"/>
  <c r="AR1914" i="50"/>
  <c r="BP1898" i="50" s="1"/>
  <c r="AF1914" i="50"/>
  <c r="AO1914" i="50"/>
  <c r="AG1914" i="50"/>
  <c r="I185" i="50"/>
  <c r="AR185" i="50"/>
  <c r="AS185" i="50"/>
  <c r="AT185" i="50"/>
  <c r="BK1169" i="50"/>
  <c r="AO1046" i="50"/>
  <c r="AI1046" i="50"/>
  <c r="I1046" i="50" s="1"/>
  <c r="AN1046" i="50"/>
  <c r="AV1668" i="50"/>
  <c r="AS1668" i="50"/>
  <c r="AT1668" i="50" s="1"/>
  <c r="AW1668" i="50"/>
  <c r="K1668" i="50"/>
  <c r="M1668" i="50"/>
  <c r="I1212" i="50"/>
  <c r="BQ1196" i="50"/>
  <c r="AX1212" i="50"/>
  <c r="AP1212" i="50"/>
  <c r="AQ1212" i="50" s="1"/>
  <c r="AJ1451" i="50"/>
  <c r="AP1451" i="50" s="1"/>
  <c r="AQ1451" i="50" s="1"/>
  <c r="I1451" i="50"/>
  <c r="BN197" i="50"/>
  <c r="AZ211" i="50"/>
  <c r="M211" i="50"/>
  <c r="AW211" i="50"/>
  <c r="BQ1898" i="50"/>
  <c r="AP1914" i="50"/>
  <c r="AQ1914" i="50"/>
  <c r="AX1914" i="50"/>
  <c r="I1914" i="50"/>
  <c r="BC2021" i="50"/>
  <c r="BD2021" i="50" s="1"/>
  <c r="BC2022" i="50"/>
  <c r="BD2022" i="50"/>
  <c r="BL2006" i="50"/>
  <c r="BS899" i="50"/>
  <c r="I888" i="50"/>
  <c r="AX888" i="50"/>
  <c r="I1641" i="50"/>
  <c r="BM1628" i="50"/>
  <c r="AP1641" i="50"/>
  <c r="AQ1641" i="50"/>
  <c r="BN1898" i="50"/>
  <c r="AW1912" i="50"/>
  <c r="AZ1912" i="50"/>
  <c r="M1912" i="50"/>
  <c r="K1456" i="50"/>
  <c r="AS1456" i="50"/>
  <c r="AT1456" i="50" s="1"/>
  <c r="AW1456" i="50"/>
  <c r="AV1456" i="50"/>
  <c r="BM1196" i="50"/>
  <c r="I1209" i="50"/>
  <c r="AP1209" i="50"/>
  <c r="AQ1209" i="50" s="1"/>
  <c r="K917" i="50"/>
  <c r="AV917" i="50"/>
  <c r="AW917" i="50"/>
  <c r="AS917" i="50"/>
  <c r="AT917" i="50"/>
  <c r="I293" i="50"/>
  <c r="AR293" i="50"/>
  <c r="AW293" i="50" s="1"/>
  <c r="AS293" i="50"/>
  <c r="AT293" i="50" s="1"/>
  <c r="BZ1073" i="50"/>
  <c r="BZ1079" i="50"/>
  <c r="BZ1077" i="50"/>
  <c r="BZ1078" i="50"/>
  <c r="BZ1081" i="50"/>
  <c r="BZ1083" i="50" s="1"/>
  <c r="BZ1076" i="50"/>
  <c r="BZ1074" i="50"/>
  <c r="BZ1075" i="50"/>
  <c r="AJ1100" i="50"/>
  <c r="BK1088" i="50" s="1"/>
  <c r="BH251" i="50"/>
  <c r="BM737" i="50"/>
  <c r="AP750" i="50"/>
  <c r="AQ750" i="50" s="1"/>
  <c r="I750" i="50"/>
  <c r="AC968" i="50"/>
  <c r="I968" i="50" s="1"/>
  <c r="AC969" i="50"/>
  <c r="AN969" i="50" s="1"/>
  <c r="AF963" i="50"/>
  <c r="AG963" i="50"/>
  <c r="AC970" i="50"/>
  <c r="AR970" i="50" s="1"/>
  <c r="AI963" i="50"/>
  <c r="I963" i="50" s="1"/>
  <c r="AR781" i="50"/>
  <c r="I781" i="50"/>
  <c r="AO781" i="50"/>
  <c r="AQ781" i="50"/>
  <c r="K781" i="50" s="1"/>
  <c r="I485" i="50"/>
  <c r="AO485" i="50"/>
  <c r="AQ485" i="50" s="1"/>
  <c r="AR485" i="50"/>
  <c r="I1430" i="50"/>
  <c r="AR1430" i="50"/>
  <c r="AO1430" i="50"/>
  <c r="AQ1430" i="50" s="1"/>
  <c r="AG291" i="50"/>
  <c r="AR291" i="50"/>
  <c r="AF291" i="50"/>
  <c r="AN291" i="50"/>
  <c r="AJ291" i="50"/>
  <c r="AP291" i="50" s="1"/>
  <c r="AQ291" i="50" s="1"/>
  <c r="AO291" i="50"/>
  <c r="AW1293" i="50"/>
  <c r="AV753" i="50"/>
  <c r="K753" i="50"/>
  <c r="M753" i="50"/>
  <c r="AI1640" i="50"/>
  <c r="I1640" i="50" s="1"/>
  <c r="I1182" i="50"/>
  <c r="BM1169" i="50"/>
  <c r="AP1182" i="50"/>
  <c r="AQ1182" i="50" s="1"/>
  <c r="AN723" i="50"/>
  <c r="AF726" i="50"/>
  <c r="AJ726" i="50"/>
  <c r="I726" i="50" s="1"/>
  <c r="AS724" i="50"/>
  <c r="I724" i="50"/>
  <c r="AZ1510" i="50"/>
  <c r="BR1493" i="50"/>
  <c r="AW1510" i="50"/>
  <c r="AZ1511" i="50"/>
  <c r="I1019" i="50"/>
  <c r="AJ1019" i="50"/>
  <c r="AX1019" i="50" s="1"/>
  <c r="AW615" i="50"/>
  <c r="AR1318" i="50"/>
  <c r="AS1318" i="50"/>
  <c r="AT1318" i="50" s="1"/>
  <c r="I1911" i="50"/>
  <c r="AP1911" i="50"/>
  <c r="AQ1911" i="50"/>
  <c r="AV1911" i="50" s="1"/>
  <c r="BM1898" i="50"/>
  <c r="AJ2018" i="50"/>
  <c r="BK2006" i="50" s="1"/>
  <c r="I1321" i="50"/>
  <c r="AJ483" i="50"/>
  <c r="BQ467" i="50"/>
  <c r="AR483" i="50"/>
  <c r="BP467" i="50"/>
  <c r="AO483" i="50"/>
  <c r="AN483" i="50"/>
  <c r="AG483" i="50"/>
  <c r="AF483" i="50"/>
  <c r="I1638" i="50"/>
  <c r="AJ1638" i="50"/>
  <c r="AX1644" i="50" s="1"/>
  <c r="AJ672" i="50"/>
  <c r="AP672" i="50" s="1"/>
  <c r="AQ672" i="50" s="1"/>
  <c r="AR672" i="50"/>
  <c r="BP656" i="50" s="1"/>
  <c r="AG672" i="50"/>
  <c r="AN672" i="50"/>
  <c r="AF672" i="50"/>
  <c r="AO672" i="50"/>
  <c r="I673" i="50"/>
  <c r="AO673" i="50"/>
  <c r="AQ673" i="50" s="1"/>
  <c r="AI668" i="50"/>
  <c r="AJ668" i="50" s="1"/>
  <c r="AP668" i="50" s="1"/>
  <c r="AQ668" i="50" s="1"/>
  <c r="AR668" i="50"/>
  <c r="BJ656" i="50" s="1"/>
  <c r="AN668" i="50"/>
  <c r="AF668" i="50"/>
  <c r="BZ1557" i="50"/>
  <c r="BZ1554" i="50"/>
  <c r="AY1565" i="50"/>
  <c r="AC1557" i="50"/>
  <c r="AG1557" i="50" s="1"/>
  <c r="AC1554" i="50"/>
  <c r="AY1564" i="50"/>
  <c r="I1106" i="50"/>
  <c r="AO1106" i="50"/>
  <c r="AQ1106" i="50" s="1"/>
  <c r="AW1106" i="50" s="1"/>
  <c r="AR1106" i="50"/>
  <c r="AS671" i="50"/>
  <c r="AT671" i="50"/>
  <c r="AR671" i="50"/>
  <c r="AZ671" i="50"/>
  <c r="I671" i="50"/>
  <c r="AR1557" i="50"/>
  <c r="BH1547" i="50"/>
  <c r="AO1186" i="50"/>
  <c r="AQ1186" i="50"/>
  <c r="AR1186" i="50"/>
  <c r="I1186" i="50"/>
  <c r="I1590" i="50"/>
  <c r="AP1590" i="50"/>
  <c r="AQ1590" i="50" s="1"/>
  <c r="BQ1574" i="50"/>
  <c r="AX1590" i="50"/>
  <c r="I535" i="50"/>
  <c r="AR535" i="50"/>
  <c r="AS535" i="50"/>
  <c r="AT535" i="50" s="1"/>
  <c r="I1179" i="50"/>
  <c r="AR1643" i="50"/>
  <c r="AZ1643" i="50" s="1"/>
  <c r="M1643" i="50" s="1"/>
  <c r="I1643" i="50"/>
  <c r="AS1643" i="50"/>
  <c r="AT1643" i="50" s="1"/>
  <c r="AY806" i="50"/>
  <c r="AY808" i="50"/>
  <c r="AY804" i="50"/>
  <c r="AR801" i="50"/>
  <c r="AN2076" i="50"/>
  <c r="AR2076" i="50"/>
  <c r="BP2060" i="50" s="1"/>
  <c r="AJ2076" i="50"/>
  <c r="AO2076" i="50"/>
  <c r="AF2076" i="50"/>
  <c r="AG2076" i="50"/>
  <c r="AY803" i="50"/>
  <c r="AC1804" i="50"/>
  <c r="AI1800" i="50"/>
  <c r="AC1803" i="50"/>
  <c r="AN1803" i="50" s="1"/>
  <c r="AC1808" i="50"/>
  <c r="I1808" i="50" s="1"/>
  <c r="AF1800" i="50"/>
  <c r="AC798" i="50"/>
  <c r="AC801" i="50"/>
  <c r="AC808" i="50"/>
  <c r="AY589" i="50"/>
  <c r="BZ589" i="50"/>
  <c r="BZ590" i="50"/>
  <c r="AY1833" i="50"/>
  <c r="AS725" i="50"/>
  <c r="I725" i="50"/>
  <c r="AV1185" i="50"/>
  <c r="AN1047" i="50"/>
  <c r="AJ1158" i="50"/>
  <c r="AG1158" i="50"/>
  <c r="AN1158" i="50"/>
  <c r="AF1158" i="50"/>
  <c r="AO1158" i="50"/>
  <c r="AR1158" i="50"/>
  <c r="BP1142" i="50" s="1"/>
  <c r="BI1655" i="50"/>
  <c r="AX1671" i="50"/>
  <c r="AX1667" i="50"/>
  <c r="BZ1625" i="50"/>
  <c r="BZ1623" i="50"/>
  <c r="I1506" i="50"/>
  <c r="AP1506" i="50"/>
  <c r="AQ1506" i="50" s="1"/>
  <c r="BM1493" i="50"/>
  <c r="AR1587" i="50"/>
  <c r="BL1574" i="50" s="1"/>
  <c r="AG1587" i="50"/>
  <c r="AF1587" i="50"/>
  <c r="BH143" i="50"/>
  <c r="I200" i="58"/>
  <c r="AA200" i="58"/>
  <c r="AK200" i="58"/>
  <c r="BJ200" i="58"/>
  <c r="I238" i="50"/>
  <c r="AS238" i="50"/>
  <c r="AT238" i="50" s="1"/>
  <c r="AR238" i="50"/>
  <c r="AZ238" i="50" s="1"/>
  <c r="M238" i="50" s="1"/>
  <c r="AG1050" i="50"/>
  <c r="AF1050" i="50"/>
  <c r="AR1050" i="50"/>
  <c r="BP1034" i="50"/>
  <c r="AN1050" i="50"/>
  <c r="AJ1050" i="50"/>
  <c r="I1050" i="50" s="1"/>
  <c r="AO1050" i="50"/>
  <c r="AY1965" i="50"/>
  <c r="AY593" i="50"/>
  <c r="BZ593" i="50"/>
  <c r="BZ592" i="50"/>
  <c r="AF236" i="50"/>
  <c r="AI236" i="50"/>
  <c r="AJ236" i="50" s="1"/>
  <c r="AX236" i="50" s="1"/>
  <c r="AO1154" i="50"/>
  <c r="AF1154" i="50"/>
  <c r="AR1154" i="50"/>
  <c r="BJ1142" i="50" s="1"/>
  <c r="AI1154" i="50"/>
  <c r="AJ1154" i="50" s="1"/>
  <c r="AP1154" i="50" s="1"/>
  <c r="AQ1154" i="50" s="1"/>
  <c r="AP2022" i="50"/>
  <c r="AQ2022" i="50"/>
  <c r="I2022" i="50"/>
  <c r="BQ2006" i="50"/>
  <c r="AX2022" i="50"/>
  <c r="AC1962" i="50"/>
  <c r="AC1970" i="50" s="1"/>
  <c r="AC1959" i="50"/>
  <c r="AY591" i="50"/>
  <c r="AC1824" i="50"/>
  <c r="AC1827" i="50"/>
  <c r="AS536" i="50"/>
  <c r="AR536" i="50"/>
  <c r="AW536" i="50" s="1"/>
  <c r="I728" i="50"/>
  <c r="AR728" i="50"/>
  <c r="BS710" i="50"/>
  <c r="AJ1044" i="50"/>
  <c r="I1044" i="50"/>
  <c r="AR1048" i="50"/>
  <c r="AS1048" i="50"/>
  <c r="AT1048" i="50" s="1"/>
  <c r="I1048" i="50"/>
  <c r="AR1049" i="50"/>
  <c r="AZ1049" i="50" s="1"/>
  <c r="M1049" i="50" s="1"/>
  <c r="AR1586" i="50"/>
  <c r="BJ1574" i="50"/>
  <c r="AN722" i="50"/>
  <c r="AO722" i="50"/>
  <c r="AG722" i="50"/>
  <c r="AF722" i="50"/>
  <c r="AR722" i="50"/>
  <c r="BJ710" i="50"/>
  <c r="AI722" i="50"/>
  <c r="I722" i="50"/>
  <c r="AR1589" i="50"/>
  <c r="AW1589" i="50" s="1"/>
  <c r="AS1589" i="50"/>
  <c r="AT1589" i="50" s="1"/>
  <c r="I1589" i="50"/>
  <c r="AY1320" i="50"/>
  <c r="BZ1320" i="50"/>
  <c r="K1160" i="50"/>
  <c r="BN1493" i="50"/>
  <c r="AZ1507" i="50"/>
  <c r="M1507" i="50"/>
  <c r="AW1507" i="50"/>
  <c r="BL1223" i="50"/>
  <c r="AW1236" i="50"/>
  <c r="BC1238" i="50"/>
  <c r="BE1238" i="50" s="1"/>
  <c r="BC1239" i="50"/>
  <c r="BE1239" i="50" s="1"/>
  <c r="H86" i="62"/>
  <c r="AR727" i="50"/>
  <c r="BR710" i="50" s="1"/>
  <c r="I727" i="50"/>
  <c r="AO727" i="50"/>
  <c r="AQ727" i="50"/>
  <c r="AW727" i="50" s="1"/>
  <c r="BS1142" i="50"/>
  <c r="BZ651" i="50"/>
  <c r="BZ707" i="50"/>
  <c r="AL31" i="46"/>
  <c r="AL34" i="46"/>
  <c r="AL36" i="46" s="1"/>
  <c r="AL26" i="46"/>
  <c r="AC1884" i="50"/>
  <c r="AG1884" i="50" s="1"/>
  <c r="AC1889" i="50"/>
  <c r="AS1881" i="50"/>
  <c r="AT1881" i="50" s="1"/>
  <c r="AC1883" i="50"/>
  <c r="AI1883" i="50" s="1"/>
  <c r="AC1886" i="50"/>
  <c r="I1886" i="50"/>
  <c r="AC1885" i="50"/>
  <c r="AC1887" i="50"/>
  <c r="AN1887" i="50" s="1"/>
  <c r="AI1881" i="50"/>
  <c r="AG1881" i="50"/>
  <c r="AF1881" i="50"/>
  <c r="AC1888" i="50"/>
  <c r="BM2033" i="50"/>
  <c r="AP2046" i="50"/>
  <c r="AQ2046" i="50"/>
  <c r="K2046" i="50" s="1"/>
  <c r="M2046" i="50" s="1"/>
  <c r="I2046" i="50"/>
  <c r="AP2043" i="50"/>
  <c r="AX2045" i="50"/>
  <c r="AW1345" i="50"/>
  <c r="AZ1345" i="50"/>
  <c r="M1345" i="50" s="1"/>
  <c r="BL2033" i="50"/>
  <c r="BC2049" i="50"/>
  <c r="BC2048" i="50"/>
  <c r="BE2048" i="50" s="1"/>
  <c r="BI1331" i="50"/>
  <c r="AZ241" i="50"/>
  <c r="BR224" i="50"/>
  <c r="AZ242" i="50"/>
  <c r="BD887" i="50"/>
  <c r="AW482" i="50"/>
  <c r="BO467" i="50"/>
  <c r="AZ482" i="50"/>
  <c r="M482" i="50"/>
  <c r="AO100" i="58"/>
  <c r="AO102" i="58" s="1"/>
  <c r="AV267" i="50"/>
  <c r="AW510" i="50"/>
  <c r="BE90" i="58"/>
  <c r="AC103" i="58"/>
  <c r="AD103" i="58"/>
  <c r="BO224" i="50"/>
  <c r="AW239" i="50"/>
  <c r="AZ239" i="50"/>
  <c r="M239" i="50" s="1"/>
  <c r="AG858" i="50"/>
  <c r="AN858" i="50"/>
  <c r="AO858" i="50"/>
  <c r="BD2075" i="50"/>
  <c r="AR857" i="50"/>
  <c r="BJ845" i="50" s="1"/>
  <c r="BE2076" i="50"/>
  <c r="I862" i="50"/>
  <c r="AW1022" i="50"/>
  <c r="I859" i="50"/>
  <c r="AC159" i="50"/>
  <c r="AR159" i="50" s="1"/>
  <c r="BP143" i="50" s="1"/>
  <c r="AS377" i="50"/>
  <c r="AT377" i="50" s="1"/>
  <c r="AV377" i="50"/>
  <c r="BZ491" i="50"/>
  <c r="BE1104" i="50"/>
  <c r="BN818" i="50"/>
  <c r="AZ832" i="50"/>
  <c r="M832" i="50" s="1"/>
  <c r="AP237" i="50"/>
  <c r="AQ237" i="50" s="1"/>
  <c r="I237" i="50"/>
  <c r="BM224" i="50"/>
  <c r="BL224" i="50"/>
  <c r="BC240" i="50"/>
  <c r="BD240" i="50" s="1"/>
  <c r="BC239" i="50"/>
  <c r="BD239" i="50" s="1"/>
  <c r="BZ155" i="50"/>
  <c r="AW1157" i="50"/>
  <c r="BO1142" i="50"/>
  <c r="AZ1157" i="50"/>
  <c r="M1157" i="50"/>
  <c r="AP372" i="50"/>
  <c r="AQ372" i="50"/>
  <c r="I372" i="50"/>
  <c r="BM359" i="50"/>
  <c r="BK872" i="50"/>
  <c r="AP369" i="50"/>
  <c r="AP1644" i="50"/>
  <c r="AQ1644" i="50" s="1"/>
  <c r="AV1644" i="50" s="1"/>
  <c r="I1644" i="50"/>
  <c r="AF153" i="50"/>
  <c r="AG696" i="50"/>
  <c r="AO939" i="50"/>
  <c r="AR939" i="50"/>
  <c r="BL926" i="50" s="1"/>
  <c r="AJ939" i="50"/>
  <c r="AP939" i="50" s="1"/>
  <c r="AQ939" i="50" s="1"/>
  <c r="K939" i="50" s="1"/>
  <c r="AS941" i="50"/>
  <c r="I941" i="50"/>
  <c r="AI938" i="50"/>
  <c r="I938" i="50" s="1"/>
  <c r="AN938" i="50"/>
  <c r="AR938" i="50"/>
  <c r="BJ926" i="50"/>
  <c r="AO938" i="50"/>
  <c r="AG938" i="50"/>
  <c r="AF938" i="50"/>
  <c r="AJ693" i="50"/>
  <c r="BI683" i="50" s="1"/>
  <c r="AF699" i="50"/>
  <c r="AN699" i="50"/>
  <c r="AO699" i="50"/>
  <c r="AJ699" i="50"/>
  <c r="AG699" i="50"/>
  <c r="AR699" i="50"/>
  <c r="BP683" i="50"/>
  <c r="AO944" i="50"/>
  <c r="AQ944" i="50"/>
  <c r="K944" i="50" s="1"/>
  <c r="BZ1328" i="50"/>
  <c r="AS698" i="50"/>
  <c r="AR698" i="50"/>
  <c r="AZ698" i="50" s="1"/>
  <c r="M698" i="50" s="1"/>
  <c r="AO695" i="50"/>
  <c r="AN695" i="50"/>
  <c r="AG695" i="50"/>
  <c r="AF695" i="50"/>
  <c r="AR695" i="50"/>
  <c r="BJ683" i="50" s="1"/>
  <c r="AI695" i="50"/>
  <c r="I1427" i="50"/>
  <c r="AF1425" i="50"/>
  <c r="AN1425" i="50"/>
  <c r="AR1425" i="50"/>
  <c r="AG1425" i="50"/>
  <c r="AJ1425" i="50"/>
  <c r="AO1425" i="50"/>
  <c r="AN1424" i="50"/>
  <c r="AR1426" i="50"/>
  <c r="AW1426" i="50" s="1"/>
  <c r="I1426" i="50"/>
  <c r="AS1426" i="50"/>
  <c r="AT1426" i="50"/>
  <c r="AW481" i="50"/>
  <c r="I186" i="50"/>
  <c r="AX186" i="50"/>
  <c r="AP186" i="50"/>
  <c r="AQ186" i="50"/>
  <c r="AS186" i="50" s="1"/>
  <c r="AT186" i="50" s="1"/>
  <c r="BQ170" i="50"/>
  <c r="I450" i="50"/>
  <c r="AF456" i="50"/>
  <c r="AO456" i="50"/>
  <c r="AR456" i="50"/>
  <c r="BP440" i="50" s="1"/>
  <c r="AN453" i="50"/>
  <c r="AO453" i="50"/>
  <c r="AG453" i="50"/>
  <c r="AN452" i="50"/>
  <c r="I454" i="50"/>
  <c r="AR454" i="50"/>
  <c r="BN440" i="50" s="1"/>
  <c r="AS454" i="50"/>
  <c r="AT454" i="50" s="1"/>
  <c r="AS455" i="50"/>
  <c r="I455" i="50"/>
  <c r="AR458" i="50"/>
  <c r="BS440" i="50" s="1"/>
  <c r="AO458" i="50"/>
  <c r="AQ458" i="50" s="1"/>
  <c r="BZ975" i="50"/>
  <c r="AO457" i="50"/>
  <c r="AQ457" i="50"/>
  <c r="K457" i="50" s="1"/>
  <c r="AX1451" i="50"/>
  <c r="BK1439" i="50"/>
  <c r="BE2022" i="50"/>
  <c r="BE2021" i="50"/>
  <c r="AS1181" i="50"/>
  <c r="AT1181" i="50" s="1"/>
  <c r="AW1181" i="50"/>
  <c r="K1181" i="50"/>
  <c r="AV1181" i="50"/>
  <c r="AZ293" i="50"/>
  <c r="M293" i="50" s="1"/>
  <c r="BO278" i="50"/>
  <c r="BZ1564" i="50"/>
  <c r="BS467" i="50"/>
  <c r="BS1412" i="50"/>
  <c r="AJ963" i="50"/>
  <c r="AR969" i="50"/>
  <c r="BP953" i="50" s="1"/>
  <c r="AF969" i="50"/>
  <c r="AG969" i="50"/>
  <c r="I291" i="50"/>
  <c r="BM278" i="50"/>
  <c r="BC780" i="50"/>
  <c r="BE780" i="50"/>
  <c r="BC779" i="50"/>
  <c r="BE779" i="50"/>
  <c r="BR764" i="50"/>
  <c r="AO970" i="50"/>
  <c r="AQ970" i="50" s="1"/>
  <c r="AV970" i="50" s="1"/>
  <c r="I970" i="50"/>
  <c r="AC1560" i="50"/>
  <c r="AN1560" i="50" s="1"/>
  <c r="AP726" i="50"/>
  <c r="AQ726" i="50" s="1"/>
  <c r="BQ710" i="50"/>
  <c r="AP2018" i="50"/>
  <c r="AQ2018" i="50" s="1"/>
  <c r="AP483" i="50"/>
  <c r="AQ483" i="50"/>
  <c r="AS483" i="50" s="1"/>
  <c r="AT483" i="50" s="1"/>
  <c r="I483" i="50"/>
  <c r="AW1318" i="50"/>
  <c r="BN1304" i="50"/>
  <c r="AZ1318" i="50"/>
  <c r="M1318" i="50" s="1"/>
  <c r="AC1564" i="50"/>
  <c r="AR1564" i="50" s="1"/>
  <c r="BR1547" i="50" s="1"/>
  <c r="BQ656" i="50"/>
  <c r="BO656" i="50"/>
  <c r="I668" i="50"/>
  <c r="BI1628" i="50"/>
  <c r="AI1557" i="50"/>
  <c r="BZ1562" i="50"/>
  <c r="AO808" i="50"/>
  <c r="AQ808" i="50" s="1"/>
  <c r="K808" i="50" s="1"/>
  <c r="AP2076" i="50"/>
  <c r="AQ2076" i="50" s="1"/>
  <c r="AS2076" i="50" s="1"/>
  <c r="AC806" i="50"/>
  <c r="I806" i="50" s="1"/>
  <c r="AW1643" i="50"/>
  <c r="AC805" i="50"/>
  <c r="AS805" i="50" s="1"/>
  <c r="AT805" i="50" s="1"/>
  <c r="BN521" i="50"/>
  <c r="AZ535" i="50"/>
  <c r="M535" i="50"/>
  <c r="AW535" i="50"/>
  <c r="AG801" i="50"/>
  <c r="AI801" i="50"/>
  <c r="I801" i="50"/>
  <c r="AF801" i="50"/>
  <c r="AH801" i="50"/>
  <c r="AS801" i="50"/>
  <c r="AT801" i="50"/>
  <c r="AR1803" i="50"/>
  <c r="BL1790" i="50" s="1"/>
  <c r="AC807" i="50"/>
  <c r="AR1808" i="50"/>
  <c r="AC804" i="50"/>
  <c r="AR804" i="50" s="1"/>
  <c r="BL791" i="50" s="1"/>
  <c r="AW1049" i="50"/>
  <c r="AC1835" i="50"/>
  <c r="I1835" i="50"/>
  <c r="BC1590" i="50"/>
  <c r="BE1590" i="50" s="1"/>
  <c r="BC1589" i="50"/>
  <c r="BE1589" i="50" s="1"/>
  <c r="BN1034" i="50"/>
  <c r="AZ1048" i="50"/>
  <c r="M1048" i="50"/>
  <c r="AW1048" i="50"/>
  <c r="AS1827" i="50"/>
  <c r="AT1827" i="50" s="1"/>
  <c r="AG1827" i="50"/>
  <c r="AF1827" i="50"/>
  <c r="AI1827" i="50"/>
  <c r="I1827" i="50" s="1"/>
  <c r="AG1962" i="50"/>
  <c r="AC1832" i="50"/>
  <c r="I1832" i="50"/>
  <c r="AP1050" i="50"/>
  <c r="AQ1050" i="50" s="1"/>
  <c r="BQ1034" i="50"/>
  <c r="AF585" i="50"/>
  <c r="I1154" i="50"/>
  <c r="I236" i="50"/>
  <c r="I1158" i="50"/>
  <c r="BQ1142" i="50"/>
  <c r="AX1050" i="50"/>
  <c r="BI1034" i="50"/>
  <c r="BO521" i="50"/>
  <c r="AZ536" i="50"/>
  <c r="M536" i="50" s="1"/>
  <c r="BI710" i="50"/>
  <c r="AW238" i="50"/>
  <c r="AC1831" i="50"/>
  <c r="AE200" i="58"/>
  <c r="AZ186" i="58" s="1"/>
  <c r="AC200" i="58"/>
  <c r="AD200" i="58" s="1"/>
  <c r="AF200" i="58" s="1"/>
  <c r="BO1574" i="50"/>
  <c r="AJ722" i="50"/>
  <c r="AZ728" i="50"/>
  <c r="BD1239" i="50"/>
  <c r="BD1238" i="50"/>
  <c r="AN1883" i="50"/>
  <c r="I1888" i="50"/>
  <c r="AF1887" i="50"/>
  <c r="I1885" i="50"/>
  <c r="AR1886" i="50"/>
  <c r="AW1886" i="50" s="1"/>
  <c r="AS1886" i="50"/>
  <c r="AT1886" i="50" s="1"/>
  <c r="AO1884" i="50"/>
  <c r="AF1884" i="50"/>
  <c r="BO683" i="50"/>
  <c r="I1425" i="50"/>
  <c r="BL1412" i="50"/>
  <c r="BO1871" i="50"/>
  <c r="K103" i="58"/>
  <c r="M103" i="58" s="1"/>
  <c r="AW777" i="50"/>
  <c r="BZ884" i="50"/>
  <c r="BZ886" i="50"/>
  <c r="BZ888" i="50"/>
  <c r="BZ887" i="50"/>
  <c r="BZ890" i="50"/>
  <c r="BZ889" i="50"/>
  <c r="BZ892" i="50"/>
  <c r="BZ896" i="50"/>
  <c r="BZ885" i="50"/>
  <c r="AV1267" i="50"/>
  <c r="K1267" i="50"/>
  <c r="AW1267" i="50"/>
  <c r="AS1267" i="50"/>
  <c r="AT1267" i="50" s="1"/>
  <c r="AS1832" i="50"/>
  <c r="AT1832" i="50" s="1"/>
  <c r="BD779" i="50"/>
  <c r="AV457" i="50"/>
  <c r="BM1412" i="50"/>
  <c r="AP1425" i="50"/>
  <c r="AQ1425" i="50"/>
  <c r="AO159" i="50"/>
  <c r="AO1888" i="50"/>
  <c r="AQ1888" i="50" s="1"/>
  <c r="AR1888" i="50"/>
  <c r="BR1871" i="50" s="1"/>
  <c r="AJ1887" i="50"/>
  <c r="AP1887" i="50" s="1"/>
  <c r="AQ1887" i="50" s="1"/>
  <c r="AR1887" i="50"/>
  <c r="BP1871" i="50" s="1"/>
  <c r="AG1887" i="50"/>
  <c r="AP263" i="50"/>
  <c r="AQ263" i="50" s="1"/>
  <c r="AS1831" i="50"/>
  <c r="AT1831" i="50" s="1"/>
  <c r="BD2049" i="50"/>
  <c r="BE2049" i="50"/>
  <c r="BH791" i="50"/>
  <c r="AS781" i="50"/>
  <c r="AT781" i="50" s="1"/>
  <c r="AV781" i="50"/>
  <c r="AW781" i="50"/>
  <c r="BO1007" i="50"/>
  <c r="AZ1022" i="50"/>
  <c r="M1022" i="50"/>
  <c r="AW511" i="50"/>
  <c r="AV511" i="50"/>
  <c r="AS511" i="50"/>
  <c r="AT511" i="50" s="1"/>
  <c r="K511" i="50"/>
  <c r="M511" i="50" s="1"/>
  <c r="AZ1886" i="50"/>
  <c r="M1886" i="50" s="1"/>
  <c r="AR1835" i="50"/>
  <c r="BS1817" i="50" s="1"/>
  <c r="AO1835" i="50"/>
  <c r="AQ1835" i="50"/>
  <c r="AV483" i="50"/>
  <c r="I936" i="50"/>
  <c r="I943" i="50"/>
  <c r="BK197" i="50"/>
  <c r="AY1966" i="50"/>
  <c r="AC587" i="50"/>
  <c r="AG587" i="50"/>
  <c r="M585" i="50"/>
  <c r="AR585" i="50"/>
  <c r="BH575" i="50" s="1"/>
  <c r="AY1831" i="50"/>
  <c r="M1827" i="50"/>
  <c r="AR1827" i="50"/>
  <c r="BH1817" i="50" s="1"/>
  <c r="AS728" i="50"/>
  <c r="AT728" i="50" s="1"/>
  <c r="AW728" i="50"/>
  <c r="K728" i="50"/>
  <c r="M728" i="50"/>
  <c r="AV728" i="50"/>
  <c r="AR1319" i="50"/>
  <c r="BO1304" i="50" s="1"/>
  <c r="AN290" i="50"/>
  <c r="K1051" i="50"/>
  <c r="C622" i="52"/>
  <c r="C670" i="52" s="1"/>
  <c r="O670" i="52" s="1"/>
  <c r="Q670" i="52" s="1"/>
  <c r="O574" i="52"/>
  <c r="Q574" i="52"/>
  <c r="BP1223" i="50"/>
  <c r="AW1239" i="50"/>
  <c r="AG1128" i="50"/>
  <c r="AR1128" i="50"/>
  <c r="BL1115" i="50" s="1"/>
  <c r="AF1128" i="50"/>
  <c r="AN1128" i="50"/>
  <c r="AO1128" i="50"/>
  <c r="AJ1128" i="50"/>
  <c r="I1128" i="50"/>
  <c r="AC1392" i="50"/>
  <c r="AC1395" i="50"/>
  <c r="AI1395" i="50" s="1"/>
  <c r="AJ1395" i="50" s="1"/>
  <c r="M207" i="50"/>
  <c r="AR207" i="50"/>
  <c r="BH197" i="50" s="1"/>
  <c r="BZ1046" i="50"/>
  <c r="BZ1049" i="50"/>
  <c r="BZ1051" i="50"/>
  <c r="BZ1050" i="50"/>
  <c r="BZ1054" i="50"/>
  <c r="BZ1056" i="50"/>
  <c r="BZ1047" i="50"/>
  <c r="I1857" i="50"/>
  <c r="AP1857" i="50"/>
  <c r="AQ1857" i="50"/>
  <c r="BM1844" i="50"/>
  <c r="BZ1994" i="50"/>
  <c r="BZ1997" i="50"/>
  <c r="BZ1992" i="50"/>
  <c r="BZ1995" i="50"/>
  <c r="BZ1993" i="50"/>
  <c r="BZ1991" i="50"/>
  <c r="BZ1996" i="50"/>
  <c r="BC888" i="50"/>
  <c r="BE888" i="50"/>
  <c r="AW889" i="50"/>
  <c r="AZ890" i="50"/>
  <c r="M890" i="50" s="1"/>
  <c r="BR872" i="50"/>
  <c r="AZ889" i="50"/>
  <c r="BC1454" i="50"/>
  <c r="BE1454" i="50" s="1"/>
  <c r="BC1455" i="50"/>
  <c r="BD1455" i="50" s="1"/>
  <c r="AP828" i="50"/>
  <c r="AW753" i="50"/>
  <c r="AS753" i="50"/>
  <c r="AT753" i="50" s="1"/>
  <c r="AV1672" i="50"/>
  <c r="K1672" i="50"/>
  <c r="M1672" i="50" s="1"/>
  <c r="AS1672" i="50"/>
  <c r="AT1672" i="50" s="1"/>
  <c r="AW1672" i="50"/>
  <c r="AW645" i="50"/>
  <c r="AS645" i="50"/>
  <c r="AT645" i="50" s="1"/>
  <c r="K645" i="50"/>
  <c r="AV645" i="50"/>
  <c r="AR371" i="50"/>
  <c r="BJ359" i="50"/>
  <c r="AG371" i="50"/>
  <c r="AN371" i="50"/>
  <c r="AO371" i="50"/>
  <c r="BS2060" i="50"/>
  <c r="AW2078" i="50"/>
  <c r="AZ2077" i="50"/>
  <c r="BD428" i="50"/>
  <c r="BE428" i="50"/>
  <c r="AP1017" i="50"/>
  <c r="BI1007" i="50"/>
  <c r="AX1023" i="50"/>
  <c r="AO264" i="50"/>
  <c r="AF264" i="50"/>
  <c r="AG264" i="50"/>
  <c r="AN264" i="50"/>
  <c r="AJ264" i="50"/>
  <c r="AP264" i="50"/>
  <c r="AQ264" i="50" s="1"/>
  <c r="AR264" i="50"/>
  <c r="BL251" i="50" s="1"/>
  <c r="AP1908" i="50"/>
  <c r="BI1898" i="50"/>
  <c r="K1073" i="50"/>
  <c r="AS1073" i="50"/>
  <c r="AT1073" i="50"/>
  <c r="AW1073" i="50"/>
  <c r="AV780" i="50"/>
  <c r="K780" i="50"/>
  <c r="AS780" i="50"/>
  <c r="AT780" i="50" s="1"/>
  <c r="AW780" i="50"/>
  <c r="I1457" i="50"/>
  <c r="AR1457" i="50"/>
  <c r="BS1439" i="50" s="1"/>
  <c r="AO1457" i="50"/>
  <c r="AQ1457" i="50" s="1"/>
  <c r="AV480" i="50"/>
  <c r="K480" i="50"/>
  <c r="M480" i="50" s="1"/>
  <c r="AW480" i="50"/>
  <c r="AS480" i="50"/>
  <c r="AT480" i="50"/>
  <c r="I1235" i="50"/>
  <c r="AJ1235" i="50"/>
  <c r="AP1235" i="50" s="1"/>
  <c r="AQ1235" i="50" s="1"/>
  <c r="K619" i="50"/>
  <c r="AS619" i="50"/>
  <c r="AT619" i="50" s="1"/>
  <c r="AV619" i="50"/>
  <c r="AW619" i="50"/>
  <c r="AS1861" i="50"/>
  <c r="AT1861" i="50" s="1"/>
  <c r="AV1861" i="50"/>
  <c r="K1861" i="50"/>
  <c r="AW1861" i="50"/>
  <c r="BL1088" i="50"/>
  <c r="AW1024" i="50"/>
  <c r="AS1024" i="50"/>
  <c r="AT1024" i="50"/>
  <c r="AV1024" i="50"/>
  <c r="K1024" i="50"/>
  <c r="O471" i="52"/>
  <c r="Q471" i="52"/>
  <c r="C519" i="52"/>
  <c r="AS403" i="50"/>
  <c r="AT403" i="50" s="1"/>
  <c r="K403" i="50"/>
  <c r="M403" i="50" s="1"/>
  <c r="AV403" i="50"/>
  <c r="AW403" i="50"/>
  <c r="AJ1719" i="50"/>
  <c r="BI1709" i="50" s="1"/>
  <c r="I1719" i="50"/>
  <c r="K1236" i="50"/>
  <c r="M1236" i="50"/>
  <c r="AV1236" i="50"/>
  <c r="K1213" i="50"/>
  <c r="AS1213" i="50"/>
  <c r="AT1213" i="50"/>
  <c r="AV1213" i="50"/>
  <c r="AS1588" i="50"/>
  <c r="AT1588" i="50" s="1"/>
  <c r="AR1588" i="50"/>
  <c r="AW1588" i="50" s="1"/>
  <c r="I914" i="50"/>
  <c r="AR914" i="50"/>
  <c r="AW914" i="50"/>
  <c r="AS914" i="50"/>
  <c r="AT914" i="50"/>
  <c r="BP602" i="50"/>
  <c r="AW618" i="50"/>
  <c r="I1670" i="50"/>
  <c r="AR1670" i="50"/>
  <c r="AW1670" i="50" s="1"/>
  <c r="AS1670" i="50"/>
  <c r="AT1670" i="50" s="1"/>
  <c r="AT87" i="61"/>
  <c r="AU87" i="61"/>
  <c r="AG87" i="61"/>
  <c r="AM87" i="61"/>
  <c r="AO87" i="61"/>
  <c r="AH87" i="61"/>
  <c r="AL87" i="61"/>
  <c r="AJ87" i="61"/>
  <c r="D87" i="61"/>
  <c r="AN87" i="61"/>
  <c r="G87" i="61"/>
  <c r="AQ87" i="61"/>
  <c r="AP87" i="61"/>
  <c r="AS87" i="61"/>
  <c r="AK87" i="61"/>
  <c r="AI87" i="61"/>
  <c r="AR87" i="61"/>
  <c r="F87" i="61"/>
  <c r="B375" i="52"/>
  <c r="B423" i="52" s="1"/>
  <c r="B471" i="52" s="1"/>
  <c r="B519" i="52" s="1"/>
  <c r="B567" i="52" s="1"/>
  <c r="B615" i="52" s="1"/>
  <c r="B663" i="52" s="1"/>
  <c r="B422" i="52"/>
  <c r="B470" i="52"/>
  <c r="B518" i="52" s="1"/>
  <c r="B566" i="52" s="1"/>
  <c r="B614" i="52" s="1"/>
  <c r="B662" i="52" s="1"/>
  <c r="I1160" i="50"/>
  <c r="BI332" i="50"/>
  <c r="AP342" i="50"/>
  <c r="AS349" i="50"/>
  <c r="AT349" i="50" s="1"/>
  <c r="K349" i="50"/>
  <c r="AV349" i="50"/>
  <c r="AP1584" i="50"/>
  <c r="AW1592" i="50"/>
  <c r="AV1592" i="50"/>
  <c r="AZ265" i="50"/>
  <c r="M265" i="50"/>
  <c r="K512" i="50"/>
  <c r="M512" i="50"/>
  <c r="AV512" i="50"/>
  <c r="E100" i="61"/>
  <c r="AY100" i="61"/>
  <c r="AF100" i="61"/>
  <c r="D100" i="61"/>
  <c r="Y100" i="61"/>
  <c r="AW100" i="61"/>
  <c r="Z100" i="61"/>
  <c r="AB100" i="61"/>
  <c r="AA100" i="61"/>
  <c r="AB99" i="61"/>
  <c r="AV99" i="61"/>
  <c r="V99" i="61"/>
  <c r="AD99" i="61"/>
  <c r="AC99" i="61"/>
  <c r="AX99" i="61"/>
  <c r="T99" i="61"/>
  <c r="R99" i="61"/>
  <c r="AA99" i="61"/>
  <c r="Y99" i="61"/>
  <c r="X99" i="61"/>
  <c r="W99" i="61"/>
  <c r="D99" i="61"/>
  <c r="AU99" i="61"/>
  <c r="S99" i="61"/>
  <c r="AE99" i="61"/>
  <c r="E99" i="61"/>
  <c r="U99" i="61"/>
  <c r="C649" i="52"/>
  <c r="O649" i="52"/>
  <c r="Q649" i="52" s="1"/>
  <c r="O601" i="52"/>
  <c r="Q601" i="52" s="1"/>
  <c r="AR916" i="50"/>
  <c r="AZ917" i="50" s="1"/>
  <c r="M917" i="50" s="1"/>
  <c r="AO916" i="50"/>
  <c r="AQ916" i="50"/>
  <c r="I916" i="50"/>
  <c r="AO210" i="50"/>
  <c r="AJ210" i="50"/>
  <c r="I210" i="50"/>
  <c r="AG210" i="50"/>
  <c r="AN210" i="50"/>
  <c r="AR210" i="50"/>
  <c r="BL197" i="50"/>
  <c r="AS1695" i="50"/>
  <c r="AT1695" i="50"/>
  <c r="AW1695" i="50"/>
  <c r="AV1695" i="50"/>
  <c r="K1695" i="50"/>
  <c r="M1695" i="50"/>
  <c r="C621" i="52"/>
  <c r="O621" i="52" s="1"/>
  <c r="Q621" i="52" s="1"/>
  <c r="O573" i="52"/>
  <c r="Q573" i="52"/>
  <c r="K1916" i="50"/>
  <c r="AV1916" i="50"/>
  <c r="K614" i="50"/>
  <c r="M614" i="50"/>
  <c r="AS614" i="50"/>
  <c r="AT614" i="50"/>
  <c r="AW614" i="50"/>
  <c r="C462" i="52"/>
  <c r="O462" i="52" s="1"/>
  <c r="Q462" i="52" s="1"/>
  <c r="O414" i="52"/>
  <c r="Q414" i="52"/>
  <c r="AS1671" i="50"/>
  <c r="AT1671" i="50"/>
  <c r="K1671" i="50"/>
  <c r="M1671" i="50"/>
  <c r="K426" i="50"/>
  <c r="M426" i="50" s="1"/>
  <c r="AS426" i="50"/>
  <c r="AT426" i="50" s="1"/>
  <c r="C610" i="52"/>
  <c r="O562" i="52"/>
  <c r="Q562" i="52" s="1"/>
  <c r="AO646" i="50"/>
  <c r="AQ646" i="50" s="1"/>
  <c r="AR646" i="50"/>
  <c r="BR629" i="50" s="1"/>
  <c r="AR566" i="50"/>
  <c r="AO566" i="50"/>
  <c r="AQ566" i="50" s="1"/>
  <c r="I566" i="50"/>
  <c r="AN564" i="50"/>
  <c r="AF564" i="50"/>
  <c r="AJ564" i="50"/>
  <c r="BQ548" i="50"/>
  <c r="AR564" i="50"/>
  <c r="BP548" i="50"/>
  <c r="I1509" i="50"/>
  <c r="AW101" i="61"/>
  <c r="R101" i="61"/>
  <c r="X101" i="61"/>
  <c r="T101" i="61"/>
  <c r="Y101" i="61"/>
  <c r="C602" i="52"/>
  <c r="O554" i="52"/>
  <c r="Q554" i="52" s="1"/>
  <c r="O626" i="52"/>
  <c r="Q626" i="52" s="1"/>
  <c r="C652" i="52"/>
  <c r="O652" i="52"/>
  <c r="Q652" i="52" s="1"/>
  <c r="O604" i="52"/>
  <c r="Q604" i="52" s="1"/>
  <c r="AS1913" i="50"/>
  <c r="AT1913" i="50"/>
  <c r="O575" i="52"/>
  <c r="Q575" i="52"/>
  <c r="D623" i="52"/>
  <c r="AR1454" i="50"/>
  <c r="AZ1454" i="50" s="1"/>
  <c r="M1454" i="50" s="1"/>
  <c r="AS1454" i="50"/>
  <c r="AT1454" i="50"/>
  <c r="AF912" i="50"/>
  <c r="AR912" i="50"/>
  <c r="BC1536" i="50"/>
  <c r="BD1536" i="50"/>
  <c r="BL1520" i="50"/>
  <c r="AC1614" i="50"/>
  <c r="AC1619" i="50"/>
  <c r="AO1619" i="50" s="1"/>
  <c r="AQ1619" i="50" s="1"/>
  <c r="AS1611" i="50"/>
  <c r="AT1611" i="50"/>
  <c r="AI1611" i="50"/>
  <c r="AJ1611" i="50"/>
  <c r="AC1617" i="50"/>
  <c r="AF1617" i="50"/>
  <c r="AF1611" i="50"/>
  <c r="AH1611" i="50"/>
  <c r="AC1613" i="50"/>
  <c r="AC1616" i="50"/>
  <c r="I1616" i="50" s="1"/>
  <c r="C614" i="52"/>
  <c r="O566" i="52"/>
  <c r="Q566" i="52" s="1"/>
  <c r="O612" i="52"/>
  <c r="Q612" i="52"/>
  <c r="C660" i="52"/>
  <c r="O660" i="52"/>
  <c r="Q660" i="52" s="1"/>
  <c r="O619" i="52"/>
  <c r="Q619" i="52" s="1"/>
  <c r="C667" i="52"/>
  <c r="O667" i="52" s="1"/>
  <c r="Q667" i="52" s="1"/>
  <c r="C585" i="52"/>
  <c r="O585" i="52" s="1"/>
  <c r="Q585" i="52" s="1"/>
  <c r="O537" i="52"/>
  <c r="Q537" i="52"/>
  <c r="K620" i="50"/>
  <c r="AV620" i="50"/>
  <c r="Q394" i="52"/>
  <c r="G223" i="38"/>
  <c r="B59" i="57"/>
  <c r="G280" i="52"/>
  <c r="C584" i="52"/>
  <c r="O536" i="52"/>
  <c r="Q536" i="52" s="1"/>
  <c r="AS1915" i="50"/>
  <c r="AT1915" i="50" s="1"/>
  <c r="AR1915" i="50"/>
  <c r="BR1898" i="50" s="1"/>
  <c r="I1915" i="50"/>
  <c r="AG398" i="50"/>
  <c r="AF398" i="50"/>
  <c r="AN398" i="50"/>
  <c r="AI398" i="50"/>
  <c r="AJ398" i="50" s="1"/>
  <c r="AR398" i="50"/>
  <c r="BJ386" i="50" s="1"/>
  <c r="AO398" i="50"/>
  <c r="AC1132" i="50"/>
  <c r="I1132" i="50"/>
  <c r="AI1125" i="50"/>
  <c r="AJ1125" i="50"/>
  <c r="AC1130" i="50"/>
  <c r="AS1125" i="50"/>
  <c r="AT1125" i="50" s="1"/>
  <c r="AC1131" i="50"/>
  <c r="AG1131" i="50" s="1"/>
  <c r="AC1133" i="50"/>
  <c r="I1133" i="50" s="1"/>
  <c r="AC1127" i="50"/>
  <c r="AI1127" i="50" s="1"/>
  <c r="AF1125" i="50"/>
  <c r="AG1125" i="50"/>
  <c r="AF1719" i="50"/>
  <c r="AC1726" i="50"/>
  <c r="AR1726" i="50"/>
  <c r="AC1724" i="50"/>
  <c r="AR1724" i="50"/>
  <c r="AC1725" i="50"/>
  <c r="AN1725" i="50"/>
  <c r="AS1719" i="50"/>
  <c r="AG1719" i="50"/>
  <c r="AT1719" i="50"/>
  <c r="AC1721" i="50"/>
  <c r="AO1721" i="50" s="1"/>
  <c r="AS720" i="50"/>
  <c r="AT720" i="50"/>
  <c r="AG720" i="50"/>
  <c r="AH720" i="50"/>
  <c r="AP720" i="50" s="1"/>
  <c r="AF479" i="50"/>
  <c r="AO479" i="50"/>
  <c r="AC344" i="50"/>
  <c r="AN344" i="50"/>
  <c r="AC350" i="50"/>
  <c r="I350" i="50"/>
  <c r="AR754" i="50"/>
  <c r="AO754" i="50"/>
  <c r="AQ754" i="50" s="1"/>
  <c r="AJ1287" i="50"/>
  <c r="I1287" i="50"/>
  <c r="AC1989" i="50"/>
  <c r="AC1986" i="50"/>
  <c r="D533" i="52"/>
  <c r="O485" i="52"/>
  <c r="Q485" i="52" s="1"/>
  <c r="AY1727" i="50"/>
  <c r="AC1727" i="50"/>
  <c r="AR1727" i="50"/>
  <c r="BS1709" i="50" s="1"/>
  <c r="C657" i="52"/>
  <c r="O657" i="52" s="1"/>
  <c r="Q657" i="52" s="1"/>
  <c r="O423" i="52"/>
  <c r="Q423" i="52"/>
  <c r="AT184" i="50"/>
  <c r="AT617" i="50"/>
  <c r="AC778" i="50"/>
  <c r="I778" i="50"/>
  <c r="AC782" i="50"/>
  <c r="I782" i="50"/>
  <c r="AC776" i="50"/>
  <c r="AG774" i="50"/>
  <c r="AH774" i="50" s="1"/>
  <c r="AP774" i="50" s="1"/>
  <c r="BZ781" i="50"/>
  <c r="BZ780" i="50"/>
  <c r="AF1343" i="50"/>
  <c r="AO1343" i="50"/>
  <c r="AG1343" i="50"/>
  <c r="AN425" i="50"/>
  <c r="AO425" i="50"/>
  <c r="AR425" i="50"/>
  <c r="BJ413" i="50" s="1"/>
  <c r="AY509" i="50"/>
  <c r="AC509" i="50"/>
  <c r="AS509" i="50" s="1"/>
  <c r="AT509" i="50" s="1"/>
  <c r="AO647" i="50"/>
  <c r="AQ647" i="50"/>
  <c r="I1264" i="50"/>
  <c r="AR1264" i="50"/>
  <c r="AW1264" i="50" s="1"/>
  <c r="BZ1535" i="50"/>
  <c r="BZ1533" i="50"/>
  <c r="BZ1538" i="50"/>
  <c r="AI911" i="50"/>
  <c r="AJ911" i="50" s="1"/>
  <c r="BK899" i="50" s="1"/>
  <c r="AR911" i="50"/>
  <c r="BJ899" i="50"/>
  <c r="AN1344" i="50"/>
  <c r="AF1344" i="50"/>
  <c r="AJ1344" i="50"/>
  <c r="I1344" i="50"/>
  <c r="AR1753" i="50"/>
  <c r="I1753" i="50"/>
  <c r="AO1753" i="50"/>
  <c r="AQ1753" i="50"/>
  <c r="I754" i="50"/>
  <c r="AF296" i="58"/>
  <c r="AG296" i="58" s="1"/>
  <c r="AE296" i="58"/>
  <c r="AZ282" i="58" s="1"/>
  <c r="AZ1699" i="50"/>
  <c r="M1699" i="50" s="1"/>
  <c r="BS1682" i="50"/>
  <c r="AC539" i="50"/>
  <c r="AO539" i="50"/>
  <c r="AQ539" i="50" s="1"/>
  <c r="AS531" i="50"/>
  <c r="AT531" i="50" s="1"/>
  <c r="AS889" i="50"/>
  <c r="AT889" i="50" s="1"/>
  <c r="AS1510" i="50"/>
  <c r="AT1510" i="50" s="1"/>
  <c r="C419" i="52"/>
  <c r="O371" i="52"/>
  <c r="R1395" i="50"/>
  <c r="BX1385" i="50"/>
  <c r="N1385" i="50"/>
  <c r="BT1385" i="50"/>
  <c r="Y1403" i="50"/>
  <c r="AC1403" i="50"/>
  <c r="Y1399" i="50"/>
  <c r="AY1399" i="50"/>
  <c r="Y1395" i="50"/>
  <c r="AR1395" i="50"/>
  <c r="BH1385" i="50" s="1"/>
  <c r="R1394" i="50"/>
  <c r="BW1385" i="50" s="1"/>
  <c r="N1386" i="50"/>
  <c r="BU1385" i="50" s="1"/>
  <c r="Y1401" i="50"/>
  <c r="AY1401" i="50" s="1"/>
  <c r="Y1402" i="50"/>
  <c r="AC1402" i="50" s="1"/>
  <c r="Y1398" i="50"/>
  <c r="AY1398" i="50" s="1"/>
  <c r="BZ1390" i="50"/>
  <c r="BZ1392" i="50" s="1"/>
  <c r="R1388" i="50"/>
  <c r="BV1385" i="50" s="1"/>
  <c r="Y1400" i="50"/>
  <c r="AC1400" i="50" s="1"/>
  <c r="Y1397" i="50"/>
  <c r="AY1397" i="50" s="1"/>
  <c r="AK1829" i="50"/>
  <c r="Q1827" i="50"/>
  <c r="R1820" i="50"/>
  <c r="BV1817" i="50" s="1"/>
  <c r="BD1829" i="50"/>
  <c r="BC1829" i="50"/>
  <c r="N1818" i="50"/>
  <c r="BU1817" i="50" s="1"/>
  <c r="AK1827" i="50"/>
  <c r="BD1830" i="50"/>
  <c r="Q1826" i="50"/>
  <c r="R1826" i="50"/>
  <c r="BW1817" i="50"/>
  <c r="N1817" i="50"/>
  <c r="BT1817" i="50"/>
  <c r="BE1830" i="50"/>
  <c r="BC1830" i="50"/>
  <c r="Q1820" i="50"/>
  <c r="Q1818" i="50"/>
  <c r="Q1817" i="50"/>
  <c r="BD1831" i="50"/>
  <c r="BE1560" i="50"/>
  <c r="BE1559" i="50"/>
  <c r="BC1559" i="50"/>
  <c r="BD1561" i="50"/>
  <c r="BC1561" i="50"/>
  <c r="AK1557" i="50"/>
  <c r="BD1559" i="50"/>
  <c r="BD1560" i="50"/>
  <c r="Q1556" i="50"/>
  <c r="Q1557" i="50"/>
  <c r="Q1548" i="50"/>
  <c r="BE1561" i="50"/>
  <c r="AK1559" i="50"/>
  <c r="AK1206" i="50"/>
  <c r="Q1199" i="50"/>
  <c r="R1205" i="50"/>
  <c r="BW1196" i="50" s="1"/>
  <c r="R1206" i="50"/>
  <c r="BX1196" i="50" s="1"/>
  <c r="BD1209" i="50"/>
  <c r="N1196" i="50"/>
  <c r="BT1196" i="50"/>
  <c r="Q1206" i="50"/>
  <c r="BE1209" i="50"/>
  <c r="BD1208" i="50"/>
  <c r="BC1210" i="50"/>
  <c r="Q1205" i="50"/>
  <c r="BD1210" i="50"/>
  <c r="AK1208" i="50"/>
  <c r="R1199" i="50"/>
  <c r="BV1196" i="50" s="1"/>
  <c r="BE1210" i="50"/>
  <c r="N1197" i="50"/>
  <c r="BU1196" i="50"/>
  <c r="BC1209" i="50"/>
  <c r="Q1197" i="50"/>
  <c r="Q1196" i="50"/>
  <c r="BC1208" i="50"/>
  <c r="B425" i="52"/>
  <c r="B473" i="52"/>
  <c r="B521" i="52" s="1"/>
  <c r="B569" i="52" s="1"/>
  <c r="B617" i="52" s="1"/>
  <c r="B665" i="52" s="1"/>
  <c r="B378" i="52"/>
  <c r="B426" i="52"/>
  <c r="B474" i="52" s="1"/>
  <c r="B522" i="52" s="1"/>
  <c r="B570" i="52" s="1"/>
  <c r="B618" i="52" s="1"/>
  <c r="B666" i="52" s="1"/>
  <c r="BC641" i="50"/>
  <c r="BC643" i="50"/>
  <c r="BC642" i="50"/>
  <c r="T1372" i="50"/>
  <c r="T1375" i="50"/>
  <c r="T1359" i="50"/>
  <c r="AC1363" i="50" s="1"/>
  <c r="K1358" i="50"/>
  <c r="AK1370" i="50" s="1"/>
  <c r="T1373" i="50"/>
  <c r="T1370" i="50"/>
  <c r="T1371" i="50"/>
  <c r="T1368" i="50"/>
  <c r="T1376" i="50"/>
  <c r="T1374" i="50"/>
  <c r="AS427" i="50"/>
  <c r="AT427" i="50" s="1"/>
  <c r="G197" i="38"/>
  <c r="B33" i="57"/>
  <c r="F277" i="52"/>
  <c r="Q368" i="52"/>
  <c r="C531" i="52"/>
  <c r="O483" i="52"/>
  <c r="Q483" i="52" s="1"/>
  <c r="AY1694" i="50"/>
  <c r="AC1694" i="50"/>
  <c r="AR1694" i="50"/>
  <c r="BJ1682" i="50" s="1"/>
  <c r="AG258" i="58"/>
  <c r="AG98" i="58"/>
  <c r="AD228" i="58"/>
  <c r="AF228" i="58" s="1"/>
  <c r="AG228" i="58" s="1"/>
  <c r="BE1424" i="50"/>
  <c r="BE1425" i="50"/>
  <c r="K1750" i="50"/>
  <c r="M1750" i="50"/>
  <c r="AV1750" i="50"/>
  <c r="AA165" i="58"/>
  <c r="AE165" i="58" s="1"/>
  <c r="AW154" i="58" s="1"/>
  <c r="M165" i="58"/>
  <c r="X409" i="52"/>
  <c r="N409" i="52"/>
  <c r="AA194" i="58"/>
  <c r="AC194" i="58" s="1"/>
  <c r="AK194" i="58"/>
  <c r="M194" i="58" s="1"/>
  <c r="I358" i="58"/>
  <c r="AA358" i="58"/>
  <c r="AE358" i="58"/>
  <c r="AX346" i="58" s="1"/>
  <c r="AK325" i="58"/>
  <c r="M325" i="58" s="1"/>
  <c r="AA325" i="58"/>
  <c r="AE325" i="58" s="1"/>
  <c r="AW314" i="58" s="1"/>
  <c r="AG133" i="58"/>
  <c r="AG131" i="58"/>
  <c r="AK1154" i="50"/>
  <c r="R1152" i="50"/>
  <c r="BX1142" i="50" s="1"/>
  <c r="R1145" i="50"/>
  <c r="BV1142" i="50" s="1"/>
  <c r="AK290" i="58"/>
  <c r="M290" i="58" s="1"/>
  <c r="M195" i="58"/>
  <c r="AK101" i="58"/>
  <c r="M101" i="58"/>
  <c r="G113" i="57"/>
  <c r="G99" i="57"/>
  <c r="N145" i="57"/>
  <c r="G119" i="57"/>
  <c r="G126" i="57"/>
  <c r="G79" i="57"/>
  <c r="G106" i="57"/>
  <c r="G109" i="57"/>
  <c r="N168" i="57"/>
  <c r="G92" i="57"/>
  <c r="G93" i="57"/>
  <c r="G78" i="57"/>
  <c r="T996" i="50"/>
  <c r="T990" i="50"/>
  <c r="T981" i="50"/>
  <c r="R990" i="50"/>
  <c r="BX980" i="50" s="1"/>
  <c r="T992" i="50"/>
  <c r="T998" i="50"/>
  <c r="H488" i="52"/>
  <c r="N488" i="52" s="1"/>
  <c r="H457" i="52"/>
  <c r="N457" i="52" s="1"/>
  <c r="R103" i="58"/>
  <c r="W102" i="58"/>
  <c r="AA102" i="58"/>
  <c r="AQ1427" i="50"/>
  <c r="AV1427" i="50"/>
  <c r="Q198" i="46"/>
  <c r="U197" i="46"/>
  <c r="AQ671" i="50"/>
  <c r="AV671" i="50" s="1"/>
  <c r="W70" i="58"/>
  <c r="I70" i="58"/>
  <c r="W69" i="58"/>
  <c r="BJ69" i="58"/>
  <c r="R71" i="58"/>
  <c r="T234" i="50"/>
  <c r="T242" i="50"/>
  <c r="AQ427" i="50"/>
  <c r="AV427" i="50" s="1"/>
  <c r="AQ1453" i="50"/>
  <c r="AV481" i="50"/>
  <c r="AV806" i="50"/>
  <c r="BZ1486" i="50"/>
  <c r="BZ1490" i="50"/>
  <c r="BZ1484" i="50"/>
  <c r="BZ1479" i="50"/>
  <c r="BZ1482" i="50"/>
  <c r="BZ1483" i="50"/>
  <c r="BZ1480" i="50"/>
  <c r="BZ1481" i="50"/>
  <c r="BZ1478" i="50"/>
  <c r="AL318" i="46"/>
  <c r="AL319" i="46" s="1"/>
  <c r="AL333" i="46" s="1"/>
  <c r="AL334" i="46" s="1"/>
  <c r="AL317" i="46"/>
  <c r="AL212" i="46"/>
  <c r="AL213" i="46"/>
  <c r="AL214" i="46" s="1"/>
  <c r="AL228" i="46" s="1"/>
  <c r="AL229" i="46" s="1"/>
  <c r="BZ1749" i="50"/>
  <c r="BZ1748" i="50"/>
  <c r="BZ1754" i="50"/>
  <c r="BZ1751" i="50"/>
  <c r="BZ1750" i="50"/>
  <c r="BZ1753" i="50"/>
  <c r="BZ1756" i="50"/>
  <c r="BZ1760" i="50" s="1"/>
  <c r="BZ1752" i="50"/>
  <c r="BZ1972" i="50"/>
  <c r="BZ1976" i="50"/>
  <c r="BZ1968" i="50"/>
  <c r="BZ1966" i="50"/>
  <c r="BZ1965" i="50"/>
  <c r="AL283" i="46"/>
  <c r="AL284" i="46" s="1"/>
  <c r="AL298" i="46" s="1"/>
  <c r="AL299" i="46" s="1"/>
  <c r="AL282" i="46"/>
  <c r="AL178" i="46"/>
  <c r="AL179" i="46"/>
  <c r="AL193" i="46" s="1"/>
  <c r="AL194" i="46" s="1"/>
  <c r="AL177" i="46"/>
  <c r="BZ860" i="50"/>
  <c r="BZ857" i="50"/>
  <c r="BZ859" i="50"/>
  <c r="BZ263" i="50"/>
  <c r="BZ265" i="50"/>
  <c r="BZ1023" i="50"/>
  <c r="BZ1021" i="50"/>
  <c r="BZ1024" i="50"/>
  <c r="AL73" i="46"/>
  <c r="AL74" i="46" s="1"/>
  <c r="AL88" i="46" s="1"/>
  <c r="AL89" i="46" s="1"/>
  <c r="AL72" i="46"/>
  <c r="BZ560" i="50"/>
  <c r="BZ561" i="50"/>
  <c r="AL143" i="46"/>
  <c r="AL144" i="46"/>
  <c r="AL158" i="46" s="1"/>
  <c r="AL159" i="46" s="1"/>
  <c r="AL142" i="46"/>
  <c r="BZ1726" i="50"/>
  <c r="BZ1725" i="50"/>
  <c r="BZ1727" i="50"/>
  <c r="BZ1723" i="50"/>
  <c r="BZ1729" i="50"/>
  <c r="BZ1731" i="50" s="1"/>
  <c r="BZ1724" i="50"/>
  <c r="BZ1938" i="50"/>
  <c r="BZ1943" i="50"/>
  <c r="BZ1945" i="50"/>
  <c r="BZ1949" i="50"/>
  <c r="BZ406" i="50"/>
  <c r="BZ408" i="50"/>
  <c r="BZ403" i="50"/>
  <c r="BZ404" i="50"/>
  <c r="BZ400" i="50"/>
  <c r="BZ398" i="50"/>
  <c r="AL108" i="46"/>
  <c r="AL109" i="46"/>
  <c r="AL123" i="46" s="1"/>
  <c r="AL124" i="46" s="1"/>
  <c r="AL107" i="46"/>
  <c r="AL248" i="46"/>
  <c r="AL249" i="46" s="1"/>
  <c r="AL263" i="46" s="1"/>
  <c r="AL264" i="46" s="1"/>
  <c r="AL247" i="46"/>
  <c r="BZ599" i="50"/>
  <c r="BZ597" i="50"/>
  <c r="BZ1856" i="50"/>
  <c r="BZ1859" i="50"/>
  <c r="BZ1858" i="50"/>
  <c r="BZ1861" i="50"/>
  <c r="BZ1864" i="50"/>
  <c r="BZ1866" i="50"/>
  <c r="BZ1862" i="50"/>
  <c r="BZ1860" i="50"/>
  <c r="BZ1857" i="50"/>
  <c r="AR1132" i="50"/>
  <c r="BR1115" i="50"/>
  <c r="AO1132" i="50"/>
  <c r="AQ1132" i="50"/>
  <c r="K1453" i="50"/>
  <c r="AW671" i="50"/>
  <c r="Y996" i="50"/>
  <c r="AY996" i="50"/>
  <c r="AO1694" i="50"/>
  <c r="Y1371" i="50"/>
  <c r="AY1371" i="50" s="1"/>
  <c r="AR782" i="50"/>
  <c r="BS764" i="50"/>
  <c r="AF1721" i="50"/>
  <c r="AR1725" i="50"/>
  <c r="BP1709" i="50" s="1"/>
  <c r="AG1725" i="50"/>
  <c r="AJ1725" i="50"/>
  <c r="AX1725" i="50"/>
  <c r="AF1131" i="50"/>
  <c r="I398" i="50"/>
  <c r="AF1613" i="50"/>
  <c r="AN1613" i="50"/>
  <c r="AI1613" i="50"/>
  <c r="AJ1613" i="50" s="1"/>
  <c r="AP1613" i="50" s="1"/>
  <c r="AQ1613" i="50" s="1"/>
  <c r="AR1613" i="50"/>
  <c r="BJ1601" i="50" s="1"/>
  <c r="AO1613" i="50"/>
  <c r="AG1613" i="50"/>
  <c r="O623" i="52"/>
  <c r="Q623" i="52" s="1"/>
  <c r="D671" i="52"/>
  <c r="O671" i="52" s="1"/>
  <c r="Q671" i="52" s="1"/>
  <c r="AZ914" i="50"/>
  <c r="M914" i="50" s="1"/>
  <c r="BO899" i="50"/>
  <c r="BD1454" i="50"/>
  <c r="O622" i="52"/>
  <c r="Q622" i="52" s="1"/>
  <c r="K1427" i="50"/>
  <c r="AR778" i="50"/>
  <c r="BN764" i="50" s="1"/>
  <c r="D581" i="52"/>
  <c r="O533" i="52"/>
  <c r="Q533" i="52"/>
  <c r="AR344" i="50"/>
  <c r="BJ332" i="50" s="1"/>
  <c r="AI344" i="50"/>
  <c r="I344" i="50" s="1"/>
  <c r="AG344" i="50"/>
  <c r="AF344" i="50"/>
  <c r="O610" i="52"/>
  <c r="Q610" i="52" s="1"/>
  <c r="C658" i="52"/>
  <c r="O658" i="52" s="1"/>
  <c r="Q658" i="52" s="1"/>
  <c r="BK1223" i="50"/>
  <c r="K427" i="50"/>
  <c r="M427" i="50" s="1"/>
  <c r="AW427" i="50"/>
  <c r="I102" i="58"/>
  <c r="B36" i="57"/>
  <c r="Q371" i="52"/>
  <c r="G200" i="38"/>
  <c r="G278" i="52"/>
  <c r="BM1331" i="50"/>
  <c r="AP1344" i="50"/>
  <c r="AQ1344" i="50"/>
  <c r="AZ1264" i="50"/>
  <c r="M1264" i="50" s="1"/>
  <c r="BN1250" i="50"/>
  <c r="I509" i="50"/>
  <c r="AO1727" i="50"/>
  <c r="AQ1727" i="50"/>
  <c r="I1726" i="50"/>
  <c r="AO1726" i="50"/>
  <c r="AQ1726" i="50" s="1"/>
  <c r="AN1127" i="50"/>
  <c r="AR1127" i="50"/>
  <c r="BJ1115" i="50" s="1"/>
  <c r="AR1130" i="50"/>
  <c r="AW1130" i="50" s="1"/>
  <c r="I1130" i="50"/>
  <c r="AS1130" i="50"/>
  <c r="AT1130" i="50"/>
  <c r="AG1617" i="50"/>
  <c r="AO1617" i="50"/>
  <c r="AJ1617" i="50"/>
  <c r="I1617" i="50" s="1"/>
  <c r="AR1619" i="50"/>
  <c r="BS1601" i="50" s="1"/>
  <c r="BE1536" i="50"/>
  <c r="C650" i="52"/>
  <c r="O650" i="52" s="1"/>
  <c r="Q650" i="52" s="1"/>
  <c r="O602" i="52"/>
  <c r="Q602" i="52"/>
  <c r="AP564" i="50"/>
  <c r="AQ564" i="50"/>
  <c r="C510" i="52"/>
  <c r="AZ1670" i="50"/>
  <c r="M1670" i="50" s="1"/>
  <c r="BO1655" i="50"/>
  <c r="AO587" i="50"/>
  <c r="AF587" i="50"/>
  <c r="AI587" i="50"/>
  <c r="AJ587" i="50"/>
  <c r="BQ1871" i="50"/>
  <c r="AF325" i="58"/>
  <c r="BC1751" i="50"/>
  <c r="BE1751" i="50" s="1"/>
  <c r="O584" i="52"/>
  <c r="Q584" i="52"/>
  <c r="C632" i="52"/>
  <c r="AZ1456" i="50"/>
  <c r="M1456" i="50" s="1"/>
  <c r="BD888" i="50"/>
  <c r="BZ1058" i="50"/>
  <c r="BI926" i="50"/>
  <c r="AV1453" i="50"/>
  <c r="U68" i="60"/>
  <c r="H68" i="60"/>
  <c r="X71" i="60"/>
  <c r="K71" i="60"/>
  <c r="X70" i="60"/>
  <c r="K70" i="60"/>
  <c r="X67" i="60"/>
  <c r="K67" i="60"/>
  <c r="U59" i="60"/>
  <c r="H59" i="60"/>
  <c r="X69" i="60"/>
  <c r="K69" i="60"/>
  <c r="U51" i="60"/>
  <c r="H51" i="60"/>
  <c r="R55" i="60"/>
  <c r="E55" i="60"/>
  <c r="U57" i="60"/>
  <c r="H57" i="60"/>
  <c r="U64" i="60"/>
  <c r="H64" i="60"/>
  <c r="X54" i="60"/>
  <c r="K54" i="60"/>
  <c r="X60" i="60"/>
  <c r="K60" i="60"/>
  <c r="R59" i="60"/>
  <c r="E59" i="60"/>
  <c r="U60" i="60"/>
  <c r="H60" i="60"/>
  <c r="R56" i="60"/>
  <c r="E56" i="60"/>
  <c r="U65" i="60"/>
  <c r="H65" i="60"/>
  <c r="X58" i="60"/>
  <c r="K58" i="60"/>
  <c r="X66" i="60"/>
  <c r="K66" i="60"/>
  <c r="R68" i="60"/>
  <c r="E68" i="60"/>
  <c r="U73" i="60"/>
  <c r="H73" i="60"/>
  <c r="X57" i="60"/>
  <c r="K57" i="60"/>
  <c r="R51" i="60"/>
  <c r="E51" i="60"/>
  <c r="U58" i="60"/>
  <c r="H58" i="60"/>
  <c r="X56" i="60"/>
  <c r="K56" i="60"/>
  <c r="R58" i="60"/>
  <c r="E58" i="60"/>
  <c r="X68" i="60"/>
  <c r="K68" i="60"/>
  <c r="U53" i="60"/>
  <c r="H53" i="60"/>
  <c r="X55" i="60"/>
  <c r="K55" i="60"/>
  <c r="R60" i="60"/>
  <c r="E60" i="60"/>
  <c r="X52" i="60"/>
  <c r="K52" i="60"/>
  <c r="U54" i="60"/>
  <c r="H54" i="60"/>
  <c r="X53" i="60"/>
  <c r="K53" i="60"/>
  <c r="X72" i="60"/>
  <c r="K72" i="60"/>
  <c r="U56" i="60"/>
  <c r="H56" i="60"/>
  <c r="U70" i="60"/>
  <c r="H70" i="60"/>
  <c r="R72" i="60"/>
  <c r="E72" i="60"/>
  <c r="U55" i="60"/>
  <c r="H55" i="60"/>
  <c r="R53" i="60"/>
  <c r="E53" i="60"/>
  <c r="R65" i="60"/>
  <c r="E65" i="60"/>
  <c r="U72" i="60"/>
  <c r="H72" i="60"/>
  <c r="R57" i="60"/>
  <c r="E57" i="60"/>
  <c r="X64" i="60"/>
  <c r="K64" i="60"/>
  <c r="R52" i="60"/>
  <c r="E52" i="60" s="1"/>
  <c r="U71" i="60"/>
  <c r="H71" i="60" s="1"/>
  <c r="X73" i="60"/>
  <c r="K73" i="60" s="1"/>
  <c r="U66" i="60"/>
  <c r="H66" i="60" s="1"/>
  <c r="R69" i="60"/>
  <c r="E69" i="60" s="1"/>
  <c r="R64" i="60"/>
  <c r="E64" i="60" s="1"/>
  <c r="R67" i="60"/>
  <c r="E67" i="60" s="1"/>
  <c r="X65" i="60"/>
  <c r="K65" i="60" s="1"/>
  <c r="X51" i="60"/>
  <c r="K51" i="60" s="1"/>
  <c r="X59" i="60"/>
  <c r="K59" i="60" s="1"/>
  <c r="R73" i="60"/>
  <c r="E73" i="60" s="1"/>
  <c r="U52" i="60"/>
  <c r="H52" i="60" s="1"/>
  <c r="U69" i="60"/>
  <c r="H69" i="60" s="1"/>
  <c r="R66" i="60"/>
  <c r="E66" i="60" s="1"/>
  <c r="U67" i="60"/>
  <c r="H67" i="60" s="1"/>
  <c r="R54" i="60"/>
  <c r="E54" i="60" s="1"/>
  <c r="R70" i="60"/>
  <c r="E70" i="60" s="1"/>
  <c r="R71" i="60"/>
  <c r="E71" i="60" s="1"/>
  <c r="AF358" i="58"/>
  <c r="AG358" i="58" s="1"/>
  <c r="AF194" i="58"/>
  <c r="AF165" i="58"/>
  <c r="O531" i="52"/>
  <c r="Q531" i="52" s="1"/>
  <c r="C579" i="52"/>
  <c r="C627" i="52" s="1"/>
  <c r="AK1368" i="50"/>
  <c r="BD1370" i="50"/>
  <c r="BE1370" i="50"/>
  <c r="BC1372" i="50"/>
  <c r="C467" i="52"/>
  <c r="C515" i="52" s="1"/>
  <c r="O419" i="52"/>
  <c r="Q419" i="52"/>
  <c r="AF776" i="50"/>
  <c r="AR776" i="50"/>
  <c r="BJ764" i="50" s="1"/>
  <c r="AG776" i="50"/>
  <c r="AN776" i="50"/>
  <c r="AO776" i="50"/>
  <c r="AI776" i="50"/>
  <c r="I776" i="50"/>
  <c r="AF1989" i="50"/>
  <c r="AS1989" i="50"/>
  <c r="AT1989" i="50" s="1"/>
  <c r="AC1992" i="50"/>
  <c r="AG1992" i="50" s="1"/>
  <c r="AG1989" i="50"/>
  <c r="AH1989" i="50" s="1"/>
  <c r="AP1989" i="50" s="1"/>
  <c r="AI1989" i="50"/>
  <c r="I1989" i="50"/>
  <c r="AC1994" i="50"/>
  <c r="AR1994" i="50"/>
  <c r="BO1979" i="50" s="1"/>
  <c r="AC1996" i="50"/>
  <c r="I1996" i="50" s="1"/>
  <c r="AC1993" i="50"/>
  <c r="I1993" i="50" s="1"/>
  <c r="AC1997" i="50"/>
  <c r="AO1997" i="50" s="1"/>
  <c r="AQ1997" i="50" s="1"/>
  <c r="AV1997" i="50" s="1"/>
  <c r="AC1995" i="50"/>
  <c r="AR1995" i="50" s="1"/>
  <c r="BP1979" i="50" s="1"/>
  <c r="AC1991" i="50"/>
  <c r="AF1991" i="50"/>
  <c r="BR737" i="50"/>
  <c r="AZ754" i="50"/>
  <c r="AZ755" i="50"/>
  <c r="BC753" i="50"/>
  <c r="BD753" i="50" s="1"/>
  <c r="AR1133" i="50"/>
  <c r="BS1115" i="50" s="1"/>
  <c r="O614" i="52"/>
  <c r="Q614" i="52"/>
  <c r="C662" i="52"/>
  <c r="O662" i="52"/>
  <c r="Q662" i="52" s="1"/>
  <c r="AR1616" i="50"/>
  <c r="BO1601" i="50" s="1"/>
  <c r="I1611" i="50"/>
  <c r="AF1614" i="50"/>
  <c r="AO1614" i="50"/>
  <c r="AN1614" i="50"/>
  <c r="AJ1614" i="50"/>
  <c r="AP1614" i="50" s="1"/>
  <c r="AQ1614" i="50" s="1"/>
  <c r="K1614" i="50" s="1"/>
  <c r="AG1614" i="50"/>
  <c r="AR1614" i="50"/>
  <c r="BC1617" i="50" s="1"/>
  <c r="BD1617" i="50" s="1"/>
  <c r="BL899" i="50"/>
  <c r="BS548" i="50"/>
  <c r="BM197" i="50"/>
  <c r="AZ1588" i="50"/>
  <c r="M1588" i="50"/>
  <c r="C567" i="52"/>
  <c r="O519" i="52"/>
  <c r="Q519" i="52" s="1"/>
  <c r="BM251" i="50"/>
  <c r="I264" i="50"/>
  <c r="BE1455" i="50"/>
  <c r="BC212" i="50"/>
  <c r="BE212" i="50" s="1"/>
  <c r="BM1115" i="50"/>
  <c r="AP1128" i="50"/>
  <c r="AQ1128" i="50"/>
  <c r="BC1131" i="50"/>
  <c r="BE1131" i="50"/>
  <c r="BZ1488" i="50"/>
  <c r="BZ1758" i="50"/>
  <c r="BZ1974" i="50"/>
  <c r="BZ1733" i="50"/>
  <c r="BZ1947" i="50"/>
  <c r="BZ1868" i="50"/>
  <c r="BM1601" i="50"/>
  <c r="AG1991" i="50"/>
  <c r="AO1991" i="50"/>
  <c r="D629" i="52"/>
  <c r="O581" i="52"/>
  <c r="Q581" i="52" s="1"/>
  <c r="O567" i="52"/>
  <c r="Q567" i="52"/>
  <c r="C615" i="52"/>
  <c r="AF1992" i="50"/>
  <c r="BL1601" i="50"/>
  <c r="AJ1989" i="50"/>
  <c r="BI1979" i="50"/>
  <c r="O467" i="52"/>
  <c r="Q467" i="52" s="1"/>
  <c r="C680" i="52"/>
  <c r="O680" i="52"/>
  <c r="Q680" i="52" s="1"/>
  <c r="O632" i="52"/>
  <c r="Q632" i="52" s="1"/>
  <c r="C558" i="52"/>
  <c r="O510" i="52"/>
  <c r="Q510" i="52"/>
  <c r="O579" i="52"/>
  <c r="Q579" i="52" s="1"/>
  <c r="AP1725" i="50"/>
  <c r="AQ1725" i="50"/>
  <c r="D677" i="52"/>
  <c r="O677" i="52" s="1"/>
  <c r="Q677" i="52" s="1"/>
  <c r="O629" i="52"/>
  <c r="Q629" i="52"/>
  <c r="O558" i="52"/>
  <c r="Q558" i="52" s="1"/>
  <c r="C606" i="52"/>
  <c r="O606" i="52" s="1"/>
  <c r="Q606" i="52" s="1"/>
  <c r="C663" i="52"/>
  <c r="O663" i="52" s="1"/>
  <c r="Q663" i="52" s="1"/>
  <c r="O615" i="52"/>
  <c r="Q615" i="52"/>
  <c r="AU8" i="61"/>
  <c r="AX8" i="61"/>
  <c r="I8" i="61"/>
  <c r="O8" i="61"/>
  <c r="L8" i="61"/>
  <c r="P8" i="61"/>
  <c r="N8" i="61"/>
  <c r="O11" i="61"/>
  <c r="N11" i="61"/>
  <c r="H11" i="61"/>
  <c r="F11" i="61"/>
  <c r="T10" i="61"/>
  <c r="K10" i="61"/>
  <c r="R10" i="61"/>
  <c r="G10" i="61"/>
  <c r="D10" i="61"/>
  <c r="L9" i="61"/>
  <c r="AU9" i="61"/>
  <c r="Q9" i="61"/>
  <c r="AV11" i="61"/>
  <c r="H9" i="61"/>
  <c r="T9" i="61"/>
  <c r="AW12" i="61"/>
  <c r="M10" i="61"/>
  <c r="H10" i="61"/>
  <c r="D12" i="61"/>
  <c r="H12" i="61"/>
  <c r="AU12" i="61"/>
  <c r="N12" i="61"/>
  <c r="K12" i="61"/>
  <c r="P12" i="61"/>
  <c r="AV12" i="61"/>
  <c r="S12" i="61"/>
  <c r="R12" i="61"/>
  <c r="Q12" i="61"/>
  <c r="L12" i="61"/>
  <c r="AX12" i="61"/>
  <c r="L7" i="61"/>
  <c r="J7" i="61"/>
  <c r="D7" i="61"/>
  <c r="F7" i="61"/>
  <c r="N7" i="61"/>
  <c r="M7" i="61"/>
  <c r="Q7" i="61"/>
  <c r="T7" i="61"/>
  <c r="U7" i="61"/>
  <c r="H7" i="61"/>
  <c r="P7" i="61"/>
  <c r="AX7" i="61"/>
  <c r="I7" i="61"/>
  <c r="AV7" i="61"/>
  <c r="U10" i="61"/>
  <c r="S10" i="61"/>
  <c r="AW10" i="61"/>
  <c r="AX10" i="61"/>
  <c r="Q10" i="61"/>
  <c r="AY10" i="61"/>
  <c r="I10" i="61"/>
  <c r="L10" i="61"/>
  <c r="J10" i="61"/>
  <c r="G9" i="61"/>
  <c r="O9" i="61"/>
  <c r="D9" i="61"/>
  <c r="P9" i="61"/>
  <c r="AY9" i="61"/>
  <c r="S9" i="61"/>
  <c r="K9" i="61"/>
  <c r="AW9" i="61"/>
  <c r="N10" i="61"/>
  <c r="G12" i="61"/>
  <c r="R9" i="61"/>
  <c r="AX9" i="61"/>
  <c r="E9" i="61"/>
  <c r="AV9" i="61"/>
  <c r="N9" i="61"/>
  <c r="M9" i="61"/>
  <c r="M12" i="61"/>
  <c r="AY12" i="61"/>
  <c r="E12" i="61"/>
  <c r="F12" i="61"/>
  <c r="P10" i="61"/>
  <c r="R7" i="61"/>
  <c r="F9" i="61"/>
  <c r="AV10" i="61"/>
  <c r="E10" i="61"/>
  <c r="AU10" i="61"/>
  <c r="O7" i="61"/>
  <c r="AU7" i="61"/>
  <c r="AW7" i="61"/>
  <c r="J9" i="61"/>
  <c r="K7" i="61"/>
  <c r="O10" i="61"/>
  <c r="S11" i="61"/>
  <c r="AW11" i="61"/>
  <c r="J11" i="61"/>
  <c r="I11" i="61"/>
  <c r="M11" i="61"/>
  <c r="G11" i="61"/>
  <c r="U11" i="61"/>
  <c r="AX11" i="61"/>
  <c r="O12" i="61"/>
  <c r="T12" i="61"/>
  <c r="I12" i="61"/>
  <c r="H8" i="61"/>
  <c r="J8" i="61"/>
  <c r="D8" i="61"/>
  <c r="P11" i="61"/>
  <c r="R11" i="61"/>
  <c r="AU11" i="61"/>
  <c r="K11" i="61"/>
  <c r="E11" i="61"/>
  <c r="AY11" i="61"/>
  <c r="Q11" i="61"/>
  <c r="D11" i="61"/>
  <c r="W160" i="50"/>
  <c r="W161" i="50"/>
  <c r="V1241" i="50"/>
  <c r="W1241" i="50" s="1"/>
  <c r="AC1833" i="50"/>
  <c r="AX726" i="50"/>
  <c r="AH1044" i="50"/>
  <c r="AP1044" i="50" s="1"/>
  <c r="AP1665" i="50"/>
  <c r="AC803" i="50"/>
  <c r="I1725" i="50"/>
  <c r="I587" i="50"/>
  <c r="I1395" i="50"/>
  <c r="Q1361" i="50"/>
  <c r="BC1370" i="50"/>
  <c r="BD1371" i="50"/>
  <c r="Q1368" i="50"/>
  <c r="Q1367" i="50"/>
  <c r="R1367" i="50"/>
  <c r="BW1358" i="50" s="1"/>
  <c r="AE194" i="58"/>
  <c r="AT186" i="58" s="1"/>
  <c r="AC1399" i="50"/>
  <c r="I1399" i="50" s="1"/>
  <c r="AK69" i="58"/>
  <c r="M69" i="58" s="1"/>
  <c r="Y997" i="50"/>
  <c r="AY997" i="50" s="1"/>
  <c r="K200" i="58"/>
  <c r="M200" i="58" s="1"/>
  <c r="BD780" i="50"/>
  <c r="AZ1426" i="50"/>
  <c r="M1426" i="50" s="1"/>
  <c r="AO803" i="50"/>
  <c r="AV939" i="50"/>
  <c r="M939" i="50"/>
  <c r="BS1790" i="50"/>
  <c r="AN807" i="50"/>
  <c r="AG807" i="50"/>
  <c r="AW2076" i="50"/>
  <c r="AT2076" i="50"/>
  <c r="AV186" i="50"/>
  <c r="K186" i="50"/>
  <c r="I699" i="50"/>
  <c r="AX699" i="50"/>
  <c r="AS1962" i="50"/>
  <c r="AT1962" i="50"/>
  <c r="AI1962" i="50"/>
  <c r="AC1968" i="50"/>
  <c r="AC1966" i="50"/>
  <c r="AX2076" i="50"/>
  <c r="BQ2060" i="50"/>
  <c r="BC1185" i="50"/>
  <c r="BR1169" i="50"/>
  <c r="AZ1105" i="50"/>
  <c r="AZ1106" i="50"/>
  <c r="BZ1567" i="50"/>
  <c r="BZ1565" i="50"/>
  <c r="AZ185" i="50"/>
  <c r="M185" i="50" s="1"/>
  <c r="BO170" i="50"/>
  <c r="AW185" i="50"/>
  <c r="AR457" i="50"/>
  <c r="AS457" i="50"/>
  <c r="AT457" i="50"/>
  <c r="AG452" i="50"/>
  <c r="AF452" i="50"/>
  <c r="AR452" i="50"/>
  <c r="BJ440" i="50"/>
  <c r="AO452" i="50"/>
  <c r="AF1424" i="50"/>
  <c r="AR1424" i="50"/>
  <c r="BJ1412" i="50"/>
  <c r="AI1424" i="50"/>
  <c r="AJ1424" i="50"/>
  <c r="AG1424" i="50"/>
  <c r="AO1424" i="50"/>
  <c r="AO1429" i="50"/>
  <c r="AQ1429" i="50"/>
  <c r="I1429" i="50"/>
  <c r="BI1412" i="50"/>
  <c r="AG1428" i="50"/>
  <c r="AO1428" i="50"/>
  <c r="AR1428" i="50"/>
  <c r="BP1412" i="50" s="1"/>
  <c r="AF1428" i="50"/>
  <c r="AJ696" i="50"/>
  <c r="AN696" i="50"/>
  <c r="AF696" i="50"/>
  <c r="AO696" i="50"/>
  <c r="AR696" i="50"/>
  <c r="I700" i="50"/>
  <c r="AO700" i="50"/>
  <c r="AQ700" i="50"/>
  <c r="AV700" i="50" s="1"/>
  <c r="AR700" i="50"/>
  <c r="BR683" i="50" s="1"/>
  <c r="I697" i="50"/>
  <c r="AR697" i="50"/>
  <c r="AS697" i="50"/>
  <c r="AT697" i="50" s="1"/>
  <c r="AG942" i="50"/>
  <c r="AR942" i="50"/>
  <c r="BP926" i="50"/>
  <c r="AO942" i="50"/>
  <c r="AN942" i="50"/>
  <c r="AJ942" i="50"/>
  <c r="AO943" i="50"/>
  <c r="AQ943" i="50" s="1"/>
  <c r="AR943" i="50"/>
  <c r="I944" i="50"/>
  <c r="AR944" i="50"/>
  <c r="AS944" i="50"/>
  <c r="AT944" i="50"/>
  <c r="AR940" i="50"/>
  <c r="AS940" i="50"/>
  <c r="AT940" i="50" s="1"/>
  <c r="BZ163" i="50"/>
  <c r="BZ159" i="50"/>
  <c r="BZ158" i="50"/>
  <c r="BZ161" i="50"/>
  <c r="BZ160" i="50"/>
  <c r="BZ156" i="50"/>
  <c r="BR1628" i="50"/>
  <c r="BC1643" i="50"/>
  <c r="BD1643" i="50"/>
  <c r="AP2072" i="50"/>
  <c r="AQ2072" i="50" s="1"/>
  <c r="AX2072" i="50"/>
  <c r="BR251" i="50"/>
  <c r="AZ269" i="50"/>
  <c r="M269" i="50" s="1"/>
  <c r="BL359" i="50"/>
  <c r="AZ373" i="50"/>
  <c r="M373" i="50"/>
  <c r="BN359" i="50"/>
  <c r="AW373" i="50"/>
  <c r="BE1103" i="50"/>
  <c r="BD1103" i="50"/>
  <c r="BQ818" i="50"/>
  <c r="AX834" i="50"/>
  <c r="AP834" i="50"/>
  <c r="AQ834" i="50"/>
  <c r="BS359" i="50"/>
  <c r="AW377" i="50"/>
  <c r="AW1159" i="50"/>
  <c r="AZ1159" i="50"/>
  <c r="BC1157" i="50"/>
  <c r="BC1158" i="50"/>
  <c r="AJ855" i="50"/>
  <c r="BI845" i="50" s="1"/>
  <c r="I855" i="50"/>
  <c r="AS859" i="50"/>
  <c r="AT859" i="50"/>
  <c r="AR859" i="50"/>
  <c r="AO857" i="50"/>
  <c r="AN857" i="50"/>
  <c r="AI857" i="50"/>
  <c r="AG857" i="50"/>
  <c r="I860" i="50"/>
  <c r="AR860" i="50"/>
  <c r="AZ860" i="50"/>
  <c r="M860" i="50" s="1"/>
  <c r="AS860" i="50"/>
  <c r="AT860" i="50" s="1"/>
  <c r="BZ1596" i="50"/>
  <c r="BZ1598" i="50"/>
  <c r="I371" i="50"/>
  <c r="AJ371" i="50"/>
  <c r="AX371" i="50"/>
  <c r="BM1142" i="50"/>
  <c r="I1155" i="50"/>
  <c r="AP1155" i="50"/>
  <c r="AQ1155" i="50" s="1"/>
  <c r="BS818" i="50"/>
  <c r="AZ836" i="50"/>
  <c r="AZ835" i="50"/>
  <c r="AS1505" i="50"/>
  <c r="AT1505" i="50" s="1"/>
  <c r="K1505" i="50"/>
  <c r="M1505" i="50" s="1"/>
  <c r="AP101" i="58"/>
  <c r="AP100" i="58"/>
  <c r="AP102" i="58"/>
  <c r="AW506" i="50"/>
  <c r="AS506" i="50"/>
  <c r="AT506" i="50" s="1"/>
  <c r="AV506" i="50"/>
  <c r="AW267" i="50"/>
  <c r="AS267" i="50"/>
  <c r="AT267" i="50" s="1"/>
  <c r="K267" i="50"/>
  <c r="BQ278" i="50"/>
  <c r="AP294" i="50"/>
  <c r="AQ294" i="50" s="1"/>
  <c r="AE103" i="58"/>
  <c r="AY90" i="58" s="1"/>
  <c r="AF103" i="58"/>
  <c r="AG103" i="58" s="1"/>
  <c r="K1509" i="50"/>
  <c r="AW1509" i="50"/>
  <c r="AS1509" i="50"/>
  <c r="AT1509" i="50" s="1"/>
  <c r="BZ1031" i="50"/>
  <c r="BZ1029" i="50"/>
  <c r="AR1962" i="50"/>
  <c r="BH1952" i="50" s="1"/>
  <c r="M1962" i="50"/>
  <c r="AY1964" i="50"/>
  <c r="AC1964" i="50"/>
  <c r="BZ1964" i="50"/>
  <c r="AY1967" i="50"/>
  <c r="AC1967" i="50"/>
  <c r="BZ1967" i="50"/>
  <c r="AY1970" i="50"/>
  <c r="BZ1970" i="50"/>
  <c r="AC1965" i="50"/>
  <c r="AY588" i="50"/>
  <c r="BZ588" i="50"/>
  <c r="AC593" i="50"/>
  <c r="AC592" i="50"/>
  <c r="AI585" i="50"/>
  <c r="AG585" i="50"/>
  <c r="AH585" i="50" s="1"/>
  <c r="AR1833" i="50"/>
  <c r="BP1817" i="50" s="1"/>
  <c r="AY1829" i="50"/>
  <c r="AC1829" i="50"/>
  <c r="BO1682" i="50"/>
  <c r="AZ1697" i="50"/>
  <c r="M1697" i="50"/>
  <c r="AS1185" i="50"/>
  <c r="AT1185" i="50"/>
  <c r="AW1185" i="50"/>
  <c r="K1185" i="50"/>
  <c r="AO1052" i="50"/>
  <c r="AQ1052" i="50" s="1"/>
  <c r="AS1052" i="50" s="1"/>
  <c r="AT1052" i="50" s="1"/>
  <c r="AR1052" i="50"/>
  <c r="I1052" i="50"/>
  <c r="AR1047" i="50"/>
  <c r="AJ1047" i="50"/>
  <c r="AO1047" i="50"/>
  <c r="AG1047" i="50"/>
  <c r="AP1152" i="50"/>
  <c r="I1316" i="50"/>
  <c r="AJ1316" i="50"/>
  <c r="AO1586" i="50"/>
  <c r="AN1586" i="50"/>
  <c r="AG1586" i="50"/>
  <c r="AF1586" i="50"/>
  <c r="I2075" i="50"/>
  <c r="AR2075" i="50"/>
  <c r="BD1698" i="50"/>
  <c r="BE1698" i="50"/>
  <c r="AG534" i="50"/>
  <c r="AJ534" i="50"/>
  <c r="AN534" i="50"/>
  <c r="AR534" i="50"/>
  <c r="AY809" i="50"/>
  <c r="AC809" i="50"/>
  <c r="AR1184" i="50"/>
  <c r="AS1184" i="50"/>
  <c r="AT1184" i="50" s="1"/>
  <c r="I1184" i="50"/>
  <c r="AR1187" i="50"/>
  <c r="AO1187" i="50"/>
  <c r="AQ1187" i="50" s="1"/>
  <c r="AJ425" i="50"/>
  <c r="I425" i="50"/>
  <c r="AF375" i="50"/>
  <c r="AO375" i="50"/>
  <c r="AJ375" i="50"/>
  <c r="AR375" i="50"/>
  <c r="BP359" i="50"/>
  <c r="AN375" i="50"/>
  <c r="AY1561" i="50"/>
  <c r="AC1561" i="50"/>
  <c r="AS1561" i="50"/>
  <c r="AT1561" i="50" s="1"/>
  <c r="AY1563" i="50"/>
  <c r="BZ1563" i="50"/>
  <c r="AC1563" i="50"/>
  <c r="AY1559" i="50"/>
  <c r="BZ1559" i="50"/>
  <c r="AY1560" i="50"/>
  <c r="BZ1560" i="50"/>
  <c r="AO674" i="50"/>
  <c r="AQ674" i="50"/>
  <c r="AS674" i="50" s="1"/>
  <c r="AT674" i="50"/>
  <c r="I674" i="50"/>
  <c r="AR669" i="50"/>
  <c r="AJ669" i="50"/>
  <c r="AO669" i="50"/>
  <c r="AN669" i="50"/>
  <c r="AG669" i="50"/>
  <c r="AF669" i="50"/>
  <c r="I670" i="50"/>
  <c r="AR670" i="50"/>
  <c r="AR376" i="50"/>
  <c r="AO376" i="50"/>
  <c r="AQ376" i="50"/>
  <c r="I376" i="50"/>
  <c r="AS376" i="50"/>
  <c r="AT376" i="50" s="1"/>
  <c r="K615" i="50"/>
  <c r="M615" i="50" s="1"/>
  <c r="AS615" i="50"/>
  <c r="AT615" i="50" s="1"/>
  <c r="AV615" i="50"/>
  <c r="AO1322" i="50"/>
  <c r="AQ1322" i="50"/>
  <c r="AR1322" i="50"/>
  <c r="BS1304" i="50"/>
  <c r="I1322" i="50"/>
  <c r="AO1317" i="50"/>
  <c r="AJ1317" i="50"/>
  <c r="AR1317" i="50"/>
  <c r="AF1317" i="50"/>
  <c r="AG1317" i="50"/>
  <c r="AN1317" i="50"/>
  <c r="AO1321" i="50"/>
  <c r="AQ1321" i="50" s="1"/>
  <c r="AS1321" i="50" s="1"/>
  <c r="AR1321" i="50"/>
  <c r="AT1321" i="50"/>
  <c r="BI1304" i="50"/>
  <c r="AX1316" i="50"/>
  <c r="AJ723" i="50"/>
  <c r="AO723" i="50"/>
  <c r="AF723" i="50"/>
  <c r="AR723" i="50"/>
  <c r="AG723" i="50"/>
  <c r="AJ560" i="50"/>
  <c r="I560" i="50"/>
  <c r="AR1640" i="50"/>
  <c r="BJ1628" i="50" s="1"/>
  <c r="AG1640" i="50"/>
  <c r="AF1640" i="50"/>
  <c r="AO1640" i="50"/>
  <c r="AN1640" i="50"/>
  <c r="AO538" i="50"/>
  <c r="AQ538" i="50" s="1"/>
  <c r="I538" i="50"/>
  <c r="AR537" i="50"/>
  <c r="BP521" i="50"/>
  <c r="AG537" i="50"/>
  <c r="AN537" i="50"/>
  <c r="AJ537" i="50"/>
  <c r="AF537" i="50"/>
  <c r="AP831" i="50"/>
  <c r="AQ831" i="50"/>
  <c r="I831" i="50"/>
  <c r="I644" i="50"/>
  <c r="AS644" i="50"/>
  <c r="AT644" i="50"/>
  <c r="AR644" i="50"/>
  <c r="I296" i="50"/>
  <c r="AR296" i="50"/>
  <c r="AO290" i="50"/>
  <c r="AR290" i="50"/>
  <c r="BJ278" i="50" s="1"/>
  <c r="AF290" i="50"/>
  <c r="AI290" i="50"/>
  <c r="BQ1088" i="50"/>
  <c r="AP1104" i="50"/>
  <c r="AQ1104" i="50"/>
  <c r="I1104" i="50"/>
  <c r="AX1104" i="50"/>
  <c r="I288" i="50"/>
  <c r="AJ288" i="50"/>
  <c r="AO484" i="50"/>
  <c r="AQ484" i="50"/>
  <c r="I484" i="50"/>
  <c r="AN1020" i="50"/>
  <c r="AR1020" i="50"/>
  <c r="AO1020" i="50"/>
  <c r="AG1020" i="50"/>
  <c r="AJ1020" i="50"/>
  <c r="AF1020" i="50"/>
  <c r="AV1051" i="50"/>
  <c r="AS1051" i="50"/>
  <c r="AT1051" i="50"/>
  <c r="BD1670" i="50"/>
  <c r="BE1670" i="50"/>
  <c r="AC1484" i="50"/>
  <c r="AS1476" i="50"/>
  <c r="AT1476" i="50" s="1"/>
  <c r="AC1482" i="50"/>
  <c r="AC1478" i="50"/>
  <c r="AC1481" i="50"/>
  <c r="AC1480" i="50"/>
  <c r="AC1483" i="50"/>
  <c r="AG1476" i="50"/>
  <c r="AI1476" i="50"/>
  <c r="AF1476" i="50"/>
  <c r="AH1476" i="50"/>
  <c r="H71" i="62"/>
  <c r="W1402" i="50"/>
  <c r="V1403" i="50"/>
  <c r="W1403" i="50"/>
  <c r="AW1994" i="50"/>
  <c r="BQ1709" i="50"/>
  <c r="I1613" i="50"/>
  <c r="BC1616" i="50"/>
  <c r="BE1616" i="50" s="1"/>
  <c r="AG1995" i="50"/>
  <c r="AW778" i="50"/>
  <c r="BZ410" i="50"/>
  <c r="AP210" i="50"/>
  <c r="AQ210" i="50"/>
  <c r="BC915" i="50"/>
  <c r="BD915" i="50"/>
  <c r="BC914" i="50"/>
  <c r="BE914" i="50"/>
  <c r="I1125" i="50"/>
  <c r="AO1133" i="50"/>
  <c r="AQ1133" i="50" s="1"/>
  <c r="K1133" i="50"/>
  <c r="BC752" i="50"/>
  <c r="AY1403" i="50"/>
  <c r="I1724" i="50"/>
  <c r="BC1752" i="50"/>
  <c r="BD1752" i="50" s="1"/>
  <c r="AY1402" i="50"/>
  <c r="AR587" i="50"/>
  <c r="BJ575" i="50"/>
  <c r="AN587" i="50"/>
  <c r="BC645" i="50"/>
  <c r="BE645" i="50" s="1"/>
  <c r="I564" i="50"/>
  <c r="AW1454" i="50"/>
  <c r="I1619" i="50"/>
  <c r="AR350" i="50"/>
  <c r="BS332" i="50"/>
  <c r="AO782" i="50"/>
  <c r="AQ782" i="50"/>
  <c r="AN1694" i="50"/>
  <c r="AZ1319" i="50"/>
  <c r="M1319" i="50" s="1"/>
  <c r="AZ1916" i="50"/>
  <c r="M1916" i="50" s="1"/>
  <c r="AY1400" i="50"/>
  <c r="BZ1969" i="50"/>
  <c r="W889" i="50"/>
  <c r="AW1051" i="50"/>
  <c r="AG290" i="50"/>
  <c r="I1319" i="50"/>
  <c r="AW1697" i="50"/>
  <c r="AC588" i="50"/>
  <c r="BZ587" i="50"/>
  <c r="BK2060" i="50"/>
  <c r="AS943" i="50"/>
  <c r="AT943" i="50" s="1"/>
  <c r="AS484" i="50"/>
  <c r="AT484" i="50" s="1"/>
  <c r="AW483" i="50"/>
  <c r="BE1859" i="50"/>
  <c r="AJ1428" i="50"/>
  <c r="AR1429" i="50"/>
  <c r="AW2018" i="50"/>
  <c r="BZ1561" i="50"/>
  <c r="W1537" i="50"/>
  <c r="BS1088" i="50"/>
  <c r="AS700" i="50"/>
  <c r="AT700" i="50" s="1"/>
  <c r="AJ801" i="50"/>
  <c r="AO807" i="50"/>
  <c r="AX722" i="50"/>
  <c r="AC1969" i="50"/>
  <c r="AR1831" i="50"/>
  <c r="I1831" i="50"/>
  <c r="AC590" i="50"/>
  <c r="AR590" i="50"/>
  <c r="AZ590" i="50" s="1"/>
  <c r="M590" i="50" s="1"/>
  <c r="AS585" i="50"/>
  <c r="AT585" i="50"/>
  <c r="AC589" i="50"/>
  <c r="BI1142" i="50"/>
  <c r="AF1962" i="50"/>
  <c r="AH1962" i="50"/>
  <c r="AC1834" i="50"/>
  <c r="AR1834" i="50"/>
  <c r="AV808" i="50"/>
  <c r="AJ1640" i="50"/>
  <c r="BK1628" i="50" s="1"/>
  <c r="K970" i="50"/>
  <c r="BI953" i="50"/>
  <c r="AJ1046" i="50"/>
  <c r="I457" i="50"/>
  <c r="AJ182" i="50"/>
  <c r="AX182" i="50" s="1"/>
  <c r="AS458" i="50"/>
  <c r="AT458" i="50" s="1"/>
  <c r="AW458" i="50"/>
  <c r="AI452" i="50"/>
  <c r="I1422" i="50"/>
  <c r="I940" i="50"/>
  <c r="AF942" i="50"/>
  <c r="AS209" i="50"/>
  <c r="AT209" i="50" s="1"/>
  <c r="AV209" i="50"/>
  <c r="K1644" i="50"/>
  <c r="M1644" i="50" s="1"/>
  <c r="AZ268" i="50"/>
  <c r="I834" i="50"/>
  <c r="AV1159" i="50"/>
  <c r="AJ830" i="50"/>
  <c r="BC1644" i="50"/>
  <c r="BE1644" i="50" s="1"/>
  <c r="AF857" i="50"/>
  <c r="I294" i="50"/>
  <c r="AZ1160" i="50"/>
  <c r="M1160" i="50" s="1"/>
  <c r="AI1586" i="50"/>
  <c r="I720" i="50"/>
  <c r="I1152" i="50"/>
  <c r="AC582" i="50"/>
  <c r="AF1047" i="50"/>
  <c r="I1187" i="50"/>
  <c r="AS2075" i="50"/>
  <c r="AT2075" i="50"/>
  <c r="AG1803" i="50"/>
  <c r="AF1803" i="50"/>
  <c r="I1800" i="50"/>
  <c r="AJ1800" i="50"/>
  <c r="AS1804" i="50"/>
  <c r="AT1804" i="50" s="1"/>
  <c r="AR1804" i="50"/>
  <c r="BN1790" i="50" s="1"/>
  <c r="BD1697" i="50"/>
  <c r="AO534" i="50"/>
  <c r="BZ801" i="50"/>
  <c r="BZ808" i="50" s="1"/>
  <c r="AJ666" i="50"/>
  <c r="AG375" i="50"/>
  <c r="AS670" i="50"/>
  <c r="AT670" i="50" s="1"/>
  <c r="I1314" i="50"/>
  <c r="AR538" i="50"/>
  <c r="BR521" i="50" s="1"/>
  <c r="AW1916" i="50"/>
  <c r="AO537" i="50"/>
  <c r="BL278" i="50"/>
  <c r="BI737" i="50"/>
  <c r="AF966" i="50"/>
  <c r="AO296" i="50"/>
  <c r="AQ296" i="50" s="1"/>
  <c r="AF167" i="58"/>
  <c r="AG167" i="58" s="1"/>
  <c r="AR484" i="50"/>
  <c r="AC1479" i="50"/>
  <c r="AJ1479" i="50"/>
  <c r="M1213" i="50"/>
  <c r="AC1830" i="50"/>
  <c r="M1667" i="50"/>
  <c r="AX1158" i="50"/>
  <c r="H2094" i="50"/>
  <c r="G72" i="62"/>
  <c r="H70" i="62"/>
  <c r="AC1562" i="50"/>
  <c r="I1562" i="50" s="1"/>
  <c r="BC833" i="50"/>
  <c r="BD833" i="50" s="1"/>
  <c r="AH855" i="50"/>
  <c r="AP855" i="50" s="1"/>
  <c r="AW1614" i="50"/>
  <c r="M1614" i="50"/>
  <c r="AW1537" i="50"/>
  <c r="AS1537" i="50"/>
  <c r="AT1537" i="50" s="1"/>
  <c r="K1537" i="50"/>
  <c r="M1537" i="50" s="1"/>
  <c r="AV1537" i="50"/>
  <c r="BL1898" i="50"/>
  <c r="AW1911" i="50"/>
  <c r="BC1914" i="50"/>
  <c r="BL1493" i="50"/>
  <c r="BC1508" i="50"/>
  <c r="BC1509" i="50"/>
  <c r="AZ1133" i="50"/>
  <c r="BO1115" i="50"/>
  <c r="BE753" i="50"/>
  <c r="I1614" i="50"/>
  <c r="Y1376" i="50"/>
  <c r="AY1376" i="50" s="1"/>
  <c r="AI1694" i="50"/>
  <c r="AP722" i="50"/>
  <c r="AQ722" i="50" s="1"/>
  <c r="I1834" i="50"/>
  <c r="I1997" i="50"/>
  <c r="AO1992" i="50"/>
  <c r="AZ1618" i="50"/>
  <c r="M1618" i="50"/>
  <c r="AI1991" i="50"/>
  <c r="AK102" i="58"/>
  <c r="AA69" i="58"/>
  <c r="R989" i="50"/>
  <c r="BW980" i="50" s="1"/>
  <c r="N980" i="50"/>
  <c r="BT980" i="50" s="1"/>
  <c r="AH1719" i="50"/>
  <c r="AP1719" i="50" s="1"/>
  <c r="AN1964" i="50"/>
  <c r="AJ1563" i="50"/>
  <c r="BQ1547" i="50"/>
  <c r="AJ1557" i="50"/>
  <c r="BI1547" i="50"/>
  <c r="I1557" i="50"/>
  <c r="AJ1881" i="50"/>
  <c r="AX1887" i="50" s="1"/>
  <c r="M1887" i="50" s="1"/>
  <c r="I1881" i="50"/>
  <c r="AR1885" i="50"/>
  <c r="AS1885" i="50"/>
  <c r="AT1885" i="50" s="1"/>
  <c r="AO1883" i="50"/>
  <c r="AR1883" i="50"/>
  <c r="BJ1871" i="50"/>
  <c r="AR1889" i="50"/>
  <c r="I1889" i="50"/>
  <c r="AP1611" i="50"/>
  <c r="AC1397" i="50"/>
  <c r="BK224" i="50"/>
  <c r="AP236" i="50"/>
  <c r="AQ236" i="50" s="1"/>
  <c r="BK1142" i="50"/>
  <c r="AX1154" i="50"/>
  <c r="AF1964" i="50"/>
  <c r="AO1964" i="50"/>
  <c r="AG1965" i="50"/>
  <c r="AN804" i="50"/>
  <c r="AF804" i="50"/>
  <c r="AZ1804" i="50"/>
  <c r="M1804" i="50"/>
  <c r="AW1804" i="50"/>
  <c r="AW970" i="50"/>
  <c r="BR953" i="50"/>
  <c r="I695" i="50"/>
  <c r="AJ695" i="50"/>
  <c r="AZ940" i="50"/>
  <c r="M940" i="50" s="1"/>
  <c r="BM683" i="50"/>
  <c r="I696" i="50"/>
  <c r="BD1185" i="50"/>
  <c r="BE1185" i="50"/>
  <c r="AP1158" i="50"/>
  <c r="AQ1158" i="50" s="1"/>
  <c r="I1804" i="50"/>
  <c r="AO1803" i="50"/>
  <c r="AJ1803" i="50"/>
  <c r="BI1169" i="50"/>
  <c r="I2076" i="50"/>
  <c r="AC1559" i="50"/>
  <c r="AF1557" i="50"/>
  <c r="AH1557" i="50" s="1"/>
  <c r="AP1557" i="50" s="1"/>
  <c r="AS1557" i="50"/>
  <c r="AT1557" i="50" s="1"/>
  <c r="AW670" i="50"/>
  <c r="BC1184" i="50"/>
  <c r="AZ673" i="50"/>
  <c r="AX483" i="50"/>
  <c r="I1317" i="50"/>
  <c r="AX2018" i="50"/>
  <c r="BK1007" i="50"/>
  <c r="AZ1322" i="50"/>
  <c r="BR1304" i="50"/>
  <c r="AP723" i="50"/>
  <c r="AQ723" i="50"/>
  <c r="AS723" i="50" s="1"/>
  <c r="AT723" i="50" s="1"/>
  <c r="AC1565" i="50"/>
  <c r="AR1565" i="50"/>
  <c r="BS1547" i="50" s="1"/>
  <c r="BZ809" i="50"/>
  <c r="AZ484" i="50"/>
  <c r="AX1100" i="50"/>
  <c r="AR1479" i="50"/>
  <c r="I1483" i="50"/>
  <c r="BC834" i="50"/>
  <c r="AC160" i="50"/>
  <c r="M1509" i="50"/>
  <c r="H79" i="62"/>
  <c r="I2157" i="50"/>
  <c r="I135" i="62"/>
  <c r="I2137" i="50"/>
  <c r="I115" i="62"/>
  <c r="I2136" i="50"/>
  <c r="I114" i="62"/>
  <c r="I2134" i="50"/>
  <c r="I112" i="62"/>
  <c r="I2132" i="50"/>
  <c r="I110" i="62"/>
  <c r="I2156" i="50"/>
  <c r="I134" i="62"/>
  <c r="I2094" i="50"/>
  <c r="I72" i="62"/>
  <c r="I2126" i="50"/>
  <c r="I104" i="62"/>
  <c r="I2155" i="50"/>
  <c r="I133" i="62"/>
  <c r="K360" i="58"/>
  <c r="M360" i="58"/>
  <c r="AF360" i="58"/>
  <c r="AG360" i="58"/>
  <c r="AP747" i="50"/>
  <c r="AJ345" i="50"/>
  <c r="AR345" i="50"/>
  <c r="BL332" i="50"/>
  <c r="AO1402" i="50"/>
  <c r="AQ1402" i="50"/>
  <c r="AR1402" i="50"/>
  <c r="AO1403" i="50"/>
  <c r="AQ1403" i="50"/>
  <c r="I1403" i="50"/>
  <c r="AZ1724" i="50"/>
  <c r="M1724" i="50" s="1"/>
  <c r="BO1709" i="50"/>
  <c r="AW1724" i="50"/>
  <c r="BI1115" i="50"/>
  <c r="BK386" i="50"/>
  <c r="AP398" i="50"/>
  <c r="AQ398" i="50"/>
  <c r="AW398" i="50" s="1"/>
  <c r="AX398" i="50"/>
  <c r="AW1831" i="50"/>
  <c r="BN1817" i="50"/>
  <c r="AZ1831" i="50"/>
  <c r="M1831" i="50"/>
  <c r="AR1397" i="50"/>
  <c r="BJ1385" i="50" s="1"/>
  <c r="AO1397" i="50"/>
  <c r="AN1397" i="50"/>
  <c r="AS1993" i="50"/>
  <c r="AT1993" i="50"/>
  <c r="AW1616" i="50"/>
  <c r="AJ344" i="50"/>
  <c r="AX344" i="50" s="1"/>
  <c r="AJ776" i="50"/>
  <c r="BD1131" i="50"/>
  <c r="AS1399" i="50"/>
  <c r="I1994" i="50"/>
  <c r="AZ778" i="50"/>
  <c r="M778" i="50" s="1"/>
  <c r="AP911" i="50"/>
  <c r="AQ911" i="50" s="1"/>
  <c r="AZ782" i="50"/>
  <c r="AP1617" i="50"/>
  <c r="AQ1617" i="50"/>
  <c r="K1617" i="50" s="1"/>
  <c r="M1617" i="50" s="1"/>
  <c r="BC1130" i="50"/>
  <c r="BC213" i="50"/>
  <c r="BN1574" i="50"/>
  <c r="AS1616" i="50"/>
  <c r="AT1616" i="50"/>
  <c r="BZ1395" i="50"/>
  <c r="R1361" i="50"/>
  <c r="BV1358" i="50" s="1"/>
  <c r="R1368" i="50"/>
  <c r="BX1358" i="50" s="1"/>
  <c r="AA70" i="58"/>
  <c r="AE70" i="58" s="1"/>
  <c r="AX58" i="58" s="1"/>
  <c r="AZ1457" i="50"/>
  <c r="AS1724" i="50"/>
  <c r="AT1724" i="50" s="1"/>
  <c r="BR1736" i="50"/>
  <c r="BC266" i="50"/>
  <c r="BC644" i="50"/>
  <c r="AZ647" i="50"/>
  <c r="BO1439" i="50"/>
  <c r="AN1617" i="50"/>
  <c r="AR1617" i="50"/>
  <c r="BP1601" i="50"/>
  <c r="AR509" i="50"/>
  <c r="AC1401" i="50"/>
  <c r="AG1401" i="50" s="1"/>
  <c r="AR1966" i="50"/>
  <c r="AG1395" i="50"/>
  <c r="AS1395" i="50"/>
  <c r="AT1395" i="50" s="1"/>
  <c r="BZ894" i="50"/>
  <c r="AZ1835" i="50"/>
  <c r="AZ916" i="50"/>
  <c r="AO350" i="50"/>
  <c r="AQ350" i="50" s="1"/>
  <c r="I539" i="50"/>
  <c r="BZ1363" i="50"/>
  <c r="Y1368" i="50"/>
  <c r="Y1374" i="50"/>
  <c r="AY1374" i="50"/>
  <c r="AF1694" i="50"/>
  <c r="AG1694" i="50"/>
  <c r="M1395" i="50"/>
  <c r="AW268" i="50"/>
  <c r="K672" i="50"/>
  <c r="AJ159" i="50"/>
  <c r="AN159" i="50"/>
  <c r="AS2072" i="50"/>
  <c r="AT2072" i="50"/>
  <c r="AV2072" i="50"/>
  <c r="AR1832" i="50"/>
  <c r="K700" i="50"/>
  <c r="AW700" i="50"/>
  <c r="I453" i="50"/>
  <c r="AZ1565" i="50"/>
  <c r="AX1424" i="50"/>
  <c r="BK710" i="50"/>
  <c r="AO1834" i="50"/>
  <c r="AQ1834" i="50"/>
  <c r="AJ1827" i="50"/>
  <c r="BI1817" i="50"/>
  <c r="BD1590" i="50"/>
  <c r="AF1968" i="50"/>
  <c r="AS808" i="50"/>
  <c r="AT808" i="50"/>
  <c r="I1424" i="50"/>
  <c r="BE239" i="50"/>
  <c r="AP699" i="50"/>
  <c r="AQ699" i="50"/>
  <c r="AS699" i="50" s="1"/>
  <c r="AT699" i="50" s="1"/>
  <c r="BQ683" i="50"/>
  <c r="I939" i="50"/>
  <c r="BM926" i="50"/>
  <c r="AW2046" i="50"/>
  <c r="AS2046" i="50"/>
  <c r="AT2046" i="50"/>
  <c r="AV2046" i="50"/>
  <c r="AN1884" i="50"/>
  <c r="AR1884" i="50"/>
  <c r="AJ1884" i="50"/>
  <c r="AO593" i="50"/>
  <c r="AQ593" i="50"/>
  <c r="AV593" i="50" s="1"/>
  <c r="AP1803" i="50"/>
  <c r="AQ1803" i="50"/>
  <c r="AS1803" i="50" s="1"/>
  <c r="AT1803" i="50" s="1"/>
  <c r="AG1559" i="50"/>
  <c r="BK656" i="50"/>
  <c r="AX668" i="50"/>
  <c r="AW291" i="50"/>
  <c r="K291" i="50"/>
  <c r="M291" i="50" s="1"/>
  <c r="AW454" i="50"/>
  <c r="AZ454" i="50"/>
  <c r="M454" i="50"/>
  <c r="AV372" i="50"/>
  <c r="K372" i="50"/>
  <c r="M372" i="50" s="1"/>
  <c r="BO845" i="50"/>
  <c r="AW860" i="50"/>
  <c r="AO701" i="50"/>
  <c r="AQ701" i="50" s="1"/>
  <c r="AR701" i="50"/>
  <c r="BS683" i="50"/>
  <c r="I701" i="50"/>
  <c r="M186" i="50"/>
  <c r="AZ727" i="50"/>
  <c r="AC591" i="50"/>
  <c r="AW457" i="50"/>
  <c r="AP693" i="50"/>
  <c r="AH1881" i="50"/>
  <c r="AP1881" i="50"/>
  <c r="AZ1861" i="50"/>
  <c r="M1861" i="50"/>
  <c r="AO1646" i="50"/>
  <c r="AQ1646" i="50"/>
  <c r="AW1646" i="50" s="1"/>
  <c r="AN1316" i="50"/>
  <c r="AT1210" i="50"/>
  <c r="AN345" i="50"/>
  <c r="AF345" i="50"/>
  <c r="I347" i="50"/>
  <c r="AJ261" i="50"/>
  <c r="AP261" i="50"/>
  <c r="AJ915" i="50"/>
  <c r="AN915" i="50"/>
  <c r="AP1314" i="50"/>
  <c r="L11" i="61"/>
  <c r="T11" i="61"/>
  <c r="AY1347" i="50"/>
  <c r="AC1347" i="50"/>
  <c r="V1889" i="50"/>
  <c r="W1889" i="50" s="1"/>
  <c r="W1888" i="50"/>
  <c r="AW1613" i="50"/>
  <c r="AS1613" i="50"/>
  <c r="AT1613" i="50" s="1"/>
  <c r="AZ1994" i="50"/>
  <c r="M1994" i="50" s="1"/>
  <c r="AZ1132" i="50"/>
  <c r="AZ1130" i="50"/>
  <c r="M1130" i="50" s="1"/>
  <c r="AR1993" i="50"/>
  <c r="AZ1993" i="50" s="1"/>
  <c r="M1993" i="50" s="1"/>
  <c r="BD914" i="50"/>
  <c r="BD212" i="50"/>
  <c r="AN1995" i="50"/>
  <c r="BI1601" i="50"/>
  <c r="AX911" i="50"/>
  <c r="AZ781" i="50"/>
  <c r="M781" i="50" s="1"/>
  <c r="BQ1601" i="50"/>
  <c r="BD645" i="50"/>
  <c r="BD1751" i="50"/>
  <c r="AW668" i="50"/>
  <c r="AS668" i="50"/>
  <c r="AT668" i="50" s="1"/>
  <c r="AV668" i="50"/>
  <c r="K668" i="50"/>
  <c r="M668" i="50"/>
  <c r="AW1914" i="50"/>
  <c r="K1914" i="50"/>
  <c r="M1914" i="50" s="1"/>
  <c r="AS1914" i="50"/>
  <c r="AT1914" i="50" s="1"/>
  <c r="AV1914" i="50"/>
  <c r="AV1722" i="50"/>
  <c r="AW1722" i="50"/>
  <c r="AS1722" i="50"/>
  <c r="AT1722" i="50"/>
  <c r="K1722" i="50"/>
  <c r="M1722" i="50"/>
  <c r="BS1628" i="50"/>
  <c r="AZ1646" i="50"/>
  <c r="AZ1645" i="50"/>
  <c r="AS2022" i="50"/>
  <c r="AT2022" i="50"/>
  <c r="AV2022" i="50"/>
  <c r="AW2022" i="50"/>
  <c r="K2022" i="50"/>
  <c r="M2022" i="50"/>
  <c r="K295" i="50"/>
  <c r="AV295" i="50"/>
  <c r="AS295" i="50"/>
  <c r="AT295" i="50"/>
  <c r="AW1698" i="50"/>
  <c r="K1698" i="50"/>
  <c r="AV1698" i="50"/>
  <c r="AS1698" i="50"/>
  <c r="AT1698" i="50" s="1"/>
  <c r="BZ566" i="50"/>
  <c r="BZ562" i="50"/>
  <c r="BZ568" i="50"/>
  <c r="AY1208" i="50"/>
  <c r="AC1208" i="50"/>
  <c r="BZ1208" i="50"/>
  <c r="BH1520" i="50"/>
  <c r="BC1535" i="50"/>
  <c r="M612" i="50"/>
  <c r="AR612" i="50"/>
  <c r="BH602" i="50"/>
  <c r="AH1827" i="50"/>
  <c r="AP1827" i="50"/>
  <c r="BQ1736" i="50"/>
  <c r="I1752" i="50"/>
  <c r="AP1752" i="50"/>
  <c r="AQ1752" i="50" s="1"/>
  <c r="I374" i="50"/>
  <c r="AS374" i="50"/>
  <c r="AT374" i="50"/>
  <c r="AR374" i="50"/>
  <c r="I1696" i="50"/>
  <c r="AR1696" i="50"/>
  <c r="AS1696" i="50"/>
  <c r="AT1696" i="50" s="1"/>
  <c r="AY2021" i="50"/>
  <c r="AC2021" i="50"/>
  <c r="AY375" i="50"/>
  <c r="BZ375" i="50"/>
  <c r="M1292" i="50"/>
  <c r="AW242" i="50"/>
  <c r="AH1071" i="50"/>
  <c r="AS916" i="50"/>
  <c r="AT916" i="50"/>
  <c r="K916" i="50"/>
  <c r="AW916" i="50"/>
  <c r="AV916" i="50"/>
  <c r="BE1617" i="50"/>
  <c r="AS398" i="50"/>
  <c r="AT398" i="50"/>
  <c r="Y993" i="50"/>
  <c r="BZ985" i="50"/>
  <c r="Y995" i="50"/>
  <c r="AG165" i="58"/>
  <c r="AW939" i="50"/>
  <c r="AS939" i="50"/>
  <c r="AT939" i="50" s="1"/>
  <c r="AR1829" i="50"/>
  <c r="BJ1817" i="50"/>
  <c r="AS593" i="50"/>
  <c r="AT593" i="50"/>
  <c r="K1050" i="50"/>
  <c r="M1050" i="50"/>
  <c r="AV1050" i="50"/>
  <c r="AN1965" i="50"/>
  <c r="AJ1965" i="50"/>
  <c r="AO804" i="50"/>
  <c r="AG804" i="50"/>
  <c r="AJ804" i="50"/>
  <c r="AJ807" i="50"/>
  <c r="AF807" i="50"/>
  <c r="AR807" i="50"/>
  <c r="BP791" i="50" s="1"/>
  <c r="I805" i="50"/>
  <c r="AR805" i="50"/>
  <c r="AR806" i="50"/>
  <c r="AS806" i="50"/>
  <c r="AT806" i="50"/>
  <c r="K2076" i="50"/>
  <c r="M2076" i="50"/>
  <c r="AV2076" i="50"/>
  <c r="AR1563" i="50"/>
  <c r="BP1547" i="50" s="1"/>
  <c r="AN1563" i="50"/>
  <c r="AF1563" i="50"/>
  <c r="I1564" i="50"/>
  <c r="AO1564" i="50"/>
  <c r="AQ1564" i="50"/>
  <c r="AO1560" i="50"/>
  <c r="AF1560" i="50"/>
  <c r="AG1560" i="50"/>
  <c r="AJ1560" i="50"/>
  <c r="AR1560" i="50"/>
  <c r="AS485" i="50"/>
  <c r="AT485" i="50"/>
  <c r="AW485" i="50"/>
  <c r="K296" i="50"/>
  <c r="K104" i="58"/>
  <c r="M104" i="58"/>
  <c r="AF104" i="58"/>
  <c r="AG104" i="58"/>
  <c r="AT1399" i="50"/>
  <c r="AW590" i="50"/>
  <c r="BO575" i="50"/>
  <c r="I1563" i="50"/>
  <c r="AW699" i="50"/>
  <c r="AO1970" i="50"/>
  <c r="AQ1970" i="50"/>
  <c r="AR1970" i="50"/>
  <c r="I1970" i="50"/>
  <c r="AS590" i="50"/>
  <c r="AT590" i="50"/>
  <c r="I590" i="50"/>
  <c r="AO1968" i="50"/>
  <c r="AJ1968" i="50"/>
  <c r="AN1968" i="50"/>
  <c r="AP182" i="50"/>
  <c r="AQ182" i="50" s="1"/>
  <c r="BK170" i="50"/>
  <c r="BN1871" i="50"/>
  <c r="K1452" i="50"/>
  <c r="M1452" i="50"/>
  <c r="AW1452" i="50"/>
  <c r="AS1452" i="50"/>
  <c r="AT1452" i="50" s="1"/>
  <c r="AV1452" i="50"/>
  <c r="AS1343" i="50"/>
  <c r="AT1343" i="50"/>
  <c r="AW1343" i="50"/>
  <c r="K1343" i="50"/>
  <c r="M1343" i="50" s="1"/>
  <c r="AV1343" i="50"/>
  <c r="AW186" i="50"/>
  <c r="BN1412" i="50"/>
  <c r="AP696" i="50"/>
  <c r="AQ696" i="50" s="1"/>
  <c r="AX695" i="50"/>
  <c r="AS372" i="50"/>
  <c r="AT372" i="50" s="1"/>
  <c r="AW372" i="50"/>
  <c r="AO1889" i="50"/>
  <c r="AQ1889" i="50" s="1"/>
  <c r="AF1883" i="50"/>
  <c r="AG1883" i="50"/>
  <c r="AZ701" i="50"/>
  <c r="BE1643" i="50"/>
  <c r="AH963" i="50"/>
  <c r="AP963" i="50" s="1"/>
  <c r="AJ533" i="50"/>
  <c r="AW890" i="50"/>
  <c r="AV890" i="50"/>
  <c r="AS2077" i="50"/>
  <c r="AT2077" i="50" s="1"/>
  <c r="AW2077" i="50"/>
  <c r="AV429" i="50"/>
  <c r="K429" i="50"/>
  <c r="AS429" i="50"/>
  <c r="AT429" i="50" s="1"/>
  <c r="AW429" i="50"/>
  <c r="AX1752" i="50"/>
  <c r="AP1746" i="50"/>
  <c r="BI1736" i="50"/>
  <c r="AV1862" i="50"/>
  <c r="K1862" i="50"/>
  <c r="AS1862" i="50"/>
  <c r="AT1862" i="50" s="1"/>
  <c r="AW1536" i="50"/>
  <c r="K1536" i="50"/>
  <c r="AV1536" i="50"/>
  <c r="AS1536" i="50"/>
  <c r="AT1536" i="50"/>
  <c r="AR641" i="50"/>
  <c r="BJ629" i="50"/>
  <c r="AF641" i="50"/>
  <c r="AI641" i="50"/>
  <c r="AG641" i="50"/>
  <c r="AO641" i="50"/>
  <c r="AN641" i="50"/>
  <c r="K68" i="58"/>
  <c r="M68" i="58" s="1"/>
  <c r="AF68" i="58"/>
  <c r="AG68" i="58" s="1"/>
  <c r="BM1088" i="50"/>
  <c r="AP1101" i="50"/>
  <c r="AQ1101" i="50"/>
  <c r="AV1101" i="50" s="1"/>
  <c r="I1101" i="50"/>
  <c r="K359" i="58"/>
  <c r="M359" i="58"/>
  <c r="AF359" i="58"/>
  <c r="AG359" i="58"/>
  <c r="BN1007" i="50"/>
  <c r="AW1021" i="50"/>
  <c r="AW1240" i="50"/>
  <c r="AS1240" i="50"/>
  <c r="AT1240" i="50"/>
  <c r="K1240" i="50"/>
  <c r="M1240" i="50"/>
  <c r="AV1240" i="50"/>
  <c r="AW2074" i="50"/>
  <c r="AZ2074" i="50"/>
  <c r="M2074" i="50"/>
  <c r="BN2060" i="50"/>
  <c r="AF231" i="58"/>
  <c r="AG231" i="58" s="1"/>
  <c r="K231" i="58"/>
  <c r="M231" i="58" s="1"/>
  <c r="BR602" i="50"/>
  <c r="AZ619" i="50"/>
  <c r="M619" i="50"/>
  <c r="AZ620" i="50"/>
  <c r="M620" i="50"/>
  <c r="AS1700" i="50"/>
  <c r="AT1700" i="50"/>
  <c r="K1700" i="50"/>
  <c r="M1700" i="50"/>
  <c r="AW1700" i="50"/>
  <c r="AV1700" i="50"/>
  <c r="BZ865" i="50"/>
  <c r="BZ863" i="50"/>
  <c r="BZ861" i="50"/>
  <c r="BZ862" i="50"/>
  <c r="BZ858" i="50"/>
  <c r="AZ1102" i="50"/>
  <c r="M1102" i="50" s="1"/>
  <c r="AW1102" i="50"/>
  <c r="BN1088" i="50"/>
  <c r="I753" i="50"/>
  <c r="AR346" i="50"/>
  <c r="AO345" i="50"/>
  <c r="AS347" i="50"/>
  <c r="AT347" i="50" s="1"/>
  <c r="I349" i="50"/>
  <c r="AP882" i="50"/>
  <c r="BK2033" i="50"/>
  <c r="AP396" i="50"/>
  <c r="M1536" i="50"/>
  <c r="AP1098" i="50"/>
  <c r="AH423" i="50"/>
  <c r="AH1530" i="50"/>
  <c r="AP1530" i="50"/>
  <c r="BD1938" i="50"/>
  <c r="Q1934" i="50"/>
  <c r="Q1926" i="50"/>
  <c r="AK1937" i="50"/>
  <c r="AA71" i="58"/>
  <c r="K210" i="50"/>
  <c r="M210" i="50" s="1"/>
  <c r="AW210" i="50"/>
  <c r="BK575" i="50"/>
  <c r="AP587" i="50"/>
  <c r="AQ587" i="50" s="1"/>
  <c r="BI1385" i="50"/>
  <c r="AV782" i="50"/>
  <c r="I1400" i="50"/>
  <c r="AS1400" i="50"/>
  <c r="AT1400" i="50"/>
  <c r="AR1400" i="50"/>
  <c r="AV539" i="50"/>
  <c r="K539" i="50"/>
  <c r="AS647" i="50"/>
  <c r="AT647" i="50" s="1"/>
  <c r="AW647" i="50"/>
  <c r="BR1709" i="50"/>
  <c r="BC1724" i="50"/>
  <c r="AZ1727" i="50"/>
  <c r="AZ1726" i="50"/>
  <c r="BC1725" i="50"/>
  <c r="AJ1127" i="50"/>
  <c r="AX1127" i="50" s="1"/>
  <c r="M1127" i="50" s="1"/>
  <c r="I1127" i="50"/>
  <c r="AS1429" i="50"/>
  <c r="AT1429" i="50"/>
  <c r="K1429" i="50"/>
  <c r="AV1429" i="50"/>
  <c r="AS1888" i="50"/>
  <c r="AT1888" i="50"/>
  <c r="AW1888" i="50"/>
  <c r="K1888" i="50"/>
  <c r="AV1888" i="50"/>
  <c r="AW1887" i="50"/>
  <c r="AV1887" i="50"/>
  <c r="AS1887" i="50"/>
  <c r="AT1887" i="50"/>
  <c r="K1887" i="50"/>
  <c r="K566" i="50"/>
  <c r="AW566" i="50"/>
  <c r="AS566" i="50"/>
  <c r="AT566" i="50"/>
  <c r="AV566" i="50"/>
  <c r="AW1457" i="50"/>
  <c r="K1457" i="50"/>
  <c r="M1457" i="50"/>
  <c r="AV1457" i="50"/>
  <c r="AS1457" i="50"/>
  <c r="AT1457" i="50" s="1"/>
  <c r="AW1834" i="50"/>
  <c r="AX776" i="50"/>
  <c r="AV398" i="50"/>
  <c r="K398" i="50"/>
  <c r="AZ1616" i="50"/>
  <c r="M1616" i="50" s="1"/>
  <c r="AO1996" i="50"/>
  <c r="AQ1996" i="50" s="1"/>
  <c r="AR1997" i="50"/>
  <c r="AN1992" i="50"/>
  <c r="AJ1992" i="50"/>
  <c r="AO1401" i="50"/>
  <c r="AR1399" i="50"/>
  <c r="AX1617" i="50"/>
  <c r="AZ1619" i="50"/>
  <c r="AR1991" i="50"/>
  <c r="BJ1979" i="50" s="1"/>
  <c r="AN1991" i="50"/>
  <c r="BC1371" i="50"/>
  <c r="Q1358" i="50"/>
  <c r="N1359" i="50"/>
  <c r="BU1358" i="50"/>
  <c r="BE1371" i="50"/>
  <c r="BD1372" i="50"/>
  <c r="Q1359" i="50"/>
  <c r="N1358" i="50"/>
  <c r="BT1358" i="50" s="1"/>
  <c r="BE1372" i="50"/>
  <c r="AG194" i="58"/>
  <c r="BJ70" i="58"/>
  <c r="AK70" i="58"/>
  <c r="M70" i="58"/>
  <c r="AG1127" i="50"/>
  <c r="AO1127" i="50"/>
  <c r="I1727" i="50"/>
  <c r="AO344" i="50"/>
  <c r="AX1293" i="50"/>
  <c r="AS778" i="50"/>
  <c r="AT778" i="50"/>
  <c r="AR1131" i="50"/>
  <c r="BP1115" i="50"/>
  <c r="AO1131" i="50"/>
  <c r="AO1725" i="50"/>
  <c r="AF1725" i="50"/>
  <c r="AI1721" i="50"/>
  <c r="AS539" i="50"/>
  <c r="AT539" i="50"/>
  <c r="AR539" i="50"/>
  <c r="AW539" i="50"/>
  <c r="AZ1915" i="50"/>
  <c r="BC1913" i="50"/>
  <c r="AH1125" i="50"/>
  <c r="AP1125" i="50" s="1"/>
  <c r="AV237" i="50"/>
  <c r="K237" i="50"/>
  <c r="M237" i="50" s="1"/>
  <c r="AS1187" i="50"/>
  <c r="AT1187" i="50" s="1"/>
  <c r="AV1187" i="50"/>
  <c r="AV1641" i="50"/>
  <c r="K1641" i="50"/>
  <c r="M1641" i="50" s="1"/>
  <c r="AS1641" i="50"/>
  <c r="AT1641" i="50" s="1"/>
  <c r="AW1641" i="50"/>
  <c r="K199" i="58"/>
  <c r="M199" i="58"/>
  <c r="AF199" i="58"/>
  <c r="AG199" i="58"/>
  <c r="V2024" i="50"/>
  <c r="W2024" i="50"/>
  <c r="W2023" i="50"/>
  <c r="V1808" i="50"/>
  <c r="W1808" i="50" s="1"/>
  <c r="W1807" i="50"/>
  <c r="W1753" i="50"/>
  <c r="V1754" i="50"/>
  <c r="W1754" i="50" s="1"/>
  <c r="V377" i="50"/>
  <c r="W377" i="50" s="1"/>
  <c r="W376" i="50"/>
  <c r="W1132" i="50"/>
  <c r="V1133" i="50"/>
  <c r="W1133" i="50" s="1"/>
  <c r="V1079" i="50"/>
  <c r="W1079" i="50" s="1"/>
  <c r="W1078" i="50"/>
  <c r="W1051" i="50"/>
  <c r="V1052" i="50"/>
  <c r="W1052" i="50" s="1"/>
  <c r="W673" i="50"/>
  <c r="V674" i="50"/>
  <c r="W674" i="50"/>
  <c r="V269" i="50"/>
  <c r="W269" i="50"/>
  <c r="W268" i="50"/>
  <c r="W1186" i="50"/>
  <c r="V1187" i="50"/>
  <c r="W1187" i="50"/>
  <c r="W1780" i="50"/>
  <c r="V1781" i="50"/>
  <c r="W1781" i="50" s="1"/>
  <c r="W916" i="50"/>
  <c r="V917" i="50"/>
  <c r="W917" i="50"/>
  <c r="V458" i="50"/>
  <c r="W458" i="50"/>
  <c r="W457" i="50"/>
  <c r="AO1565" i="50"/>
  <c r="AQ1565" i="50"/>
  <c r="I1565" i="50"/>
  <c r="I592" i="50"/>
  <c r="AR592" i="50"/>
  <c r="AS727" i="50"/>
  <c r="AT727" i="50" s="1"/>
  <c r="AV727" i="50"/>
  <c r="K727" i="50"/>
  <c r="I808" i="50"/>
  <c r="AR808" i="50"/>
  <c r="AS538" i="50"/>
  <c r="AT538" i="50" s="1"/>
  <c r="K538" i="50"/>
  <c r="AW888" i="50"/>
  <c r="K888" i="50"/>
  <c r="M888" i="50" s="1"/>
  <c r="AS888" i="50"/>
  <c r="AT888" i="50" s="1"/>
  <c r="AV888" i="50"/>
  <c r="AS912" i="50"/>
  <c r="AT912" i="50"/>
  <c r="K912" i="50"/>
  <c r="M912" i="50"/>
  <c r="AV912" i="50"/>
  <c r="AW2019" i="50"/>
  <c r="AS2019" i="50"/>
  <c r="AT2019" i="50"/>
  <c r="K2019" i="50"/>
  <c r="M2019" i="50"/>
  <c r="AV2019" i="50"/>
  <c r="BE833" i="50"/>
  <c r="AV479" i="50"/>
  <c r="AW479" i="50"/>
  <c r="K479" i="50"/>
  <c r="M479" i="50"/>
  <c r="AS479" i="50"/>
  <c r="AT479" i="50"/>
  <c r="AV241" i="50"/>
  <c r="AW241" i="50"/>
  <c r="K241" i="50"/>
  <c r="M241" i="50"/>
  <c r="AS241" i="50"/>
  <c r="AT241" i="50"/>
  <c r="V2078" i="50"/>
  <c r="W2078" i="50"/>
  <c r="W2077" i="50"/>
  <c r="V1295" i="50"/>
  <c r="W1295" i="50" s="1"/>
  <c r="W1294" i="50"/>
  <c r="W1618" i="50"/>
  <c r="V1619" i="50"/>
  <c r="W1619" i="50" s="1"/>
  <c r="W1429" i="50"/>
  <c r="V1430" i="50"/>
  <c r="W1430" i="50"/>
  <c r="W1213" i="50"/>
  <c r="V1214" i="50"/>
  <c r="W1214" i="50" s="1"/>
  <c r="V1511" i="50"/>
  <c r="W1511" i="50" s="1"/>
  <c r="W1510" i="50"/>
  <c r="V944" i="50"/>
  <c r="W944" i="50"/>
  <c r="W943" i="50"/>
  <c r="W835" i="50"/>
  <c r="V836" i="50"/>
  <c r="W836" i="50"/>
  <c r="W781" i="50"/>
  <c r="V782" i="50"/>
  <c r="W782" i="50" s="1"/>
  <c r="W538" i="50"/>
  <c r="V539" i="50"/>
  <c r="W539" i="50"/>
  <c r="V323" i="50"/>
  <c r="W323" i="50"/>
  <c r="W322" i="50"/>
  <c r="W214" i="50"/>
  <c r="V215" i="50"/>
  <c r="W215" i="50"/>
  <c r="V512" i="50"/>
  <c r="W512" i="50"/>
  <c r="W511" i="50"/>
  <c r="W700" i="50"/>
  <c r="V701" i="50"/>
  <c r="W701" i="50"/>
  <c r="V1700" i="50"/>
  <c r="W1700" i="50"/>
  <c r="W1699" i="50"/>
  <c r="BD1644" i="50"/>
  <c r="M215" i="50"/>
  <c r="AH1638" i="50"/>
  <c r="AP1638" i="50"/>
  <c r="K2051" i="50"/>
  <c r="M2051" i="50" s="1"/>
  <c r="AW2051" i="50"/>
  <c r="AS2051" i="50"/>
  <c r="AT2051" i="50"/>
  <c r="AV2051" i="50"/>
  <c r="AZ212" i="50"/>
  <c r="M212" i="50" s="1"/>
  <c r="BO197" i="50"/>
  <c r="AW212" i="50"/>
  <c r="K72" i="58"/>
  <c r="M72" i="58" s="1"/>
  <c r="AF72" i="58"/>
  <c r="AG72" i="58" s="1"/>
  <c r="K430" i="50"/>
  <c r="M430" i="50" s="1"/>
  <c r="AV430" i="50"/>
  <c r="AW430" i="50"/>
  <c r="AS430" i="50"/>
  <c r="AT430" i="50" s="1"/>
  <c r="BN872" i="50"/>
  <c r="AZ886" i="50"/>
  <c r="M886" i="50"/>
  <c r="AW886" i="50"/>
  <c r="AP450" i="50"/>
  <c r="AW1052" i="50"/>
  <c r="BM2060" i="50"/>
  <c r="AP2073" i="50"/>
  <c r="AQ2073" i="50"/>
  <c r="I2073" i="50"/>
  <c r="AP1449" i="50"/>
  <c r="AW1213" i="50"/>
  <c r="AP1503" i="50"/>
  <c r="AR1210" i="50"/>
  <c r="I342" i="50"/>
  <c r="AO1019" i="50"/>
  <c r="AC861" i="50"/>
  <c r="AR1455" i="50"/>
  <c r="BP1439" i="50"/>
  <c r="AN1455" i="50"/>
  <c r="AR779" i="50"/>
  <c r="AH234" i="50"/>
  <c r="AP234" i="50"/>
  <c r="AG348" i="50"/>
  <c r="AW215" i="50"/>
  <c r="I265" i="50"/>
  <c r="AJ749" i="50"/>
  <c r="AH531" i="50"/>
  <c r="AP531" i="50" s="1"/>
  <c r="AS1699" i="50"/>
  <c r="AT1699" i="50" s="1"/>
  <c r="AV1699" i="50"/>
  <c r="AR2047" i="50"/>
  <c r="AS2047" i="50"/>
  <c r="I2047" i="50"/>
  <c r="AT2047" i="50"/>
  <c r="AV264" i="50"/>
  <c r="AS264" i="50"/>
  <c r="AT264" i="50"/>
  <c r="K264" i="50"/>
  <c r="M264" i="50"/>
  <c r="AW264" i="50"/>
  <c r="AW564" i="50"/>
  <c r="AV564" i="50"/>
  <c r="K564" i="50"/>
  <c r="AS564" i="50"/>
  <c r="AT564" i="50"/>
  <c r="AS1726" i="50"/>
  <c r="AT1726" i="50"/>
  <c r="AV1726" i="50"/>
  <c r="AW1726" i="50"/>
  <c r="K1726" i="50"/>
  <c r="K1727" i="50"/>
  <c r="AV1727" i="50"/>
  <c r="AS1727" i="50"/>
  <c r="AT1727" i="50" s="1"/>
  <c r="AW1727" i="50"/>
  <c r="AW1344" i="50"/>
  <c r="AV1344" i="50"/>
  <c r="AS1344" i="50"/>
  <c r="AT1344" i="50"/>
  <c r="K1344" i="50"/>
  <c r="M1344" i="50"/>
  <c r="AV1132" i="50"/>
  <c r="AS1132" i="50"/>
  <c r="AT1132" i="50"/>
  <c r="AW1132" i="50"/>
  <c r="K1132" i="50"/>
  <c r="M1132" i="50" s="1"/>
  <c r="AS646" i="50"/>
  <c r="AT646" i="50" s="1"/>
  <c r="K646" i="50"/>
  <c r="AV646" i="50"/>
  <c r="AW646" i="50"/>
  <c r="AW1835" i="50"/>
  <c r="AV1835" i="50"/>
  <c r="K1835" i="50"/>
  <c r="AS1835" i="50"/>
  <c r="AT1835" i="50"/>
  <c r="AW263" i="50"/>
  <c r="K263" i="50"/>
  <c r="AS263" i="50"/>
  <c r="AT263" i="50"/>
  <c r="AV263" i="50"/>
  <c r="AW1425" i="50"/>
  <c r="AV1425" i="50"/>
  <c r="K1425" i="50"/>
  <c r="M1425" i="50" s="1"/>
  <c r="AS1425" i="50"/>
  <c r="AT1425" i="50" s="1"/>
  <c r="AS1154" i="50"/>
  <c r="AT1154" i="50" s="1"/>
  <c r="AW1154" i="50"/>
  <c r="K1154" i="50"/>
  <c r="AV1154" i="50"/>
  <c r="K1613" i="50"/>
  <c r="AV1613" i="50"/>
  <c r="K1725" i="50"/>
  <c r="M1725" i="50"/>
  <c r="AW1725" i="50"/>
  <c r="AS1725" i="50"/>
  <c r="AT1725" i="50" s="1"/>
  <c r="AV1725" i="50"/>
  <c r="AS1997" i="50"/>
  <c r="AT1997" i="50" s="1"/>
  <c r="K1997" i="50"/>
  <c r="AV1614" i="50"/>
  <c r="AS1614" i="50"/>
  <c r="AT1614" i="50"/>
  <c r="K1128" i="50"/>
  <c r="M1128" i="50"/>
  <c r="AW1128" i="50"/>
  <c r="AV1128" i="50"/>
  <c r="AS1128" i="50"/>
  <c r="AT1128" i="50"/>
  <c r="AS1133" i="50"/>
  <c r="AT1133" i="50"/>
  <c r="AW1133" i="50"/>
  <c r="AV1133" i="50"/>
  <c r="K1619" i="50"/>
  <c r="AW1619" i="50"/>
  <c r="AS1619" i="50"/>
  <c r="AT1619" i="50"/>
  <c r="AV1619" i="50"/>
  <c r="AW1235" i="50"/>
  <c r="AS1235" i="50"/>
  <c r="AT1235" i="50"/>
  <c r="K1235" i="50"/>
  <c r="AV1235" i="50"/>
  <c r="AE102" i="58"/>
  <c r="AX90" i="58" s="1"/>
  <c r="AF102" i="58"/>
  <c r="AG102" i="58" s="1"/>
  <c r="AC1365" i="50"/>
  <c r="AC1368" i="50"/>
  <c r="AS1753" i="50"/>
  <c r="AT1753" i="50" s="1"/>
  <c r="AV1753" i="50"/>
  <c r="K1753" i="50"/>
  <c r="AW1753" i="50"/>
  <c r="AV754" i="50"/>
  <c r="AS754" i="50"/>
  <c r="AT754" i="50"/>
  <c r="K754" i="50"/>
  <c r="M754" i="50"/>
  <c r="AW754" i="50"/>
  <c r="K1857" i="50"/>
  <c r="M1857" i="50" s="1"/>
  <c r="AW1857" i="50"/>
  <c r="AS1857" i="50"/>
  <c r="AT1857" i="50"/>
  <c r="AV1857" i="50"/>
  <c r="K722" i="50"/>
  <c r="M722" i="50" s="1"/>
  <c r="AV722" i="50"/>
  <c r="AW722" i="50"/>
  <c r="AS722" i="50"/>
  <c r="AT722" i="50" s="1"/>
  <c r="AP1127" i="50"/>
  <c r="AQ1127" i="50"/>
  <c r="BK1601" i="50"/>
  <c r="BZ1399" i="50"/>
  <c r="I1402" i="50"/>
  <c r="AS1402" i="50"/>
  <c r="AT1402" i="50" s="1"/>
  <c r="AR1403" i="50"/>
  <c r="AS1403" i="50"/>
  <c r="AT1403" i="50"/>
  <c r="AS1994" i="50"/>
  <c r="AT1994" i="50"/>
  <c r="AJ1995" i="50"/>
  <c r="AF1995" i="50"/>
  <c r="AO1995" i="50"/>
  <c r="AX1613" i="50"/>
  <c r="BZ1397" i="50"/>
  <c r="BJ102" i="58"/>
  <c r="M102" i="58"/>
  <c r="I69" i="58"/>
  <c r="AV647" i="50"/>
  <c r="K647" i="50"/>
  <c r="M647" i="50"/>
  <c r="Y1375" i="50"/>
  <c r="Y1373" i="50"/>
  <c r="Y1370" i="50"/>
  <c r="Y1372" i="50"/>
  <c r="K228" i="58"/>
  <c r="M228" i="58"/>
  <c r="Y994" i="50"/>
  <c r="Y990" i="50"/>
  <c r="R983" i="50"/>
  <c r="BV980" i="50"/>
  <c r="Y998" i="50"/>
  <c r="Y992" i="50"/>
  <c r="N981" i="50"/>
  <c r="BU980" i="50"/>
  <c r="AC985" i="50"/>
  <c r="AS1451" i="50"/>
  <c r="AT1451" i="50" s="1"/>
  <c r="AV1451" i="50"/>
  <c r="AO1830" i="50"/>
  <c r="AJ1830" i="50"/>
  <c r="AR1830" i="50"/>
  <c r="AG1830" i="50"/>
  <c r="AN1830" i="50"/>
  <c r="AF1830" i="50"/>
  <c r="AS1590" i="50"/>
  <c r="AT1590" i="50"/>
  <c r="K1590" i="50"/>
  <c r="M1590" i="50"/>
  <c r="AW1590" i="50"/>
  <c r="AV1590" i="50"/>
  <c r="K1322" i="50"/>
  <c r="M1322" i="50"/>
  <c r="AV1322" i="50"/>
  <c r="AS1322" i="50"/>
  <c r="AT1322" i="50" s="1"/>
  <c r="AW1182" i="50"/>
  <c r="AS1182" i="50"/>
  <c r="AT1182" i="50"/>
  <c r="K1182" i="50"/>
  <c r="M1182" i="50"/>
  <c r="AV1182" i="50"/>
  <c r="AW831" i="50"/>
  <c r="AV831" i="50"/>
  <c r="K831" i="50"/>
  <c r="M831" i="50" s="1"/>
  <c r="AS831" i="50"/>
  <c r="AT831" i="50" s="1"/>
  <c r="AS1430" i="50"/>
  <c r="AT1430" i="50" s="1"/>
  <c r="AV1430" i="50"/>
  <c r="K1430" i="50"/>
  <c r="AW1430" i="50"/>
  <c r="AW1104" i="50"/>
  <c r="AS1104" i="50"/>
  <c r="AT1104" i="50" s="1"/>
  <c r="K1104" i="50"/>
  <c r="M1104" i="50" s="1"/>
  <c r="AV1104" i="50"/>
  <c r="AS1209" i="50"/>
  <c r="AT1209" i="50"/>
  <c r="AW1209" i="50"/>
  <c r="K1209" i="50"/>
  <c r="M1209" i="50" s="1"/>
  <c r="AV1209" i="50"/>
  <c r="AW1212" i="50"/>
  <c r="AV1212" i="50"/>
  <c r="K1212" i="50"/>
  <c r="M1212" i="50"/>
  <c r="AS1212" i="50"/>
  <c r="AT1212" i="50"/>
  <c r="AW1644" i="50"/>
  <c r="AS1644" i="50"/>
  <c r="AT1644" i="50" s="1"/>
  <c r="AW1506" i="50"/>
  <c r="AS1506" i="50"/>
  <c r="AT1506" i="50"/>
  <c r="K1506" i="50"/>
  <c r="M1506" i="50"/>
  <c r="AV1506" i="50"/>
  <c r="K674" i="50"/>
  <c r="AW674" i="50"/>
  <c r="AV1186" i="50"/>
  <c r="AS1186" i="50"/>
  <c r="AT1186" i="50" s="1"/>
  <c r="AW1186" i="50"/>
  <c r="K1186" i="50"/>
  <c r="AS1106" i="50"/>
  <c r="AT1106" i="50" s="1"/>
  <c r="AV1106" i="50"/>
  <c r="K1106" i="50"/>
  <c r="M1106" i="50"/>
  <c r="K673" i="50"/>
  <c r="M673" i="50"/>
  <c r="AS673" i="50"/>
  <c r="AT673" i="50"/>
  <c r="AV673" i="50"/>
  <c r="AW673" i="50"/>
  <c r="AW750" i="50"/>
  <c r="AS750" i="50"/>
  <c r="AT750" i="50" s="1"/>
  <c r="K750" i="50"/>
  <c r="M750" i="50" s="1"/>
  <c r="AV750" i="50"/>
  <c r="M1592" i="50"/>
  <c r="AS1293" i="50"/>
  <c r="AT1293" i="50" s="1"/>
  <c r="K1293" i="50"/>
  <c r="AV1749" i="50"/>
  <c r="AS1749" i="50"/>
  <c r="AT1749" i="50" s="1"/>
  <c r="AP240" i="50"/>
  <c r="AQ240" i="50" s="1"/>
  <c r="I240" i="50"/>
  <c r="K1511" i="50"/>
  <c r="M1511" i="50"/>
  <c r="AS1511" i="50"/>
  <c r="AT1511" i="50"/>
  <c r="AV402" i="50"/>
  <c r="K402" i="50"/>
  <c r="M402" i="50" s="1"/>
  <c r="K214" i="50"/>
  <c r="AW214" i="50"/>
  <c r="AS214" i="50"/>
  <c r="AT214" i="50"/>
  <c r="AR833" i="50"/>
  <c r="AT833" i="50"/>
  <c r="AJ1910" i="50"/>
  <c r="I1910" i="50"/>
  <c r="K1915" i="50"/>
  <c r="AV1915" i="50"/>
  <c r="BO251" i="50"/>
  <c r="AW266" i="50"/>
  <c r="AZ266" i="50"/>
  <c r="M266" i="50"/>
  <c r="AS620" i="50"/>
  <c r="AT620" i="50"/>
  <c r="AW620" i="50"/>
  <c r="K2050" i="50"/>
  <c r="M2050" i="50" s="1"/>
  <c r="AS2050" i="50"/>
  <c r="AT2050" i="50" s="1"/>
  <c r="AW2050" i="50"/>
  <c r="AV2050" i="50"/>
  <c r="AV188" i="50"/>
  <c r="K188" i="50"/>
  <c r="M188" i="50"/>
  <c r="AS188" i="50"/>
  <c r="AT188" i="50"/>
  <c r="AX780" i="50"/>
  <c r="M780" i="50"/>
  <c r="BI764" i="50"/>
  <c r="BN1709" i="50"/>
  <c r="AZ1723" i="50"/>
  <c r="M1723" i="50"/>
  <c r="AW1723" i="50"/>
  <c r="K328" i="58"/>
  <c r="M328" i="58" s="1"/>
  <c r="AF328" i="58"/>
  <c r="AG328" i="58" s="1"/>
  <c r="AW2049" i="50"/>
  <c r="AV2049" i="50"/>
  <c r="AS2049" i="50"/>
  <c r="AT2049" i="50" s="1"/>
  <c r="K2049" i="50"/>
  <c r="AV426" i="50"/>
  <c r="AW426" i="50"/>
  <c r="BK1844" i="50"/>
  <c r="AP1856" i="50"/>
  <c r="AQ1856" i="50"/>
  <c r="AZ887" i="50"/>
  <c r="M887" i="50"/>
  <c r="AW887" i="50"/>
  <c r="BO872" i="50"/>
  <c r="AV889" i="50"/>
  <c r="K889" i="50"/>
  <c r="M889" i="50" s="1"/>
  <c r="AV1510" i="50"/>
  <c r="K1510" i="50"/>
  <c r="M1510" i="50"/>
  <c r="AV1295" i="50"/>
  <c r="K1295" i="50"/>
  <c r="M1295" i="50" s="1"/>
  <c r="AS1295" i="50"/>
  <c r="AT1295" i="50" s="1"/>
  <c r="AW1295" i="50"/>
  <c r="BI494" i="50"/>
  <c r="AX510" i="50"/>
  <c r="AP504" i="50"/>
  <c r="BC509" i="50"/>
  <c r="BL494" i="50"/>
  <c r="BC510" i="50"/>
  <c r="M1214" i="50"/>
  <c r="AP1179" i="50"/>
  <c r="AP666" i="50"/>
  <c r="K1591" i="50"/>
  <c r="M1591" i="50"/>
  <c r="AS1591" i="50"/>
  <c r="AT1591" i="50"/>
  <c r="AW1591" i="50"/>
  <c r="AV1591" i="50"/>
  <c r="AS618" i="50"/>
  <c r="AT618" i="50"/>
  <c r="K618" i="50"/>
  <c r="M618" i="50"/>
  <c r="AV618" i="50"/>
  <c r="AV269" i="50"/>
  <c r="AW269" i="50"/>
  <c r="K885" i="50"/>
  <c r="M885" i="50"/>
  <c r="AS885" i="50"/>
  <c r="AT885" i="50"/>
  <c r="AW885" i="50"/>
  <c r="AO863" i="50"/>
  <c r="AQ863" i="50" s="1"/>
  <c r="AR863" i="50"/>
  <c r="AS507" i="50"/>
  <c r="AT507" i="50" s="1"/>
  <c r="AW507" i="50"/>
  <c r="AV507" i="50"/>
  <c r="AS187" i="50"/>
  <c r="AT187" i="50" s="1"/>
  <c r="AW187" i="50"/>
  <c r="K187" i="50"/>
  <c r="M187" i="50"/>
  <c r="BN251" i="50"/>
  <c r="AW265" i="50"/>
  <c r="AS512" i="50"/>
  <c r="AT512" i="50"/>
  <c r="AW512" i="50"/>
  <c r="AS1101" i="50"/>
  <c r="AT1101" i="50" s="1"/>
  <c r="K1241" i="50"/>
  <c r="M1241" i="50" s="1"/>
  <c r="AS1241" i="50"/>
  <c r="AT1241" i="50" s="1"/>
  <c r="AW1241" i="50"/>
  <c r="AV1241" i="50"/>
  <c r="AW404" i="50"/>
  <c r="K404" i="50"/>
  <c r="M404" i="50"/>
  <c r="AS404" i="50"/>
  <c r="AT404" i="50"/>
  <c r="AV404" i="50"/>
  <c r="AW2045" i="50"/>
  <c r="AV2045" i="50"/>
  <c r="K2045" i="50"/>
  <c r="M2045" i="50" s="1"/>
  <c r="AS2045" i="50"/>
  <c r="AT2045" i="50" s="1"/>
  <c r="BC1212" i="50"/>
  <c r="BC1211" i="50"/>
  <c r="BL1196" i="50"/>
  <c r="AV213" i="50"/>
  <c r="AW213" i="50"/>
  <c r="K213" i="50"/>
  <c r="M213" i="50"/>
  <c r="AS213" i="50"/>
  <c r="AT213" i="50"/>
  <c r="AV1671" i="50"/>
  <c r="AW1671" i="50"/>
  <c r="AS1673" i="50"/>
  <c r="AT1673" i="50"/>
  <c r="K1673" i="50"/>
  <c r="M1673" i="50"/>
  <c r="AW1673" i="50"/>
  <c r="AV1673" i="50"/>
  <c r="AS755" i="50"/>
  <c r="AT755" i="50"/>
  <c r="AV755" i="50"/>
  <c r="K755" i="50"/>
  <c r="M755" i="50" s="1"/>
  <c r="AW755" i="50"/>
  <c r="BN737" i="50"/>
  <c r="AZ751" i="50"/>
  <c r="M751" i="50" s="1"/>
  <c r="AW751" i="50"/>
  <c r="AZ752" i="50"/>
  <c r="M752" i="50"/>
  <c r="BO737" i="50"/>
  <c r="AW752" i="50"/>
  <c r="AV2023" i="50"/>
  <c r="AS2023" i="50"/>
  <c r="AT2023" i="50" s="1"/>
  <c r="K2023" i="50"/>
  <c r="M2023" i="50" s="1"/>
  <c r="AW1290" i="50"/>
  <c r="AS1290" i="50"/>
  <c r="AT1290" i="50"/>
  <c r="K1290" i="50"/>
  <c r="M1290" i="50"/>
  <c r="AV1290" i="50"/>
  <c r="AV1532" i="50"/>
  <c r="K1532" i="50"/>
  <c r="M1532" i="50"/>
  <c r="AW1532" i="50"/>
  <c r="AS1532" i="50"/>
  <c r="AT1532" i="50" s="1"/>
  <c r="AW1105" i="50"/>
  <c r="K1105" i="50"/>
  <c r="M1105" i="50"/>
  <c r="AS1105" i="50"/>
  <c r="AT1105" i="50"/>
  <c r="AV1105" i="50"/>
  <c r="BZ234" i="50"/>
  <c r="BZ231" i="50"/>
  <c r="BZ1503" i="50"/>
  <c r="BZ1500" i="50"/>
  <c r="AE354" i="58"/>
  <c r="AT346" i="58" s="1"/>
  <c r="AF354" i="58"/>
  <c r="AG354" i="58" s="1"/>
  <c r="AG357" i="58"/>
  <c r="AC315" i="50"/>
  <c r="AC312" i="50"/>
  <c r="BZ457" i="50"/>
  <c r="AG1316" i="50"/>
  <c r="AF1316" i="50"/>
  <c r="AR1316" i="50"/>
  <c r="AZ1862" i="50"/>
  <c r="AS346" i="50"/>
  <c r="AT346" i="50" s="1"/>
  <c r="BC1293" i="50"/>
  <c r="AT779" i="50"/>
  <c r="AR349" i="50"/>
  <c r="AW349" i="50"/>
  <c r="AF1455" i="50"/>
  <c r="AJ1455" i="50"/>
  <c r="AN348" i="50"/>
  <c r="AS265" i="50"/>
  <c r="AT265" i="50" s="1"/>
  <c r="AR348" i="50"/>
  <c r="I780" i="50"/>
  <c r="AH1854" i="50"/>
  <c r="AP1854" i="50" s="1"/>
  <c r="AP229" i="58"/>
  <c r="AP228" i="58"/>
  <c r="AP230" i="58"/>
  <c r="AG195" i="58"/>
  <c r="AE295" i="58"/>
  <c r="AY282" i="58" s="1"/>
  <c r="AC295" i="58"/>
  <c r="AD295" i="58" s="1"/>
  <c r="M198" i="58"/>
  <c r="AC1768" i="50"/>
  <c r="Y1778" i="50"/>
  <c r="BZ1398" i="50"/>
  <c r="AL38" i="46"/>
  <c r="AL39" i="46"/>
  <c r="AL53" i="46" s="1"/>
  <c r="AL54" i="46" s="1"/>
  <c r="AL37" i="46"/>
  <c r="BZ2003" i="50"/>
  <c r="BZ2001" i="50"/>
  <c r="BZ440" i="50"/>
  <c r="BZ1142" i="50"/>
  <c r="BZ710" i="50"/>
  <c r="BZ1088" i="50"/>
  <c r="BZ494" i="50"/>
  <c r="BZ926" i="50"/>
  <c r="BZ845" i="50"/>
  <c r="BZ1120" i="50"/>
  <c r="BZ1628" i="50"/>
  <c r="BZ278" i="50"/>
  <c r="BZ953" i="50"/>
  <c r="BZ1228" i="50"/>
  <c r="BZ1795" i="50"/>
  <c r="BZ89" i="50"/>
  <c r="BZ283" i="50"/>
  <c r="BZ1682" i="50"/>
  <c r="BZ2038" i="50"/>
  <c r="BZ1876" i="50"/>
  <c r="BZ1358" i="50"/>
  <c r="BZ818" i="50"/>
  <c r="BZ526" i="50"/>
  <c r="BZ1768" i="50"/>
  <c r="BZ715" i="50"/>
  <c r="BZ1007" i="50"/>
  <c r="BZ1817" i="50"/>
  <c r="BZ823" i="50"/>
  <c r="BZ1871" i="50"/>
  <c r="BZ1655" i="50"/>
  <c r="BZ2011" i="50"/>
  <c r="BZ661" i="50"/>
  <c r="BZ742" i="50"/>
  <c r="BZ175" i="50"/>
  <c r="BZ1925" i="50"/>
  <c r="BZ607" i="50"/>
  <c r="BZ386" i="50"/>
  <c r="BZ116" i="50"/>
  <c r="BZ305" i="50"/>
  <c r="BZ1093" i="50"/>
  <c r="BZ1687" i="50"/>
  <c r="BZ1255" i="50"/>
  <c r="BZ251" i="50"/>
  <c r="BZ872" i="50"/>
  <c r="BZ1822" i="50"/>
  <c r="BZ1304" i="50"/>
  <c r="BZ332" i="50"/>
  <c r="BZ1633" i="50"/>
  <c r="BZ467" i="50"/>
  <c r="BZ1736" i="50"/>
  <c r="BZ1223" i="50"/>
  <c r="BZ980" i="50"/>
  <c r="BZ1147" i="50"/>
  <c r="BZ499" i="50"/>
  <c r="BZ2033" i="50"/>
  <c r="BZ1174" i="50"/>
  <c r="BZ1417" i="50"/>
  <c r="BZ1979" i="50"/>
  <c r="BZ1412" i="50"/>
  <c r="I126" i="50"/>
  <c r="AJ126" i="50"/>
  <c r="I72" i="50"/>
  <c r="BE1184" i="50"/>
  <c r="BD1184" i="50"/>
  <c r="AN1559" i="50"/>
  <c r="AF1559" i="50"/>
  <c r="AI1559" i="50"/>
  <c r="I1559" i="50"/>
  <c r="AS782" i="50"/>
  <c r="AT782" i="50"/>
  <c r="K782" i="50"/>
  <c r="M782" i="50"/>
  <c r="AI1829" i="50"/>
  <c r="AF1829" i="50"/>
  <c r="AN1829" i="50"/>
  <c r="AN803" i="50"/>
  <c r="AR803" i="50"/>
  <c r="BJ791" i="50"/>
  <c r="AG803" i="50"/>
  <c r="AG1833" i="50"/>
  <c r="AF1833" i="50"/>
  <c r="AN1833" i="50"/>
  <c r="AO1833" i="50"/>
  <c r="AV1803" i="50"/>
  <c r="AF70" i="58"/>
  <c r="AG70" i="58" s="1"/>
  <c r="M398" i="50"/>
  <c r="BR1385" i="50"/>
  <c r="AW782" i="50"/>
  <c r="AI803" i="50"/>
  <c r="AJ803" i="50"/>
  <c r="AG1829" i="50"/>
  <c r="AR1559" i="50"/>
  <c r="BJ1547" i="50" s="1"/>
  <c r="AO1559" i="50"/>
  <c r="AI1397" i="50"/>
  <c r="I1397" i="50" s="1"/>
  <c r="AG1397" i="50"/>
  <c r="AF1397" i="50"/>
  <c r="AO1829" i="50"/>
  <c r="AJ1991" i="50"/>
  <c r="I1991" i="50"/>
  <c r="M1133" i="50"/>
  <c r="AV210" i="50"/>
  <c r="AS210" i="50"/>
  <c r="AT210" i="50" s="1"/>
  <c r="AJ1833" i="50"/>
  <c r="I585" i="50"/>
  <c r="AJ585" i="50"/>
  <c r="I593" i="50"/>
  <c r="AR593" i="50"/>
  <c r="BS575" i="50" s="1"/>
  <c r="AR1965" i="50"/>
  <c r="BL1952" i="50" s="1"/>
  <c r="AF1965" i="50"/>
  <c r="AO1965" i="50"/>
  <c r="I857" i="50"/>
  <c r="AJ857" i="50"/>
  <c r="AX857" i="50"/>
  <c r="AW940" i="50"/>
  <c r="BN926" i="50"/>
  <c r="AX942" i="50"/>
  <c r="BQ926" i="50"/>
  <c r="BR440" i="50"/>
  <c r="AZ457" i="50"/>
  <c r="M457" i="50" s="1"/>
  <c r="AF803" i="50"/>
  <c r="M1154" i="50"/>
  <c r="M1835" i="50"/>
  <c r="AS1834" i="50"/>
  <c r="AT1834" i="50"/>
  <c r="AV1834" i="50"/>
  <c r="BZ1402" i="50"/>
  <c r="BZ1400" i="50"/>
  <c r="BZ1405" i="50"/>
  <c r="BD1130" i="50"/>
  <c r="BE1130" i="50"/>
  <c r="AW1617" i="50"/>
  <c r="AS1617" i="50"/>
  <c r="AT1617" i="50" s="1"/>
  <c r="BS1871" i="50"/>
  <c r="AZ1888" i="50"/>
  <c r="M1888" i="50"/>
  <c r="AW1885" i="50"/>
  <c r="AZ1885" i="50"/>
  <c r="M1885" i="50" s="1"/>
  <c r="K1834" i="50"/>
  <c r="AV1617" i="50"/>
  <c r="BC617" i="50"/>
  <c r="BE617" i="50"/>
  <c r="BC618" i="50"/>
  <c r="AW1101" i="50"/>
  <c r="K1101" i="50"/>
  <c r="M1101" i="50"/>
  <c r="AW1803" i="50"/>
  <c r="K1803" i="50"/>
  <c r="M1803" i="50"/>
  <c r="AZ1889" i="50"/>
  <c r="BK764" i="50"/>
  <c r="AP776" i="50"/>
  <c r="AQ776" i="50"/>
  <c r="AV776" i="50" s="1"/>
  <c r="I1803" i="50"/>
  <c r="BM1790" i="50"/>
  <c r="H72" i="62"/>
  <c r="M70" i="62" s="1"/>
  <c r="I2140" i="50"/>
  <c r="I118" i="62" s="1"/>
  <c r="I2144" i="50"/>
  <c r="I122" i="62" s="1"/>
  <c r="I2164" i="50"/>
  <c r="I142" i="62" s="1"/>
  <c r="I2122" i="50"/>
  <c r="I100" i="62" s="1"/>
  <c r="I2096" i="50"/>
  <c r="I74" i="62" s="1"/>
  <c r="I2135" i="50"/>
  <c r="I113" i="62" s="1"/>
  <c r="I2101" i="50"/>
  <c r="I79" i="62" s="1"/>
  <c r="I2161" i="50"/>
  <c r="I139" i="62" s="1"/>
  <c r="I2092" i="50"/>
  <c r="I70" i="62" s="1"/>
  <c r="I2141" i="50"/>
  <c r="I119" i="62" s="1"/>
  <c r="I2153" i="50"/>
  <c r="I131" i="62" s="1"/>
  <c r="I2093" i="50"/>
  <c r="I71" i="62" s="1"/>
  <c r="I2097" i="50"/>
  <c r="I75" i="62" s="1"/>
  <c r="I2102" i="50"/>
  <c r="I80" i="62" s="1"/>
  <c r="I2104" i="50"/>
  <c r="I82" i="62" s="1"/>
  <c r="I2099" i="50"/>
  <c r="I77" i="62" s="1"/>
  <c r="I2125" i="50"/>
  <c r="I103" i="62" s="1"/>
  <c r="I2095" i="50"/>
  <c r="I73" i="62" s="1"/>
  <c r="I2123" i="50"/>
  <c r="I101" i="62" s="1"/>
  <c r="I2108" i="50"/>
  <c r="I86" i="62" s="1"/>
  <c r="I2163" i="50"/>
  <c r="I141" i="62" s="1"/>
  <c r="I2129" i="50"/>
  <c r="I107" i="62" s="1"/>
  <c r="I2139" i="50"/>
  <c r="I117" i="62" s="1"/>
  <c r="I2127" i="50"/>
  <c r="I105" i="62" s="1"/>
  <c r="I2142" i="50"/>
  <c r="I120" i="62" s="1"/>
  <c r="I2131" i="50"/>
  <c r="I109" i="62" s="1"/>
  <c r="I2162" i="50"/>
  <c r="I140" i="62" s="1"/>
  <c r="I2113" i="50"/>
  <c r="I91" i="62" s="1"/>
  <c r="I2105" i="50"/>
  <c r="I83" i="62" s="1"/>
  <c r="I2115" i="50"/>
  <c r="I93" i="62" s="1"/>
  <c r="I2117" i="50"/>
  <c r="I95" i="62" s="1"/>
  <c r="I2109" i="50"/>
  <c r="I87" i="62" s="1"/>
  <c r="I2112" i="50"/>
  <c r="I90" i="62" s="1"/>
  <c r="I2145" i="50"/>
  <c r="I123" i="62" s="1"/>
  <c r="I2151" i="50"/>
  <c r="I129" i="62" s="1"/>
  <c r="I2130" i="50"/>
  <c r="I108" i="62" s="1"/>
  <c r="I2110" i="50"/>
  <c r="I88" i="62" s="1"/>
  <c r="I2114" i="50"/>
  <c r="I92" i="62" s="1"/>
  <c r="I2116" i="50"/>
  <c r="I94" i="62" s="1"/>
  <c r="I2147" i="50"/>
  <c r="I125" i="62" s="1"/>
  <c r="BR467" i="50"/>
  <c r="BC482" i="50"/>
  <c r="BC483" i="50"/>
  <c r="AZ485" i="50"/>
  <c r="AS296" i="50"/>
  <c r="AT296" i="50"/>
  <c r="AV296" i="50"/>
  <c r="I2100" i="50"/>
  <c r="I78" i="62" s="1"/>
  <c r="AN588" i="50"/>
  <c r="AJ588" i="50"/>
  <c r="AF588" i="50"/>
  <c r="AR588" i="50"/>
  <c r="BL575" i="50"/>
  <c r="AO588" i="50"/>
  <c r="AG588" i="50"/>
  <c r="BE752" i="50"/>
  <c r="BD752" i="50"/>
  <c r="I2154" i="50"/>
  <c r="I132" i="62"/>
  <c r="I2119" i="50"/>
  <c r="I97" i="62"/>
  <c r="I2165" i="50"/>
  <c r="I143" i="62"/>
  <c r="I2150" i="50"/>
  <c r="I128" i="62"/>
  <c r="I2146" i="50"/>
  <c r="I124" i="62"/>
  <c r="I2103" i="50"/>
  <c r="I81" i="62"/>
  <c r="M2092" i="50"/>
  <c r="I2128" i="50"/>
  <c r="I106" i="62" s="1"/>
  <c r="AS1480" i="50"/>
  <c r="AT1480" i="50" s="1"/>
  <c r="AR1480" i="50"/>
  <c r="I1480" i="50"/>
  <c r="AO1478" i="50"/>
  <c r="AI1478" i="50"/>
  <c r="AR1478" i="50"/>
  <c r="BJ1466" i="50" s="1"/>
  <c r="AF1478" i="50"/>
  <c r="AG1478" i="50"/>
  <c r="AN1478" i="50"/>
  <c r="AP1020" i="50"/>
  <c r="AQ1020" i="50"/>
  <c r="BM1007" i="50"/>
  <c r="I1020" i="50"/>
  <c r="AV484" i="50"/>
  <c r="K484" i="50"/>
  <c r="M484" i="50" s="1"/>
  <c r="AW484" i="50"/>
  <c r="BQ521" i="50"/>
  <c r="AP537" i="50"/>
  <c r="AQ537" i="50" s="1"/>
  <c r="I537" i="50"/>
  <c r="AX537" i="50"/>
  <c r="AP560" i="50"/>
  <c r="AQ560" i="50" s="1"/>
  <c r="BK548" i="50"/>
  <c r="BL710" i="50"/>
  <c r="BC726" i="50"/>
  <c r="BC725" i="50"/>
  <c r="AV1321" i="50"/>
  <c r="K1321" i="50"/>
  <c r="BC1319" i="50"/>
  <c r="BL1304" i="50"/>
  <c r="BC1320" i="50"/>
  <c r="AZ377" i="50"/>
  <c r="M377" i="50" s="1"/>
  <c r="AZ376" i="50"/>
  <c r="BR359" i="50"/>
  <c r="BL656" i="50"/>
  <c r="BC672" i="50"/>
  <c r="BC671" i="50"/>
  <c r="AR1561" i="50"/>
  <c r="I1561" i="50"/>
  <c r="AP375" i="50"/>
  <c r="AQ375" i="50"/>
  <c r="AX375" i="50"/>
  <c r="BQ359" i="50"/>
  <c r="I375" i="50"/>
  <c r="AP425" i="50"/>
  <c r="AQ425" i="50" s="1"/>
  <c r="BS1169" i="50"/>
  <c r="AZ1187" i="50"/>
  <c r="AZ1186" i="50"/>
  <c r="M1186" i="50"/>
  <c r="AR809" i="50"/>
  <c r="BS791" i="50"/>
  <c r="I809" i="50"/>
  <c r="AO809" i="50"/>
  <c r="AQ809" i="50" s="1"/>
  <c r="BC537" i="50"/>
  <c r="BC536" i="50"/>
  <c r="BL521" i="50"/>
  <c r="BM521" i="50"/>
  <c r="AP534" i="50"/>
  <c r="AQ534" i="50" s="1"/>
  <c r="I534" i="50"/>
  <c r="BO2060" i="50"/>
  <c r="AW2075" i="50"/>
  <c r="AZ2075" i="50"/>
  <c r="M2075" i="50"/>
  <c r="BK1304" i="50"/>
  <c r="AP1316" i="50"/>
  <c r="AQ1316" i="50" s="1"/>
  <c r="AV674" i="50"/>
  <c r="AW1322" i="50"/>
  <c r="M1727" i="50"/>
  <c r="M727" i="50"/>
  <c r="AW296" i="50"/>
  <c r="M916" i="50"/>
  <c r="BD1616" i="50"/>
  <c r="BE915" i="50"/>
  <c r="BE1752" i="50"/>
  <c r="I2148" i="50"/>
  <c r="I126" i="62" s="1"/>
  <c r="I2118" i="50"/>
  <c r="I96" i="62" s="1"/>
  <c r="I2124" i="50"/>
  <c r="I102" i="62" s="1"/>
  <c r="I2120" i="50"/>
  <c r="I98" i="62" s="1"/>
  <c r="I2121" i="50"/>
  <c r="I99" i="62" s="1"/>
  <c r="I2133" i="50"/>
  <c r="I111" i="62" s="1"/>
  <c r="I2149" i="50"/>
  <c r="I127" i="62" s="1"/>
  <c r="I2159" i="50"/>
  <c r="I137" i="62" s="1"/>
  <c r="I2152" i="50"/>
  <c r="I130" i="62" s="1"/>
  <c r="I2107" i="50"/>
  <c r="I85" i="62" s="1"/>
  <c r="BC374" i="50"/>
  <c r="BE374" i="50" s="1"/>
  <c r="BK413" i="50"/>
  <c r="BZ803" i="50"/>
  <c r="BZ811" i="50"/>
  <c r="BZ806" i="50"/>
  <c r="BZ804" i="50"/>
  <c r="BZ807" i="50"/>
  <c r="BZ805" i="50"/>
  <c r="I1586" i="50"/>
  <c r="AJ1586" i="50"/>
  <c r="I2160" i="50"/>
  <c r="I138" i="62" s="1"/>
  <c r="BK818" i="50"/>
  <c r="AX830" i="50"/>
  <c r="AP830" i="50"/>
  <c r="AQ830" i="50" s="1"/>
  <c r="AJ452" i="50"/>
  <c r="BK440" i="50" s="1"/>
  <c r="I452" i="50"/>
  <c r="AP1640" i="50"/>
  <c r="AQ1640" i="50" s="1"/>
  <c r="AX1640" i="50"/>
  <c r="BR1817" i="50"/>
  <c r="AZ1834" i="50"/>
  <c r="AR1969" i="50"/>
  <c r="AO1969" i="50"/>
  <c r="AQ1969" i="50" s="1"/>
  <c r="I1969" i="50"/>
  <c r="BI791" i="50"/>
  <c r="AP801" i="50"/>
  <c r="BR1412" i="50"/>
  <c r="AZ1430" i="50"/>
  <c r="M1430" i="50" s="1"/>
  <c r="AZ1429" i="50"/>
  <c r="M1429" i="50" s="1"/>
  <c r="BC1427" i="50"/>
  <c r="BC1428" i="50"/>
  <c r="BD1428" i="50" s="1"/>
  <c r="I2143" i="50"/>
  <c r="I121" i="62"/>
  <c r="I2166" i="50"/>
  <c r="I144" i="62"/>
  <c r="I2106" i="50"/>
  <c r="I84" i="62"/>
  <c r="I2098" i="50"/>
  <c r="I76" i="62"/>
  <c r="I2158" i="50"/>
  <c r="I136" i="62"/>
  <c r="I2138" i="50"/>
  <c r="I116" i="62"/>
  <c r="I2111" i="50"/>
  <c r="I89" i="62"/>
  <c r="I1047" i="50"/>
  <c r="AP1047" i="50"/>
  <c r="AQ1047" i="50" s="1"/>
  <c r="BM1034" i="50"/>
  <c r="AZ1051" i="50"/>
  <c r="M1051" i="50"/>
  <c r="AZ1052" i="50"/>
  <c r="BS1034" i="50"/>
  <c r="AO592" i="50"/>
  <c r="AQ592" i="50"/>
  <c r="AS592" i="50" s="1"/>
  <c r="AT592" i="50" s="1"/>
  <c r="AI1964" i="50"/>
  <c r="AG1964" i="50"/>
  <c r="AR1964" i="50"/>
  <c r="BJ1952" i="50"/>
  <c r="AV294" i="50"/>
  <c r="AS294" i="50"/>
  <c r="AT294" i="50" s="1"/>
  <c r="AW294" i="50"/>
  <c r="K294" i="50"/>
  <c r="AS1155" i="50"/>
  <c r="AT1155" i="50" s="1"/>
  <c r="AW1155" i="50"/>
  <c r="AV1155" i="50"/>
  <c r="K1155" i="50"/>
  <c r="M1155" i="50" s="1"/>
  <c r="AW859" i="50"/>
  <c r="BN845" i="50"/>
  <c r="AZ859" i="50"/>
  <c r="M859" i="50" s="1"/>
  <c r="BD1158" i="50"/>
  <c r="BE1158" i="50"/>
  <c r="AV834" i="50"/>
  <c r="AS834" i="50"/>
  <c r="AT834" i="50" s="1"/>
  <c r="AW834" i="50"/>
  <c r="K834" i="50"/>
  <c r="M834" i="50"/>
  <c r="BC375" i="50"/>
  <c r="BZ165" i="50"/>
  <c r="BZ167" i="50"/>
  <c r="BS926" i="50"/>
  <c r="AW944" i="50"/>
  <c r="AZ943" i="50"/>
  <c r="M943" i="50" s="1"/>
  <c r="BR926" i="50"/>
  <c r="BC942" i="50"/>
  <c r="BE942" i="50" s="1"/>
  <c r="BC941" i="50"/>
  <c r="AZ944" i="50"/>
  <c r="M944" i="50" s="1"/>
  <c r="AP942" i="50"/>
  <c r="AQ942" i="50" s="1"/>
  <c r="I942" i="50"/>
  <c r="AW697" i="50"/>
  <c r="BN683" i="50"/>
  <c r="AZ697" i="50"/>
  <c r="M697" i="50"/>
  <c r="AP1424" i="50"/>
  <c r="AQ1424" i="50"/>
  <c r="K1424" i="50" s="1"/>
  <c r="M1424" i="50" s="1"/>
  <c r="BK1412" i="50"/>
  <c r="AZ458" i="50"/>
  <c r="AS1966" i="50"/>
  <c r="AT1966" i="50"/>
  <c r="I1966" i="50"/>
  <c r="AJ1962" i="50"/>
  <c r="AX1968" i="50" s="1"/>
  <c r="I1962" i="50"/>
  <c r="AR1562" i="50"/>
  <c r="AW1562" i="50" s="1"/>
  <c r="AS1562" i="50"/>
  <c r="AT1562" i="50"/>
  <c r="AG1479" i="50"/>
  <c r="AO1479" i="50"/>
  <c r="AN1479" i="50"/>
  <c r="AF1479" i="50"/>
  <c r="BI656" i="50"/>
  <c r="AX672" i="50"/>
  <c r="M672" i="50"/>
  <c r="AP1046" i="50"/>
  <c r="AQ1046" i="50"/>
  <c r="AV1046" i="50" s="1"/>
  <c r="AX1046" i="50"/>
  <c r="BK1034" i="50"/>
  <c r="I589" i="50"/>
  <c r="AR589" i="50"/>
  <c r="BN575" i="50" s="1"/>
  <c r="AS589" i="50"/>
  <c r="AT589" i="50"/>
  <c r="BQ1412" i="50"/>
  <c r="AP1428" i="50"/>
  <c r="AQ1428" i="50" s="1"/>
  <c r="I1428" i="50"/>
  <c r="AX1428" i="50"/>
  <c r="I1476" i="50"/>
  <c r="AJ1476" i="50"/>
  <c r="AO1483" i="50"/>
  <c r="AQ1483" i="50" s="1"/>
  <c r="AR1483" i="50"/>
  <c r="BC1481" i="50" s="1"/>
  <c r="I1481" i="50"/>
  <c r="AR1481" i="50"/>
  <c r="AS1481" i="50"/>
  <c r="AT1481" i="50" s="1"/>
  <c r="AN1482" i="50"/>
  <c r="AR1482" i="50"/>
  <c r="BP1466" i="50"/>
  <c r="AJ1482" i="50"/>
  <c r="AG1482" i="50"/>
  <c r="AF1482" i="50"/>
  <c r="AO1482" i="50"/>
  <c r="I1484" i="50"/>
  <c r="AR1484" i="50"/>
  <c r="BS1466" i="50" s="1"/>
  <c r="AO1484" i="50"/>
  <c r="AQ1484" i="50" s="1"/>
  <c r="BC1022" i="50"/>
  <c r="BE1022" i="50" s="1"/>
  <c r="BL1007" i="50"/>
  <c r="BC1023" i="50"/>
  <c r="BD1023" i="50" s="1"/>
  <c r="BI278" i="50"/>
  <c r="AP288" i="50"/>
  <c r="AX294" i="50"/>
  <c r="AJ290" i="50"/>
  <c r="BK278" i="50" s="1"/>
  <c r="I290" i="50"/>
  <c r="BS278" i="50"/>
  <c r="AZ644" i="50"/>
  <c r="M644" i="50"/>
  <c r="AW644" i="50"/>
  <c r="BO629" i="50"/>
  <c r="AW538" i="50"/>
  <c r="AV538" i="50"/>
  <c r="BM710" i="50"/>
  <c r="I723" i="50"/>
  <c r="AW1321" i="50"/>
  <c r="AZ1321" i="50"/>
  <c r="M1321" i="50" s="1"/>
  <c r="BM1304" i="50"/>
  <c r="AP1317" i="50"/>
  <c r="AQ1317" i="50" s="1"/>
  <c r="AV376" i="50"/>
  <c r="K376" i="50"/>
  <c r="AW376" i="50"/>
  <c r="BN656" i="50"/>
  <c r="AZ670" i="50"/>
  <c r="M670" i="50" s="1"/>
  <c r="AP669" i="50"/>
  <c r="AQ669" i="50" s="1"/>
  <c r="I669" i="50"/>
  <c r="BM656" i="50"/>
  <c r="AG1563" i="50"/>
  <c r="AO1563" i="50"/>
  <c r="K1187" i="50"/>
  <c r="M1187" i="50" s="1"/>
  <c r="AW1187" i="50"/>
  <c r="AZ1184" i="50"/>
  <c r="M1184" i="50"/>
  <c r="BO1169" i="50"/>
  <c r="AW1184" i="50"/>
  <c r="BC1050" i="50"/>
  <c r="BL1034" i="50"/>
  <c r="BC1049" i="50"/>
  <c r="K1052" i="50"/>
  <c r="M1052" i="50" s="1"/>
  <c r="AV1052" i="50"/>
  <c r="AJ1829" i="50"/>
  <c r="I1829" i="50"/>
  <c r="AS1967" i="50"/>
  <c r="AT1967" i="50"/>
  <c r="AR1967" i="50"/>
  <c r="I1967" i="50"/>
  <c r="BK359" i="50"/>
  <c r="AP371" i="50"/>
  <c r="AQ371" i="50"/>
  <c r="K371" i="50" s="1"/>
  <c r="M371" i="50" s="1"/>
  <c r="BD1157" i="50"/>
  <c r="BE1157" i="50"/>
  <c r="AW2072" i="50"/>
  <c r="K2072" i="50"/>
  <c r="M2072" i="50" s="1"/>
  <c r="AV943" i="50"/>
  <c r="K943" i="50"/>
  <c r="AW943" i="50"/>
  <c r="BL683" i="50"/>
  <c r="BZ1571" i="50"/>
  <c r="BZ1569" i="50"/>
  <c r="AR1968" i="50"/>
  <c r="BP1952" i="50" s="1"/>
  <c r="AG1968" i="50"/>
  <c r="BD1508" i="50"/>
  <c r="BE1508" i="50"/>
  <c r="BE1914" i="50"/>
  <c r="BD1914" i="50"/>
  <c r="I1694" i="50"/>
  <c r="AJ1694" i="50"/>
  <c r="BK1682" i="50" s="1"/>
  <c r="BD1509" i="50"/>
  <c r="BE1509" i="50"/>
  <c r="BL1466" i="50"/>
  <c r="BK683" i="50"/>
  <c r="AP695" i="50"/>
  <c r="AQ695" i="50"/>
  <c r="AS695" i="50" s="1"/>
  <c r="AT695" i="50" s="1"/>
  <c r="AZ1564" i="50"/>
  <c r="M1862" i="50"/>
  <c r="M1293" i="50"/>
  <c r="BK1115" i="50"/>
  <c r="M1726" i="50"/>
  <c r="AZ700" i="50"/>
  <c r="M700" i="50"/>
  <c r="I345" i="50"/>
  <c r="AP345" i="50"/>
  <c r="AQ345" i="50" s="1"/>
  <c r="BM332" i="50"/>
  <c r="AO160" i="50"/>
  <c r="AQ160" i="50"/>
  <c r="AW160" i="50" s="1"/>
  <c r="I160" i="50"/>
  <c r="AR160" i="50"/>
  <c r="BR143" i="50" s="1"/>
  <c r="BE834" i="50"/>
  <c r="BD834" i="50"/>
  <c r="I1479" i="50"/>
  <c r="BM1466" i="50"/>
  <c r="AP1479" i="50"/>
  <c r="AQ1479" i="50"/>
  <c r="AV1479" i="50" s="1"/>
  <c r="K723" i="50"/>
  <c r="M723" i="50"/>
  <c r="AW723" i="50"/>
  <c r="AV723" i="50"/>
  <c r="BD374" i="50"/>
  <c r="BI1871" i="50"/>
  <c r="AX1563" i="50"/>
  <c r="AP1563" i="50"/>
  <c r="AQ1563" i="50" s="1"/>
  <c r="AF69" i="58"/>
  <c r="AG69" i="58"/>
  <c r="AE69" i="58"/>
  <c r="AW58" i="58"/>
  <c r="AX1991" i="50"/>
  <c r="AN1347" i="50"/>
  <c r="AO1347" i="50"/>
  <c r="AF1347" i="50"/>
  <c r="AR1347" i="50"/>
  <c r="BP1331" i="50" s="1"/>
  <c r="AG1347" i="50"/>
  <c r="AJ1347" i="50"/>
  <c r="AP915" i="50"/>
  <c r="AQ915" i="50" s="1"/>
  <c r="AX915" i="50"/>
  <c r="I915" i="50"/>
  <c r="BQ899" i="50"/>
  <c r="AG591" i="50"/>
  <c r="AN591" i="50"/>
  <c r="AO591" i="50"/>
  <c r="AJ591" i="50"/>
  <c r="AX591" i="50" s="1"/>
  <c r="AR591" i="50"/>
  <c r="BP575" i="50"/>
  <c r="AF591" i="50"/>
  <c r="AW593" i="50"/>
  <c r="K593" i="50"/>
  <c r="BM1871" i="50"/>
  <c r="I1884" i="50"/>
  <c r="AP1884" i="50"/>
  <c r="AQ1884" i="50" s="1"/>
  <c r="AR1368" i="50"/>
  <c r="BH1358" i="50" s="1"/>
  <c r="M1368" i="50"/>
  <c r="BN1952" i="50"/>
  <c r="AZ1966" i="50"/>
  <c r="M1966" i="50" s="1"/>
  <c r="AW1966" i="50"/>
  <c r="AW509" i="50"/>
  <c r="BO494" i="50"/>
  <c r="AZ509" i="50"/>
  <c r="M509" i="50"/>
  <c r="BD644" i="50"/>
  <c r="BE644" i="50"/>
  <c r="BE213" i="50"/>
  <c r="BD213" i="50"/>
  <c r="AW1402" i="50"/>
  <c r="AX267" i="50"/>
  <c r="M267" i="50"/>
  <c r="BI251" i="50"/>
  <c r="AX263" i="50"/>
  <c r="M263" i="50" s="1"/>
  <c r="AV1646" i="50"/>
  <c r="K1646" i="50"/>
  <c r="M1646" i="50"/>
  <c r="AS1646" i="50"/>
  <c r="AT1646" i="50"/>
  <c r="AJ1559" i="50"/>
  <c r="BL1871" i="50"/>
  <c r="BC1886" i="50"/>
  <c r="BC1887" i="50"/>
  <c r="BD1887" i="50" s="1"/>
  <c r="K699" i="50"/>
  <c r="M699" i="50"/>
  <c r="AV699" i="50"/>
  <c r="BK845" i="50"/>
  <c r="AP857" i="50"/>
  <c r="AQ857" i="50"/>
  <c r="AV857" i="50" s="1"/>
  <c r="AZ1832" i="50"/>
  <c r="M1832" i="50"/>
  <c r="BO1817" i="50"/>
  <c r="AW1832" i="50"/>
  <c r="I159" i="50"/>
  <c r="AP159" i="50"/>
  <c r="AQ159" i="50"/>
  <c r="K159" i="50" s="1"/>
  <c r="BQ143" i="50"/>
  <c r="BZ1365" i="50"/>
  <c r="BZ1368" i="50"/>
  <c r="BZ1370" i="50"/>
  <c r="AR1401" i="50"/>
  <c r="BP1385" i="50"/>
  <c r="AJ1401" i="50"/>
  <c r="AF1401" i="50"/>
  <c r="AN1401" i="50"/>
  <c r="BE266" i="50"/>
  <c r="BD266" i="50"/>
  <c r="BZ1403" i="50"/>
  <c r="BZ1401" i="50"/>
  <c r="AP344" i="50"/>
  <c r="AQ344" i="50"/>
  <c r="AS344" i="50" s="1"/>
  <c r="AT344" i="50" s="1"/>
  <c r="BK332" i="50"/>
  <c r="AJ1397" i="50"/>
  <c r="AX1397" i="50" s="1"/>
  <c r="AV1403" i="50"/>
  <c r="K1403" i="50"/>
  <c r="M1403" i="50" s="1"/>
  <c r="AV1402" i="50"/>
  <c r="K1402" i="50"/>
  <c r="AZ1696" i="50"/>
  <c r="M1696" i="50"/>
  <c r="AW1696" i="50"/>
  <c r="BN1682" i="50"/>
  <c r="AZ374" i="50"/>
  <c r="M374" i="50"/>
  <c r="AW374" i="50"/>
  <c r="BO359" i="50"/>
  <c r="BD1535" i="50"/>
  <c r="BE1535" i="50"/>
  <c r="AW1993" i="50"/>
  <c r="BN1979" i="50"/>
  <c r="AR2021" i="50"/>
  <c r="AS2021" i="50"/>
  <c r="AT2021" i="50" s="1"/>
  <c r="I2021" i="50"/>
  <c r="AF1208" i="50"/>
  <c r="AI1208" i="50"/>
  <c r="I1208" i="50" s="1"/>
  <c r="AN1208" i="50"/>
  <c r="AO1208" i="50"/>
  <c r="AR1208" i="50"/>
  <c r="BJ1196" i="50"/>
  <c r="AG1208" i="50"/>
  <c r="BZ570" i="50"/>
  <c r="BZ572" i="50"/>
  <c r="AC71" i="58"/>
  <c r="AD71" i="58" s="1"/>
  <c r="AE71" i="58"/>
  <c r="AY58" i="58" s="1"/>
  <c r="AZ346" i="50"/>
  <c r="M346" i="50" s="1"/>
  <c r="AW346" i="50"/>
  <c r="BN332" i="50"/>
  <c r="BZ867" i="50"/>
  <c r="BZ869" i="50"/>
  <c r="I641" i="50"/>
  <c r="AJ641" i="50"/>
  <c r="AX533" i="50"/>
  <c r="BK521" i="50"/>
  <c r="AP533" i="50"/>
  <c r="AQ533" i="50" s="1"/>
  <c r="AZ1970" i="50"/>
  <c r="BS1952" i="50"/>
  <c r="AZ1969" i="50"/>
  <c r="AP1560" i="50"/>
  <c r="AQ1560" i="50" s="1"/>
  <c r="I1560" i="50"/>
  <c r="BM1547" i="50"/>
  <c r="K1564" i="50"/>
  <c r="M1564" i="50" s="1"/>
  <c r="AS1564" i="50"/>
  <c r="AT1564" i="50" s="1"/>
  <c r="AW1564" i="50"/>
  <c r="AV1564" i="50"/>
  <c r="AZ806" i="50"/>
  <c r="M806" i="50" s="1"/>
  <c r="AW806" i="50"/>
  <c r="BO791" i="50"/>
  <c r="I803" i="50"/>
  <c r="I807" i="50"/>
  <c r="BQ791" i="50"/>
  <c r="AP807" i="50"/>
  <c r="AQ807" i="50"/>
  <c r="K807" i="50" s="1"/>
  <c r="M807" i="50" s="1"/>
  <c r="BM1952" i="50"/>
  <c r="I1965" i="50"/>
  <c r="AP1965" i="50"/>
  <c r="AQ1965" i="50"/>
  <c r="AV1965" i="50" s="1"/>
  <c r="AX807" i="50"/>
  <c r="AY995" i="50"/>
  <c r="AY993" i="50"/>
  <c r="M1915" i="50"/>
  <c r="M1619" i="50"/>
  <c r="AW1997" i="50"/>
  <c r="BD617" i="50"/>
  <c r="I1968" i="50"/>
  <c r="AP1968" i="50"/>
  <c r="AQ1968" i="50" s="1"/>
  <c r="BQ1952" i="50"/>
  <c r="AS1970" i="50"/>
  <c r="AT1970" i="50"/>
  <c r="AW1970" i="50"/>
  <c r="AV1970" i="50"/>
  <c r="K1970" i="50"/>
  <c r="AJ72" i="50"/>
  <c r="BI62" i="50" s="1"/>
  <c r="BL1547" i="50"/>
  <c r="BC1562" i="50"/>
  <c r="BC1563" i="50"/>
  <c r="BE1563" i="50" s="1"/>
  <c r="AZ805" i="50"/>
  <c r="M805" i="50"/>
  <c r="AW805" i="50"/>
  <c r="BN791" i="50"/>
  <c r="BM791" i="50"/>
  <c r="I804" i="50"/>
  <c r="AP804" i="50"/>
  <c r="AQ804" i="50"/>
  <c r="AW804" i="50" s="1"/>
  <c r="BZ990" i="50"/>
  <c r="BZ995" i="50"/>
  <c r="BZ987" i="50"/>
  <c r="AR861" i="50"/>
  <c r="BP845" i="50" s="1"/>
  <c r="AF861" i="50"/>
  <c r="AO861" i="50"/>
  <c r="AN861" i="50"/>
  <c r="AG861" i="50"/>
  <c r="AJ861" i="50"/>
  <c r="I861" i="50" s="1"/>
  <c r="BN1196" i="50"/>
  <c r="AZ1210" i="50"/>
  <c r="M1210" i="50" s="1"/>
  <c r="AW1210" i="50"/>
  <c r="K2073" i="50"/>
  <c r="M2073" i="50"/>
  <c r="AW2073" i="50"/>
  <c r="AS2073" i="50"/>
  <c r="AT2073" i="50" s="1"/>
  <c r="AV2073" i="50"/>
  <c r="BR575" i="50"/>
  <c r="AW592" i="50"/>
  <c r="AZ593" i="50"/>
  <c r="M593" i="50"/>
  <c r="BC590" i="50"/>
  <c r="BD1913" i="50"/>
  <c r="BE1913" i="50"/>
  <c r="AJ1721" i="50"/>
  <c r="AX1721" i="50" s="1"/>
  <c r="I1721" i="50"/>
  <c r="AW1399" i="50"/>
  <c r="AZ1399" i="50"/>
  <c r="M1399" i="50"/>
  <c r="BN1385" i="50"/>
  <c r="BE1724" i="50"/>
  <c r="BD1724" i="50"/>
  <c r="BN2033" i="50"/>
  <c r="AZ2047" i="50"/>
  <c r="M2047" i="50"/>
  <c r="AW2047" i="50"/>
  <c r="AX749" i="50"/>
  <c r="BK737" i="50"/>
  <c r="AP749" i="50"/>
  <c r="AQ749" i="50" s="1"/>
  <c r="AZ779" i="50"/>
  <c r="M779" i="50" s="1"/>
  <c r="AW779" i="50"/>
  <c r="BO764" i="50"/>
  <c r="AZ808" i="50"/>
  <c r="M808" i="50" s="1"/>
  <c r="BC806" i="50"/>
  <c r="BE806" i="50" s="1"/>
  <c r="AZ809" i="50"/>
  <c r="BC807" i="50"/>
  <c r="BE807" i="50" s="1"/>
  <c r="BR791" i="50"/>
  <c r="AW808" i="50"/>
  <c r="AW1565" i="50"/>
  <c r="AS1565" i="50"/>
  <c r="AT1565" i="50" s="1"/>
  <c r="K1565" i="50"/>
  <c r="M1565" i="50" s="1"/>
  <c r="AV1565" i="50"/>
  <c r="BS521" i="50"/>
  <c r="AZ539" i="50"/>
  <c r="M539" i="50" s="1"/>
  <c r="AZ538" i="50"/>
  <c r="M538" i="50" s="1"/>
  <c r="I1992" i="50"/>
  <c r="AP1992" i="50"/>
  <c r="AQ1992" i="50"/>
  <c r="K1992" i="50" s="1"/>
  <c r="M1992" i="50" s="1"/>
  <c r="BM1979" i="50"/>
  <c r="BS1979" i="50"/>
  <c r="BD1725" i="50"/>
  <c r="BE1725" i="50"/>
  <c r="BO1385" i="50"/>
  <c r="AW1400" i="50"/>
  <c r="AZ1400" i="50"/>
  <c r="M1400" i="50" s="1"/>
  <c r="AC1770" i="50"/>
  <c r="AC1773" i="50"/>
  <c r="AG1773" i="50" s="1"/>
  <c r="AY1778" i="50"/>
  <c r="AC1778" i="50"/>
  <c r="AS1778" i="50" s="1"/>
  <c r="AT1778" i="50" s="1"/>
  <c r="BP332" i="50"/>
  <c r="AG315" i="50"/>
  <c r="AC322" i="50"/>
  <c r="AR322" i="50" s="1"/>
  <c r="AC320" i="50"/>
  <c r="AC323" i="50"/>
  <c r="AC319" i="50"/>
  <c r="AS315" i="50"/>
  <c r="AT315" i="50" s="1"/>
  <c r="AC317" i="50"/>
  <c r="AF317" i="50" s="1"/>
  <c r="AC321" i="50"/>
  <c r="AF315" i="50"/>
  <c r="AH315" i="50" s="1"/>
  <c r="AI315" i="50"/>
  <c r="AJ315" i="50" s="1"/>
  <c r="AC318" i="50"/>
  <c r="BD1211" i="50"/>
  <c r="BE1211" i="50"/>
  <c r="BE510" i="50"/>
  <c r="BD510" i="50"/>
  <c r="BD509" i="50"/>
  <c r="BE509" i="50"/>
  <c r="BM1817" i="50"/>
  <c r="AP1830" i="50"/>
  <c r="AQ1830" i="50" s="1"/>
  <c r="I1830" i="50"/>
  <c r="BZ998" i="50"/>
  <c r="AY998" i="50"/>
  <c r="AR990" i="50"/>
  <c r="M990" i="50"/>
  <c r="AY1370" i="50"/>
  <c r="AC1370" i="50"/>
  <c r="AI1370" i="50" s="1"/>
  <c r="AY1375" i="50"/>
  <c r="AC1375" i="50"/>
  <c r="AR1375" i="50" s="1"/>
  <c r="BQ1979" i="50"/>
  <c r="I1995" i="50"/>
  <c r="AP1995" i="50"/>
  <c r="AQ1995" i="50"/>
  <c r="AW1995" i="50" s="1"/>
  <c r="AX1995" i="50"/>
  <c r="AV1127" i="50"/>
  <c r="K1127" i="50"/>
  <c r="AS1127" i="50"/>
  <c r="AT1127" i="50"/>
  <c r="AW1127" i="50"/>
  <c r="AS776" i="50"/>
  <c r="AT776" i="50" s="1"/>
  <c r="AX1455" i="50"/>
  <c r="BQ1439" i="50"/>
  <c r="AP1455" i="50"/>
  <c r="AQ1455" i="50" s="1"/>
  <c r="I1455" i="50"/>
  <c r="BC347" i="50"/>
  <c r="BR332" i="50"/>
  <c r="BC348" i="50"/>
  <c r="AZ349" i="50"/>
  <c r="M349" i="50" s="1"/>
  <c r="AZ350" i="50"/>
  <c r="BD1293" i="50"/>
  <c r="BE1293" i="50"/>
  <c r="BJ1304" i="50"/>
  <c r="BZ1506" i="50"/>
  <c r="BZ1510" i="50"/>
  <c r="BZ1508" i="50"/>
  <c r="BZ1507" i="50"/>
  <c r="BZ1505" i="50"/>
  <c r="BZ1509" i="50"/>
  <c r="BZ1513" i="50"/>
  <c r="BZ1517" i="50" s="1"/>
  <c r="BZ1511" i="50"/>
  <c r="BZ240" i="50"/>
  <c r="BZ241" i="50"/>
  <c r="BZ236" i="50"/>
  <c r="BZ244" i="50"/>
  <c r="BZ237" i="50"/>
  <c r="BZ242" i="50"/>
  <c r="BZ239" i="50"/>
  <c r="BZ238" i="50"/>
  <c r="BD1212" i="50"/>
  <c r="BE1212" i="50"/>
  <c r="AZ863" i="50"/>
  <c r="AZ862" i="50"/>
  <c r="BS845" i="50"/>
  <c r="AW1856" i="50"/>
  <c r="AV1856" i="50"/>
  <c r="AS1856" i="50"/>
  <c r="AT1856" i="50" s="1"/>
  <c r="K1856" i="50"/>
  <c r="M1856" i="50" s="1"/>
  <c r="AP1910" i="50"/>
  <c r="AQ1910" i="50" s="1"/>
  <c r="BK1898" i="50"/>
  <c r="AX1910" i="50"/>
  <c r="AZ833" i="50"/>
  <c r="M833" i="50" s="1"/>
  <c r="AW833" i="50"/>
  <c r="BO818" i="50"/>
  <c r="BL1817" i="50"/>
  <c r="BC1832" i="50"/>
  <c r="BC1833" i="50"/>
  <c r="BD1833" i="50" s="1"/>
  <c r="AC990" i="50"/>
  <c r="AC998" i="50"/>
  <c r="AR998" i="50" s="1"/>
  <c r="AC987" i="50"/>
  <c r="BZ992" i="50"/>
  <c r="AY992" i="50"/>
  <c r="AC992" i="50"/>
  <c r="AI992" i="50" s="1"/>
  <c r="BZ994" i="50"/>
  <c r="AY994" i="50"/>
  <c r="AY1372" i="50"/>
  <c r="BZ1372" i="50"/>
  <c r="AC1372" i="50"/>
  <c r="AY1373" i="50"/>
  <c r="AC1373" i="50"/>
  <c r="BS1385" i="50"/>
  <c r="AZ1402" i="50"/>
  <c r="M1402" i="50"/>
  <c r="AW1403" i="50"/>
  <c r="AC1374" i="50"/>
  <c r="AO1374" i="50" s="1"/>
  <c r="AI1368" i="50"/>
  <c r="AC1371" i="50"/>
  <c r="AN1371" i="50" s="1"/>
  <c r="AS1368" i="50"/>
  <c r="AT1368" i="50"/>
  <c r="AG1368" i="50"/>
  <c r="AC1376" i="50"/>
  <c r="AO1376" i="50" s="1"/>
  <c r="AQ1376" i="50" s="1"/>
  <c r="AF1368" i="50"/>
  <c r="AH1368" i="50"/>
  <c r="M1613" i="50"/>
  <c r="AZ1403" i="50"/>
  <c r="BZ1179" i="50"/>
  <c r="BZ1187" i="50" s="1"/>
  <c r="BZ1176" i="50"/>
  <c r="BZ504" i="50"/>
  <c r="BZ510" i="50" s="1"/>
  <c r="BZ501" i="50"/>
  <c r="BZ1638" i="50"/>
  <c r="BZ1648" i="50" s="1"/>
  <c r="BZ1635" i="50"/>
  <c r="BZ1257" i="50"/>
  <c r="BZ1260" i="50"/>
  <c r="BZ1095" i="50"/>
  <c r="BZ1098" i="50"/>
  <c r="BZ612" i="50"/>
  <c r="BZ615" i="50" s="1"/>
  <c r="BZ609" i="50"/>
  <c r="BZ180" i="50"/>
  <c r="BZ190" i="50" s="1"/>
  <c r="BZ177" i="50"/>
  <c r="BZ2016" i="50"/>
  <c r="BZ2024" i="50" s="1"/>
  <c r="BZ2013" i="50"/>
  <c r="BZ720" i="50"/>
  <c r="BZ726" i="50" s="1"/>
  <c r="BZ717" i="50"/>
  <c r="BZ528" i="50"/>
  <c r="BZ531" i="50"/>
  <c r="BZ2040" i="50"/>
  <c r="BZ2043" i="50"/>
  <c r="BZ288" i="50"/>
  <c r="BZ292" i="50" s="1"/>
  <c r="BZ285" i="50"/>
  <c r="BZ1797" i="50"/>
  <c r="BZ1800" i="50"/>
  <c r="BZ1422" i="50"/>
  <c r="BZ1429" i="50" s="1"/>
  <c r="BZ1419" i="50"/>
  <c r="BZ1152" i="50"/>
  <c r="BZ1154" i="50" s="1"/>
  <c r="BZ1149" i="50"/>
  <c r="BZ1824" i="50"/>
  <c r="BZ1827" i="50"/>
  <c r="BZ1692" i="50"/>
  <c r="BZ1696" i="50" s="1"/>
  <c r="BZ1689" i="50"/>
  <c r="BZ744" i="50"/>
  <c r="BZ747" i="50"/>
  <c r="BZ666" i="50"/>
  <c r="BZ674" i="50" s="1"/>
  <c r="BZ663" i="50"/>
  <c r="BZ828" i="50"/>
  <c r="BZ832" i="50" s="1"/>
  <c r="BZ825" i="50"/>
  <c r="BZ1773" i="50"/>
  <c r="BZ1778" i="50" s="1"/>
  <c r="BZ1770" i="50"/>
  <c r="BZ1881" i="50"/>
  <c r="BZ1889" i="50" s="1"/>
  <c r="BZ1878" i="50"/>
  <c r="BZ1230" i="50"/>
  <c r="BZ1233" i="50"/>
  <c r="BZ1125" i="50"/>
  <c r="BZ1128" i="50" s="1"/>
  <c r="BZ1122" i="50"/>
  <c r="BZ1409" i="50"/>
  <c r="BZ1407" i="50"/>
  <c r="I128" i="50"/>
  <c r="AJ128" i="50"/>
  <c r="BI116" i="50"/>
  <c r="AX128" i="50"/>
  <c r="AJ99" i="50"/>
  <c r="I99" i="50"/>
  <c r="AJ101" i="50"/>
  <c r="I101" i="50"/>
  <c r="AX587" i="50"/>
  <c r="AP585" i="50"/>
  <c r="BQ1817" i="50"/>
  <c r="AP1833" i="50"/>
  <c r="AQ1833" i="50"/>
  <c r="K1833" i="50" s="1"/>
  <c r="M1833" i="50" s="1"/>
  <c r="AX1833" i="50"/>
  <c r="I1833" i="50"/>
  <c r="K776" i="50"/>
  <c r="M776" i="50" s="1"/>
  <c r="AZ592" i="50"/>
  <c r="BI575" i="50"/>
  <c r="AP1991" i="50"/>
  <c r="AQ1991" i="50" s="1"/>
  <c r="BK1979" i="50"/>
  <c r="AW1967" i="50"/>
  <c r="BO1952" i="50"/>
  <c r="AZ1967" i="50"/>
  <c r="M1967" i="50"/>
  <c r="AX1829" i="50"/>
  <c r="BK1817" i="50"/>
  <c r="AP1829" i="50"/>
  <c r="AQ1829" i="50"/>
  <c r="AW1829" i="50" s="1"/>
  <c r="I1482" i="50"/>
  <c r="BQ1466" i="50"/>
  <c r="AP1482" i="50"/>
  <c r="AQ1482" i="50" s="1"/>
  <c r="AW1481" i="50"/>
  <c r="AZ1481" i="50"/>
  <c r="M1481" i="50"/>
  <c r="BO1466" i="50"/>
  <c r="AZ1483" i="50"/>
  <c r="BC1482" i="50"/>
  <c r="BE1482" i="50" s="1"/>
  <c r="BI1466" i="50"/>
  <c r="AX1482" i="50"/>
  <c r="AP1476" i="50"/>
  <c r="BO1547" i="50"/>
  <c r="AZ1562" i="50"/>
  <c r="M1562" i="50" s="1"/>
  <c r="BD941" i="50"/>
  <c r="BE941" i="50"/>
  <c r="BE375" i="50"/>
  <c r="BD375" i="50"/>
  <c r="BD1427" i="50"/>
  <c r="BE1427" i="50"/>
  <c r="AP1586" i="50"/>
  <c r="AQ1586" i="50" s="1"/>
  <c r="BK1574" i="50"/>
  <c r="AX1586" i="50"/>
  <c r="BZ815" i="50"/>
  <c r="BZ813" i="50"/>
  <c r="BE536" i="50"/>
  <c r="BD536" i="50"/>
  <c r="BE671" i="50"/>
  <c r="BD671" i="50"/>
  <c r="BD1320" i="50"/>
  <c r="BE1320" i="50"/>
  <c r="BD1319" i="50"/>
  <c r="BE1319" i="50"/>
  <c r="BE726" i="50"/>
  <c r="BD726" i="50"/>
  <c r="AV1020" i="50"/>
  <c r="AW1020" i="50"/>
  <c r="AS1020" i="50"/>
  <c r="AT1020" i="50" s="1"/>
  <c r="K1020" i="50"/>
  <c r="M1020" i="50" s="1"/>
  <c r="AW1480" i="50"/>
  <c r="AZ1480" i="50"/>
  <c r="M1480" i="50"/>
  <c r="BN1466" i="50"/>
  <c r="I588" i="50"/>
  <c r="BM575" i="50"/>
  <c r="AP588" i="50"/>
  <c r="AQ588" i="50" s="1"/>
  <c r="BD483" i="50"/>
  <c r="BE483" i="50"/>
  <c r="M1834" i="50"/>
  <c r="BZ1373" i="50"/>
  <c r="AW776" i="50"/>
  <c r="BZ1375" i="50"/>
  <c r="BC591" i="50"/>
  <c r="BE591" i="50"/>
  <c r="AS371" i="50"/>
  <c r="AT371" i="50" s="1"/>
  <c r="AW371" i="50"/>
  <c r="BD1049" i="50"/>
  <c r="BE1049" i="50"/>
  <c r="BE1050" i="50"/>
  <c r="BD1050" i="50"/>
  <c r="M376" i="50"/>
  <c r="AX290" i="50"/>
  <c r="AP290" i="50"/>
  <c r="AQ290" i="50" s="1"/>
  <c r="BE1023" i="50"/>
  <c r="BD1022" i="50"/>
  <c r="AZ589" i="50"/>
  <c r="M589" i="50" s="1"/>
  <c r="AW589" i="50"/>
  <c r="K1046" i="50"/>
  <c r="M1046" i="50" s="1"/>
  <c r="AS1046" i="50"/>
  <c r="AT1046" i="50" s="1"/>
  <c r="AW1046" i="50"/>
  <c r="BI1952" i="50"/>
  <c r="AP1962" i="50"/>
  <c r="AS1424" i="50"/>
  <c r="AT1424" i="50" s="1"/>
  <c r="AV1424" i="50"/>
  <c r="BD942" i="50"/>
  <c r="M294" i="50"/>
  <c r="I1964" i="50"/>
  <c r="AJ1964" i="50"/>
  <c r="AP1964" i="50" s="1"/>
  <c r="AQ1964" i="50" s="1"/>
  <c r="BE1428" i="50"/>
  <c r="BR1952" i="50"/>
  <c r="BC1968" i="50"/>
  <c r="BD1968" i="50" s="1"/>
  <c r="BC1967" i="50"/>
  <c r="AP452" i="50"/>
  <c r="AQ452" i="50" s="1"/>
  <c r="AX452" i="50"/>
  <c r="BE537" i="50"/>
  <c r="BD537" i="50"/>
  <c r="K375" i="50"/>
  <c r="M375" i="50"/>
  <c r="AV375" i="50"/>
  <c r="AS375" i="50"/>
  <c r="AT375" i="50" s="1"/>
  <c r="AW375" i="50"/>
  <c r="BN1547" i="50"/>
  <c r="AW1561" i="50"/>
  <c r="AZ1561" i="50"/>
  <c r="M1561" i="50"/>
  <c r="BE672" i="50"/>
  <c r="BD672" i="50"/>
  <c r="BE725" i="50"/>
  <c r="BD725" i="50"/>
  <c r="I1478" i="50"/>
  <c r="AJ1478" i="50"/>
  <c r="BK1466" i="50" s="1"/>
  <c r="BE482" i="50"/>
  <c r="BD482" i="50"/>
  <c r="BD618" i="50"/>
  <c r="BE618" i="50"/>
  <c r="K160" i="50"/>
  <c r="AS160" i="50"/>
  <c r="AT160" i="50" s="1"/>
  <c r="AV695" i="50"/>
  <c r="K695" i="50"/>
  <c r="M695" i="50" s="1"/>
  <c r="K1479" i="50"/>
  <c r="M1479" i="50" s="1"/>
  <c r="AW1479" i="50"/>
  <c r="AS1479" i="50"/>
  <c r="AT1479" i="50" s="1"/>
  <c r="BQ1385" i="50"/>
  <c r="AP1401" i="50"/>
  <c r="AQ1401" i="50"/>
  <c r="AW1401" i="50" s="1"/>
  <c r="I1401" i="50"/>
  <c r="AX1401" i="50"/>
  <c r="BZ1378" i="50"/>
  <c r="BZ1376" i="50"/>
  <c r="BZ1374" i="50"/>
  <c r="BZ1371" i="50"/>
  <c r="AW857" i="50"/>
  <c r="BE1887" i="50"/>
  <c r="BK1547" i="50"/>
  <c r="AX1559" i="50"/>
  <c r="AP1559" i="50"/>
  <c r="AQ1559" i="50"/>
  <c r="AS1559" i="50" s="1"/>
  <c r="AT1559" i="50" s="1"/>
  <c r="AP591" i="50"/>
  <c r="AQ591" i="50" s="1"/>
  <c r="I591" i="50"/>
  <c r="BK1385" i="50"/>
  <c r="AV344" i="50"/>
  <c r="AW159" i="50"/>
  <c r="BD1886" i="50"/>
  <c r="BE1886" i="50"/>
  <c r="BQ1331" i="50"/>
  <c r="I1347" i="50"/>
  <c r="AP1347" i="50"/>
  <c r="AQ1347" i="50"/>
  <c r="K1347" i="50" s="1"/>
  <c r="M1347" i="50" s="1"/>
  <c r="AX1347" i="50"/>
  <c r="M1970" i="50"/>
  <c r="AJ1208" i="50"/>
  <c r="AX1208" i="50" s="1"/>
  <c r="BO2006" i="50"/>
  <c r="AZ2021" i="50"/>
  <c r="M2021" i="50" s="1"/>
  <c r="AW2021" i="50"/>
  <c r="AS804" i="50"/>
  <c r="AT804" i="50" s="1"/>
  <c r="K804" i="50"/>
  <c r="M804" i="50" s="1"/>
  <c r="AV804" i="50"/>
  <c r="BD1563" i="50"/>
  <c r="AV807" i="50"/>
  <c r="BK791" i="50"/>
  <c r="AP803" i="50"/>
  <c r="AQ803" i="50" s="1"/>
  <c r="AX803" i="50"/>
  <c r="AP641" i="50"/>
  <c r="AQ641" i="50" s="1"/>
  <c r="BK629" i="50"/>
  <c r="AX641" i="50"/>
  <c r="AC994" i="50"/>
  <c r="AR994" i="50" s="1"/>
  <c r="BZ996" i="50"/>
  <c r="BZ997" i="50"/>
  <c r="BZ1000" i="50"/>
  <c r="BZ1004" i="50" s="1"/>
  <c r="BD1562" i="50"/>
  <c r="BE1562" i="50"/>
  <c r="I74" i="50"/>
  <c r="AJ74" i="50"/>
  <c r="BK62" i="50" s="1"/>
  <c r="BZ993" i="50"/>
  <c r="AS1965" i="50"/>
  <c r="AT1965" i="50" s="1"/>
  <c r="AW1965" i="50"/>
  <c r="BD807" i="50"/>
  <c r="BD806" i="50"/>
  <c r="BD590" i="50"/>
  <c r="BE590" i="50"/>
  <c r="AP1721" i="50"/>
  <c r="AQ1721" i="50" s="1"/>
  <c r="BK1709" i="50"/>
  <c r="BD591" i="50"/>
  <c r="AP861" i="50"/>
  <c r="AQ861" i="50" s="1"/>
  <c r="BQ845" i="50"/>
  <c r="I1376" i="50"/>
  <c r="AJ1368" i="50"/>
  <c r="AP1368" i="50"/>
  <c r="I1368" i="50"/>
  <c r="AF1374" i="50"/>
  <c r="AN1374" i="50"/>
  <c r="AR1374" i="50"/>
  <c r="BP1358" i="50" s="1"/>
  <c r="AJ1374" i="50"/>
  <c r="I1374" i="50" s="1"/>
  <c r="AS1373" i="50"/>
  <c r="AT1373" i="50"/>
  <c r="AR1373" i="50"/>
  <c r="I1373" i="50"/>
  <c r="BE1833" i="50"/>
  <c r="BZ246" i="50"/>
  <c r="BZ248" i="50"/>
  <c r="AV1995" i="50"/>
  <c r="BH980" i="50"/>
  <c r="I998" i="50"/>
  <c r="I315" i="50"/>
  <c r="AN321" i="50"/>
  <c r="AJ321" i="50"/>
  <c r="AP321" i="50" s="1"/>
  <c r="AQ321" i="50" s="1"/>
  <c r="AF321" i="50"/>
  <c r="AO321" i="50"/>
  <c r="AG321" i="50"/>
  <c r="AR321" i="50"/>
  <c r="BP305" i="50" s="1"/>
  <c r="AO323" i="50"/>
  <c r="AQ323" i="50" s="1"/>
  <c r="I323" i="50"/>
  <c r="I322" i="50"/>
  <c r="AR1778" i="50"/>
  <c r="AZ1778" i="50" s="1"/>
  <c r="M1778" i="50" s="1"/>
  <c r="AI1773" i="50"/>
  <c r="AJ1773" i="50" s="1"/>
  <c r="AF1773" i="50"/>
  <c r="AH1773" i="50" s="1"/>
  <c r="AS1773" i="50"/>
  <c r="AC1780" i="50"/>
  <c r="I1780" i="50" s="1"/>
  <c r="AT1773" i="50"/>
  <c r="AR1371" i="50"/>
  <c r="BL1358" i="50" s="1"/>
  <c r="AJ1371" i="50"/>
  <c r="I1371" i="50" s="1"/>
  <c r="AF1371" i="50"/>
  <c r="I1372" i="50"/>
  <c r="AS1372" i="50"/>
  <c r="AT1372" i="50"/>
  <c r="AR1372" i="50"/>
  <c r="AO992" i="50"/>
  <c r="AN992" i="50"/>
  <c r="AG992" i="50"/>
  <c r="AC993" i="50"/>
  <c r="AG990" i="50"/>
  <c r="AS990" i="50"/>
  <c r="AT990" i="50"/>
  <c r="AC997" i="50"/>
  <c r="AC996" i="50"/>
  <c r="AO996" i="50" s="1"/>
  <c r="AF990" i="50"/>
  <c r="AH990" i="50"/>
  <c r="AI990" i="50"/>
  <c r="AC995" i="50"/>
  <c r="I995" i="50" s="1"/>
  <c r="BE1832" i="50"/>
  <c r="BD1832" i="50"/>
  <c r="BZ1515" i="50"/>
  <c r="BE348" i="50"/>
  <c r="BD348" i="50"/>
  <c r="BD347" i="50"/>
  <c r="BE347" i="50"/>
  <c r="AO1375" i="50"/>
  <c r="AQ1375" i="50" s="1"/>
  <c r="I1375" i="50"/>
  <c r="AG1370" i="50"/>
  <c r="AO1370" i="50"/>
  <c r="AR1370" i="50"/>
  <c r="BJ1358" i="50" s="1"/>
  <c r="AO318" i="50"/>
  <c r="AG318" i="50"/>
  <c r="AF318" i="50"/>
  <c r="AN318" i="50"/>
  <c r="AR318" i="50"/>
  <c r="BL305" i="50" s="1"/>
  <c r="AJ318" i="50"/>
  <c r="AN317" i="50"/>
  <c r="AG317" i="50"/>
  <c r="AR317" i="50"/>
  <c r="BJ305" i="50" s="1"/>
  <c r="AR319" i="50"/>
  <c r="AW319" i="50" s="1"/>
  <c r="AS319" i="50"/>
  <c r="AT319" i="50"/>
  <c r="I319" i="50"/>
  <c r="AR320" i="50"/>
  <c r="AW320" i="50" s="1"/>
  <c r="AS320" i="50"/>
  <c r="I320" i="50"/>
  <c r="AT320" i="50"/>
  <c r="BZ1830" i="50"/>
  <c r="BZ1832" i="50"/>
  <c r="BZ1831" i="50"/>
  <c r="BZ1837" i="50"/>
  <c r="BZ1834" i="50"/>
  <c r="BZ1833" i="50"/>
  <c r="BZ1829" i="50"/>
  <c r="BZ1835" i="50"/>
  <c r="BZ1810" i="50"/>
  <c r="BZ1814" i="50" s="1"/>
  <c r="BZ1805" i="50"/>
  <c r="BZ1803" i="50"/>
  <c r="BZ1802" i="50"/>
  <c r="BZ1804" i="50"/>
  <c r="BZ1808" i="50"/>
  <c r="BZ1806" i="50"/>
  <c r="BZ1807" i="50"/>
  <c r="BZ2051" i="50"/>
  <c r="BZ2048" i="50"/>
  <c r="BZ2047" i="50"/>
  <c r="BZ2046" i="50"/>
  <c r="BZ2049" i="50"/>
  <c r="BZ2045" i="50"/>
  <c r="BZ2050" i="50"/>
  <c r="BZ2053" i="50"/>
  <c r="BZ537" i="50"/>
  <c r="BZ533" i="50"/>
  <c r="BZ541" i="50"/>
  <c r="BZ545" i="50" s="1"/>
  <c r="BZ536" i="50"/>
  <c r="BZ538" i="50"/>
  <c r="BZ535" i="50"/>
  <c r="BZ534" i="50"/>
  <c r="BZ539" i="50"/>
  <c r="BZ1108" i="50"/>
  <c r="BZ1112" i="50" s="1"/>
  <c r="BZ1104" i="50"/>
  <c r="BZ1101" i="50"/>
  <c r="BZ1105" i="50"/>
  <c r="BZ1100" i="50"/>
  <c r="BZ1106" i="50"/>
  <c r="BZ1103" i="50"/>
  <c r="BZ1102" i="50"/>
  <c r="BZ1267" i="50"/>
  <c r="BZ1266" i="50"/>
  <c r="BZ1262" i="50"/>
  <c r="BZ1270" i="50"/>
  <c r="BZ1264" i="50"/>
  <c r="BZ1263" i="50"/>
  <c r="BZ1268" i="50"/>
  <c r="BZ1265" i="50"/>
  <c r="BZ1240" i="50"/>
  <c r="BZ1236" i="50"/>
  <c r="BZ1241" i="50"/>
  <c r="BZ1243" i="50"/>
  <c r="BZ1239" i="50"/>
  <c r="BZ1235" i="50"/>
  <c r="BZ1238" i="50"/>
  <c r="BZ1237" i="50"/>
  <c r="BZ755" i="50"/>
  <c r="BZ749" i="50"/>
  <c r="BZ751" i="50"/>
  <c r="BZ757" i="50"/>
  <c r="BZ754" i="50"/>
  <c r="BZ752" i="50"/>
  <c r="BZ750" i="50"/>
  <c r="BZ753" i="50"/>
  <c r="BZ1132" i="50"/>
  <c r="BZ1131" i="50"/>
  <c r="BZ1127" i="50"/>
  <c r="BZ1129" i="50"/>
  <c r="BZ1887" i="50"/>
  <c r="BZ1888" i="50"/>
  <c r="BZ1884" i="50"/>
  <c r="BZ1885" i="50"/>
  <c r="BZ1783" i="50"/>
  <c r="BZ1787" i="50" s="1"/>
  <c r="BZ1775" i="50"/>
  <c r="BZ1776" i="50"/>
  <c r="BZ1779" i="50"/>
  <c r="BZ834" i="50"/>
  <c r="BZ836" i="50"/>
  <c r="BZ838" i="50"/>
  <c r="BZ842" i="50" s="1"/>
  <c r="BZ833" i="50"/>
  <c r="BZ668" i="50"/>
  <c r="BZ669" i="50"/>
  <c r="BZ670" i="50"/>
  <c r="BZ672" i="50"/>
  <c r="BZ1699" i="50"/>
  <c r="BZ1695" i="50"/>
  <c r="BZ1700" i="50"/>
  <c r="BZ1702" i="50"/>
  <c r="BZ1704" i="50" s="1"/>
  <c r="BZ1158" i="50"/>
  <c r="BZ1155" i="50"/>
  <c r="BZ1162" i="50"/>
  <c r="BZ1166" i="50" s="1"/>
  <c r="BZ1159" i="50"/>
  <c r="BZ1426" i="50"/>
  <c r="BZ1430" i="50"/>
  <c r="BZ1432" i="50"/>
  <c r="BZ1436" i="50" s="1"/>
  <c r="BZ1428" i="50"/>
  <c r="BZ290" i="50"/>
  <c r="BZ294" i="50"/>
  <c r="BZ293" i="50"/>
  <c r="BZ295" i="50"/>
  <c r="BZ724" i="50"/>
  <c r="BZ725" i="50"/>
  <c r="BZ722" i="50"/>
  <c r="BZ723" i="50"/>
  <c r="BZ2019" i="50"/>
  <c r="BZ2018" i="50"/>
  <c r="BZ2021" i="50"/>
  <c r="BZ2022" i="50"/>
  <c r="BZ182" i="50"/>
  <c r="BZ186" i="50"/>
  <c r="BZ185" i="50"/>
  <c r="BZ188" i="50"/>
  <c r="BZ622" i="50"/>
  <c r="BZ626" i="50" s="1"/>
  <c r="BZ619" i="50"/>
  <c r="BZ614" i="50"/>
  <c r="BZ617" i="50"/>
  <c r="BZ1646" i="50"/>
  <c r="BZ1640" i="50"/>
  <c r="BZ1641" i="50"/>
  <c r="BZ1643" i="50"/>
  <c r="BZ506" i="50"/>
  <c r="BZ512" i="50"/>
  <c r="BZ507" i="50"/>
  <c r="BZ509" i="50"/>
  <c r="BZ1183" i="50"/>
  <c r="BZ1185" i="50"/>
  <c r="BZ1184" i="50"/>
  <c r="BZ1181" i="50"/>
  <c r="BK116" i="50"/>
  <c r="BK89" i="50"/>
  <c r="BI89" i="50"/>
  <c r="AX101" i="50"/>
  <c r="AS1833" i="50"/>
  <c r="AT1833" i="50" s="1"/>
  <c r="AV1833" i="50"/>
  <c r="AP1478" i="50"/>
  <c r="AQ1478" i="50" s="1"/>
  <c r="AX1478" i="50"/>
  <c r="BE1968" i="50"/>
  <c r="K1829" i="50"/>
  <c r="M1829" i="50" s="1"/>
  <c r="AS1829" i="50"/>
  <c r="AT1829" i="50" s="1"/>
  <c r="AV1829" i="50"/>
  <c r="I994" i="50"/>
  <c r="BE1967" i="50"/>
  <c r="BD1967" i="50"/>
  <c r="BD1482" i="50"/>
  <c r="K1559" i="50"/>
  <c r="M1559" i="50" s="1"/>
  <c r="AW1559" i="50"/>
  <c r="BZ1380" i="50"/>
  <c r="BZ1382" i="50"/>
  <c r="AW1347" i="50"/>
  <c r="AS1347" i="50"/>
  <c r="AT1347" i="50" s="1"/>
  <c r="AS1401" i="50"/>
  <c r="AT1401" i="50" s="1"/>
  <c r="K1401" i="50"/>
  <c r="M1401" i="50" s="1"/>
  <c r="AV1401" i="50"/>
  <c r="AP1208" i="50"/>
  <c r="AQ1208" i="50" s="1"/>
  <c r="BK1196" i="50"/>
  <c r="AX74" i="50"/>
  <c r="BZ1002" i="50"/>
  <c r="K75" i="50"/>
  <c r="BN305" i="50"/>
  <c r="AZ319" i="50"/>
  <c r="M319" i="50" s="1"/>
  <c r="AS995" i="50"/>
  <c r="AR995" i="50"/>
  <c r="AW995" i="50" s="1"/>
  <c r="AR997" i="50"/>
  <c r="I997" i="50"/>
  <c r="AO997" i="50"/>
  <c r="AQ997" i="50"/>
  <c r="AV997" i="50" s="1"/>
  <c r="AF993" i="50"/>
  <c r="AJ993" i="50"/>
  <c r="I993" i="50" s="1"/>
  <c r="AG993" i="50"/>
  <c r="AR993" i="50"/>
  <c r="BC996" i="50" s="1"/>
  <c r="AO993" i="50"/>
  <c r="AN993" i="50"/>
  <c r="AP1371" i="50"/>
  <c r="AQ1371" i="50" s="1"/>
  <c r="BM1358" i="50"/>
  <c r="AW1778" i="50"/>
  <c r="AW1373" i="50"/>
  <c r="AZ1373" i="50"/>
  <c r="M1373" i="50"/>
  <c r="BO1358" i="50"/>
  <c r="AX1374" i="50"/>
  <c r="BI1358" i="50"/>
  <c r="BO305" i="50"/>
  <c r="AZ320" i="50"/>
  <c r="M320" i="50" s="1"/>
  <c r="I318" i="50"/>
  <c r="AP318" i="50"/>
  <c r="AQ318" i="50"/>
  <c r="AW318" i="50" s="1"/>
  <c r="BM305" i="50"/>
  <c r="AJ990" i="50"/>
  <c r="AP990" i="50"/>
  <c r="I990" i="50"/>
  <c r="AG996" i="50"/>
  <c r="AJ996" i="50"/>
  <c r="AP996" i="50" s="1"/>
  <c r="AQ996" i="50" s="1"/>
  <c r="AF996" i="50"/>
  <c r="AW1372" i="50"/>
  <c r="AZ1372" i="50"/>
  <c r="M1372" i="50" s="1"/>
  <c r="BN1358" i="50"/>
  <c r="AR1780" i="50"/>
  <c r="I1773" i="50"/>
  <c r="BQ305" i="50"/>
  <c r="BQ1358" i="50"/>
  <c r="AP1374" i="50"/>
  <c r="AQ1374" i="50" s="1"/>
  <c r="BZ761" i="50"/>
  <c r="BZ759" i="50"/>
  <c r="BZ1247" i="50"/>
  <c r="BZ1245" i="50"/>
  <c r="BZ1272" i="50"/>
  <c r="BZ1274" i="50"/>
  <c r="BZ2055" i="50"/>
  <c r="BZ2057" i="50"/>
  <c r="BZ1839" i="50"/>
  <c r="BZ1841" i="50"/>
  <c r="BZ624" i="50"/>
  <c r="BZ1434" i="50"/>
  <c r="BZ1164" i="50"/>
  <c r="BZ1706" i="50"/>
  <c r="BZ840" i="50"/>
  <c r="BZ1785" i="50"/>
  <c r="BZ1110" i="50"/>
  <c r="BZ543" i="50"/>
  <c r="BZ1812" i="50"/>
  <c r="K128" i="50"/>
  <c r="K129" i="50"/>
  <c r="K101" i="50"/>
  <c r="K74" i="50"/>
  <c r="BR980" i="50"/>
  <c r="I996" i="50"/>
  <c r="AX996" i="50"/>
  <c r="BI980" i="50"/>
  <c r="AV318" i="50"/>
  <c r="BL980" i="50"/>
  <c r="BC995" i="50"/>
  <c r="BD995" i="50" s="1"/>
  <c r="BM980" i="50"/>
  <c r="K997" i="50"/>
  <c r="AS997" i="50"/>
  <c r="AT997" i="50" s="1"/>
  <c r="BO980" i="50"/>
  <c r="AZ995" i="50"/>
  <c r="M995" i="50" s="1"/>
  <c r="K102" i="50"/>
  <c r="BE995" i="50"/>
  <c r="E25" i="57"/>
  <c r="E37" i="57"/>
  <c r="E46" i="57"/>
  <c r="E24" i="57"/>
  <c r="E53" i="57"/>
  <c r="E33" i="57"/>
  <c r="E22" i="57"/>
  <c r="E58" i="57"/>
  <c r="E56" i="57"/>
  <c r="E29" i="57"/>
  <c r="E44" i="57"/>
  <c r="E23" i="57"/>
  <c r="E41" i="57"/>
  <c r="E19" i="57"/>
  <c r="E38" i="57"/>
  <c r="E35" i="57"/>
  <c r="E45" i="57"/>
  <c r="E48" i="57"/>
  <c r="E43" i="57"/>
  <c r="E50" i="57"/>
  <c r="E47" i="57"/>
  <c r="E59" i="57"/>
  <c r="E27" i="57"/>
  <c r="E40" i="57"/>
  <c r="E32" i="57"/>
  <c r="E21" i="57"/>
  <c r="E52" i="57"/>
  <c r="E39" i="57"/>
  <c r="E54" i="57"/>
  <c r="E26" i="57"/>
  <c r="E55" i="57"/>
  <c r="E57" i="57"/>
  <c r="E18" i="57"/>
  <c r="E51" i="57"/>
  <c r="E28" i="57"/>
  <c r="E30" i="57"/>
  <c r="E49" i="57"/>
  <c r="E42" i="57"/>
  <c r="E36" i="57"/>
  <c r="E34" i="57"/>
  <c r="E31" i="57"/>
  <c r="E20" i="57"/>
  <c r="AV1478" i="50" l="1"/>
  <c r="AW1478" i="50"/>
  <c r="K1478" i="50"/>
  <c r="M1478" i="50" s="1"/>
  <c r="AS1478" i="50"/>
  <c r="AT1478" i="50" s="1"/>
  <c r="K1375" i="50"/>
  <c r="AV1375" i="50"/>
  <c r="AW1375" i="50"/>
  <c r="AS1375" i="50"/>
  <c r="BI1763" i="50"/>
  <c r="AS803" i="50"/>
  <c r="AT803" i="50" s="1"/>
  <c r="AV803" i="50"/>
  <c r="K803" i="50"/>
  <c r="M803" i="50" s="1"/>
  <c r="AW803" i="50"/>
  <c r="AS452" i="50"/>
  <c r="AT452" i="50" s="1"/>
  <c r="K452" i="50"/>
  <c r="M452" i="50" s="1"/>
  <c r="AV452" i="50"/>
  <c r="AW452" i="50"/>
  <c r="K290" i="50"/>
  <c r="M290" i="50" s="1"/>
  <c r="AS290" i="50"/>
  <c r="AT290" i="50" s="1"/>
  <c r="AW290" i="50"/>
  <c r="AV290" i="50"/>
  <c r="AS1586" i="50"/>
  <c r="AT1586" i="50" s="1"/>
  <c r="AV1586" i="50"/>
  <c r="K1586" i="50"/>
  <c r="M1586" i="50" s="1"/>
  <c r="AW1586" i="50"/>
  <c r="AS1482" i="50"/>
  <c r="AT1482" i="50" s="1"/>
  <c r="K1482" i="50"/>
  <c r="M1482" i="50" s="1"/>
  <c r="AW1482" i="50"/>
  <c r="AV1482" i="50"/>
  <c r="AV1991" i="50"/>
  <c r="AS1991" i="50"/>
  <c r="AT1991" i="50" s="1"/>
  <c r="K1991" i="50"/>
  <c r="M1991" i="50" s="1"/>
  <c r="AW1991" i="50"/>
  <c r="BZ192" i="50"/>
  <c r="BZ194" i="50"/>
  <c r="BZ1652" i="50"/>
  <c r="BZ1650" i="50"/>
  <c r="AV1455" i="50"/>
  <c r="AS1455" i="50"/>
  <c r="AT1455" i="50" s="1"/>
  <c r="K1455" i="50"/>
  <c r="M1455" i="50" s="1"/>
  <c r="AW1455" i="50"/>
  <c r="BC1374" i="50"/>
  <c r="BR1358" i="50"/>
  <c r="AJ1370" i="50"/>
  <c r="I1370" i="50"/>
  <c r="AX321" i="50"/>
  <c r="BI305" i="50"/>
  <c r="BR305" i="50"/>
  <c r="BC320" i="50"/>
  <c r="BC321" i="50"/>
  <c r="AW1968" i="50"/>
  <c r="AS1968" i="50"/>
  <c r="AT1968" i="50" s="1"/>
  <c r="K1968" i="50"/>
  <c r="M1968" i="50" s="1"/>
  <c r="AV1968" i="50"/>
  <c r="K71" i="58"/>
  <c r="M71" i="58" s="1"/>
  <c r="AF71" i="58"/>
  <c r="AG71" i="58" s="1"/>
  <c r="AV1884" i="50"/>
  <c r="AS1884" i="50"/>
  <c r="AT1884" i="50" s="1"/>
  <c r="AW1884" i="50"/>
  <c r="K1884" i="50"/>
  <c r="M1884" i="50" s="1"/>
  <c r="AW345" i="50"/>
  <c r="AV345" i="50"/>
  <c r="AS345" i="50"/>
  <c r="AT345" i="50" s="1"/>
  <c r="K345" i="50"/>
  <c r="M345" i="50" s="1"/>
  <c r="AV1484" i="50"/>
  <c r="AW1484" i="50"/>
  <c r="K1484" i="50"/>
  <c r="AS1484" i="50"/>
  <c r="AT1484" i="50" s="1"/>
  <c r="AV1483" i="50"/>
  <c r="K1483" i="50"/>
  <c r="M1483" i="50" s="1"/>
  <c r="AS1483" i="50"/>
  <c r="AT1483" i="50" s="1"/>
  <c r="AW1483" i="50"/>
  <c r="AV1640" i="50"/>
  <c r="AW1640" i="50"/>
  <c r="AS1640" i="50"/>
  <c r="AT1640" i="50" s="1"/>
  <c r="K1640" i="50"/>
  <c r="M1640" i="50" s="1"/>
  <c r="AS1316" i="50"/>
  <c r="AT1316" i="50" s="1"/>
  <c r="K1316" i="50"/>
  <c r="M1316" i="50" s="1"/>
  <c r="AV1316" i="50"/>
  <c r="AW1316" i="50"/>
  <c r="AS809" i="50"/>
  <c r="AT809" i="50" s="1"/>
  <c r="K809" i="50"/>
  <c r="M809" i="50" s="1"/>
  <c r="AV809" i="50"/>
  <c r="AW809" i="50"/>
  <c r="K425" i="50"/>
  <c r="AV425" i="50"/>
  <c r="AS425" i="50"/>
  <c r="AT425" i="50" s="1"/>
  <c r="AW425" i="50"/>
  <c r="AV537" i="50"/>
  <c r="K537" i="50"/>
  <c r="M537" i="50" s="1"/>
  <c r="AS537" i="50"/>
  <c r="AT537" i="50" s="1"/>
  <c r="AW537" i="50"/>
  <c r="AS863" i="50"/>
  <c r="AT863" i="50" s="1"/>
  <c r="AV863" i="50"/>
  <c r="K863" i="50"/>
  <c r="M863" i="50" s="1"/>
  <c r="AW863" i="50"/>
  <c r="K240" i="50"/>
  <c r="M240" i="50" s="1"/>
  <c r="AW240" i="50"/>
  <c r="AV240" i="50"/>
  <c r="AS240" i="50"/>
  <c r="AT240" i="50" s="1"/>
  <c r="AV1996" i="50"/>
  <c r="K1996" i="50"/>
  <c r="AS1996" i="50"/>
  <c r="AT1996" i="50" s="1"/>
  <c r="AV1889" i="50"/>
  <c r="AS1889" i="50"/>
  <c r="AT1889" i="50" s="1"/>
  <c r="K1889" i="50"/>
  <c r="M1889" i="50" s="1"/>
  <c r="AW1889" i="50"/>
  <c r="AV696" i="50"/>
  <c r="AS696" i="50"/>
  <c r="AT696" i="50" s="1"/>
  <c r="K696" i="50"/>
  <c r="M696" i="50" s="1"/>
  <c r="AW696" i="50"/>
  <c r="K701" i="50"/>
  <c r="M701" i="50" s="1"/>
  <c r="AS701" i="50"/>
  <c r="AT701" i="50" s="1"/>
  <c r="AV701" i="50"/>
  <c r="AW701" i="50"/>
  <c r="K911" i="50"/>
  <c r="M911" i="50" s="1"/>
  <c r="AW911" i="50"/>
  <c r="AS911" i="50"/>
  <c r="AT911" i="50" s="1"/>
  <c r="AV911" i="50"/>
  <c r="K1374" i="50"/>
  <c r="M1374" i="50" s="1"/>
  <c r="AW1374" i="50"/>
  <c r="AV1374" i="50"/>
  <c r="K1371" i="50"/>
  <c r="M1371" i="50" s="1"/>
  <c r="AV1371" i="50"/>
  <c r="AW1371" i="50"/>
  <c r="AS1371" i="50"/>
  <c r="K323" i="50"/>
  <c r="AV323" i="50"/>
  <c r="AS323" i="50"/>
  <c r="AT323" i="50" s="1"/>
  <c r="AV1721" i="50"/>
  <c r="AS1721" i="50"/>
  <c r="AT1721" i="50" s="1"/>
  <c r="K1721" i="50"/>
  <c r="M1721" i="50" s="1"/>
  <c r="K641" i="50"/>
  <c r="M641" i="50" s="1"/>
  <c r="AS641" i="50"/>
  <c r="AT641" i="50" s="1"/>
  <c r="AV641" i="50"/>
  <c r="AW641" i="50"/>
  <c r="AV996" i="50"/>
  <c r="K996" i="50"/>
  <c r="M996" i="50" s="1"/>
  <c r="BE996" i="50"/>
  <c r="BD996" i="50"/>
  <c r="AW1208" i="50"/>
  <c r="K1208" i="50"/>
  <c r="M1208" i="50" s="1"/>
  <c r="AS1208" i="50"/>
  <c r="AT1208" i="50" s="1"/>
  <c r="AV1208" i="50"/>
  <c r="AP1773" i="50"/>
  <c r="K321" i="50"/>
  <c r="M321" i="50" s="1"/>
  <c r="AV321" i="50"/>
  <c r="AS321" i="50"/>
  <c r="AT321" i="50" s="1"/>
  <c r="AW321" i="50"/>
  <c r="AW861" i="50"/>
  <c r="K861" i="50"/>
  <c r="AV861" i="50"/>
  <c r="AS861" i="50"/>
  <c r="AT861" i="50" s="1"/>
  <c r="AZ994" i="50"/>
  <c r="M994" i="50" s="1"/>
  <c r="BN980" i="50"/>
  <c r="AW994" i="50"/>
  <c r="K591" i="50"/>
  <c r="M591" i="50" s="1"/>
  <c r="AS591" i="50"/>
  <c r="AT591" i="50" s="1"/>
  <c r="AW591" i="50"/>
  <c r="AV591" i="50"/>
  <c r="AW1964" i="50"/>
  <c r="K1964" i="50"/>
  <c r="AV1964" i="50"/>
  <c r="AS1964" i="50"/>
  <c r="AT1964" i="50" s="1"/>
  <c r="AW588" i="50"/>
  <c r="AV588" i="50"/>
  <c r="K588" i="50"/>
  <c r="M588" i="50" s="1"/>
  <c r="AS588" i="50"/>
  <c r="AT588" i="50" s="1"/>
  <c r="K1376" i="50"/>
  <c r="AV1376" i="50"/>
  <c r="AJ992" i="50"/>
  <c r="I992" i="50"/>
  <c r="BS980" i="50"/>
  <c r="AZ997" i="50"/>
  <c r="M997" i="50" s="1"/>
  <c r="AZ998" i="50"/>
  <c r="AV1910" i="50"/>
  <c r="K1910" i="50"/>
  <c r="M1910" i="50" s="1"/>
  <c r="AS1910" i="50"/>
  <c r="AT1910" i="50" s="1"/>
  <c r="AW1910" i="50"/>
  <c r="AS1830" i="50"/>
  <c r="AT1830" i="50" s="1"/>
  <c r="AV1830" i="50"/>
  <c r="AW1830" i="50"/>
  <c r="K1830" i="50"/>
  <c r="M1830" i="50" s="1"/>
  <c r="AP315" i="50"/>
  <c r="AS749" i="50"/>
  <c r="AT749" i="50" s="1"/>
  <c r="AV749" i="50"/>
  <c r="K749" i="50"/>
  <c r="M749" i="50" s="1"/>
  <c r="AW749" i="50"/>
  <c r="AW1560" i="50"/>
  <c r="K1560" i="50"/>
  <c r="M1560" i="50" s="1"/>
  <c r="AS1560" i="50"/>
  <c r="AT1560" i="50" s="1"/>
  <c r="AV1560" i="50"/>
  <c r="AV533" i="50"/>
  <c r="AS533" i="50"/>
  <c r="AT533" i="50" s="1"/>
  <c r="AW533" i="50"/>
  <c r="K533" i="50"/>
  <c r="M533" i="50" s="1"/>
  <c r="AV915" i="50"/>
  <c r="K915" i="50"/>
  <c r="M915" i="50" s="1"/>
  <c r="AS915" i="50"/>
  <c r="AT915" i="50" s="1"/>
  <c r="AW915" i="50"/>
  <c r="AW1563" i="50"/>
  <c r="AS1563" i="50"/>
  <c r="AT1563" i="50" s="1"/>
  <c r="K1563" i="50"/>
  <c r="M1563" i="50" s="1"/>
  <c r="AV1563" i="50"/>
  <c r="AV669" i="50"/>
  <c r="AS669" i="50"/>
  <c r="AT669" i="50" s="1"/>
  <c r="K669" i="50"/>
  <c r="M669" i="50" s="1"/>
  <c r="AW669" i="50"/>
  <c r="AV1317" i="50"/>
  <c r="AW1317" i="50"/>
  <c r="K1317" i="50"/>
  <c r="M1317" i="50" s="1"/>
  <c r="AS1317" i="50"/>
  <c r="AT1317" i="50" s="1"/>
  <c r="BE1481" i="50"/>
  <c r="BD1481" i="50"/>
  <c r="AW1428" i="50"/>
  <c r="AV1428" i="50"/>
  <c r="K1428" i="50"/>
  <c r="M1428" i="50" s="1"/>
  <c r="AS1428" i="50"/>
  <c r="AT1428" i="50" s="1"/>
  <c r="AV942" i="50"/>
  <c r="AW942" i="50"/>
  <c r="AS942" i="50"/>
  <c r="AT942" i="50" s="1"/>
  <c r="K942" i="50"/>
  <c r="M942" i="50" s="1"/>
  <c r="AW1047" i="50"/>
  <c r="AV1047" i="50"/>
  <c r="K1047" i="50"/>
  <c r="M1047" i="50" s="1"/>
  <c r="AS1047" i="50"/>
  <c r="AT1047" i="50" s="1"/>
  <c r="K1969" i="50"/>
  <c r="M1969" i="50" s="1"/>
  <c r="AV1969" i="50"/>
  <c r="AW1969" i="50"/>
  <c r="AS1969" i="50"/>
  <c r="AT1969" i="50" s="1"/>
  <c r="AS830" i="50"/>
  <c r="AT830" i="50" s="1"/>
  <c r="AW830" i="50"/>
  <c r="AV830" i="50"/>
  <c r="K830" i="50"/>
  <c r="M830" i="50" s="1"/>
  <c r="AV534" i="50"/>
  <c r="K534" i="50"/>
  <c r="M534" i="50" s="1"/>
  <c r="AW534" i="50"/>
  <c r="AS534" i="50"/>
  <c r="AT534" i="50" s="1"/>
  <c r="AS560" i="50"/>
  <c r="AT560" i="50" s="1"/>
  <c r="K560" i="50"/>
  <c r="AW560" i="50"/>
  <c r="AV560" i="50"/>
  <c r="AF295" i="58"/>
  <c r="AG295" i="58" s="1"/>
  <c r="K295" i="58"/>
  <c r="M295" i="58" s="1"/>
  <c r="AS587" i="50"/>
  <c r="AT587" i="50" s="1"/>
  <c r="AW587" i="50"/>
  <c r="K587" i="50"/>
  <c r="M587" i="50" s="1"/>
  <c r="AV587" i="50"/>
  <c r="AW182" i="50"/>
  <c r="K182" i="50"/>
  <c r="M182" i="50" s="1"/>
  <c r="AS182" i="50"/>
  <c r="AT182" i="50" s="1"/>
  <c r="AV182" i="50"/>
  <c r="AW1752" i="50"/>
  <c r="AS1752" i="50"/>
  <c r="AT1752" i="50" s="1"/>
  <c r="K1752" i="50"/>
  <c r="M1752" i="50" s="1"/>
  <c r="AV1752" i="50"/>
  <c r="AV350" i="50"/>
  <c r="AW350" i="50"/>
  <c r="AS350" i="50"/>
  <c r="AT350" i="50" s="1"/>
  <c r="K350" i="50"/>
  <c r="M350" i="50" s="1"/>
  <c r="K1158" i="50"/>
  <c r="M1158" i="50" s="1"/>
  <c r="AV1158" i="50"/>
  <c r="AW1158" i="50"/>
  <c r="AS1158" i="50"/>
  <c r="AT1158" i="50" s="1"/>
  <c r="K236" i="50"/>
  <c r="M236" i="50" s="1"/>
  <c r="AV236" i="50"/>
  <c r="AS236" i="50"/>
  <c r="AT236" i="50" s="1"/>
  <c r="AW1429" i="50"/>
  <c r="O515" i="52"/>
  <c r="Q515" i="52" s="1"/>
  <c r="C563" i="52"/>
  <c r="K458" i="50"/>
  <c r="M458" i="50" s="1"/>
  <c r="AV458" i="50"/>
  <c r="AW237" i="50"/>
  <c r="AS237" i="50"/>
  <c r="AT237" i="50" s="1"/>
  <c r="I1883" i="50"/>
  <c r="AJ1883" i="50"/>
  <c r="AG200" i="58"/>
  <c r="AV485" i="50"/>
  <c r="K485" i="50"/>
  <c r="M485" i="50" s="1"/>
  <c r="AV642" i="50"/>
  <c r="AS642" i="50"/>
  <c r="AT642" i="50" s="1"/>
  <c r="AW642" i="50"/>
  <c r="K642" i="50"/>
  <c r="M642" i="50" s="1"/>
  <c r="AS1645" i="50"/>
  <c r="AT1645" i="50" s="1"/>
  <c r="AV1645" i="50"/>
  <c r="K1645" i="50"/>
  <c r="M1645" i="50" s="1"/>
  <c r="AW1645" i="50"/>
  <c r="AS268" i="50"/>
  <c r="AT268" i="50" s="1"/>
  <c r="AV268" i="50"/>
  <c r="K268" i="50"/>
  <c r="M268" i="50" s="1"/>
  <c r="AV835" i="50"/>
  <c r="K835" i="50"/>
  <c r="M835" i="50" s="1"/>
  <c r="AS835" i="50"/>
  <c r="AT835" i="50" s="1"/>
  <c r="AW835" i="50"/>
  <c r="AV1505" i="50"/>
  <c r="AW1505" i="50"/>
  <c r="AV1023" i="50"/>
  <c r="AW1023" i="50"/>
  <c r="AS1023" i="50"/>
  <c r="AT1023" i="50" s="1"/>
  <c r="K1023" i="50"/>
  <c r="M1023" i="50" s="1"/>
  <c r="W1915" i="50"/>
  <c r="V1916" i="50"/>
  <c r="W1916" i="50" s="1"/>
  <c r="W1591" i="50"/>
  <c r="V1592" i="50"/>
  <c r="W1592" i="50" s="1"/>
  <c r="V1268" i="50"/>
  <c r="W1268" i="50" s="1"/>
  <c r="W1267" i="50"/>
  <c r="V2051" i="50"/>
  <c r="W2051" i="50" s="1"/>
  <c r="W2050" i="50"/>
  <c r="W1861" i="50"/>
  <c r="V1862" i="50"/>
  <c r="W1862" i="50" s="1"/>
  <c r="V1025" i="50"/>
  <c r="W1025" i="50" s="1"/>
  <c r="W1024" i="50"/>
  <c r="W808" i="50"/>
  <c r="V809" i="50"/>
  <c r="W809" i="50" s="1"/>
  <c r="W754" i="50"/>
  <c r="V755" i="50"/>
  <c r="W755" i="50" s="1"/>
  <c r="V728" i="50"/>
  <c r="W728" i="50" s="1"/>
  <c r="W727" i="50"/>
  <c r="V593" i="50"/>
  <c r="W593" i="50" s="1"/>
  <c r="W592" i="50"/>
  <c r="V566" i="50"/>
  <c r="W566" i="50" s="1"/>
  <c r="W565" i="50"/>
  <c r="V188" i="50"/>
  <c r="W188" i="50" s="1"/>
  <c r="W187" i="50"/>
  <c r="V350" i="50"/>
  <c r="W350" i="50" s="1"/>
  <c r="W349" i="50"/>
  <c r="W241" i="50"/>
  <c r="V242" i="50"/>
  <c r="W242" i="50" s="1"/>
  <c r="W1159" i="50"/>
  <c r="V1160" i="50"/>
  <c r="W1160" i="50" s="1"/>
  <c r="V863" i="50"/>
  <c r="W863" i="50" s="1"/>
  <c r="W862" i="50"/>
  <c r="V485" i="50"/>
  <c r="W485" i="50" s="1"/>
  <c r="W484" i="50"/>
  <c r="V431" i="50"/>
  <c r="W431" i="50" s="1"/>
  <c r="W430" i="50"/>
  <c r="V404" i="50"/>
  <c r="W404" i="50" s="1"/>
  <c r="W403" i="50"/>
  <c r="AN1320" i="50"/>
  <c r="AJ1320" i="50"/>
  <c r="AR1320" i="50"/>
  <c r="BP1304" i="50" s="1"/>
  <c r="AG1320" i="50"/>
  <c r="AF1320" i="50"/>
  <c r="AO1320" i="50"/>
  <c r="V647" i="50"/>
  <c r="W647" i="50" s="1"/>
  <c r="W646" i="50"/>
  <c r="BR656" i="50"/>
  <c r="AZ674" i="50"/>
  <c r="M674" i="50" s="1"/>
  <c r="V1970" i="50"/>
  <c r="W1970" i="50" s="1"/>
  <c r="W1969" i="50"/>
  <c r="V296" i="50"/>
  <c r="W296" i="50" s="1"/>
  <c r="W295" i="50"/>
  <c r="AS996" i="50"/>
  <c r="AT996" i="50" s="1"/>
  <c r="AW997" i="50"/>
  <c r="AP993" i="50"/>
  <c r="AQ993" i="50" s="1"/>
  <c r="AS318" i="50"/>
  <c r="AT318" i="50" s="1"/>
  <c r="K318" i="50"/>
  <c r="M318" i="50" s="1"/>
  <c r="BQ980" i="50"/>
  <c r="AS1374" i="50"/>
  <c r="AT1374" i="50" s="1"/>
  <c r="AT1371" i="50"/>
  <c r="BR1763" i="50"/>
  <c r="I321" i="50"/>
  <c r="AS1780" i="50"/>
  <c r="AT1780" i="50" s="1"/>
  <c r="AO1780" i="50"/>
  <c r="AQ1780" i="50" s="1"/>
  <c r="AR996" i="50"/>
  <c r="BP980" i="50" s="1"/>
  <c r="AN996" i="50"/>
  <c r="AT1375" i="50"/>
  <c r="BO1763" i="50"/>
  <c r="BC1373" i="50"/>
  <c r="AT995" i="50"/>
  <c r="AV1347" i="50"/>
  <c r="AV1559" i="50"/>
  <c r="BK1952" i="50"/>
  <c r="AW1833" i="50"/>
  <c r="AS994" i="50"/>
  <c r="AT994" i="50" s="1"/>
  <c r="BZ1186" i="50"/>
  <c r="BZ1189" i="50"/>
  <c r="BZ1182" i="50"/>
  <c r="BZ514" i="50"/>
  <c r="BZ508" i="50"/>
  <c r="BZ511" i="50"/>
  <c r="BZ1644" i="50"/>
  <c r="BZ1642" i="50"/>
  <c r="BZ1645" i="50"/>
  <c r="BZ620" i="50"/>
  <c r="BZ616" i="50"/>
  <c r="BZ618" i="50"/>
  <c r="BZ187" i="50"/>
  <c r="BZ183" i="50"/>
  <c r="BZ184" i="50"/>
  <c r="BZ2020" i="50"/>
  <c r="BZ2023" i="50"/>
  <c r="BZ2026" i="50"/>
  <c r="BZ728" i="50"/>
  <c r="BZ730" i="50"/>
  <c r="BZ727" i="50"/>
  <c r="BZ296" i="50"/>
  <c r="BZ291" i="50"/>
  <c r="BZ298" i="50"/>
  <c r="BZ1424" i="50"/>
  <c r="BZ1425" i="50"/>
  <c r="BZ1427" i="50"/>
  <c r="BZ1157" i="50"/>
  <c r="BZ1160" i="50"/>
  <c r="BZ1156" i="50"/>
  <c r="BZ1697" i="50"/>
  <c r="BZ1694" i="50"/>
  <c r="BZ1698" i="50"/>
  <c r="BZ673" i="50"/>
  <c r="BZ676" i="50"/>
  <c r="BZ671" i="50"/>
  <c r="BZ835" i="50"/>
  <c r="BZ831" i="50"/>
  <c r="BZ830" i="50"/>
  <c r="BZ1780" i="50"/>
  <c r="BZ1777" i="50"/>
  <c r="BZ1781" i="50"/>
  <c r="BZ1891" i="50"/>
  <c r="BZ1883" i="50"/>
  <c r="BZ1886" i="50"/>
  <c r="BZ1130" i="50"/>
  <c r="BZ1133" i="50"/>
  <c r="BZ1135" i="50"/>
  <c r="AO317" i="50"/>
  <c r="AI317" i="50"/>
  <c r="AF1370" i="50"/>
  <c r="AN1370" i="50"/>
  <c r="AR992" i="50"/>
  <c r="BJ980" i="50" s="1"/>
  <c r="AF992" i="50"/>
  <c r="AO1371" i="50"/>
  <c r="AG1371" i="50"/>
  <c r="AC1775" i="50"/>
  <c r="AC1777" i="50"/>
  <c r="AC1779" i="50"/>
  <c r="AC1776" i="50"/>
  <c r="AC1781" i="50"/>
  <c r="I1778" i="50"/>
  <c r="AO322" i="50"/>
  <c r="AQ322" i="50" s="1"/>
  <c r="AR323" i="50"/>
  <c r="BS305" i="50" s="1"/>
  <c r="AO998" i="50"/>
  <c r="AQ998" i="50" s="1"/>
  <c r="AS998" i="50" s="1"/>
  <c r="AT998" i="50" s="1"/>
  <c r="AS1995" i="50"/>
  <c r="AT1995" i="50" s="1"/>
  <c r="K1995" i="50"/>
  <c r="M1995" i="50" s="1"/>
  <c r="AG1374" i="50"/>
  <c r="AR1376" i="50"/>
  <c r="BS1358" i="50" s="1"/>
  <c r="AS1376" i="50"/>
  <c r="AT1376" i="50" s="1"/>
  <c r="AX861" i="50"/>
  <c r="AV1992" i="50"/>
  <c r="AS1992" i="50"/>
  <c r="AT1992" i="50" s="1"/>
  <c r="K1965" i="50"/>
  <c r="M1965" i="50" s="1"/>
  <c r="AW807" i="50"/>
  <c r="AS807" i="50"/>
  <c r="AT807" i="50" s="1"/>
  <c r="AS159" i="50"/>
  <c r="AT159" i="50" s="1"/>
  <c r="AV159" i="50"/>
  <c r="AW344" i="50"/>
  <c r="K344" i="50"/>
  <c r="M344" i="50" s="1"/>
  <c r="AP1397" i="50"/>
  <c r="AQ1397" i="50" s="1"/>
  <c r="BQ575" i="50"/>
  <c r="AS857" i="50"/>
  <c r="AT857" i="50" s="1"/>
  <c r="K857" i="50"/>
  <c r="M857" i="50" s="1"/>
  <c r="AW695" i="50"/>
  <c r="AV160" i="50"/>
  <c r="AP1694" i="50"/>
  <c r="AQ1694" i="50" s="1"/>
  <c r="AV592" i="50"/>
  <c r="K592" i="50"/>
  <c r="M592" i="50" s="1"/>
  <c r="AW1424" i="50"/>
  <c r="AX1964" i="50"/>
  <c r="AV371" i="50"/>
  <c r="AZ1484" i="50"/>
  <c r="BR1466" i="50"/>
  <c r="BI1790" i="50"/>
  <c r="O627" i="52"/>
  <c r="Q627" i="52" s="1"/>
  <c r="C675" i="52"/>
  <c r="O675" i="52" s="1"/>
  <c r="Q675" i="52" s="1"/>
  <c r="AS1050" i="50"/>
  <c r="AT1050" i="50" s="1"/>
  <c r="AW1050" i="50"/>
  <c r="K2018" i="50"/>
  <c r="M2018" i="50" s="1"/>
  <c r="AS2018" i="50"/>
  <c r="AT2018" i="50" s="1"/>
  <c r="AV2018" i="50"/>
  <c r="AS726" i="50"/>
  <c r="AT726" i="50" s="1"/>
  <c r="AV726" i="50"/>
  <c r="K726" i="50"/>
  <c r="M726" i="50" s="1"/>
  <c r="AV672" i="50"/>
  <c r="AW672" i="50"/>
  <c r="AS672" i="50"/>
  <c r="AT672" i="50" s="1"/>
  <c r="AV291" i="50"/>
  <c r="AS291" i="50"/>
  <c r="AT291" i="50" s="1"/>
  <c r="K1451" i="50"/>
  <c r="M1451" i="50" s="1"/>
  <c r="AW1451" i="50"/>
  <c r="BM440" i="50"/>
  <c r="AP453" i="50"/>
  <c r="AQ453" i="50" s="1"/>
  <c r="AP1422" i="50"/>
  <c r="BO1412" i="50"/>
  <c r="AW1427" i="50"/>
  <c r="AZ1427" i="50"/>
  <c r="M1427" i="50" s="1"/>
  <c r="AW209" i="50"/>
  <c r="K209" i="50"/>
  <c r="AN156" i="50"/>
  <c r="AJ156" i="50"/>
  <c r="AO156" i="50"/>
  <c r="AF156" i="50"/>
  <c r="AR156" i="50"/>
  <c r="AG156" i="50"/>
  <c r="AS1159" i="50"/>
  <c r="AT1159" i="50" s="1"/>
  <c r="K1159" i="50"/>
  <c r="M1159" i="50" s="1"/>
  <c r="K836" i="50"/>
  <c r="M836" i="50" s="1"/>
  <c r="AV836" i="50"/>
  <c r="AS836" i="50"/>
  <c r="AT836" i="50" s="1"/>
  <c r="AW836" i="50"/>
  <c r="AV1748" i="50"/>
  <c r="AS1748" i="50"/>
  <c r="AT1748" i="50" s="1"/>
  <c r="K1748" i="50"/>
  <c r="M1748" i="50" s="1"/>
  <c r="AW1748" i="50"/>
  <c r="W1321" i="50"/>
  <c r="V1322" i="50"/>
  <c r="W1322" i="50" s="1"/>
  <c r="V1646" i="50"/>
  <c r="W1646" i="50" s="1"/>
  <c r="W1645" i="50"/>
  <c r="V1727" i="50"/>
  <c r="W1727" i="50" s="1"/>
  <c r="W1726" i="50"/>
  <c r="W1483" i="50"/>
  <c r="V1484" i="50"/>
  <c r="W1484" i="50" s="1"/>
  <c r="W1105" i="50"/>
  <c r="V1106" i="50"/>
  <c r="W1106" i="50" s="1"/>
  <c r="W970" i="50"/>
  <c r="V971" i="50"/>
  <c r="W971" i="50" s="1"/>
  <c r="V1673" i="50"/>
  <c r="W1673" i="50" s="1"/>
  <c r="W1672" i="50"/>
  <c r="V998" i="50"/>
  <c r="W998" i="50" s="1"/>
  <c r="W997" i="50"/>
  <c r="V1376" i="50"/>
  <c r="W1376" i="50" s="1"/>
  <c r="W1375" i="50"/>
  <c r="AO1806" i="50"/>
  <c r="AF1806" i="50"/>
  <c r="AR1806" i="50"/>
  <c r="BP1790" i="50" s="1"/>
  <c r="AG1806" i="50"/>
  <c r="AJ1806" i="50"/>
  <c r="AN1806" i="50"/>
  <c r="AX1181" i="50"/>
  <c r="M1181" i="50" s="1"/>
  <c r="AX1185" i="50"/>
  <c r="M1185" i="50" s="1"/>
  <c r="V620" i="50"/>
  <c r="W620" i="50" s="1"/>
  <c r="W619" i="50"/>
  <c r="AN966" i="50"/>
  <c r="AG966" i="50"/>
  <c r="AO966" i="50"/>
  <c r="AR966" i="50"/>
  <c r="AJ966" i="50"/>
  <c r="C654" i="52"/>
  <c r="O654" i="52" s="1"/>
  <c r="Q654" i="52" s="1"/>
  <c r="AR1996" i="50"/>
  <c r="AW1996" i="50" s="1"/>
  <c r="AR1992" i="50"/>
  <c r="C302" i="46"/>
  <c r="C337" i="46" s="1"/>
  <c r="BA104" i="61"/>
  <c r="BA102" i="61"/>
  <c r="C655" i="52"/>
  <c r="O655" i="52" s="1"/>
  <c r="Q655" i="52" s="1"/>
  <c r="O607" i="52"/>
  <c r="Q607" i="52" s="1"/>
  <c r="AS1079" i="50"/>
  <c r="AT1079" i="50" s="1"/>
  <c r="K1079" i="50"/>
  <c r="AX645" i="50"/>
  <c r="M645" i="50" s="1"/>
  <c r="BI629" i="50"/>
  <c r="K100" i="58"/>
  <c r="M100" i="58" s="1"/>
  <c r="AF100" i="58"/>
  <c r="AG100" i="58" s="1"/>
  <c r="O546" i="52"/>
  <c r="Q546" i="52" s="1"/>
  <c r="C594" i="52"/>
  <c r="AG325" i="58"/>
  <c r="I1887" i="50"/>
  <c r="BC267" i="50"/>
  <c r="AZ646" i="50"/>
  <c r="M646" i="50" s="1"/>
  <c r="AF1127" i="50"/>
  <c r="I911" i="50"/>
  <c r="AF1395" i="50"/>
  <c r="AH1395" i="50" s="1"/>
  <c r="AP1395" i="50" s="1"/>
  <c r="AX1235" i="50"/>
  <c r="M1235" i="50" s="1"/>
  <c r="C669" i="52"/>
  <c r="O669" i="52" s="1"/>
  <c r="Q669" i="52" s="1"/>
  <c r="BI1277" i="50"/>
  <c r="BR899" i="50"/>
  <c r="C633" i="52"/>
  <c r="AN1131" i="50"/>
  <c r="AJ1131" i="50"/>
  <c r="AN1721" i="50"/>
  <c r="AG1721" i="50"/>
  <c r="AR1721" i="50"/>
  <c r="BJ1709" i="50" s="1"/>
  <c r="AC1398" i="50"/>
  <c r="K671" i="50"/>
  <c r="M671" i="50" s="1"/>
  <c r="AW1319" i="50"/>
  <c r="AW1915" i="50"/>
  <c r="AX209" i="50"/>
  <c r="AV944" i="50"/>
  <c r="K483" i="50"/>
  <c r="M483" i="50" s="1"/>
  <c r="AR968" i="50"/>
  <c r="AS968" i="50"/>
  <c r="AT968" i="50" s="1"/>
  <c r="BO1628" i="50"/>
  <c r="AS970" i="50"/>
  <c r="AT970" i="50" s="1"/>
  <c r="AO1887" i="50"/>
  <c r="AF159" i="50"/>
  <c r="AG159" i="50"/>
  <c r="K777" i="50"/>
  <c r="M777" i="50" s="1"/>
  <c r="AS777" i="50"/>
  <c r="AT777" i="50" s="1"/>
  <c r="K1911" i="50"/>
  <c r="M1911" i="50" s="1"/>
  <c r="AS1911" i="50"/>
  <c r="AT1911" i="50" s="1"/>
  <c r="AS453" i="50"/>
  <c r="AT453" i="50" s="1"/>
  <c r="BD1589" i="50"/>
  <c r="AJ938" i="50"/>
  <c r="AW698" i="50"/>
  <c r="BE240" i="50"/>
  <c r="BD2048" i="50"/>
  <c r="AZ1589" i="50"/>
  <c r="M1589" i="50" s="1"/>
  <c r="BN224" i="50"/>
  <c r="BO1034" i="50"/>
  <c r="AO1808" i="50"/>
  <c r="AQ1808" i="50" s="1"/>
  <c r="I672" i="50"/>
  <c r="AP1019" i="50"/>
  <c r="AQ1019" i="50" s="1"/>
  <c r="AO969" i="50"/>
  <c r="AJ969" i="50"/>
  <c r="BZ1085" i="50"/>
  <c r="AP1100" i="50"/>
  <c r="AQ1100" i="50" s="1"/>
  <c r="AR455" i="50"/>
  <c r="AR453" i="50"/>
  <c r="AF453" i="50"/>
  <c r="AG456" i="50"/>
  <c r="AJ456" i="50"/>
  <c r="AZ481" i="50"/>
  <c r="M481" i="50" s="1"/>
  <c r="AS1427" i="50"/>
  <c r="AT1427" i="50" s="1"/>
  <c r="I698" i="50"/>
  <c r="AR941" i="50"/>
  <c r="AN939" i="50"/>
  <c r="AF939" i="50"/>
  <c r="AC158" i="50"/>
  <c r="AS153" i="50"/>
  <c r="AT153" i="50" s="1"/>
  <c r="AI153" i="50"/>
  <c r="AG153" i="50"/>
  <c r="AH153" i="50" s="1"/>
  <c r="AC157" i="50"/>
  <c r="AC155" i="50"/>
  <c r="AP884" i="50"/>
  <c r="AQ884" i="50" s="1"/>
  <c r="AO862" i="50"/>
  <c r="AQ862" i="50" s="1"/>
  <c r="AJ858" i="50"/>
  <c r="AR858" i="50"/>
  <c r="N90" i="58"/>
  <c r="BH90" i="58" s="1"/>
  <c r="AV510" i="50"/>
  <c r="K510" i="50"/>
  <c r="M510" i="50" s="1"/>
  <c r="AC161" i="50"/>
  <c r="AX2049" i="50"/>
  <c r="M2049" i="50" s="1"/>
  <c r="AW1160" i="50"/>
  <c r="AS1160" i="50"/>
  <c r="AT1160" i="50" s="1"/>
  <c r="K1025" i="50"/>
  <c r="I1049" i="50"/>
  <c r="I536" i="50"/>
  <c r="AN1154" i="50"/>
  <c r="AN236" i="50"/>
  <c r="AR236" i="50"/>
  <c r="BJ224" i="50" s="1"/>
  <c r="AG236" i="50"/>
  <c r="AJ1587" i="50"/>
  <c r="AO1587" i="50"/>
  <c r="AR725" i="50"/>
  <c r="AC1805" i="50"/>
  <c r="AG1800" i="50"/>
  <c r="AH1800" i="50" s="1"/>
  <c r="AP1800" i="50" s="1"/>
  <c r="AS1800" i="50"/>
  <c r="AT1800" i="50" s="1"/>
  <c r="AC1802" i="50"/>
  <c r="AC1807" i="50"/>
  <c r="AO668" i="50"/>
  <c r="AR724" i="50"/>
  <c r="AN726" i="50"/>
  <c r="AR726" i="50"/>
  <c r="BP710" i="50" s="1"/>
  <c r="AO726" i="50"/>
  <c r="AC967" i="50"/>
  <c r="AC971" i="50"/>
  <c r="AC965" i="50"/>
  <c r="AS963" i="50"/>
  <c r="AT963" i="50" s="1"/>
  <c r="AF260" i="58"/>
  <c r="AG260" i="58" s="1"/>
  <c r="BQ872" i="50"/>
  <c r="I295" i="50"/>
  <c r="AR295" i="50"/>
  <c r="AF1046" i="50"/>
  <c r="AG1046" i="50"/>
  <c r="AR183" i="50"/>
  <c r="AN183" i="50"/>
  <c r="AJ183" i="50"/>
  <c r="AS1860" i="50"/>
  <c r="AT1860" i="50" s="1"/>
  <c r="AW2024" i="50"/>
  <c r="K2024" i="50"/>
  <c r="M2024" i="50" s="1"/>
  <c r="K2078" i="50"/>
  <c r="M2078" i="50" s="1"/>
  <c r="AV1511" i="50"/>
  <c r="AW402" i="50"/>
  <c r="AT1049" i="50"/>
  <c r="AW1294" i="50"/>
  <c r="K1294" i="50"/>
  <c r="M1294" i="50" s="1"/>
  <c r="AS1294" i="50"/>
  <c r="AT1294" i="50" s="1"/>
  <c r="AV1294" i="50"/>
  <c r="AV431" i="50"/>
  <c r="AS431" i="50"/>
  <c r="AT431" i="50" s="1"/>
  <c r="K431" i="50"/>
  <c r="M431" i="50" s="1"/>
  <c r="AW292" i="50"/>
  <c r="AZ292" i="50"/>
  <c r="M292" i="50" s="1"/>
  <c r="BN278" i="50"/>
  <c r="C282" i="58"/>
  <c r="AC1935" i="50"/>
  <c r="AC1932" i="50"/>
  <c r="BZ315" i="50"/>
  <c r="BZ312" i="50"/>
  <c r="AC1348" i="50"/>
  <c r="AS1341" i="50"/>
  <c r="AT1341" i="50" s="1"/>
  <c r="AF1341" i="50"/>
  <c r="AH1341" i="50" s="1"/>
  <c r="AP1341" i="50" s="1"/>
  <c r="AC1349" i="50"/>
  <c r="AC1262" i="50"/>
  <c r="AC1263" i="50"/>
  <c r="AF1260" i="50"/>
  <c r="AS1260" i="50"/>
  <c r="AT1260" i="50" s="1"/>
  <c r="AG1260" i="50"/>
  <c r="AC1266" i="50"/>
  <c r="AC1268" i="50"/>
  <c r="I423" i="50"/>
  <c r="AJ423" i="50"/>
  <c r="G193" i="38"/>
  <c r="Q364" i="52"/>
  <c r="O355" i="52"/>
  <c r="C357" i="52"/>
  <c r="C356" i="52"/>
  <c r="C403" i="52"/>
  <c r="AG322" i="58"/>
  <c r="AE322" i="58"/>
  <c r="AT314" i="58" s="1"/>
  <c r="AR396" i="50"/>
  <c r="M396" i="50"/>
  <c r="AC1077" i="50"/>
  <c r="AC1078" i="50"/>
  <c r="AT1071" i="50"/>
  <c r="AI1071" i="50"/>
  <c r="AC1075" i="50"/>
  <c r="AC1074" i="50"/>
  <c r="AG1533" i="50"/>
  <c r="AJ1533" i="50"/>
  <c r="AE291" i="58"/>
  <c r="AU282" i="58" s="1"/>
  <c r="AG291" i="58"/>
  <c r="AC291" i="58"/>
  <c r="AY1453" i="50"/>
  <c r="AC1453" i="50"/>
  <c r="AC2020" i="50"/>
  <c r="AR1289" i="50"/>
  <c r="BJ1277" i="50" s="1"/>
  <c r="AG1289" i="50"/>
  <c r="AN1289" i="50"/>
  <c r="AI1289" i="50"/>
  <c r="AO1289" i="50"/>
  <c r="AF1289" i="50"/>
  <c r="AC562" i="50"/>
  <c r="AI558" i="50"/>
  <c r="AS558" i="50"/>
  <c r="AT558" i="50" s="1"/>
  <c r="AG558" i="50"/>
  <c r="AH558" i="50" s="1"/>
  <c r="AC561" i="50"/>
  <c r="AC565" i="50"/>
  <c r="AR1025" i="50"/>
  <c r="AS1025" i="50"/>
  <c r="AT1025" i="50" s="1"/>
  <c r="BC1292" i="50"/>
  <c r="AJ348" i="50"/>
  <c r="AE101" i="61"/>
  <c r="AV101" i="61"/>
  <c r="AF101" i="61"/>
  <c r="AA101" i="61"/>
  <c r="AB101" i="61"/>
  <c r="S101" i="61"/>
  <c r="AD101" i="61"/>
  <c r="V101" i="61"/>
  <c r="C656" i="52"/>
  <c r="O656" i="52" s="1"/>
  <c r="Q656" i="52" s="1"/>
  <c r="D625" i="52"/>
  <c r="Q375" i="52"/>
  <c r="C538" i="52"/>
  <c r="O578" i="52"/>
  <c r="Q578" i="52" s="1"/>
  <c r="O526" i="52"/>
  <c r="Q526" i="52" s="1"/>
  <c r="C665" i="52"/>
  <c r="O665" i="52" s="1"/>
  <c r="Q665" i="52" s="1"/>
  <c r="C509" i="52"/>
  <c r="AH1287" i="50"/>
  <c r="AP1287" i="50" s="1"/>
  <c r="C305" i="50"/>
  <c r="AG467" i="52"/>
  <c r="AG99" i="58"/>
  <c r="AR693" i="50"/>
  <c r="M693" i="50"/>
  <c r="AY214" i="50"/>
  <c r="M214" i="50" s="1"/>
  <c r="BZ214" i="50"/>
  <c r="I1754" i="50"/>
  <c r="AR1754" i="50"/>
  <c r="AO1754" i="50"/>
  <c r="AQ1754" i="50" s="1"/>
  <c r="AO229" i="58"/>
  <c r="AO228" i="58"/>
  <c r="AO230" i="58" s="1"/>
  <c r="O532" i="52"/>
  <c r="Q532" i="52" s="1"/>
  <c r="C580" i="52"/>
  <c r="AA232" i="58"/>
  <c r="I232" i="58"/>
  <c r="AG294" i="58"/>
  <c r="AC399" i="50"/>
  <c r="AC401" i="50"/>
  <c r="AC400" i="50"/>
  <c r="N577" i="52"/>
  <c r="AI1692" i="50"/>
  <c r="AG1692" i="50"/>
  <c r="AH1692" i="50" s="1"/>
  <c r="AS1692" i="50"/>
  <c r="AT1692" i="50" s="1"/>
  <c r="Z72" i="38"/>
  <c r="Z71" i="38"/>
  <c r="Z73" i="38"/>
  <c r="N1223" i="50"/>
  <c r="BT1223" i="50" s="1"/>
  <c r="BC1237" i="50"/>
  <c r="H379" i="46"/>
  <c r="G149" i="62"/>
  <c r="H385" i="46"/>
  <c r="H155" i="62" s="1"/>
  <c r="G155" i="62"/>
  <c r="O520" i="52"/>
  <c r="Q520" i="52" s="1"/>
  <c r="C568" i="52"/>
  <c r="G179" i="38"/>
  <c r="H211" i="38" s="1"/>
  <c r="J179" i="38"/>
  <c r="AL480" i="52"/>
  <c r="AL484" i="52"/>
  <c r="AL456" i="52"/>
  <c r="AL452" i="52"/>
  <c r="AL462" i="52"/>
  <c r="AL487" i="52"/>
  <c r="AJ663" i="52"/>
  <c r="AJ661" i="52"/>
  <c r="AJ665" i="52"/>
  <c r="U115" i="50"/>
  <c r="T61" i="50"/>
  <c r="T115" i="50"/>
  <c r="U88" i="50"/>
  <c r="T88" i="50"/>
  <c r="AK1260" i="50"/>
  <c r="U61" i="50"/>
  <c r="AN456" i="52"/>
  <c r="AN457" i="52"/>
  <c r="AN484" i="52"/>
  <c r="AN467" i="52"/>
  <c r="AN488" i="52"/>
  <c r="AN480" i="52"/>
  <c r="BE1586" i="50"/>
  <c r="I384" i="46" l="1"/>
  <c r="I154" i="62" s="1"/>
  <c r="I381" i="46"/>
  <c r="I151" i="62" s="1"/>
  <c r="I383" i="46"/>
  <c r="I153" i="62" s="1"/>
  <c r="I380" i="46"/>
  <c r="I150" i="62" s="1"/>
  <c r="I382" i="46"/>
  <c r="I152" i="62" s="1"/>
  <c r="I385" i="46"/>
  <c r="I155" i="62" s="1"/>
  <c r="H149" i="62"/>
  <c r="M149" i="62" s="1"/>
  <c r="I388" i="46"/>
  <c r="I158" i="62" s="1"/>
  <c r="I379" i="46"/>
  <c r="I149" i="62" s="1"/>
  <c r="I386" i="46"/>
  <c r="I156" i="62" s="1"/>
  <c r="I387" i="46"/>
  <c r="I157" i="62" s="1"/>
  <c r="M379" i="46"/>
  <c r="V72" i="50"/>
  <c r="E63" i="50"/>
  <c r="V126" i="50"/>
  <c r="E117" i="50"/>
  <c r="C616" i="52"/>
  <c r="O568" i="52"/>
  <c r="Q568" i="52" s="1"/>
  <c r="I401" i="50"/>
  <c r="AR401" i="50"/>
  <c r="AS401" i="50"/>
  <c r="AT401" i="50" s="1"/>
  <c r="AC232" i="58"/>
  <c r="AD232" i="58" s="1"/>
  <c r="K232" i="58" s="1"/>
  <c r="M232" i="58" s="1"/>
  <c r="AE232" i="58"/>
  <c r="AZ218" i="58" s="1"/>
  <c r="AG232" i="58"/>
  <c r="AF232" i="58"/>
  <c r="BS1736" i="50"/>
  <c r="AZ1754" i="50"/>
  <c r="AZ1753" i="50"/>
  <c r="M1753" i="50" s="1"/>
  <c r="BE1292" i="50"/>
  <c r="BD1292" i="50"/>
  <c r="BS1007" i="50"/>
  <c r="AZ1024" i="50"/>
  <c r="M1024" i="50" s="1"/>
  <c r="AZ1025" i="50"/>
  <c r="AW1025" i="50"/>
  <c r="AN561" i="50"/>
  <c r="AR561" i="50"/>
  <c r="AJ561" i="50"/>
  <c r="AO561" i="50"/>
  <c r="AF561" i="50"/>
  <c r="AG561" i="50"/>
  <c r="AS562" i="50"/>
  <c r="I562" i="50"/>
  <c r="AR562" i="50"/>
  <c r="AT562" i="50"/>
  <c r="AR1453" i="50"/>
  <c r="AS1453" i="50"/>
  <c r="I1453" i="50"/>
  <c r="AT1453" i="50"/>
  <c r="AR1075" i="50"/>
  <c r="AS1075" i="50"/>
  <c r="I1075" i="50"/>
  <c r="AT1075" i="50"/>
  <c r="AG1077" i="50"/>
  <c r="AJ1077" i="50"/>
  <c r="AN1077" i="50"/>
  <c r="AF1077" i="50"/>
  <c r="AR1077" i="50"/>
  <c r="BP1061" i="50" s="1"/>
  <c r="AO1077" i="50"/>
  <c r="BH386" i="50"/>
  <c r="C404" i="52"/>
  <c r="O356" i="52"/>
  <c r="B20" i="57"/>
  <c r="Q355" i="52"/>
  <c r="I184" i="38"/>
  <c r="G184" i="38"/>
  <c r="H193" i="38"/>
  <c r="AO1266" i="50"/>
  <c r="AG1266" i="50"/>
  <c r="AN1266" i="50"/>
  <c r="AR1266" i="50"/>
  <c r="BP1250" i="50" s="1"/>
  <c r="AF1266" i="50"/>
  <c r="AJ1266" i="50"/>
  <c r="AF1263" i="50"/>
  <c r="AG1263" i="50"/>
  <c r="AO1263" i="50"/>
  <c r="AJ1263" i="50"/>
  <c r="AR1263" i="50"/>
  <c r="AN1263" i="50"/>
  <c r="AR1349" i="50"/>
  <c r="BS1331" i="50" s="1"/>
  <c r="I1349" i="50"/>
  <c r="AO1349" i="50"/>
  <c r="AQ1349" i="50" s="1"/>
  <c r="AS1349" i="50"/>
  <c r="AT1349" i="50" s="1"/>
  <c r="C314" i="58"/>
  <c r="BA89" i="61"/>
  <c r="H195" i="38"/>
  <c r="I183" i="50"/>
  <c r="BM170" i="50"/>
  <c r="AP183" i="50"/>
  <c r="AQ183" i="50" s="1"/>
  <c r="BL170" i="50"/>
  <c r="BC185" i="50"/>
  <c r="BC186" i="50"/>
  <c r="AI965" i="50"/>
  <c r="AR965" i="50"/>
  <c r="BJ953" i="50" s="1"/>
  <c r="AF965" i="50"/>
  <c r="AN965" i="50"/>
  <c r="AG965" i="50"/>
  <c r="AO965" i="50"/>
  <c r="AS967" i="50"/>
  <c r="AT967" i="50" s="1"/>
  <c r="AR967" i="50"/>
  <c r="I967" i="50"/>
  <c r="AZ724" i="50"/>
  <c r="M724" i="50" s="1"/>
  <c r="BN710" i="50"/>
  <c r="AW724" i="50"/>
  <c r="AR1807" i="50"/>
  <c r="AO1807" i="50"/>
  <c r="AQ1807" i="50" s="1"/>
  <c r="I1807" i="50"/>
  <c r="AS1807" i="50"/>
  <c r="AT1807" i="50"/>
  <c r="AS1805" i="50"/>
  <c r="AT1805" i="50"/>
  <c r="I1805" i="50"/>
  <c r="AR1805" i="50"/>
  <c r="M1025" i="50"/>
  <c r="AR161" i="50"/>
  <c r="I161" i="50"/>
  <c r="AO161" i="50"/>
  <c r="AQ161" i="50" s="1"/>
  <c r="BC861" i="50"/>
  <c r="BL845" i="50"/>
  <c r="BC860" i="50"/>
  <c r="K862" i="50"/>
  <c r="M862" i="50" s="1"/>
  <c r="AV862" i="50"/>
  <c r="AW862" i="50"/>
  <c r="AI155" i="50"/>
  <c r="AF155" i="50"/>
  <c r="AN155" i="50"/>
  <c r="AR155" i="50"/>
  <c r="BJ143" i="50" s="1"/>
  <c r="AO155" i="50"/>
  <c r="AG155" i="50"/>
  <c r="AZ941" i="50"/>
  <c r="M941" i="50" s="1"/>
  <c r="AW941" i="50"/>
  <c r="BO926" i="50"/>
  <c r="AP456" i="50"/>
  <c r="AQ456" i="50" s="1"/>
  <c r="I456" i="50"/>
  <c r="AX456" i="50"/>
  <c r="BQ440" i="50"/>
  <c r="BL440" i="50"/>
  <c r="BC455" i="50"/>
  <c r="BC456" i="50"/>
  <c r="AV1100" i="50"/>
  <c r="AW1100" i="50"/>
  <c r="AS1100" i="50"/>
  <c r="AT1100" i="50" s="1"/>
  <c r="K1100" i="50"/>
  <c r="M1100" i="50" s="1"/>
  <c r="I969" i="50"/>
  <c r="AX969" i="50"/>
  <c r="AP969" i="50"/>
  <c r="AQ969" i="50" s="1"/>
  <c r="BQ953" i="50"/>
  <c r="AV1019" i="50"/>
  <c r="AS1019" i="50"/>
  <c r="AT1019" i="50" s="1"/>
  <c r="AW1019" i="50"/>
  <c r="K1019" i="50"/>
  <c r="M1019" i="50" s="1"/>
  <c r="K1808" i="50"/>
  <c r="AW1808" i="50"/>
  <c r="AS1808" i="50"/>
  <c r="AT1808" i="50" s="1"/>
  <c r="AV1808" i="50"/>
  <c r="AS862" i="50"/>
  <c r="AT862" i="50" s="1"/>
  <c r="AF1398" i="50"/>
  <c r="AG1398" i="50"/>
  <c r="AN1398" i="50"/>
  <c r="AR1398" i="50"/>
  <c r="AJ1398" i="50"/>
  <c r="AO1398" i="50"/>
  <c r="I1131" i="50"/>
  <c r="AP1131" i="50"/>
  <c r="AQ1131" i="50" s="1"/>
  <c r="AX1131" i="50"/>
  <c r="BQ1115" i="50"/>
  <c r="C681" i="52"/>
  <c r="O681" i="52" s="1"/>
  <c r="Q681" i="52" s="1"/>
  <c r="O633" i="52"/>
  <c r="Q633" i="52" s="1"/>
  <c r="O594" i="52"/>
  <c r="Q594" i="52" s="1"/>
  <c r="C642" i="52"/>
  <c r="O642" i="52" s="1"/>
  <c r="Q642" i="52" s="1"/>
  <c r="AU102" i="61"/>
  <c r="Z102" i="61"/>
  <c r="E102" i="61"/>
  <c r="AE102" i="61"/>
  <c r="T102" i="61"/>
  <c r="AV102" i="61"/>
  <c r="AD102" i="61"/>
  <c r="S102" i="61"/>
  <c r="D102" i="61"/>
  <c r="AW102" i="61"/>
  <c r="AC102" i="61"/>
  <c r="W102" i="61"/>
  <c r="AX102" i="61"/>
  <c r="X102" i="61"/>
  <c r="V102" i="61"/>
  <c r="U102" i="61"/>
  <c r="Y102" i="61"/>
  <c r="AB102" i="61"/>
  <c r="AY102" i="61"/>
  <c r="AA102" i="61"/>
  <c r="AF102" i="61"/>
  <c r="R102" i="61"/>
  <c r="BA103" i="61"/>
  <c r="BC1994" i="50"/>
  <c r="BC1995" i="50"/>
  <c r="BL1979" i="50"/>
  <c r="AW1992" i="50"/>
  <c r="BC969" i="50"/>
  <c r="BL953" i="50"/>
  <c r="BC968" i="50"/>
  <c r="BL143" i="50"/>
  <c r="BC158" i="50"/>
  <c r="BC159" i="50"/>
  <c r="I156" i="50"/>
  <c r="AP156" i="50"/>
  <c r="AQ156" i="50" s="1"/>
  <c r="BM143" i="50"/>
  <c r="M209" i="50"/>
  <c r="K453" i="50"/>
  <c r="M453" i="50" s="1"/>
  <c r="AV453" i="50"/>
  <c r="AW453" i="50"/>
  <c r="AW726" i="50"/>
  <c r="AW1694" i="50"/>
  <c r="AS1694" i="50"/>
  <c r="AT1694" i="50" s="1"/>
  <c r="AV1694" i="50"/>
  <c r="K1694" i="50"/>
  <c r="AS1397" i="50"/>
  <c r="AT1397" i="50" s="1"/>
  <c r="K1397" i="50"/>
  <c r="M1397" i="50" s="1"/>
  <c r="AV1397" i="50"/>
  <c r="AW1397" i="50"/>
  <c r="K322" i="50"/>
  <c r="AW322" i="50"/>
  <c r="AV322" i="50"/>
  <c r="AO1781" i="50"/>
  <c r="AQ1781" i="50" s="1"/>
  <c r="AR1781" i="50"/>
  <c r="AS1781" i="50"/>
  <c r="I1781" i="50"/>
  <c r="AT1781" i="50"/>
  <c r="AR1779" i="50"/>
  <c r="BP1763" i="50" s="1"/>
  <c r="AJ1779" i="50"/>
  <c r="AG1779" i="50"/>
  <c r="AF1779" i="50"/>
  <c r="AO1779" i="50"/>
  <c r="AN1779" i="50"/>
  <c r="AI1775" i="50"/>
  <c r="AR1775" i="50"/>
  <c r="BJ1763" i="50" s="1"/>
  <c r="AO1775" i="50"/>
  <c r="AG1775" i="50"/>
  <c r="AN1775" i="50"/>
  <c r="AF1775" i="50"/>
  <c r="BZ1895" i="50"/>
  <c r="BZ1893" i="50"/>
  <c r="BZ678" i="50"/>
  <c r="BZ680" i="50"/>
  <c r="AV1780" i="50"/>
  <c r="AW1780" i="50"/>
  <c r="K1780" i="50"/>
  <c r="AS322" i="50"/>
  <c r="AT322" i="50" s="1"/>
  <c r="K993" i="50"/>
  <c r="M993" i="50" s="1"/>
  <c r="AV993" i="50"/>
  <c r="AS993" i="50"/>
  <c r="AT993" i="50" s="1"/>
  <c r="AW993" i="50"/>
  <c r="I1320" i="50"/>
  <c r="BQ1304" i="50"/>
  <c r="AP1320" i="50"/>
  <c r="AQ1320" i="50" s="1"/>
  <c r="AX1320" i="50"/>
  <c r="AP1883" i="50"/>
  <c r="AQ1883" i="50" s="1"/>
  <c r="BK1871" i="50"/>
  <c r="AX1883" i="50"/>
  <c r="AP992" i="50"/>
  <c r="AQ992" i="50" s="1"/>
  <c r="BK980" i="50"/>
  <c r="AX992" i="50"/>
  <c r="M1964" i="50"/>
  <c r="AW996" i="50"/>
  <c r="AW1721" i="50"/>
  <c r="AW323" i="50"/>
  <c r="M1484" i="50"/>
  <c r="BD321" i="50"/>
  <c r="BE321" i="50"/>
  <c r="BE320" i="50"/>
  <c r="BD320" i="50"/>
  <c r="AP1370" i="50"/>
  <c r="AQ1370" i="50" s="1"/>
  <c r="BK1358" i="50"/>
  <c r="AX1370" i="50"/>
  <c r="AZ1375" i="50"/>
  <c r="AZ1376" i="50"/>
  <c r="M1375" i="50"/>
  <c r="V99" i="50"/>
  <c r="E90" i="50"/>
  <c r="H215" i="38"/>
  <c r="H208" i="38"/>
  <c r="H212" i="38"/>
  <c r="H217" i="38"/>
  <c r="H222" i="38"/>
  <c r="H216" i="38"/>
  <c r="H214" i="38"/>
  <c r="H213" i="38"/>
  <c r="H196" i="38"/>
  <c r="H202" i="38"/>
  <c r="H205" i="38"/>
  <c r="H210" i="38"/>
  <c r="H219" i="38"/>
  <c r="H198" i="38"/>
  <c r="H199" i="38"/>
  <c r="H189" i="38"/>
  <c r="H194" i="38"/>
  <c r="H206" i="38"/>
  <c r="H190" i="38"/>
  <c r="H203" i="38"/>
  <c r="H220" i="38"/>
  <c r="H218" i="38"/>
  <c r="H192" i="38"/>
  <c r="H221" i="38"/>
  <c r="H201" i="38"/>
  <c r="H209" i="38"/>
  <c r="H191" i="38"/>
  <c r="H207" i="38"/>
  <c r="H223" i="38"/>
  <c r="D24" i="58"/>
  <c r="D18" i="58"/>
  <c r="D23" i="58"/>
  <c r="D27" i="58"/>
  <c r="D22" i="58"/>
  <c r="D26" i="58"/>
  <c r="D21" i="58"/>
  <c r="D19" i="58"/>
  <c r="D20" i="58"/>
  <c r="D25" i="58"/>
  <c r="I1692" i="50"/>
  <c r="AJ1692" i="50"/>
  <c r="AS400" i="50"/>
  <c r="I400" i="50"/>
  <c r="AR400" i="50"/>
  <c r="AT400" i="50"/>
  <c r="AR399" i="50"/>
  <c r="BL386" i="50" s="1"/>
  <c r="AF399" i="50"/>
  <c r="AJ399" i="50"/>
  <c r="AG399" i="50"/>
  <c r="AO399" i="50"/>
  <c r="AN399" i="50"/>
  <c r="O580" i="52"/>
  <c r="Q580" i="52" s="1"/>
  <c r="C628" i="52"/>
  <c r="AW1754" i="50"/>
  <c r="AS1754" i="50"/>
  <c r="AT1754" i="50" s="1"/>
  <c r="K1754" i="50"/>
  <c r="M1754" i="50" s="1"/>
  <c r="AV1754" i="50"/>
  <c r="BH683" i="50"/>
  <c r="BC698" i="50"/>
  <c r="BC699" i="50"/>
  <c r="C332" i="50"/>
  <c r="C359" i="50" s="1"/>
  <c r="C386" i="50" s="1"/>
  <c r="C413" i="50" s="1"/>
  <c r="C440" i="50" s="1"/>
  <c r="C467" i="50" s="1"/>
  <c r="C494" i="50" s="1"/>
  <c r="C521" i="50" s="1"/>
  <c r="C548" i="50" s="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13" i="61"/>
  <c r="BA77" i="61"/>
  <c r="BA15" i="61"/>
  <c r="BA57" i="61"/>
  <c r="BA21" i="61"/>
  <c r="BA76" i="61"/>
  <c r="BA73" i="61"/>
  <c r="BA63" i="61"/>
  <c r="BA36" i="61"/>
  <c r="BA58" i="61"/>
  <c r="BA22" i="61"/>
  <c r="BA31" i="61"/>
  <c r="BA47" i="61"/>
  <c r="BA23" i="61"/>
  <c r="BA48" i="61"/>
  <c r="BA41" i="61"/>
  <c r="BA19" i="61"/>
  <c r="BA54" i="61"/>
  <c r="BA40" i="61"/>
  <c r="BA68" i="61"/>
  <c r="BA33" i="61"/>
  <c r="BA38" i="61"/>
  <c r="BA39" i="61"/>
  <c r="BA18" i="61"/>
  <c r="BA55" i="61"/>
  <c r="BA46" i="61"/>
  <c r="BA61" i="61"/>
  <c r="BA44" i="61"/>
  <c r="BA45" i="61"/>
  <c r="BA42" i="61"/>
  <c r="BA59" i="61"/>
  <c r="BA34" i="61"/>
  <c r="BA17" i="61"/>
  <c r="BA26" i="61"/>
  <c r="BA52" i="61"/>
  <c r="O509" i="52"/>
  <c r="Q509" i="52" s="1"/>
  <c r="C557" i="52"/>
  <c r="C586" i="52"/>
  <c r="O538" i="52"/>
  <c r="Q538" i="52" s="1"/>
  <c r="O625" i="52"/>
  <c r="Q625" i="52" s="1"/>
  <c r="D673" i="52"/>
  <c r="O673" i="52" s="1"/>
  <c r="Q673" i="52" s="1"/>
  <c r="BQ332" i="50"/>
  <c r="AP348" i="50"/>
  <c r="AQ348" i="50" s="1"/>
  <c r="I348" i="50"/>
  <c r="AX348" i="50"/>
  <c r="AO565" i="50"/>
  <c r="AQ565" i="50" s="1"/>
  <c r="AR565" i="50"/>
  <c r="I565" i="50"/>
  <c r="AS565" i="50"/>
  <c r="AT565" i="50" s="1"/>
  <c r="I558" i="50"/>
  <c r="AJ558" i="50"/>
  <c r="AJ1289" i="50"/>
  <c r="I1289" i="50"/>
  <c r="AS2020" i="50"/>
  <c r="AT2020" i="50" s="1"/>
  <c r="I2020" i="50"/>
  <c r="AR2020" i="50"/>
  <c r="BM1520" i="50"/>
  <c r="I1533" i="50"/>
  <c r="AP1533" i="50"/>
  <c r="AQ1533" i="50" s="1"/>
  <c r="AJ1074" i="50"/>
  <c r="AG1074" i="50"/>
  <c r="AR1074" i="50"/>
  <c r="AF1074" i="50"/>
  <c r="AN1074" i="50"/>
  <c r="AO1074" i="50"/>
  <c r="AJ1071" i="50"/>
  <c r="I1071" i="50"/>
  <c r="AO1078" i="50"/>
  <c r="AQ1078" i="50" s="1"/>
  <c r="AR1078" i="50"/>
  <c r="I1078" i="50"/>
  <c r="AS1078" i="50"/>
  <c r="AT1078" i="50" s="1"/>
  <c r="C451" i="52"/>
  <c r="O403" i="52"/>
  <c r="Q403" i="52" s="1"/>
  <c r="C405" i="52"/>
  <c r="C358" i="52"/>
  <c r="O357" i="52"/>
  <c r="BI413" i="50"/>
  <c r="AX429" i="50"/>
  <c r="M429" i="50" s="1"/>
  <c r="AP423" i="50"/>
  <c r="AX425" i="50"/>
  <c r="M425" i="50" s="1"/>
  <c r="AR1268" i="50"/>
  <c r="I1268" i="50"/>
  <c r="AO1268" i="50"/>
  <c r="AQ1268" i="50" s="1"/>
  <c r="AS1268" i="50"/>
  <c r="AT1268" i="50" s="1"/>
  <c r="AH1260" i="50"/>
  <c r="AP1260" i="50" s="1"/>
  <c r="AR1262" i="50"/>
  <c r="BJ1250" i="50" s="1"/>
  <c r="AG1262" i="50"/>
  <c r="AI1262" i="50"/>
  <c r="AF1262" i="50"/>
  <c r="AN1262" i="50"/>
  <c r="AO1262" i="50"/>
  <c r="AO1348" i="50"/>
  <c r="AQ1348" i="50" s="1"/>
  <c r="AR1348" i="50"/>
  <c r="I1348" i="50"/>
  <c r="AS1348" i="50"/>
  <c r="AT1348" i="50" s="1"/>
  <c r="BZ317" i="50"/>
  <c r="BZ319" i="50"/>
  <c r="BZ318" i="50"/>
  <c r="BZ322" i="50"/>
  <c r="BZ325" i="50"/>
  <c r="BZ321" i="50"/>
  <c r="BZ323" i="50"/>
  <c r="BZ320" i="50"/>
  <c r="AF1935" i="50"/>
  <c r="AH1935" i="50" s="1"/>
  <c r="AG1935" i="50"/>
  <c r="AC1942" i="50"/>
  <c r="AC1939" i="50"/>
  <c r="AC1938" i="50"/>
  <c r="AI1935" i="50"/>
  <c r="AC1937" i="50"/>
  <c r="AS1935" i="50"/>
  <c r="AT1935" i="50" s="1"/>
  <c r="AC1943" i="50"/>
  <c r="AC1941" i="50"/>
  <c r="AC1940" i="50"/>
  <c r="BR278" i="50"/>
  <c r="BC293" i="50"/>
  <c r="AZ296" i="50"/>
  <c r="M296" i="50" s="1"/>
  <c r="BC294" i="50"/>
  <c r="AW295" i="50"/>
  <c r="AZ295" i="50"/>
  <c r="M295" i="50" s="1"/>
  <c r="AO971" i="50"/>
  <c r="AQ971" i="50" s="1"/>
  <c r="AS971" i="50"/>
  <c r="AT971" i="50" s="1"/>
  <c r="AR971" i="50"/>
  <c r="I971" i="50"/>
  <c r="AG1802" i="50"/>
  <c r="AO1802" i="50"/>
  <c r="AF1802" i="50"/>
  <c r="AR1802" i="50"/>
  <c r="BJ1790" i="50" s="1"/>
  <c r="AI1802" i="50"/>
  <c r="AN1802" i="50"/>
  <c r="BO710" i="50"/>
  <c r="AZ725" i="50"/>
  <c r="M725" i="50" s="1"/>
  <c r="AW725" i="50"/>
  <c r="AP1587" i="50"/>
  <c r="AQ1587" i="50" s="1"/>
  <c r="I1587" i="50"/>
  <c r="BM1574" i="50"/>
  <c r="I858" i="50"/>
  <c r="BM845" i="50"/>
  <c r="AP858" i="50"/>
  <c r="AQ858" i="50" s="1"/>
  <c r="AV884" i="50"/>
  <c r="AS884" i="50"/>
  <c r="AT884" i="50" s="1"/>
  <c r="K884" i="50"/>
  <c r="M884" i="50" s="1"/>
  <c r="AW884" i="50"/>
  <c r="I157" i="50"/>
  <c r="AS157" i="50"/>
  <c r="AT157" i="50" s="1"/>
  <c r="AR157" i="50"/>
  <c r="AJ153" i="50"/>
  <c r="I153" i="50"/>
  <c r="AS158" i="50"/>
  <c r="AT158" i="50" s="1"/>
  <c r="AR158" i="50"/>
  <c r="I158" i="50"/>
  <c r="BO440" i="50"/>
  <c r="AZ455" i="50"/>
  <c r="M455" i="50" s="1"/>
  <c r="AW455" i="50"/>
  <c r="AP938" i="50"/>
  <c r="AQ938" i="50" s="1"/>
  <c r="BK926" i="50"/>
  <c r="AX938" i="50"/>
  <c r="BO953" i="50"/>
  <c r="AW968" i="50"/>
  <c r="AZ968" i="50"/>
  <c r="M968" i="50" s="1"/>
  <c r="BD267" i="50"/>
  <c r="BE267" i="50"/>
  <c r="H204" i="38"/>
  <c r="AD104" i="61"/>
  <c r="AU104" i="61"/>
  <c r="AE104" i="61"/>
  <c r="AA104" i="61"/>
  <c r="E104" i="61"/>
  <c r="X104" i="61"/>
  <c r="R104" i="61"/>
  <c r="Y104" i="61"/>
  <c r="AX104" i="61"/>
  <c r="D104" i="61"/>
  <c r="S104" i="61"/>
  <c r="U104" i="61"/>
  <c r="Z104" i="61"/>
  <c r="W104" i="61"/>
  <c r="AY104" i="61"/>
  <c r="V104" i="61"/>
  <c r="AB104" i="61"/>
  <c r="AF104" i="61"/>
  <c r="AC104" i="61"/>
  <c r="AW104" i="61"/>
  <c r="T104" i="61"/>
  <c r="AV104" i="61"/>
  <c r="BR1979" i="50"/>
  <c r="AZ1996" i="50"/>
  <c r="AZ1997" i="50"/>
  <c r="M1997" i="50" s="1"/>
  <c r="I966" i="50"/>
  <c r="AP966" i="50"/>
  <c r="AQ966" i="50" s="1"/>
  <c r="BM953" i="50"/>
  <c r="I1806" i="50"/>
  <c r="AP1806" i="50"/>
  <c r="AQ1806" i="50" s="1"/>
  <c r="BQ1790" i="50"/>
  <c r="H197" i="38"/>
  <c r="H200" i="38"/>
  <c r="AX1806" i="50"/>
  <c r="AW998" i="50"/>
  <c r="K998" i="50"/>
  <c r="M998" i="50" s="1"/>
  <c r="AV998" i="50"/>
  <c r="AO1776" i="50"/>
  <c r="AR1776" i="50"/>
  <c r="AG1776" i="50"/>
  <c r="AF1776" i="50"/>
  <c r="AJ1776" i="50"/>
  <c r="AN1776" i="50"/>
  <c r="I1777" i="50"/>
  <c r="AR1777" i="50"/>
  <c r="AS1777" i="50"/>
  <c r="AT1777" i="50" s="1"/>
  <c r="AJ317" i="50"/>
  <c r="I317" i="50"/>
  <c r="BZ1139" i="50"/>
  <c r="BZ1137" i="50"/>
  <c r="BZ302" i="50"/>
  <c r="BZ300" i="50"/>
  <c r="BZ732" i="50"/>
  <c r="BZ734" i="50"/>
  <c r="BZ2030" i="50"/>
  <c r="BZ2028" i="50"/>
  <c r="BZ518" i="50"/>
  <c r="BZ516" i="50"/>
  <c r="BZ1191" i="50"/>
  <c r="BZ1193" i="50"/>
  <c r="BD1373" i="50"/>
  <c r="BE1373" i="50"/>
  <c r="C611" i="52"/>
  <c r="O563" i="52"/>
  <c r="Q563" i="52" s="1"/>
  <c r="AW236" i="50"/>
  <c r="AW1376" i="50"/>
  <c r="M1376" i="50"/>
  <c r="M861" i="50"/>
  <c r="M1996" i="50"/>
  <c r="AZ323" i="50"/>
  <c r="M323" i="50" s="1"/>
  <c r="AZ322" i="50"/>
  <c r="BE1374" i="50"/>
  <c r="BD1374" i="50"/>
  <c r="O611" i="52" l="1"/>
  <c r="Q611" i="52" s="1"/>
  <c r="C659" i="52"/>
  <c r="O659" i="52" s="1"/>
  <c r="Q659" i="52" s="1"/>
  <c r="AP317" i="50"/>
  <c r="AQ317" i="50" s="1"/>
  <c r="BK305" i="50"/>
  <c r="AX317" i="50"/>
  <c r="BI143" i="50"/>
  <c r="AX159" i="50"/>
  <c r="M159" i="50" s="1"/>
  <c r="BZ329" i="50"/>
  <c r="BZ327" i="50"/>
  <c r="G186" i="38"/>
  <c r="B22" i="57"/>
  <c r="I186" i="38"/>
  <c r="Q357" i="52"/>
  <c r="C499" i="52"/>
  <c r="O451" i="52"/>
  <c r="Q451" i="52" s="1"/>
  <c r="BR1061" i="50"/>
  <c r="AZ1079" i="50"/>
  <c r="M1079" i="50" s="1"/>
  <c r="AZ1078" i="50"/>
  <c r="AW1533" i="50"/>
  <c r="K1533" i="50"/>
  <c r="M1533" i="50" s="1"/>
  <c r="AS1533" i="50"/>
  <c r="AT1533" i="50" s="1"/>
  <c r="AV1533" i="50"/>
  <c r="AZ2020" i="50"/>
  <c r="M2020" i="50" s="1"/>
  <c r="BN2006" i="50"/>
  <c r="AW2020" i="50"/>
  <c r="AP1289" i="50"/>
  <c r="AQ1289" i="50" s="1"/>
  <c r="BK1277" i="50"/>
  <c r="AX1289" i="50"/>
  <c r="AW565" i="50"/>
  <c r="K565" i="50"/>
  <c r="AV565" i="50"/>
  <c r="O586" i="52"/>
  <c r="Q586" i="52" s="1"/>
  <c r="C634" i="52"/>
  <c r="AX26" i="61"/>
  <c r="AU26" i="61"/>
  <c r="K26" i="61"/>
  <c r="O26" i="61"/>
  <c r="I26" i="61"/>
  <c r="AW26" i="61"/>
  <c r="P26" i="61"/>
  <c r="AV26" i="61"/>
  <c r="M26" i="61"/>
  <c r="L26" i="61"/>
  <c r="J26" i="61"/>
  <c r="AY26" i="61"/>
  <c r="N26" i="61"/>
  <c r="D26" i="61"/>
  <c r="S26" i="61"/>
  <c r="R26" i="61"/>
  <c r="F26" i="61"/>
  <c r="H26" i="61"/>
  <c r="U26" i="61"/>
  <c r="E26" i="61"/>
  <c r="G26" i="61"/>
  <c r="T26" i="61"/>
  <c r="Q26" i="61"/>
  <c r="P34" i="61"/>
  <c r="Q34" i="61"/>
  <c r="R34" i="61"/>
  <c r="O34" i="61"/>
  <c r="S34" i="61"/>
  <c r="M34" i="61"/>
  <c r="I34" i="61"/>
  <c r="D34" i="61"/>
  <c r="E34" i="61"/>
  <c r="J34" i="61"/>
  <c r="H34" i="61"/>
  <c r="T34" i="61"/>
  <c r="AY34" i="61"/>
  <c r="AU34" i="61"/>
  <c r="G34" i="61"/>
  <c r="AX34" i="61"/>
  <c r="N34" i="61"/>
  <c r="AV34" i="61"/>
  <c r="F34" i="61"/>
  <c r="U34" i="61"/>
  <c r="L34" i="61"/>
  <c r="K34" i="61"/>
  <c r="AW34" i="61"/>
  <c r="J42" i="61"/>
  <c r="N42" i="61"/>
  <c r="G42" i="61"/>
  <c r="R42" i="61"/>
  <c r="AX42" i="61"/>
  <c r="T42" i="61"/>
  <c r="Q42" i="61"/>
  <c r="O42" i="61"/>
  <c r="D42" i="61"/>
  <c r="AW42" i="61"/>
  <c r="P42" i="61"/>
  <c r="M42" i="61"/>
  <c r="F42" i="61"/>
  <c r="I42" i="61"/>
  <c r="AV42" i="61"/>
  <c r="AU42" i="61"/>
  <c r="AY42" i="61"/>
  <c r="K42" i="61"/>
  <c r="L42" i="61"/>
  <c r="H42" i="61"/>
  <c r="U42" i="61"/>
  <c r="S42" i="61"/>
  <c r="E42" i="61"/>
  <c r="I44" i="61"/>
  <c r="E44" i="61"/>
  <c r="AV44" i="61"/>
  <c r="AX44" i="61"/>
  <c r="G44" i="61"/>
  <c r="Q44" i="61"/>
  <c r="N44" i="61"/>
  <c r="O44" i="61"/>
  <c r="P44" i="61"/>
  <c r="L44" i="61"/>
  <c r="S44" i="61"/>
  <c r="R44" i="61"/>
  <c r="M44" i="61"/>
  <c r="AU44" i="61"/>
  <c r="F44" i="61"/>
  <c r="U44" i="61"/>
  <c r="K44" i="61"/>
  <c r="J44" i="61"/>
  <c r="AY44" i="61"/>
  <c r="D44" i="61"/>
  <c r="AW44" i="61"/>
  <c r="H44" i="61"/>
  <c r="T44" i="61"/>
  <c r="M46" i="61"/>
  <c r="U46" i="61"/>
  <c r="I46" i="61"/>
  <c r="Q46" i="61"/>
  <c r="L46" i="61"/>
  <c r="G46" i="61"/>
  <c r="T46" i="61"/>
  <c r="AW46" i="61"/>
  <c r="F46" i="61"/>
  <c r="K46" i="61"/>
  <c r="H46" i="61"/>
  <c r="D46" i="61"/>
  <c r="O46" i="61"/>
  <c r="E46" i="61"/>
  <c r="AV46" i="61"/>
  <c r="R46" i="61"/>
  <c r="AY46" i="61"/>
  <c r="AU46" i="61"/>
  <c r="P46" i="61"/>
  <c r="AX46" i="61"/>
  <c r="N46" i="61"/>
  <c r="J46" i="61"/>
  <c r="S46" i="61"/>
  <c r="S18" i="61"/>
  <c r="G18" i="61"/>
  <c r="R18" i="61"/>
  <c r="J18" i="61"/>
  <c r="AY18" i="61"/>
  <c r="O18" i="61"/>
  <c r="K18" i="61"/>
  <c r="AX18" i="61"/>
  <c r="H18" i="61"/>
  <c r="E18" i="61"/>
  <c r="L18" i="61"/>
  <c r="I18" i="61"/>
  <c r="F18" i="61"/>
  <c r="AV18" i="61"/>
  <c r="Q18" i="61"/>
  <c r="M18" i="61"/>
  <c r="N18" i="61"/>
  <c r="D18" i="61"/>
  <c r="T18" i="61"/>
  <c r="P18" i="61"/>
  <c r="AU18" i="61"/>
  <c r="AW18" i="61"/>
  <c r="U18" i="61"/>
  <c r="O38" i="61"/>
  <c r="J38" i="61"/>
  <c r="G38" i="61"/>
  <c r="N38" i="61"/>
  <c r="K38" i="61"/>
  <c r="T38" i="61"/>
  <c r="AY38" i="61"/>
  <c r="AV38" i="61"/>
  <c r="E38" i="61"/>
  <c r="I38" i="61"/>
  <c r="S38" i="61"/>
  <c r="P38" i="61"/>
  <c r="AU38" i="61"/>
  <c r="AW38" i="61"/>
  <c r="R38" i="61"/>
  <c r="F38" i="61"/>
  <c r="AX38" i="61"/>
  <c r="M38" i="61"/>
  <c r="D38" i="61"/>
  <c r="U38" i="61"/>
  <c r="Q38" i="61"/>
  <c r="L38" i="61"/>
  <c r="H38" i="61"/>
  <c r="AW68" i="61"/>
  <c r="Q68" i="61"/>
  <c r="P68" i="61"/>
  <c r="AV68" i="61"/>
  <c r="U68" i="61"/>
  <c r="E68" i="61"/>
  <c r="N68" i="61"/>
  <c r="I68" i="61"/>
  <c r="S68" i="61"/>
  <c r="D68" i="61"/>
  <c r="J68" i="61"/>
  <c r="AU68" i="61"/>
  <c r="L68" i="61"/>
  <c r="T68" i="61"/>
  <c r="G68" i="61"/>
  <c r="F68" i="61"/>
  <c r="AY68" i="61"/>
  <c r="H68" i="61"/>
  <c r="AX68" i="61"/>
  <c r="R68" i="61"/>
  <c r="K68" i="61"/>
  <c r="M68" i="61"/>
  <c r="O68" i="61"/>
  <c r="P54" i="61"/>
  <c r="D54" i="61"/>
  <c r="S54" i="61"/>
  <c r="AX54" i="61"/>
  <c r="E54" i="61"/>
  <c r="AV54" i="61"/>
  <c r="H54" i="61"/>
  <c r="G54" i="61"/>
  <c r="J54" i="61"/>
  <c r="R54" i="61"/>
  <c r="N54" i="61"/>
  <c r="AW54" i="61"/>
  <c r="T54" i="61"/>
  <c r="M54" i="61"/>
  <c r="Q54" i="61"/>
  <c r="F54" i="61"/>
  <c r="I54" i="61"/>
  <c r="O54" i="61"/>
  <c r="K54" i="61"/>
  <c r="AU54" i="61"/>
  <c r="U54" i="61"/>
  <c r="L54" i="61"/>
  <c r="AY54" i="61"/>
  <c r="AU41" i="61"/>
  <c r="D41" i="61"/>
  <c r="N41" i="61"/>
  <c r="J41" i="61"/>
  <c r="Q41" i="61"/>
  <c r="AW41" i="61"/>
  <c r="O41" i="61"/>
  <c r="E41" i="61"/>
  <c r="I41" i="61"/>
  <c r="AX41" i="61"/>
  <c r="F41" i="61"/>
  <c r="AY41" i="61"/>
  <c r="T41" i="61"/>
  <c r="H41" i="61"/>
  <c r="U41" i="61"/>
  <c r="S41" i="61"/>
  <c r="AV41" i="61"/>
  <c r="K41" i="61"/>
  <c r="P41" i="61"/>
  <c r="M41" i="61"/>
  <c r="G41" i="61"/>
  <c r="L41" i="61"/>
  <c r="R41" i="61"/>
  <c r="M23" i="61"/>
  <c r="J23" i="61"/>
  <c r="U23" i="61"/>
  <c r="P23" i="61"/>
  <c r="N23" i="61"/>
  <c r="I23" i="61"/>
  <c r="AV23" i="61"/>
  <c r="R23" i="61"/>
  <c r="F23" i="61"/>
  <c r="H23" i="61"/>
  <c r="S23" i="61"/>
  <c r="O23" i="61"/>
  <c r="AY23" i="61"/>
  <c r="AU23" i="61"/>
  <c r="K23" i="61"/>
  <c r="AW23" i="61"/>
  <c r="E23" i="61"/>
  <c r="L23" i="61"/>
  <c r="G23" i="61"/>
  <c r="Q23" i="61"/>
  <c r="T23" i="61"/>
  <c r="D23" i="61"/>
  <c r="AX23" i="61"/>
  <c r="P31" i="61"/>
  <c r="T31" i="61"/>
  <c r="R31" i="61"/>
  <c r="O31" i="61"/>
  <c r="AU31" i="61"/>
  <c r="AW31" i="61"/>
  <c r="F31" i="61"/>
  <c r="L31" i="61"/>
  <c r="M31" i="61"/>
  <c r="K31" i="61"/>
  <c r="S31" i="61"/>
  <c r="Q31" i="61"/>
  <c r="J31" i="61"/>
  <c r="H31" i="61"/>
  <c r="AV31" i="61"/>
  <c r="N31" i="61"/>
  <c r="D31" i="61"/>
  <c r="AX31" i="61"/>
  <c r="AY31" i="61"/>
  <c r="G31" i="61"/>
  <c r="I31" i="61"/>
  <c r="E31" i="61"/>
  <c r="U31" i="61"/>
  <c r="AY58" i="61"/>
  <c r="M58" i="61"/>
  <c r="E58" i="61"/>
  <c r="N58" i="61"/>
  <c r="AU58" i="61"/>
  <c r="J58" i="61"/>
  <c r="AW58" i="61"/>
  <c r="P58" i="61"/>
  <c r="AX58" i="61"/>
  <c r="F58" i="61"/>
  <c r="I58" i="61"/>
  <c r="D58" i="61"/>
  <c r="Q58" i="61"/>
  <c r="G58" i="61"/>
  <c r="R58" i="61"/>
  <c r="L58" i="61"/>
  <c r="K58" i="61"/>
  <c r="S58" i="61"/>
  <c r="H58" i="61"/>
  <c r="O58" i="61"/>
  <c r="U58" i="61"/>
  <c r="T58" i="61"/>
  <c r="AV58" i="61"/>
  <c r="K63" i="61"/>
  <c r="AU63" i="61"/>
  <c r="G63" i="61"/>
  <c r="AX63" i="61"/>
  <c r="I63" i="61"/>
  <c r="N63" i="61"/>
  <c r="R63" i="61"/>
  <c r="AV63" i="61"/>
  <c r="M63" i="61"/>
  <c r="J63" i="61"/>
  <c r="H63" i="61"/>
  <c r="E63" i="61"/>
  <c r="AW63" i="61"/>
  <c r="AY63" i="61"/>
  <c r="O63" i="61"/>
  <c r="F63" i="61"/>
  <c r="T63" i="61"/>
  <c r="D63" i="61"/>
  <c r="S63" i="61"/>
  <c r="U63" i="61"/>
  <c r="L63" i="61"/>
  <c r="P63" i="61"/>
  <c r="Q63" i="61"/>
  <c r="U76" i="61"/>
  <c r="L76" i="61"/>
  <c r="AX76" i="61"/>
  <c r="G76" i="61"/>
  <c r="D76" i="61"/>
  <c r="O76" i="61"/>
  <c r="T76" i="61"/>
  <c r="AV76" i="61"/>
  <c r="J76" i="61"/>
  <c r="N76" i="61"/>
  <c r="AU76" i="61"/>
  <c r="H76" i="61"/>
  <c r="M76" i="61"/>
  <c r="E76" i="61"/>
  <c r="I76" i="61"/>
  <c r="K76" i="61"/>
  <c r="R76" i="61"/>
  <c r="P76" i="61"/>
  <c r="AW76" i="61"/>
  <c r="Q76" i="61"/>
  <c r="F76" i="61"/>
  <c r="S76" i="61"/>
  <c r="AY76" i="61"/>
  <c r="S57" i="61"/>
  <c r="R57" i="61"/>
  <c r="AY57" i="61"/>
  <c r="AV57" i="61"/>
  <c r="D57" i="61"/>
  <c r="AX57" i="61"/>
  <c r="O57" i="61"/>
  <c r="AU57" i="61"/>
  <c r="Q57" i="61"/>
  <c r="T57" i="61"/>
  <c r="L57" i="61"/>
  <c r="M57" i="61"/>
  <c r="H57" i="61"/>
  <c r="I57" i="61"/>
  <c r="N57" i="61"/>
  <c r="J57" i="61"/>
  <c r="K57" i="61"/>
  <c r="AW57" i="61"/>
  <c r="P57" i="61"/>
  <c r="G57" i="61"/>
  <c r="E57" i="61"/>
  <c r="F57" i="61"/>
  <c r="U57" i="61"/>
  <c r="AX77" i="61"/>
  <c r="K77" i="61"/>
  <c r="R77" i="61"/>
  <c r="AY77" i="61"/>
  <c r="Q77" i="61"/>
  <c r="O77" i="61"/>
  <c r="H77" i="61"/>
  <c r="E77" i="61"/>
  <c r="J77" i="61"/>
  <c r="M77" i="61"/>
  <c r="D77" i="61"/>
  <c r="G77" i="61"/>
  <c r="AU77" i="61"/>
  <c r="P77" i="61"/>
  <c r="AV77" i="61"/>
  <c r="S77" i="61"/>
  <c r="F77" i="61"/>
  <c r="U77" i="61"/>
  <c r="AW77" i="61"/>
  <c r="I77" i="61"/>
  <c r="T77" i="61"/>
  <c r="N77" i="61"/>
  <c r="L77" i="61"/>
  <c r="BA64" i="61"/>
  <c r="BA53" i="61"/>
  <c r="BA43" i="61"/>
  <c r="BA74" i="61"/>
  <c r="BA25" i="61"/>
  <c r="BA78" i="61"/>
  <c r="BA29" i="61"/>
  <c r="BA14" i="61"/>
  <c r="BA16" i="61"/>
  <c r="BA56" i="61"/>
  <c r="BA60" i="61"/>
  <c r="BA71" i="61"/>
  <c r="BA62" i="61"/>
  <c r="BA49" i="61"/>
  <c r="BA72" i="61"/>
  <c r="BE698" i="50"/>
  <c r="BD698" i="50"/>
  <c r="O628" i="52"/>
  <c r="Q628" i="52" s="1"/>
  <c r="C676" i="52"/>
  <c r="O676" i="52" s="1"/>
  <c r="Q676" i="52" s="1"/>
  <c r="BI1682" i="50"/>
  <c r="AX1698" i="50"/>
  <c r="M1698" i="50" s="1"/>
  <c r="AX1694" i="50"/>
  <c r="U25" i="58"/>
  <c r="E25" i="58"/>
  <c r="L25" i="58" s="1"/>
  <c r="T25" i="58"/>
  <c r="G391" i="58" s="1"/>
  <c r="H391" i="58" s="1"/>
  <c r="H25" i="58"/>
  <c r="U19" i="58"/>
  <c r="T19" i="58"/>
  <c r="G385" i="58" s="1"/>
  <c r="H385" i="58" s="1"/>
  <c r="E19" i="58"/>
  <c r="L19" i="58" s="1"/>
  <c r="H19" i="58"/>
  <c r="H26" i="58"/>
  <c r="E26" i="58"/>
  <c r="L26" i="58" s="1"/>
  <c r="T26" i="58"/>
  <c r="G392" i="58" s="1"/>
  <c r="H392" i="58" s="1"/>
  <c r="U26" i="58"/>
  <c r="E27" i="58"/>
  <c r="L27" i="58" s="1"/>
  <c r="H27" i="58"/>
  <c r="U27" i="58"/>
  <c r="T27" i="58"/>
  <c r="G393" i="58" s="1"/>
  <c r="H393" i="58" s="1"/>
  <c r="T18" i="58"/>
  <c r="G384" i="58" s="1"/>
  <c r="H384" i="58" s="1"/>
  <c r="U18" i="58"/>
  <c r="E18" i="58"/>
  <c r="L18" i="58" s="1"/>
  <c r="H18" i="58"/>
  <c r="V109" i="50"/>
  <c r="V101" i="50"/>
  <c r="V102" i="50" s="1"/>
  <c r="V103" i="50" s="1"/>
  <c r="V104" i="50" s="1"/>
  <c r="V105" i="50" s="1"/>
  <c r="V106" i="50" s="1"/>
  <c r="K1370" i="50"/>
  <c r="M1370" i="50" s="1"/>
  <c r="AW1370" i="50"/>
  <c r="AV1370" i="50"/>
  <c r="AS1370" i="50"/>
  <c r="AT1370" i="50" s="1"/>
  <c r="AW1883" i="50"/>
  <c r="AS1883" i="50"/>
  <c r="AT1883" i="50" s="1"/>
  <c r="AV1883" i="50"/>
  <c r="K1883" i="50"/>
  <c r="M1883" i="50" s="1"/>
  <c r="K1320" i="50"/>
  <c r="M1320" i="50" s="1"/>
  <c r="AS1320" i="50"/>
  <c r="AT1320" i="50" s="1"/>
  <c r="AV1320" i="50"/>
  <c r="AW1320" i="50"/>
  <c r="I1775" i="50"/>
  <c r="AJ1775" i="50"/>
  <c r="BS1763" i="50"/>
  <c r="AZ1780" i="50"/>
  <c r="M1780" i="50" s="1"/>
  <c r="AZ1781" i="50"/>
  <c r="M322" i="50"/>
  <c r="BE158" i="50"/>
  <c r="BD158" i="50"/>
  <c r="BE968" i="50"/>
  <c r="BD968" i="50"/>
  <c r="BD969" i="50"/>
  <c r="BE969" i="50"/>
  <c r="BE1994" i="50"/>
  <c r="BD1994" i="50"/>
  <c r="K1131" i="50"/>
  <c r="M1131" i="50" s="1"/>
  <c r="AW1131" i="50"/>
  <c r="AV1131" i="50"/>
  <c r="AS1131" i="50"/>
  <c r="AT1131" i="50" s="1"/>
  <c r="I1398" i="50"/>
  <c r="BM1385" i="50"/>
  <c r="AP1398" i="50"/>
  <c r="AQ1398" i="50" s="1"/>
  <c r="M1808" i="50"/>
  <c r="AW969" i="50"/>
  <c r="AS969" i="50"/>
  <c r="AT969" i="50" s="1"/>
  <c r="AV969" i="50"/>
  <c r="K969" i="50"/>
  <c r="M969" i="50" s="1"/>
  <c r="BD455" i="50"/>
  <c r="BE455" i="50"/>
  <c r="AZ160" i="50"/>
  <c r="M160" i="50" s="1"/>
  <c r="AZ161" i="50"/>
  <c r="BS143" i="50"/>
  <c r="AZ1805" i="50"/>
  <c r="M1805" i="50" s="1"/>
  <c r="AW1805" i="50"/>
  <c r="BO1790" i="50"/>
  <c r="BR1790" i="50"/>
  <c r="AZ1807" i="50"/>
  <c r="BC1805" i="50"/>
  <c r="BC1806" i="50"/>
  <c r="AZ1808" i="50"/>
  <c r="BD186" i="50"/>
  <c r="BE186" i="50"/>
  <c r="C346" i="58"/>
  <c r="BA90" i="61"/>
  <c r="BA91" i="61"/>
  <c r="BL1250" i="50"/>
  <c r="BC1266" i="50"/>
  <c r="BC1265" i="50"/>
  <c r="O404" i="52"/>
  <c r="Q404" i="52" s="1"/>
  <c r="C452" i="52"/>
  <c r="BC401" i="50"/>
  <c r="BQ1061" i="50"/>
  <c r="AP1077" i="50"/>
  <c r="AQ1077" i="50" s="1"/>
  <c r="I1077" i="50"/>
  <c r="BC564" i="50"/>
  <c r="BL548" i="50"/>
  <c r="BC563" i="50"/>
  <c r="BO386" i="50"/>
  <c r="AZ401" i="50"/>
  <c r="M401" i="50" s="1"/>
  <c r="AW401" i="50"/>
  <c r="T130" i="50"/>
  <c r="T133" i="50"/>
  <c r="T132" i="50"/>
  <c r="T134" i="50"/>
  <c r="T129" i="50"/>
  <c r="T117" i="50"/>
  <c r="T131" i="50"/>
  <c r="T126" i="50"/>
  <c r="Z126" i="50" s="1"/>
  <c r="G126" i="50" s="1"/>
  <c r="T128" i="50"/>
  <c r="K116" i="50"/>
  <c r="T76" i="50"/>
  <c r="T77" i="50"/>
  <c r="T74" i="50"/>
  <c r="T79" i="50"/>
  <c r="T72" i="50"/>
  <c r="Z72" i="50" s="1"/>
  <c r="G72" i="50" s="1"/>
  <c r="T75" i="50"/>
  <c r="K62" i="50"/>
  <c r="T80" i="50"/>
  <c r="T78" i="50"/>
  <c r="T63" i="50"/>
  <c r="AV1806" i="50"/>
  <c r="K1806" i="50"/>
  <c r="M1806" i="50" s="1"/>
  <c r="AS1806" i="50"/>
  <c r="AT1806" i="50" s="1"/>
  <c r="AW1806" i="50"/>
  <c r="K1587" i="50"/>
  <c r="M1587" i="50" s="1"/>
  <c r="AS1587" i="50"/>
  <c r="AT1587" i="50" s="1"/>
  <c r="AW1587" i="50"/>
  <c r="AV1587" i="50"/>
  <c r="AR1941" i="50"/>
  <c r="BP1925" i="50" s="1"/>
  <c r="AF1941" i="50"/>
  <c r="AG1941" i="50"/>
  <c r="AO1941" i="50"/>
  <c r="AN1941" i="50"/>
  <c r="AJ1941" i="50"/>
  <c r="I1935" i="50"/>
  <c r="AJ1935" i="50"/>
  <c r="I1939" i="50"/>
  <c r="AR1939" i="50"/>
  <c r="AS1939" i="50"/>
  <c r="AT1939" i="50" s="1"/>
  <c r="BC1347" i="50"/>
  <c r="AZ1348" i="50"/>
  <c r="BR1331" i="50"/>
  <c r="BC1346" i="50"/>
  <c r="AZ1349" i="50"/>
  <c r="O405" i="52"/>
  <c r="Q405" i="52" s="1"/>
  <c r="C453" i="52"/>
  <c r="AZ1777" i="50"/>
  <c r="M1777" i="50" s="1"/>
  <c r="AW1777" i="50"/>
  <c r="BN1763" i="50"/>
  <c r="I1776" i="50"/>
  <c r="BM1763" i="50"/>
  <c r="AP1776" i="50"/>
  <c r="AQ1776" i="50" s="1"/>
  <c r="BL1763" i="50"/>
  <c r="BC1778" i="50"/>
  <c r="BC1779" i="50"/>
  <c r="AW966" i="50"/>
  <c r="K966" i="50"/>
  <c r="M966" i="50" s="1"/>
  <c r="AS966" i="50"/>
  <c r="AT966" i="50" s="1"/>
  <c r="AV966" i="50"/>
  <c r="AW938" i="50"/>
  <c r="AV938" i="50"/>
  <c r="K938" i="50"/>
  <c r="M938" i="50" s="1"/>
  <c r="AS938" i="50"/>
  <c r="AT938" i="50" s="1"/>
  <c r="BO143" i="50"/>
  <c r="AZ158" i="50"/>
  <c r="M158" i="50" s="1"/>
  <c r="AW158" i="50"/>
  <c r="AW157" i="50"/>
  <c r="AZ157" i="50"/>
  <c r="M157" i="50" s="1"/>
  <c r="BN143" i="50"/>
  <c r="AS858" i="50"/>
  <c r="AT858" i="50" s="1"/>
  <c r="AV858" i="50"/>
  <c r="K858" i="50"/>
  <c r="M858" i="50" s="1"/>
  <c r="AW858" i="50"/>
  <c r="I1802" i="50"/>
  <c r="AJ1802" i="50"/>
  <c r="BS953" i="50"/>
  <c r="AZ970" i="50"/>
  <c r="M970" i="50" s="1"/>
  <c r="AZ971" i="50"/>
  <c r="AW971" i="50"/>
  <c r="AV971" i="50"/>
  <c r="K971" i="50"/>
  <c r="M971" i="50" s="1"/>
  <c r="BD294" i="50"/>
  <c r="BE294" i="50"/>
  <c r="BD293" i="50"/>
  <c r="BE293" i="50"/>
  <c r="I1940" i="50"/>
  <c r="AS1940" i="50"/>
  <c r="AT1940" i="50" s="1"/>
  <c r="AR1940" i="50"/>
  <c r="AR1943" i="50"/>
  <c r="BS1925" i="50" s="1"/>
  <c r="AO1943" i="50"/>
  <c r="AQ1943" i="50" s="1"/>
  <c r="I1943" i="50"/>
  <c r="AS1943" i="50"/>
  <c r="AT1943" i="50" s="1"/>
  <c r="AG1937" i="50"/>
  <c r="AO1937" i="50"/>
  <c r="AR1937" i="50"/>
  <c r="BJ1925" i="50" s="1"/>
  <c r="AF1937" i="50"/>
  <c r="AI1937" i="50"/>
  <c r="AN1937" i="50"/>
  <c r="AR1938" i="50"/>
  <c r="AG1938" i="50"/>
  <c r="AJ1938" i="50"/>
  <c r="AN1938" i="50"/>
  <c r="AF1938" i="50"/>
  <c r="AO1938" i="50"/>
  <c r="I1942" i="50"/>
  <c r="AR1942" i="50"/>
  <c r="AO1942" i="50"/>
  <c r="AQ1942" i="50" s="1"/>
  <c r="AS1942" i="50"/>
  <c r="AT1942" i="50" s="1"/>
  <c r="AW1348" i="50"/>
  <c r="K1348" i="50"/>
  <c r="M1348" i="50" s="1"/>
  <c r="AV1348" i="50"/>
  <c r="AJ1262" i="50"/>
  <c r="I1262" i="50"/>
  <c r="K1268" i="50"/>
  <c r="M1268" i="50" s="1"/>
  <c r="AW1268" i="50"/>
  <c r="AV1268" i="50"/>
  <c r="AZ1268" i="50"/>
  <c r="AZ1267" i="50"/>
  <c r="M1267" i="50" s="1"/>
  <c r="BS1250" i="50"/>
  <c r="O358" i="52"/>
  <c r="C359" i="52"/>
  <c r="C406" i="52"/>
  <c r="AW1078" i="50"/>
  <c r="K1078" i="50"/>
  <c r="M1078" i="50" s="1"/>
  <c r="AV1078" i="50"/>
  <c r="BI1061" i="50"/>
  <c r="AX1077" i="50"/>
  <c r="AX1073" i="50"/>
  <c r="M1073" i="50" s="1"/>
  <c r="AP1071" i="50"/>
  <c r="BL1061" i="50"/>
  <c r="BC1077" i="50"/>
  <c r="BC1076" i="50"/>
  <c r="I1074" i="50"/>
  <c r="BM1061" i="50"/>
  <c r="AP1074" i="50"/>
  <c r="AQ1074" i="50" s="1"/>
  <c r="BI548" i="50"/>
  <c r="AX564" i="50"/>
  <c r="M564" i="50" s="1"/>
  <c r="AX560" i="50"/>
  <c r="M560" i="50" s="1"/>
  <c r="AP558" i="50"/>
  <c r="BR548" i="50"/>
  <c r="AZ566" i="50"/>
  <c r="M566" i="50" s="1"/>
  <c r="AZ565" i="50"/>
  <c r="AV348" i="50"/>
  <c r="AS348" i="50"/>
  <c r="AT348" i="50" s="1"/>
  <c r="K348" i="50"/>
  <c r="M348" i="50" s="1"/>
  <c r="AW348" i="50"/>
  <c r="O557" i="52"/>
  <c r="Q557" i="52" s="1"/>
  <c r="C605" i="52"/>
  <c r="G52" i="61"/>
  <c r="O52" i="61"/>
  <c r="AW52" i="61"/>
  <c r="D52" i="61"/>
  <c r="AY52" i="61"/>
  <c r="U52" i="61"/>
  <c r="AX52" i="61"/>
  <c r="E52" i="61"/>
  <c r="J52" i="61"/>
  <c r="Q52" i="61"/>
  <c r="H52" i="61"/>
  <c r="S52" i="61"/>
  <c r="F52" i="61"/>
  <c r="L52" i="61"/>
  <c r="I52" i="61"/>
  <c r="AV52" i="61"/>
  <c r="P52" i="61"/>
  <c r="T52" i="61"/>
  <c r="K52" i="61"/>
  <c r="AU52" i="61"/>
  <c r="M52" i="61"/>
  <c r="R52" i="61"/>
  <c r="N52" i="61"/>
  <c r="D17" i="61"/>
  <c r="H17" i="61"/>
  <c r="S17" i="61"/>
  <c r="AX17" i="61"/>
  <c r="P17" i="61"/>
  <c r="E17" i="61"/>
  <c r="K17" i="61"/>
  <c r="Q17" i="61"/>
  <c r="G17" i="61"/>
  <c r="AV17" i="61"/>
  <c r="L17" i="61"/>
  <c r="O17" i="61"/>
  <c r="F17" i="61"/>
  <c r="M17" i="61"/>
  <c r="I17" i="61"/>
  <c r="J17" i="61"/>
  <c r="AW17" i="61"/>
  <c r="R17" i="61"/>
  <c r="U17" i="61"/>
  <c r="AU17" i="61"/>
  <c r="AY17" i="61"/>
  <c r="T17" i="61"/>
  <c r="N17" i="61"/>
  <c r="AV59" i="61"/>
  <c r="E59" i="61"/>
  <c r="U59" i="61"/>
  <c r="N59" i="61"/>
  <c r="T59" i="61"/>
  <c r="S59" i="61"/>
  <c r="G59" i="61"/>
  <c r="K59" i="61"/>
  <c r="H59" i="61"/>
  <c r="AU59" i="61"/>
  <c r="P59" i="61"/>
  <c r="AW59" i="61"/>
  <c r="M59" i="61"/>
  <c r="AX59" i="61"/>
  <c r="O59" i="61"/>
  <c r="Q59" i="61"/>
  <c r="J59" i="61"/>
  <c r="L59" i="61"/>
  <c r="F59" i="61"/>
  <c r="AY59" i="61"/>
  <c r="D59" i="61"/>
  <c r="R59" i="61"/>
  <c r="I59" i="61"/>
  <c r="U45" i="61"/>
  <c r="H45" i="61"/>
  <c r="Q45" i="61"/>
  <c r="AY45" i="61"/>
  <c r="J45" i="61"/>
  <c r="K45" i="61"/>
  <c r="S45" i="61"/>
  <c r="E45" i="61"/>
  <c r="G45" i="61"/>
  <c r="R45" i="61"/>
  <c r="N45" i="61"/>
  <c r="O45" i="61"/>
  <c r="AW45" i="61"/>
  <c r="AV45" i="61"/>
  <c r="AX45" i="61"/>
  <c r="F45" i="61"/>
  <c r="P45" i="61"/>
  <c r="T45" i="61"/>
  <c r="M45" i="61"/>
  <c r="L45" i="61"/>
  <c r="I45" i="61"/>
  <c r="D45" i="61"/>
  <c r="AU45" i="61"/>
  <c r="AV61" i="61"/>
  <c r="U61" i="61"/>
  <c r="N61" i="61"/>
  <c r="R61" i="61"/>
  <c r="D61" i="61"/>
  <c r="F61" i="61"/>
  <c r="O61" i="61"/>
  <c r="M61" i="61"/>
  <c r="AX61" i="61"/>
  <c r="P61" i="61"/>
  <c r="AY61" i="61"/>
  <c r="AU61" i="61"/>
  <c r="H61" i="61"/>
  <c r="S61" i="61"/>
  <c r="T61" i="61"/>
  <c r="E61" i="61"/>
  <c r="I61" i="61"/>
  <c r="L61" i="61"/>
  <c r="K61" i="61"/>
  <c r="AW61" i="61"/>
  <c r="J61" i="61"/>
  <c r="Q61" i="61"/>
  <c r="G61" i="61"/>
  <c r="F55" i="61"/>
  <c r="AY55" i="61"/>
  <c r="I55" i="61"/>
  <c r="AW55" i="61"/>
  <c r="T55" i="61"/>
  <c r="J55" i="61"/>
  <c r="G55" i="61"/>
  <c r="M55" i="61"/>
  <c r="H55" i="61"/>
  <c r="N55" i="61"/>
  <c r="AV55" i="61"/>
  <c r="D55" i="61"/>
  <c r="U55" i="61"/>
  <c r="AX55" i="61"/>
  <c r="E55" i="61"/>
  <c r="P55" i="61"/>
  <c r="L55" i="61"/>
  <c r="R55" i="61"/>
  <c r="Q55" i="61"/>
  <c r="AU55" i="61"/>
  <c r="K55" i="61"/>
  <c r="O55" i="61"/>
  <c r="S55" i="61"/>
  <c r="D39" i="61"/>
  <c r="N39" i="61"/>
  <c r="AY39" i="61"/>
  <c r="AX39" i="61"/>
  <c r="G39" i="61"/>
  <c r="P39" i="61"/>
  <c r="L39" i="61"/>
  <c r="O39" i="61"/>
  <c r="M39" i="61"/>
  <c r="I39" i="61"/>
  <c r="T39" i="61"/>
  <c r="E39" i="61"/>
  <c r="H39" i="61"/>
  <c r="S39" i="61"/>
  <c r="U39" i="61"/>
  <c r="AW39" i="61"/>
  <c r="J39" i="61"/>
  <c r="Q39" i="61"/>
  <c r="AU39" i="61"/>
  <c r="AV39" i="61"/>
  <c r="R39" i="61"/>
  <c r="K39" i="61"/>
  <c r="F39" i="61"/>
  <c r="R33" i="61"/>
  <c r="K33" i="61"/>
  <c r="Q33" i="61"/>
  <c r="N33" i="61"/>
  <c r="AU33" i="61"/>
  <c r="AV33" i="61"/>
  <c r="P33" i="61"/>
  <c r="T33" i="61"/>
  <c r="M33" i="61"/>
  <c r="D33" i="61"/>
  <c r="F33" i="61"/>
  <c r="U33" i="61"/>
  <c r="AX33" i="61"/>
  <c r="AY33" i="61"/>
  <c r="J33" i="61"/>
  <c r="E33" i="61"/>
  <c r="G33" i="61"/>
  <c r="AW33" i="61"/>
  <c r="H33" i="61"/>
  <c r="L33" i="61"/>
  <c r="O33" i="61"/>
  <c r="I33" i="61"/>
  <c r="S33" i="61"/>
  <c r="N40" i="61"/>
  <c r="AW40" i="61"/>
  <c r="T40" i="61"/>
  <c r="P40" i="61"/>
  <c r="K40" i="61"/>
  <c r="J40" i="61"/>
  <c r="AY40" i="61"/>
  <c r="L40" i="61"/>
  <c r="AX40" i="61"/>
  <c r="M40" i="61"/>
  <c r="O40" i="61"/>
  <c r="Q40" i="61"/>
  <c r="AU40" i="61"/>
  <c r="U40" i="61"/>
  <c r="H40" i="61"/>
  <c r="F40" i="61"/>
  <c r="I40" i="61"/>
  <c r="S40" i="61"/>
  <c r="AV40" i="61"/>
  <c r="R40" i="61"/>
  <c r="D40" i="61"/>
  <c r="G40" i="61"/>
  <c r="E40" i="61"/>
  <c r="M19" i="61"/>
  <c r="AW19" i="61"/>
  <c r="J19" i="61"/>
  <c r="AY19" i="61"/>
  <c r="AX19" i="61"/>
  <c r="T19" i="61"/>
  <c r="F19" i="61"/>
  <c r="G19" i="61"/>
  <c r="O19" i="61"/>
  <c r="U19" i="61"/>
  <c r="N19" i="61"/>
  <c r="L19" i="61"/>
  <c r="H19" i="61"/>
  <c r="K19" i="61"/>
  <c r="AU19" i="61"/>
  <c r="P19" i="61"/>
  <c r="R19" i="61"/>
  <c r="D19" i="61"/>
  <c r="E19" i="61"/>
  <c r="AV19" i="61"/>
  <c r="I19" i="61"/>
  <c r="S19" i="61"/>
  <c r="Q19" i="61"/>
  <c r="I48" i="61"/>
  <c r="P48" i="61"/>
  <c r="G48" i="61"/>
  <c r="AW48" i="61"/>
  <c r="D48" i="61"/>
  <c r="U48" i="61"/>
  <c r="S48" i="61"/>
  <c r="AY48" i="61"/>
  <c r="N48" i="61"/>
  <c r="K48" i="61"/>
  <c r="R48" i="61"/>
  <c r="AX48" i="61"/>
  <c r="T48" i="61"/>
  <c r="F48" i="61"/>
  <c r="J48" i="61"/>
  <c r="H48" i="61"/>
  <c r="E48" i="61"/>
  <c r="AV48" i="61"/>
  <c r="AU48" i="61"/>
  <c r="M48" i="61"/>
  <c r="O48" i="61"/>
  <c r="Q48" i="61"/>
  <c r="L48" i="61"/>
  <c r="AX47" i="61"/>
  <c r="M47" i="61"/>
  <c r="P47" i="61"/>
  <c r="AY47" i="61"/>
  <c r="J47" i="61"/>
  <c r="D47" i="61"/>
  <c r="AV47" i="61"/>
  <c r="Q47" i="61"/>
  <c r="AW47" i="61"/>
  <c r="L47" i="61"/>
  <c r="G47" i="61"/>
  <c r="T47" i="61"/>
  <c r="R47" i="61"/>
  <c r="S47" i="61"/>
  <c r="O47" i="61"/>
  <c r="E47" i="61"/>
  <c r="H47" i="61"/>
  <c r="I47" i="61"/>
  <c r="AU47" i="61"/>
  <c r="U47" i="61"/>
  <c r="N47" i="61"/>
  <c r="F47" i="61"/>
  <c r="K47" i="61"/>
  <c r="U22" i="61"/>
  <c r="K22" i="61"/>
  <c r="G22" i="61"/>
  <c r="H22" i="61"/>
  <c r="L22" i="61"/>
  <c r="AW22" i="61"/>
  <c r="I22" i="61"/>
  <c r="E22" i="61"/>
  <c r="N22" i="61"/>
  <c r="M22" i="61"/>
  <c r="R22" i="61"/>
  <c r="AV22" i="61"/>
  <c r="T22" i="61"/>
  <c r="F22" i="61"/>
  <c r="O22" i="61"/>
  <c r="D22" i="61"/>
  <c r="P22" i="61"/>
  <c r="AY22" i="61"/>
  <c r="Q22" i="61"/>
  <c r="AX22" i="61"/>
  <c r="AU22" i="61"/>
  <c r="J22" i="61"/>
  <c r="S22" i="61"/>
  <c r="D36" i="61"/>
  <c r="T36" i="61"/>
  <c r="J36" i="61"/>
  <c r="R36" i="61"/>
  <c r="F36" i="61"/>
  <c r="AX36" i="61"/>
  <c r="AY36" i="61"/>
  <c r="G36" i="61"/>
  <c r="U36" i="61"/>
  <c r="I36" i="61"/>
  <c r="AW36" i="61"/>
  <c r="K36" i="61"/>
  <c r="M36" i="61"/>
  <c r="Q36" i="61"/>
  <c r="AV36" i="61"/>
  <c r="H36" i="61"/>
  <c r="S36" i="61"/>
  <c r="N36" i="61"/>
  <c r="E36" i="61"/>
  <c r="P36" i="61"/>
  <c r="O36" i="61"/>
  <c r="L36" i="61"/>
  <c r="AU36" i="61"/>
  <c r="AX73" i="61"/>
  <c r="G73" i="61"/>
  <c r="H73" i="61"/>
  <c r="R73" i="61"/>
  <c r="E73" i="61"/>
  <c r="AU73" i="61"/>
  <c r="U73" i="61"/>
  <c r="L73" i="61"/>
  <c r="AV73" i="61"/>
  <c r="P73" i="61"/>
  <c r="Q73" i="61"/>
  <c r="I73" i="61"/>
  <c r="S73" i="61"/>
  <c r="D73" i="61"/>
  <c r="M73" i="61"/>
  <c r="AW73" i="61"/>
  <c r="O73" i="61"/>
  <c r="K73" i="61"/>
  <c r="F73" i="61"/>
  <c r="AY73" i="61"/>
  <c r="T73" i="61"/>
  <c r="N73" i="61"/>
  <c r="J73" i="61"/>
  <c r="AX21" i="61"/>
  <c r="N21" i="61"/>
  <c r="J21" i="61"/>
  <c r="U21" i="61"/>
  <c r="AV21" i="61"/>
  <c r="M21" i="61"/>
  <c r="H21" i="61"/>
  <c r="R21" i="61"/>
  <c r="F21" i="61"/>
  <c r="L21" i="61"/>
  <c r="K21" i="61"/>
  <c r="G21" i="61"/>
  <c r="P21" i="61"/>
  <c r="D21" i="61"/>
  <c r="AY21" i="61"/>
  <c r="E21" i="61"/>
  <c r="AW21" i="61"/>
  <c r="I21" i="61"/>
  <c r="S21" i="61"/>
  <c r="T21" i="61"/>
  <c r="Q21" i="61"/>
  <c r="AU21" i="61"/>
  <c r="O21" i="61"/>
  <c r="N15" i="61"/>
  <c r="G15" i="61"/>
  <c r="P15" i="61"/>
  <c r="H15" i="61"/>
  <c r="AW15" i="61"/>
  <c r="AV15" i="61"/>
  <c r="L15" i="61"/>
  <c r="M15" i="61"/>
  <c r="AX15" i="61"/>
  <c r="E15" i="61"/>
  <c r="J15" i="61"/>
  <c r="T15" i="61"/>
  <c r="D15" i="61"/>
  <c r="AY15" i="61"/>
  <c r="O15" i="61"/>
  <c r="AU15" i="61"/>
  <c r="S15" i="61"/>
  <c r="U15" i="61"/>
  <c r="I15" i="61"/>
  <c r="Q15" i="61"/>
  <c r="K15" i="61"/>
  <c r="R15" i="61"/>
  <c r="F15" i="61"/>
  <c r="AX13" i="61"/>
  <c r="M13" i="61"/>
  <c r="AW13" i="61"/>
  <c r="T13" i="61"/>
  <c r="F13" i="61"/>
  <c r="O13" i="61"/>
  <c r="N13" i="61"/>
  <c r="S13" i="61"/>
  <c r="AU13" i="61"/>
  <c r="AY13" i="61"/>
  <c r="I13" i="61"/>
  <c r="G13" i="61"/>
  <c r="H13" i="61"/>
  <c r="AV13" i="61"/>
  <c r="L13" i="61"/>
  <c r="D13" i="61"/>
  <c r="J13" i="61"/>
  <c r="R13" i="61"/>
  <c r="Q13" i="61"/>
  <c r="P13" i="61"/>
  <c r="E13" i="61"/>
  <c r="K13" i="61"/>
  <c r="U13" i="61"/>
  <c r="BA35" i="61"/>
  <c r="BA50" i="61"/>
  <c r="BA28" i="61"/>
  <c r="BA75" i="61"/>
  <c r="BA66" i="61"/>
  <c r="BA32" i="61"/>
  <c r="BA51" i="61"/>
  <c r="BA70" i="61"/>
  <c r="BA20" i="61"/>
  <c r="BA24" i="61"/>
  <c r="BA69" i="61"/>
  <c r="BA67" i="61"/>
  <c r="BA27" i="61"/>
  <c r="BA65" i="61"/>
  <c r="BA30" i="61"/>
  <c r="BD699" i="50"/>
  <c r="BE699" i="50"/>
  <c r="BM386" i="50"/>
  <c r="AP399" i="50"/>
  <c r="AQ399" i="50" s="1"/>
  <c r="I399" i="50"/>
  <c r="AZ400" i="50"/>
  <c r="M400" i="50" s="1"/>
  <c r="BN386" i="50"/>
  <c r="AW400" i="50"/>
  <c r="E20" i="58"/>
  <c r="L20" i="58" s="1"/>
  <c r="H20" i="58"/>
  <c r="T20" i="58"/>
  <c r="G386" i="58" s="1"/>
  <c r="H386" i="58" s="1"/>
  <c r="U20" i="58"/>
  <c r="H21" i="58"/>
  <c r="U21" i="58"/>
  <c r="E21" i="58"/>
  <c r="L21" i="58" s="1"/>
  <c r="T21" i="58"/>
  <c r="G387" i="58" s="1"/>
  <c r="H387" i="58" s="1"/>
  <c r="T22" i="58"/>
  <c r="G388" i="58" s="1"/>
  <c r="H388" i="58" s="1"/>
  <c r="H22" i="58"/>
  <c r="U22" i="58"/>
  <c r="E22" i="58"/>
  <c r="L22" i="58" s="1"/>
  <c r="U23" i="58"/>
  <c r="H23" i="58"/>
  <c r="E23" i="58"/>
  <c r="L23" i="58" s="1"/>
  <c r="T23" i="58"/>
  <c r="G389" i="58" s="1"/>
  <c r="H389" i="58" s="1"/>
  <c r="E24" i="58"/>
  <c r="L24" i="58" s="1"/>
  <c r="H24" i="58"/>
  <c r="U24" i="58"/>
  <c r="T24" i="58"/>
  <c r="G390" i="58" s="1"/>
  <c r="H390" i="58" s="1"/>
  <c r="I203" i="38"/>
  <c r="I222" i="38"/>
  <c r="I220" i="38"/>
  <c r="I214" i="38"/>
  <c r="I197" i="38"/>
  <c r="I195" i="38"/>
  <c r="I206" i="38"/>
  <c r="I216" i="38"/>
  <c r="I207" i="38"/>
  <c r="I205" i="38"/>
  <c r="I223" i="38"/>
  <c r="I199" i="38"/>
  <c r="I201" i="38"/>
  <c r="I215" i="38"/>
  <c r="I209" i="38"/>
  <c r="I219" i="38"/>
  <c r="I191" i="38"/>
  <c r="I190" i="38"/>
  <c r="I221" i="38"/>
  <c r="I211" i="38"/>
  <c r="I208" i="38"/>
  <c r="M182" i="38"/>
  <c r="I212" i="38"/>
  <c r="I200" i="38"/>
  <c r="I196" i="38"/>
  <c r="I204" i="38"/>
  <c r="I210" i="38"/>
  <c r="I192" i="38"/>
  <c r="I189" i="38"/>
  <c r="I194" i="38"/>
  <c r="I213" i="38"/>
  <c r="I198" i="38"/>
  <c r="I218" i="38"/>
  <c r="I193" i="38"/>
  <c r="I202" i="38"/>
  <c r="I217" i="38"/>
  <c r="K89" i="50"/>
  <c r="T104" i="50"/>
  <c r="T102" i="50"/>
  <c r="T106" i="50"/>
  <c r="T101" i="50"/>
  <c r="T103" i="50"/>
  <c r="T107" i="50"/>
  <c r="T90" i="50"/>
  <c r="T105" i="50"/>
  <c r="T99" i="50"/>
  <c r="Z99" i="50" s="1"/>
  <c r="G99" i="50" s="1"/>
  <c r="K992" i="50"/>
  <c r="M992" i="50" s="1"/>
  <c r="AV992" i="50"/>
  <c r="AW992" i="50"/>
  <c r="AS992" i="50"/>
  <c r="AT992" i="50" s="1"/>
  <c r="BQ1763" i="50"/>
  <c r="I1779" i="50"/>
  <c r="AP1779" i="50"/>
  <c r="AQ1779" i="50" s="1"/>
  <c r="AX1779" i="50"/>
  <c r="K1781" i="50"/>
  <c r="M1781" i="50" s="1"/>
  <c r="AW1781" i="50"/>
  <c r="AV1781" i="50"/>
  <c r="M1694" i="50"/>
  <c r="AW156" i="50"/>
  <c r="K156" i="50"/>
  <c r="M156" i="50" s="1"/>
  <c r="AV156" i="50"/>
  <c r="AS156" i="50"/>
  <c r="AT156" i="50" s="1"/>
  <c r="BD159" i="50"/>
  <c r="BE159" i="50"/>
  <c r="BE1995" i="50"/>
  <c r="BD1995" i="50"/>
  <c r="AY103" i="61"/>
  <c r="Y103" i="61"/>
  <c r="Z103" i="61"/>
  <c r="V103" i="61"/>
  <c r="AV103" i="61"/>
  <c r="E103" i="61"/>
  <c r="AW103" i="61"/>
  <c r="AX103" i="61"/>
  <c r="T103" i="61"/>
  <c r="D103" i="61"/>
  <c r="AU103" i="61"/>
  <c r="AA103" i="61"/>
  <c r="U103" i="61"/>
  <c r="R103" i="61"/>
  <c r="S103" i="61"/>
  <c r="W103" i="61"/>
  <c r="AB103" i="61"/>
  <c r="AD103" i="61"/>
  <c r="AE103" i="61"/>
  <c r="X103" i="61"/>
  <c r="AF103" i="61"/>
  <c r="AC103" i="61"/>
  <c r="BL1385" i="50"/>
  <c r="BC1400" i="50"/>
  <c r="BC1401" i="50"/>
  <c r="BD456" i="50"/>
  <c r="BE456" i="50"/>
  <c r="AS456" i="50"/>
  <c r="AT456" i="50" s="1"/>
  <c r="AV456" i="50"/>
  <c r="K456" i="50"/>
  <c r="M456" i="50" s="1"/>
  <c r="AW456" i="50"/>
  <c r="AP153" i="50"/>
  <c r="AJ155" i="50"/>
  <c r="I155" i="50"/>
  <c r="BE860" i="50"/>
  <c r="BD860" i="50"/>
  <c r="BD861" i="50"/>
  <c r="BE861" i="50"/>
  <c r="K161" i="50"/>
  <c r="M161" i="50" s="1"/>
  <c r="AV161" i="50"/>
  <c r="AW161" i="50"/>
  <c r="AS161" i="50"/>
  <c r="AT161" i="50" s="1"/>
  <c r="K1807" i="50"/>
  <c r="M1807" i="50" s="1"/>
  <c r="AV1807" i="50"/>
  <c r="AW1807" i="50"/>
  <c r="AW967" i="50"/>
  <c r="AZ967" i="50"/>
  <c r="M967" i="50" s="1"/>
  <c r="BN953" i="50"/>
  <c r="I965" i="50"/>
  <c r="AJ965" i="50"/>
  <c r="BD185" i="50"/>
  <c r="BE185" i="50"/>
  <c r="K183" i="50"/>
  <c r="M183" i="50" s="1"/>
  <c r="AS183" i="50"/>
  <c r="AT183" i="50" s="1"/>
  <c r="AV183" i="50"/>
  <c r="AW183" i="50"/>
  <c r="AT89" i="61"/>
  <c r="AS89" i="61"/>
  <c r="AM89" i="61"/>
  <c r="AN89" i="61"/>
  <c r="AK89" i="61"/>
  <c r="D89" i="61"/>
  <c r="G89" i="61"/>
  <c r="AP89" i="61"/>
  <c r="AL89" i="61"/>
  <c r="AQ89" i="61"/>
  <c r="AJ89" i="61"/>
  <c r="AR89" i="61"/>
  <c r="AO89" i="61"/>
  <c r="AG89" i="61"/>
  <c r="E89" i="61"/>
  <c r="AI89" i="61"/>
  <c r="AH89" i="61"/>
  <c r="AU89" i="61"/>
  <c r="F89" i="61"/>
  <c r="K1349" i="50"/>
  <c r="M1349" i="50" s="1"/>
  <c r="AW1349" i="50"/>
  <c r="AV1349" i="50"/>
  <c r="AP1263" i="50"/>
  <c r="AQ1263" i="50" s="1"/>
  <c r="I1263" i="50"/>
  <c r="BM1250" i="50"/>
  <c r="BQ1250" i="50"/>
  <c r="AP1266" i="50"/>
  <c r="AQ1266" i="50" s="1"/>
  <c r="I1266" i="50"/>
  <c r="AX1266" i="50"/>
  <c r="G185" i="38"/>
  <c r="Q356" i="52"/>
  <c r="B21" i="57"/>
  <c r="I185" i="38"/>
  <c r="BC402" i="50"/>
  <c r="BN1061" i="50"/>
  <c r="AZ1075" i="50"/>
  <c r="M1075" i="50" s="1"/>
  <c r="AW1075" i="50"/>
  <c r="AZ1453" i="50"/>
  <c r="M1453" i="50" s="1"/>
  <c r="BN1439" i="50"/>
  <c r="AW1453" i="50"/>
  <c r="BN548" i="50"/>
  <c r="AZ562" i="50"/>
  <c r="M562" i="50" s="1"/>
  <c r="AW562" i="50"/>
  <c r="I561" i="50"/>
  <c r="BM548" i="50"/>
  <c r="AP561" i="50"/>
  <c r="AQ561" i="50" s="1"/>
  <c r="AP1692" i="50"/>
  <c r="O616" i="52"/>
  <c r="Q616" i="52" s="1"/>
  <c r="C664" i="52"/>
  <c r="O664" i="52" s="1"/>
  <c r="Q664" i="52" s="1"/>
  <c r="V136" i="50"/>
  <c r="V128" i="50"/>
  <c r="V129" i="50" s="1"/>
  <c r="V130" i="50" s="1"/>
  <c r="V131" i="50" s="1"/>
  <c r="V132" i="50" s="1"/>
  <c r="V133" i="50" s="1"/>
  <c r="V82" i="50"/>
  <c r="V74" i="50"/>
  <c r="V75" i="50" s="1"/>
  <c r="V76" i="50" s="1"/>
  <c r="V77" i="50" s="1"/>
  <c r="V78" i="50" s="1"/>
  <c r="V79" i="50" s="1"/>
  <c r="BA37" i="61"/>
  <c r="F37" i="61" l="1"/>
  <c r="G37" i="61"/>
  <c r="AW37" i="61"/>
  <c r="AY37" i="61"/>
  <c r="S37" i="61"/>
  <c r="O37" i="61"/>
  <c r="N37" i="61"/>
  <c r="J37" i="61"/>
  <c r="AU37" i="61"/>
  <c r="E37" i="61"/>
  <c r="H37" i="61"/>
  <c r="U37" i="61"/>
  <c r="AX37" i="61"/>
  <c r="R37" i="61"/>
  <c r="Q37" i="61"/>
  <c r="I37" i="61"/>
  <c r="D37" i="61"/>
  <c r="M37" i="61"/>
  <c r="L37" i="61"/>
  <c r="T37" i="61"/>
  <c r="K37" i="61"/>
  <c r="P37" i="61"/>
  <c r="AV37" i="61"/>
  <c r="K561" i="50"/>
  <c r="M561" i="50" s="1"/>
  <c r="AW561" i="50"/>
  <c r="AV561" i="50"/>
  <c r="AS561" i="50"/>
  <c r="AT561" i="50" s="1"/>
  <c r="BE402" i="50"/>
  <c r="BD402" i="50"/>
  <c r="K1266" i="50"/>
  <c r="M1266" i="50" s="1"/>
  <c r="AV1266" i="50"/>
  <c r="AW1266" i="50"/>
  <c r="AS1266" i="50"/>
  <c r="AT1266" i="50" s="1"/>
  <c r="AW1263" i="50"/>
  <c r="AV1263" i="50"/>
  <c r="K1263" i="50"/>
  <c r="M1263" i="50" s="1"/>
  <c r="AS1263" i="50"/>
  <c r="AT1263" i="50" s="1"/>
  <c r="BK143" i="50"/>
  <c r="AP155" i="50"/>
  <c r="AQ155" i="50" s="1"/>
  <c r="BE1401" i="50"/>
  <c r="BD1401" i="50"/>
  <c r="AW1779" i="50"/>
  <c r="K1779" i="50"/>
  <c r="M1779" i="50" s="1"/>
  <c r="AV1779" i="50"/>
  <c r="AS1779" i="50"/>
  <c r="AT1779" i="50" s="1"/>
  <c r="BE101" i="50"/>
  <c r="BE103" i="50"/>
  <c r="AK99" i="50"/>
  <c r="Q92" i="50"/>
  <c r="BA5" i="61"/>
  <c r="AK101" i="50"/>
  <c r="BE102" i="50"/>
  <c r="Q89" i="50"/>
  <c r="BD102" i="50"/>
  <c r="Q98" i="50"/>
  <c r="Q99" i="50"/>
  <c r="Q90" i="50"/>
  <c r="BD101" i="50"/>
  <c r="BD103" i="50"/>
  <c r="P65" i="61"/>
  <c r="AW65" i="61"/>
  <c r="D65" i="61"/>
  <c r="Q65" i="61"/>
  <c r="U65" i="61"/>
  <c r="I65" i="61"/>
  <c r="AX65" i="61"/>
  <c r="J65" i="61"/>
  <c r="S65" i="61"/>
  <c r="AU65" i="61"/>
  <c r="N65" i="61"/>
  <c r="T65" i="61"/>
  <c r="F65" i="61"/>
  <c r="M65" i="61"/>
  <c r="G65" i="61"/>
  <c r="AV65" i="61"/>
  <c r="O65" i="61"/>
  <c r="R65" i="61"/>
  <c r="K65" i="61"/>
  <c r="E65" i="61"/>
  <c r="AY65" i="61"/>
  <c r="L65" i="61"/>
  <c r="H65" i="61"/>
  <c r="AW67" i="61"/>
  <c r="N67" i="61"/>
  <c r="G67" i="61"/>
  <c r="Q67" i="61"/>
  <c r="I67" i="61"/>
  <c r="AV67" i="61"/>
  <c r="S67" i="61"/>
  <c r="L67" i="61"/>
  <c r="AU67" i="61"/>
  <c r="U67" i="61"/>
  <c r="P67" i="61"/>
  <c r="E67" i="61"/>
  <c r="O67" i="61"/>
  <c r="D67" i="61"/>
  <c r="K67" i="61"/>
  <c r="H67" i="61"/>
  <c r="T67" i="61"/>
  <c r="F67" i="61"/>
  <c r="R67" i="61"/>
  <c r="M67" i="61"/>
  <c r="AY67" i="61"/>
  <c r="J67" i="61"/>
  <c r="AX67" i="61"/>
  <c r="Q24" i="61"/>
  <c r="AV24" i="61"/>
  <c r="P24" i="61"/>
  <c r="O24" i="61"/>
  <c r="E24" i="61"/>
  <c r="G24" i="61"/>
  <c r="D24" i="61"/>
  <c r="M24" i="61"/>
  <c r="AW24" i="61"/>
  <c r="S24" i="61"/>
  <c r="H24" i="61"/>
  <c r="K24" i="61"/>
  <c r="T24" i="61"/>
  <c r="F24" i="61"/>
  <c r="AX24" i="61"/>
  <c r="AY24" i="61"/>
  <c r="J24" i="61"/>
  <c r="N24" i="61"/>
  <c r="L24" i="61"/>
  <c r="I24" i="61"/>
  <c r="R24" i="61"/>
  <c r="AU24" i="61"/>
  <c r="U24" i="61"/>
  <c r="L70" i="61"/>
  <c r="O70" i="61"/>
  <c r="G70" i="61"/>
  <c r="M70" i="61"/>
  <c r="N70" i="61"/>
  <c r="K70" i="61"/>
  <c r="F70" i="61"/>
  <c r="I70" i="61"/>
  <c r="Q70" i="61"/>
  <c r="J70" i="61"/>
  <c r="H70" i="61"/>
  <c r="E70" i="61"/>
  <c r="T70" i="61"/>
  <c r="S70" i="61"/>
  <c r="P70" i="61"/>
  <c r="AV70" i="61"/>
  <c r="AU70" i="61"/>
  <c r="AW70" i="61"/>
  <c r="R70" i="61"/>
  <c r="D70" i="61"/>
  <c r="AY70" i="61"/>
  <c r="AX70" i="61"/>
  <c r="U70" i="61"/>
  <c r="AV32" i="61"/>
  <c r="K32" i="61"/>
  <c r="AX32" i="61"/>
  <c r="M32" i="61"/>
  <c r="U32" i="61"/>
  <c r="AY32" i="61"/>
  <c r="D32" i="61"/>
  <c r="G32" i="61"/>
  <c r="S32" i="61"/>
  <c r="R32" i="61"/>
  <c r="P32" i="61"/>
  <c r="H32" i="61"/>
  <c r="F32" i="61"/>
  <c r="J32" i="61"/>
  <c r="N32" i="61"/>
  <c r="AU32" i="61"/>
  <c r="E32" i="61"/>
  <c r="O32" i="61"/>
  <c r="AW32" i="61"/>
  <c r="Q32" i="61"/>
  <c r="I32" i="61"/>
  <c r="L32" i="61"/>
  <c r="T32" i="61"/>
  <c r="T75" i="61"/>
  <c r="AV75" i="61"/>
  <c r="O75" i="61"/>
  <c r="G75" i="61"/>
  <c r="AW75" i="61"/>
  <c r="AU75" i="61"/>
  <c r="E75" i="61"/>
  <c r="S75" i="61"/>
  <c r="R75" i="61"/>
  <c r="M75" i="61"/>
  <c r="N75" i="61"/>
  <c r="H75" i="61"/>
  <c r="D75" i="61"/>
  <c r="AY75" i="61"/>
  <c r="F75" i="61"/>
  <c r="K75" i="61"/>
  <c r="P75" i="61"/>
  <c r="I75" i="61"/>
  <c r="L75" i="61"/>
  <c r="AX75" i="61"/>
  <c r="U75" i="61"/>
  <c r="Q75" i="61"/>
  <c r="J75" i="61"/>
  <c r="P50" i="61"/>
  <c r="U50" i="61"/>
  <c r="T50" i="61"/>
  <c r="F50" i="61"/>
  <c r="J50" i="61"/>
  <c r="AU50" i="61"/>
  <c r="I50" i="61"/>
  <c r="L50" i="61"/>
  <c r="G50" i="61"/>
  <c r="H50" i="61"/>
  <c r="AX50" i="61"/>
  <c r="K50" i="61"/>
  <c r="D50" i="61"/>
  <c r="Q50" i="61"/>
  <c r="S50" i="61"/>
  <c r="E50" i="61"/>
  <c r="AV50" i="61"/>
  <c r="M50" i="61"/>
  <c r="O50" i="61"/>
  <c r="R50" i="61"/>
  <c r="N50" i="61"/>
  <c r="AW50" i="61"/>
  <c r="AY50" i="61"/>
  <c r="C653" i="52"/>
  <c r="O653" i="52" s="1"/>
  <c r="Q653" i="52" s="1"/>
  <c r="O605" i="52"/>
  <c r="Q605" i="52" s="1"/>
  <c r="BD1076" i="50"/>
  <c r="BE1076" i="50"/>
  <c r="O406" i="52"/>
  <c r="Q406" i="52" s="1"/>
  <c r="C454" i="52"/>
  <c r="B23" i="57"/>
  <c r="G187" i="38"/>
  <c r="I187" i="38"/>
  <c r="Q358" i="52"/>
  <c r="AX1262" i="50"/>
  <c r="AP1262" i="50"/>
  <c r="AQ1262" i="50" s="1"/>
  <c r="BK1250" i="50"/>
  <c r="AW1942" i="50"/>
  <c r="K1942" i="50"/>
  <c r="M1942" i="50" s="1"/>
  <c r="AV1942" i="50"/>
  <c r="I1938" i="50"/>
  <c r="AP1938" i="50"/>
  <c r="AQ1938" i="50" s="1"/>
  <c r="BM1925" i="50"/>
  <c r="BL1925" i="50"/>
  <c r="BC1941" i="50"/>
  <c r="BC1940" i="50"/>
  <c r="AJ1937" i="50"/>
  <c r="I1937" i="50"/>
  <c r="AV1943" i="50"/>
  <c r="K1943" i="50"/>
  <c r="AW1943" i="50"/>
  <c r="BO1925" i="50"/>
  <c r="AW1940" i="50"/>
  <c r="AZ1940" i="50"/>
  <c r="M1940" i="50" s="1"/>
  <c r="BK1790" i="50"/>
  <c r="AP1802" i="50"/>
  <c r="AQ1802" i="50" s="1"/>
  <c r="AX1802" i="50"/>
  <c r="BD1779" i="50"/>
  <c r="BE1779" i="50"/>
  <c r="BD1346" i="50"/>
  <c r="BE1346" i="50"/>
  <c r="AW1939" i="50"/>
  <c r="AZ1939" i="50"/>
  <c r="M1939" i="50" s="1"/>
  <c r="BN1925" i="50"/>
  <c r="BI1925" i="50"/>
  <c r="AX1941" i="50"/>
  <c r="AX1937" i="50"/>
  <c r="BQ1925" i="50"/>
  <c r="AP1941" i="50"/>
  <c r="AQ1941" i="50" s="1"/>
  <c r="I1941" i="50"/>
  <c r="Y72" i="50"/>
  <c r="BZ67" i="50"/>
  <c r="AC67" i="50"/>
  <c r="E65" i="50"/>
  <c r="AC121" i="50"/>
  <c r="Y126" i="50"/>
  <c r="E119" i="50"/>
  <c r="BZ121" i="50"/>
  <c r="O452" i="52"/>
  <c r="Q452" i="52" s="1"/>
  <c r="C500" i="52"/>
  <c r="W136" i="38"/>
  <c r="W80" i="38"/>
  <c r="W93" i="38"/>
  <c r="W83" i="38"/>
  <c r="W110" i="38"/>
  <c r="W116" i="38"/>
  <c r="W142" i="38"/>
  <c r="W131" i="38"/>
  <c r="W104" i="38"/>
  <c r="BD1266" i="50"/>
  <c r="BE1266" i="50"/>
  <c r="AK91" i="61"/>
  <c r="AI91" i="61"/>
  <c r="AM91" i="61"/>
  <c r="AR91" i="61"/>
  <c r="AG91" i="61"/>
  <c r="G91" i="61"/>
  <c r="AN91" i="61"/>
  <c r="AL91" i="61"/>
  <c r="AH91" i="61"/>
  <c r="AU91" i="61"/>
  <c r="AQ91" i="61"/>
  <c r="AP91" i="61"/>
  <c r="D91" i="61"/>
  <c r="F91" i="61"/>
  <c r="AO91" i="61"/>
  <c r="AJ91" i="61"/>
  <c r="AS91" i="61"/>
  <c r="E91" i="61"/>
  <c r="AT91" i="61"/>
  <c r="BE1806" i="50"/>
  <c r="BD1806" i="50"/>
  <c r="AP1775" i="50"/>
  <c r="AQ1775" i="50" s="1"/>
  <c r="BK1763" i="50"/>
  <c r="AX1775" i="50"/>
  <c r="I385" i="58"/>
  <c r="I393" i="58"/>
  <c r="I388" i="58"/>
  <c r="I390" i="58"/>
  <c r="I392" i="58"/>
  <c r="M384" i="58"/>
  <c r="I391" i="58"/>
  <c r="I384" i="58"/>
  <c r="I389" i="58"/>
  <c r="I387" i="58"/>
  <c r="I386" i="58"/>
  <c r="G72" i="61"/>
  <c r="Q72" i="61"/>
  <c r="I72" i="61"/>
  <c r="J72" i="61"/>
  <c r="R72" i="61"/>
  <c r="P72" i="61"/>
  <c r="AU72" i="61"/>
  <c r="AV72" i="61"/>
  <c r="O72" i="61"/>
  <c r="AX72" i="61"/>
  <c r="F72" i="61"/>
  <c r="AW72" i="61"/>
  <c r="N72" i="61"/>
  <c r="D72" i="61"/>
  <c r="H72" i="61"/>
  <c r="L72" i="61"/>
  <c r="M72" i="61"/>
  <c r="U72" i="61"/>
  <c r="AY72" i="61"/>
  <c r="K72" i="61"/>
  <c r="S72" i="61"/>
  <c r="E72" i="61"/>
  <c r="T72" i="61"/>
  <c r="H62" i="61"/>
  <c r="AU62" i="61"/>
  <c r="M62" i="61"/>
  <c r="N62" i="61"/>
  <c r="E62" i="61"/>
  <c r="G62" i="61"/>
  <c r="Q62" i="61"/>
  <c r="AY62" i="61"/>
  <c r="U62" i="61"/>
  <c r="F62" i="61"/>
  <c r="AW62" i="61"/>
  <c r="AV62" i="61"/>
  <c r="AX62" i="61"/>
  <c r="J62" i="61"/>
  <c r="R62" i="61"/>
  <c r="K62" i="61"/>
  <c r="O62" i="61"/>
  <c r="S62" i="61"/>
  <c r="L62" i="61"/>
  <c r="P62" i="61"/>
  <c r="I62" i="61"/>
  <c r="T62" i="61"/>
  <c r="D62" i="61"/>
  <c r="O60" i="61"/>
  <c r="D60" i="61"/>
  <c r="G60" i="61"/>
  <c r="E60" i="61"/>
  <c r="M60" i="61"/>
  <c r="AY60" i="61"/>
  <c r="H60" i="61"/>
  <c r="J60" i="61"/>
  <c r="AW60" i="61"/>
  <c r="I60" i="61"/>
  <c r="L60" i="61"/>
  <c r="AX60" i="61"/>
  <c r="AU60" i="61"/>
  <c r="AV60" i="61"/>
  <c r="S60" i="61"/>
  <c r="R60" i="61"/>
  <c r="F60" i="61"/>
  <c r="U60" i="61"/>
  <c r="P60" i="61"/>
  <c r="Q60" i="61"/>
  <c r="N60" i="61"/>
  <c r="K60" i="61"/>
  <c r="T60" i="61"/>
  <c r="AU16" i="61"/>
  <c r="D16" i="61"/>
  <c r="O16" i="61"/>
  <c r="L16" i="61"/>
  <c r="AW16" i="61"/>
  <c r="I16" i="61"/>
  <c r="AV16" i="61"/>
  <c r="S16" i="61"/>
  <c r="G16" i="61"/>
  <c r="N16" i="61"/>
  <c r="AX16" i="61"/>
  <c r="U16" i="61"/>
  <c r="P16" i="61"/>
  <c r="F16" i="61"/>
  <c r="R16" i="61"/>
  <c r="H16" i="61"/>
  <c r="K16" i="61"/>
  <c r="T16" i="61"/>
  <c r="Q16" i="61"/>
  <c r="E16" i="61"/>
  <c r="J16" i="61"/>
  <c r="M16" i="61"/>
  <c r="AY16" i="61"/>
  <c r="AU29" i="61"/>
  <c r="I29" i="61"/>
  <c r="H29" i="61"/>
  <c r="E29" i="61"/>
  <c r="G29" i="61"/>
  <c r="P29" i="61"/>
  <c r="L29" i="61"/>
  <c r="Q29" i="61"/>
  <c r="T29" i="61"/>
  <c r="D29" i="61"/>
  <c r="AX29" i="61"/>
  <c r="K29" i="61"/>
  <c r="F29" i="61"/>
  <c r="M29" i="61"/>
  <c r="J29" i="61"/>
  <c r="O29" i="61"/>
  <c r="R29" i="61"/>
  <c r="N29" i="61"/>
  <c r="AW29" i="61"/>
  <c r="AY29" i="61"/>
  <c r="AV29" i="61"/>
  <c r="U29" i="61"/>
  <c r="S29" i="61"/>
  <c r="E25" i="61"/>
  <c r="R25" i="61"/>
  <c r="F25" i="61"/>
  <c r="H25" i="61"/>
  <c r="N25" i="61"/>
  <c r="AW25" i="61"/>
  <c r="J25" i="61"/>
  <c r="D25" i="61"/>
  <c r="I25" i="61"/>
  <c r="G25" i="61"/>
  <c r="S25" i="61"/>
  <c r="AU25" i="61"/>
  <c r="L25" i="61"/>
  <c r="T25" i="61"/>
  <c r="AY25" i="61"/>
  <c r="Q25" i="61"/>
  <c r="U25" i="61"/>
  <c r="AX25" i="61"/>
  <c r="K25" i="61"/>
  <c r="P25" i="61"/>
  <c r="AV25" i="61"/>
  <c r="O25" i="61"/>
  <c r="M25" i="61"/>
  <c r="I43" i="61"/>
  <c r="AU43" i="61"/>
  <c r="O43" i="61"/>
  <c r="L43" i="61"/>
  <c r="F43" i="61"/>
  <c r="D43" i="61"/>
  <c r="AX43" i="61"/>
  <c r="Q43" i="61"/>
  <c r="N43" i="61"/>
  <c r="AV43" i="61"/>
  <c r="T43" i="61"/>
  <c r="AY43" i="61"/>
  <c r="K43" i="61"/>
  <c r="U43" i="61"/>
  <c r="R43" i="61"/>
  <c r="AW43" i="61"/>
  <c r="M43" i="61"/>
  <c r="E43" i="61"/>
  <c r="J43" i="61"/>
  <c r="G43" i="61"/>
  <c r="P43" i="61"/>
  <c r="S43" i="61"/>
  <c r="H43" i="61"/>
  <c r="T64" i="61"/>
  <c r="S64" i="61"/>
  <c r="G64" i="61"/>
  <c r="H64" i="61"/>
  <c r="L64" i="61"/>
  <c r="K64" i="61"/>
  <c r="I64" i="61"/>
  <c r="AU64" i="61"/>
  <c r="U64" i="61"/>
  <c r="R64" i="61"/>
  <c r="AV64" i="61"/>
  <c r="AX64" i="61"/>
  <c r="P64" i="61"/>
  <c r="D64" i="61"/>
  <c r="E64" i="61"/>
  <c r="AY64" i="61"/>
  <c r="AW64" i="61"/>
  <c r="M64" i="61"/>
  <c r="Q64" i="61"/>
  <c r="J64" i="61"/>
  <c r="N64" i="61"/>
  <c r="O64" i="61"/>
  <c r="F64" i="61"/>
  <c r="W79" i="50"/>
  <c r="Y79" i="50" s="1"/>
  <c r="V80" i="50"/>
  <c r="W80" i="50" s="1"/>
  <c r="Y80" i="50" s="1"/>
  <c r="W133" i="50"/>
  <c r="Y133" i="50" s="1"/>
  <c r="V134" i="50"/>
  <c r="W134" i="50" s="1"/>
  <c r="Y134" i="50" s="1"/>
  <c r="W72" i="38"/>
  <c r="W107" i="38"/>
  <c r="W138" i="38"/>
  <c r="W78" i="38"/>
  <c r="W133" i="38"/>
  <c r="W137" i="38"/>
  <c r="W128" i="38"/>
  <c r="W85" i="38"/>
  <c r="W109" i="38"/>
  <c r="W124" i="38"/>
  <c r="AP965" i="50"/>
  <c r="AQ965" i="50" s="1"/>
  <c r="BK953" i="50"/>
  <c r="AX965" i="50"/>
  <c r="BD1400" i="50"/>
  <c r="BE1400" i="50"/>
  <c r="E92" i="50"/>
  <c r="AC94" i="50"/>
  <c r="BZ94" i="50"/>
  <c r="Y99" i="50"/>
  <c r="K399" i="50"/>
  <c r="M399" i="50" s="1"/>
  <c r="AW399" i="50"/>
  <c r="AV399" i="50"/>
  <c r="AS399" i="50"/>
  <c r="AT399" i="50" s="1"/>
  <c r="AW30" i="61"/>
  <c r="Q30" i="61"/>
  <c r="T30" i="61"/>
  <c r="F30" i="61"/>
  <c r="P30" i="61"/>
  <c r="U30" i="61"/>
  <c r="R30" i="61"/>
  <c r="K30" i="61"/>
  <c r="AX30" i="61"/>
  <c r="S30" i="61"/>
  <c r="AU30" i="61"/>
  <c r="AY30" i="61"/>
  <c r="G30" i="61"/>
  <c r="J30" i="61"/>
  <c r="L30" i="61"/>
  <c r="M30" i="61"/>
  <c r="D30" i="61"/>
  <c r="I30" i="61"/>
  <c r="H30" i="61"/>
  <c r="E30" i="61"/>
  <c r="N30" i="61"/>
  <c r="AV30" i="61"/>
  <c r="O30" i="61"/>
  <c r="AV27" i="61"/>
  <c r="R27" i="61"/>
  <c r="I27" i="61"/>
  <c r="M27" i="61"/>
  <c r="H27" i="61"/>
  <c r="G27" i="61"/>
  <c r="AX27" i="61"/>
  <c r="Q27" i="61"/>
  <c r="J27" i="61"/>
  <c r="L27" i="61"/>
  <c r="T27" i="61"/>
  <c r="N27" i="61"/>
  <c r="K27" i="61"/>
  <c r="F27" i="61"/>
  <c r="AY27" i="61"/>
  <c r="AU27" i="61"/>
  <c r="O27" i="61"/>
  <c r="U27" i="61"/>
  <c r="D27" i="61"/>
  <c r="E27" i="61"/>
  <c r="AW27" i="61"/>
  <c r="S27" i="61"/>
  <c r="P27" i="61"/>
  <c r="AX69" i="61"/>
  <c r="N69" i="61"/>
  <c r="J69" i="61"/>
  <c r="E69" i="61"/>
  <c r="Q69" i="61"/>
  <c r="D69" i="61"/>
  <c r="AV69" i="61"/>
  <c r="R69" i="61"/>
  <c r="F69" i="61"/>
  <c r="AU69" i="61"/>
  <c r="I69" i="61"/>
  <c r="O69" i="61"/>
  <c r="K69" i="61"/>
  <c r="H69" i="61"/>
  <c r="S69" i="61"/>
  <c r="AW69" i="61"/>
  <c r="P69" i="61"/>
  <c r="AY69" i="61"/>
  <c r="T69" i="61"/>
  <c r="L69" i="61"/>
  <c r="M69" i="61"/>
  <c r="U69" i="61"/>
  <c r="G69" i="61"/>
  <c r="M20" i="61"/>
  <c r="J20" i="61"/>
  <c r="AX20" i="61"/>
  <c r="L20" i="61"/>
  <c r="S20" i="61"/>
  <c r="E20" i="61"/>
  <c r="Q20" i="61"/>
  <c r="H20" i="61"/>
  <c r="R20" i="61"/>
  <c r="P20" i="61"/>
  <c r="AV20" i="61"/>
  <c r="O20" i="61"/>
  <c r="U20" i="61"/>
  <c r="AW20" i="61"/>
  <c r="T20" i="61"/>
  <c r="AY20" i="61"/>
  <c r="F20" i="61"/>
  <c r="N20" i="61"/>
  <c r="K20" i="61"/>
  <c r="G20" i="61"/>
  <c r="D20" i="61"/>
  <c r="I20" i="61"/>
  <c r="AU20" i="61"/>
  <c r="D51" i="61"/>
  <c r="M51" i="61"/>
  <c r="L51" i="61"/>
  <c r="T51" i="61"/>
  <c r="P51" i="61"/>
  <c r="N51" i="61"/>
  <c r="AV51" i="61"/>
  <c r="R51" i="61"/>
  <c r="AU51" i="61"/>
  <c r="G51" i="61"/>
  <c r="AX51" i="61"/>
  <c r="E51" i="61"/>
  <c r="K51" i="61"/>
  <c r="O51" i="61"/>
  <c r="S51" i="61"/>
  <c r="H51" i="61"/>
  <c r="F51" i="61"/>
  <c r="Q51" i="61"/>
  <c r="U51" i="61"/>
  <c r="I51" i="61"/>
  <c r="AY51" i="61"/>
  <c r="J51" i="61"/>
  <c r="AW51" i="61"/>
  <c r="Q66" i="61"/>
  <c r="U66" i="61"/>
  <c r="E66" i="61"/>
  <c r="J66" i="61"/>
  <c r="K66" i="61"/>
  <c r="D66" i="61"/>
  <c r="AX66" i="61"/>
  <c r="M66" i="61"/>
  <c r="R66" i="61"/>
  <c r="AU66" i="61"/>
  <c r="S66" i="61"/>
  <c r="AV66" i="61"/>
  <c r="I66" i="61"/>
  <c r="AW66" i="61"/>
  <c r="L66" i="61"/>
  <c r="O66" i="61"/>
  <c r="T66" i="61"/>
  <c r="N66" i="61"/>
  <c r="AY66" i="61"/>
  <c r="H66" i="61"/>
  <c r="P66" i="61"/>
  <c r="F66" i="61"/>
  <c r="G66" i="61"/>
  <c r="AX28" i="61"/>
  <c r="K28" i="61"/>
  <c r="Q28" i="61"/>
  <c r="AV28" i="61"/>
  <c r="P28" i="61"/>
  <c r="S28" i="61"/>
  <c r="D28" i="61"/>
  <c r="G28" i="61"/>
  <c r="I28" i="61"/>
  <c r="R28" i="61"/>
  <c r="U28" i="61"/>
  <c r="F28" i="61"/>
  <c r="E28" i="61"/>
  <c r="T28" i="61"/>
  <c r="H28" i="61"/>
  <c r="AY28" i="61"/>
  <c r="L28" i="61"/>
  <c r="O28" i="61"/>
  <c r="M28" i="61"/>
  <c r="J28" i="61"/>
  <c r="AW28" i="61"/>
  <c r="N28" i="61"/>
  <c r="AU28" i="61"/>
  <c r="M35" i="61"/>
  <c r="H35" i="61"/>
  <c r="F35" i="61"/>
  <c r="L35" i="61"/>
  <c r="AY35" i="61"/>
  <c r="K35" i="61"/>
  <c r="E35" i="61"/>
  <c r="S35" i="61"/>
  <c r="P35" i="61"/>
  <c r="J35" i="61"/>
  <c r="Q35" i="61"/>
  <c r="O35" i="61"/>
  <c r="G35" i="61"/>
  <c r="AV35" i="61"/>
  <c r="I35" i="61"/>
  <c r="U35" i="61"/>
  <c r="AW35" i="61"/>
  <c r="R35" i="61"/>
  <c r="D35" i="61"/>
  <c r="AX35" i="61"/>
  <c r="T35" i="61"/>
  <c r="AU35" i="61"/>
  <c r="N35" i="61"/>
  <c r="AV1074" i="50"/>
  <c r="AW1074" i="50"/>
  <c r="K1074" i="50"/>
  <c r="M1074" i="50" s="1"/>
  <c r="AS1074" i="50"/>
  <c r="AT1074" i="50" s="1"/>
  <c r="BD1077" i="50"/>
  <c r="BE1077" i="50"/>
  <c r="C407" i="52"/>
  <c r="O359" i="52"/>
  <c r="BR1925" i="50"/>
  <c r="AZ1942" i="50"/>
  <c r="AZ1943" i="50"/>
  <c r="BD1778" i="50"/>
  <c r="BE1778" i="50"/>
  <c r="AW1776" i="50"/>
  <c r="AV1776" i="50"/>
  <c r="K1776" i="50"/>
  <c r="M1776" i="50" s="1"/>
  <c r="AS1776" i="50"/>
  <c r="AT1776" i="50" s="1"/>
  <c r="O453" i="52"/>
  <c r="Q453" i="52" s="1"/>
  <c r="C501" i="52"/>
  <c r="BD1347" i="50"/>
  <c r="BE1347" i="50"/>
  <c r="AK72" i="50"/>
  <c r="Q62" i="50"/>
  <c r="BE74" i="50"/>
  <c r="Q65" i="50"/>
  <c r="AK74" i="50"/>
  <c r="BD74" i="50"/>
  <c r="BA4" i="61"/>
  <c r="Q72" i="50"/>
  <c r="Q63" i="50"/>
  <c r="BD76" i="50"/>
  <c r="Q71" i="50"/>
  <c r="BD75" i="50"/>
  <c r="BE75" i="50"/>
  <c r="BE76" i="50"/>
  <c r="BD128" i="50"/>
  <c r="Q116" i="50"/>
  <c r="Q117" i="50"/>
  <c r="Q126" i="50"/>
  <c r="BA6" i="61"/>
  <c r="BD129" i="50"/>
  <c r="BE128" i="50"/>
  <c r="Q125" i="50"/>
  <c r="BE129" i="50"/>
  <c r="BE130" i="50"/>
  <c r="Q119" i="50"/>
  <c r="AK126" i="50"/>
  <c r="BD130" i="50"/>
  <c r="AK128" i="50"/>
  <c r="BE563" i="50"/>
  <c r="BD563" i="50"/>
  <c r="BD564" i="50"/>
  <c r="BE564" i="50"/>
  <c r="K1077" i="50"/>
  <c r="M1077" i="50" s="1"/>
  <c r="AW1077" i="50"/>
  <c r="AV1077" i="50"/>
  <c r="AS1077" i="50"/>
  <c r="AT1077" i="50" s="1"/>
  <c r="BE401" i="50"/>
  <c r="BD401" i="50"/>
  <c r="W84" i="38"/>
  <c r="W119" i="38"/>
  <c r="W145" i="38"/>
  <c r="W92" i="38"/>
  <c r="W91" i="38"/>
  <c r="W95" i="38"/>
  <c r="W82" i="38"/>
  <c r="W127" i="38"/>
  <c r="W106" i="38"/>
  <c r="W108" i="38"/>
  <c r="W115" i="38"/>
  <c r="W81" i="38"/>
  <c r="W143" i="38"/>
  <c r="W96" i="38"/>
  <c r="W112" i="38"/>
  <c r="W135" i="38"/>
  <c r="W140" i="38"/>
  <c r="W79" i="38"/>
  <c r="BE1265" i="50"/>
  <c r="BD1265" i="50"/>
  <c r="AU90" i="61"/>
  <c r="AG90" i="61"/>
  <c r="AN90" i="61"/>
  <c r="AO90" i="61"/>
  <c r="F90" i="61"/>
  <c r="AI90" i="61"/>
  <c r="AH90" i="61"/>
  <c r="AS90" i="61"/>
  <c r="AK90" i="61"/>
  <c r="AQ90" i="61"/>
  <c r="AR90" i="61"/>
  <c r="AP90" i="61"/>
  <c r="AL90" i="61"/>
  <c r="G90" i="61"/>
  <c r="AT90" i="61"/>
  <c r="AJ90" i="61"/>
  <c r="E90" i="61"/>
  <c r="AM90" i="61"/>
  <c r="D90" i="61"/>
  <c r="BD1805" i="50"/>
  <c r="BE1805" i="50"/>
  <c r="AV1398" i="50"/>
  <c r="AW1398" i="50"/>
  <c r="K1398" i="50"/>
  <c r="M1398" i="50" s="1"/>
  <c r="AS1398" i="50"/>
  <c r="AT1398" i="50" s="1"/>
  <c r="W106" i="50"/>
  <c r="Y106" i="50" s="1"/>
  <c r="V107" i="50"/>
  <c r="W107" i="50" s="1"/>
  <c r="Y107" i="50" s="1"/>
  <c r="M49" i="61"/>
  <c r="G49" i="61"/>
  <c r="P49" i="61"/>
  <c r="AX49" i="61"/>
  <c r="I49" i="61"/>
  <c r="J49" i="61"/>
  <c r="R49" i="61"/>
  <c r="Q49" i="61"/>
  <c r="H49" i="61"/>
  <c r="D49" i="61"/>
  <c r="AV49" i="61"/>
  <c r="AY49" i="61"/>
  <c r="S49" i="61"/>
  <c r="O49" i="61"/>
  <c r="AW49" i="61"/>
  <c r="T49" i="61"/>
  <c r="E49" i="61"/>
  <c r="AU49" i="61"/>
  <c r="N49" i="61"/>
  <c r="U49" i="61"/>
  <c r="F49" i="61"/>
  <c r="K49" i="61"/>
  <c r="L49" i="61"/>
  <c r="E71" i="61"/>
  <c r="H71" i="61"/>
  <c r="AX71" i="61"/>
  <c r="AU71" i="61"/>
  <c r="Q71" i="61"/>
  <c r="S71" i="61"/>
  <c r="O71" i="61"/>
  <c r="M71" i="61"/>
  <c r="T71" i="61"/>
  <c r="D71" i="61"/>
  <c r="N71" i="61"/>
  <c r="L71" i="61"/>
  <c r="F71" i="61"/>
  <c r="G71" i="61"/>
  <c r="J71" i="61"/>
  <c r="AV71" i="61"/>
  <c r="P71" i="61"/>
  <c r="I71" i="61"/>
  <c r="AW71" i="61"/>
  <c r="U71" i="61"/>
  <c r="R71" i="61"/>
  <c r="AY71" i="61"/>
  <c r="K71" i="61"/>
  <c r="D56" i="61"/>
  <c r="Q56" i="61"/>
  <c r="AX56" i="61"/>
  <c r="AU56" i="61"/>
  <c r="T56" i="61"/>
  <c r="S56" i="61"/>
  <c r="N56" i="61"/>
  <c r="R56" i="61"/>
  <c r="AV56" i="61"/>
  <c r="U56" i="61"/>
  <c r="P56" i="61"/>
  <c r="H56" i="61"/>
  <c r="G56" i="61"/>
  <c r="AW56" i="61"/>
  <c r="O56" i="61"/>
  <c r="E56" i="61"/>
  <c r="K56" i="61"/>
  <c r="L56" i="61"/>
  <c r="F56" i="61"/>
  <c r="J56" i="61"/>
  <c r="AY56" i="61"/>
  <c r="I56" i="61"/>
  <c r="M56" i="61"/>
  <c r="R14" i="61"/>
  <c r="U14" i="61"/>
  <c r="L14" i="61"/>
  <c r="AY14" i="61"/>
  <c r="D14" i="61"/>
  <c r="P14" i="61"/>
  <c r="AW14" i="61"/>
  <c r="E14" i="61"/>
  <c r="K14" i="61"/>
  <c r="AU14" i="61"/>
  <c r="O14" i="61"/>
  <c r="I14" i="61"/>
  <c r="AV14" i="61"/>
  <c r="H14" i="61"/>
  <c r="AX14" i="61"/>
  <c r="T14" i="61"/>
  <c r="N14" i="61"/>
  <c r="G14" i="61"/>
  <c r="J14" i="61"/>
  <c r="Q14" i="61"/>
  <c r="F14" i="61"/>
  <c r="S14" i="61"/>
  <c r="M14" i="61"/>
  <c r="AU78" i="61"/>
  <c r="I78" i="61"/>
  <c r="AV78" i="61"/>
  <c r="U78" i="61"/>
  <c r="G78" i="61"/>
  <c r="N78" i="61"/>
  <c r="AX78" i="61"/>
  <c r="E78" i="61"/>
  <c r="Q78" i="61"/>
  <c r="J78" i="61"/>
  <c r="S78" i="61"/>
  <c r="AW78" i="61"/>
  <c r="H78" i="61"/>
  <c r="K78" i="61"/>
  <c r="T78" i="61"/>
  <c r="R78" i="61"/>
  <c r="D78" i="61"/>
  <c r="AY78" i="61"/>
  <c r="O78" i="61"/>
  <c r="P78" i="61"/>
  <c r="F78" i="61"/>
  <c r="L78" i="61"/>
  <c r="M78" i="61"/>
  <c r="G74" i="61"/>
  <c r="D74" i="61"/>
  <c r="O74" i="61"/>
  <c r="AU74" i="61"/>
  <c r="Q74" i="61"/>
  <c r="U74" i="61"/>
  <c r="AX74" i="61"/>
  <c r="E74" i="61"/>
  <c r="M74" i="61"/>
  <c r="AV74" i="61"/>
  <c r="H74" i="61"/>
  <c r="R74" i="61"/>
  <c r="L74" i="61"/>
  <c r="P74" i="61"/>
  <c r="AY74" i="61"/>
  <c r="T74" i="61"/>
  <c r="S74" i="61"/>
  <c r="AW74" i="61"/>
  <c r="F74" i="61"/>
  <c r="N74" i="61"/>
  <c r="I74" i="61"/>
  <c r="K74" i="61"/>
  <c r="J74" i="61"/>
  <c r="AV53" i="61"/>
  <c r="S53" i="61"/>
  <c r="U53" i="61"/>
  <c r="AY53" i="61"/>
  <c r="D53" i="61"/>
  <c r="N53" i="61"/>
  <c r="L53" i="61"/>
  <c r="T53" i="61"/>
  <c r="E53" i="61"/>
  <c r="F53" i="61"/>
  <c r="O53" i="61"/>
  <c r="M53" i="61"/>
  <c r="H53" i="61"/>
  <c r="AW53" i="61"/>
  <c r="I53" i="61"/>
  <c r="Q53" i="61"/>
  <c r="AU53" i="61"/>
  <c r="G53" i="61"/>
  <c r="R53" i="61"/>
  <c r="P53" i="61"/>
  <c r="AX53" i="61"/>
  <c r="J53" i="61"/>
  <c r="K53" i="61"/>
  <c r="M565" i="50"/>
  <c r="AV1289" i="50"/>
  <c r="K1289" i="50"/>
  <c r="M1289" i="50" s="1"/>
  <c r="AS1289" i="50"/>
  <c r="AT1289" i="50" s="1"/>
  <c r="AW1289" i="50"/>
  <c r="C547" i="52"/>
  <c r="O499" i="52"/>
  <c r="Q499" i="52" s="1"/>
  <c r="O634" i="52"/>
  <c r="Q634" i="52" s="1"/>
  <c r="C682" i="52"/>
  <c r="O682" i="52" s="1"/>
  <c r="Q682" i="52" s="1"/>
  <c r="AP1935" i="50"/>
  <c r="AX155" i="50"/>
  <c r="K317" i="50"/>
  <c r="M317" i="50" s="1"/>
  <c r="AW317" i="50"/>
  <c r="AV317" i="50"/>
  <c r="AS317" i="50"/>
  <c r="AT317" i="50" s="1"/>
  <c r="AY134" i="50" l="1"/>
  <c r="AY80" i="50"/>
  <c r="AY106" i="50"/>
  <c r="AY107" i="50"/>
  <c r="AY133" i="50"/>
  <c r="AY79" i="50"/>
  <c r="O547" i="52"/>
  <c r="Q547" i="52" s="1"/>
  <c r="C595" i="52"/>
  <c r="O501" i="52"/>
  <c r="Q501" i="52" s="1"/>
  <c r="C549" i="52"/>
  <c r="O407" i="52"/>
  <c r="Q407" i="52" s="1"/>
  <c r="C455" i="52"/>
  <c r="AR99" i="50"/>
  <c r="M99" i="50"/>
  <c r="AC96" i="50"/>
  <c r="AC99" i="50"/>
  <c r="AC69" i="50"/>
  <c r="AC72" i="50"/>
  <c r="K1941" i="50"/>
  <c r="M1941" i="50" s="1"/>
  <c r="AV1941" i="50"/>
  <c r="AW1941" i="50"/>
  <c r="AS1941" i="50"/>
  <c r="AT1941" i="50" s="1"/>
  <c r="BK1925" i="50"/>
  <c r="AP1937" i="50"/>
  <c r="AQ1937" i="50" s="1"/>
  <c r="BD1941" i="50"/>
  <c r="BE1941" i="50"/>
  <c r="K155" i="50"/>
  <c r="M155" i="50" s="1"/>
  <c r="AV155" i="50"/>
  <c r="AW155" i="50"/>
  <c r="AS155" i="50"/>
  <c r="AT155" i="50" s="1"/>
  <c r="Q6" i="61"/>
  <c r="E6" i="61"/>
  <c r="O6" i="61"/>
  <c r="D6" i="61"/>
  <c r="U6" i="61"/>
  <c r="K6" i="61"/>
  <c r="G6" i="61"/>
  <c r="S6" i="61"/>
  <c r="O4" i="61"/>
  <c r="E4" i="61"/>
  <c r="D4" i="61"/>
  <c r="K4" i="61"/>
  <c r="Q4" i="61"/>
  <c r="U4" i="61"/>
  <c r="S4" i="61"/>
  <c r="G4" i="61"/>
  <c r="G188" i="38"/>
  <c r="I188" i="38"/>
  <c r="R71" i="38" s="1"/>
  <c r="N71" i="38" s="1"/>
  <c r="Q359" i="52"/>
  <c r="B24" i="57"/>
  <c r="W129" i="38"/>
  <c r="W97" i="38"/>
  <c r="W120" i="38"/>
  <c r="W75" i="38"/>
  <c r="W94" i="38"/>
  <c r="W87" i="38"/>
  <c r="W141" i="38"/>
  <c r="W122" i="38"/>
  <c r="W114" i="38"/>
  <c r="W102" i="38"/>
  <c r="W134" i="38"/>
  <c r="W88" i="38"/>
  <c r="W125" i="38"/>
  <c r="W103" i="38"/>
  <c r="W132" i="38"/>
  <c r="W74" i="38"/>
  <c r="W130" i="38"/>
  <c r="W100" i="38"/>
  <c r="W71" i="38"/>
  <c r="BZ99" i="50"/>
  <c r="BZ109" i="50" s="1"/>
  <c r="BZ96" i="50"/>
  <c r="K965" i="50"/>
  <c r="M965" i="50" s="1"/>
  <c r="AV965" i="50"/>
  <c r="AW965" i="50"/>
  <c r="AS965" i="50"/>
  <c r="AT965" i="50" s="1"/>
  <c r="W111" i="38"/>
  <c r="W86" i="38"/>
  <c r="W105" i="38"/>
  <c r="W118" i="38"/>
  <c r="W117" i="38"/>
  <c r="W144" i="38"/>
  <c r="W77" i="38"/>
  <c r="W139" i="38"/>
  <c r="W126" i="38"/>
  <c r="W73" i="38"/>
  <c r="AV1775" i="50"/>
  <c r="K1775" i="50"/>
  <c r="M1775" i="50" s="1"/>
  <c r="AW1775" i="50"/>
  <c r="AS1775" i="50"/>
  <c r="AT1775" i="50" s="1"/>
  <c r="W121" i="38"/>
  <c r="W76" i="38"/>
  <c r="W113" i="38"/>
  <c r="W123" i="38"/>
  <c r="W89" i="38"/>
  <c r="W90" i="38"/>
  <c r="W99" i="38"/>
  <c r="W101" i="38"/>
  <c r="W98" i="38"/>
  <c r="R73" i="38"/>
  <c r="N73" i="38" s="1"/>
  <c r="O500" i="52"/>
  <c r="Q500" i="52" s="1"/>
  <c r="C548" i="52"/>
  <c r="BZ126" i="50"/>
  <c r="BZ136" i="50" s="1"/>
  <c r="BZ123" i="50"/>
  <c r="AR126" i="50"/>
  <c r="M126" i="50"/>
  <c r="AC126" i="50"/>
  <c r="AC133" i="50" s="1"/>
  <c r="AC123" i="50"/>
  <c r="BZ69" i="50"/>
  <c r="BZ72" i="50"/>
  <c r="BZ82" i="50" s="1"/>
  <c r="AR72" i="50"/>
  <c r="M72" i="50"/>
  <c r="AW1802" i="50"/>
  <c r="AV1802" i="50"/>
  <c r="K1802" i="50"/>
  <c r="M1802" i="50" s="1"/>
  <c r="AS1802" i="50"/>
  <c r="AT1802" i="50" s="1"/>
  <c r="M1943" i="50"/>
  <c r="BD1940" i="50"/>
  <c r="BE1940" i="50"/>
  <c r="AW1938" i="50"/>
  <c r="K1938" i="50"/>
  <c r="M1938" i="50" s="1"/>
  <c r="AV1938" i="50"/>
  <c r="AS1938" i="50"/>
  <c r="AT1938" i="50" s="1"/>
  <c r="K1262" i="50"/>
  <c r="M1262" i="50" s="1"/>
  <c r="AV1262" i="50"/>
  <c r="AW1262" i="50"/>
  <c r="AS1262" i="50"/>
  <c r="AT1262" i="50" s="1"/>
  <c r="O454" i="52"/>
  <c r="Q454" i="52" s="1"/>
  <c r="C502" i="52"/>
  <c r="U5" i="61"/>
  <c r="S5" i="61"/>
  <c r="O5" i="61"/>
  <c r="E5" i="61"/>
  <c r="D5" i="61"/>
  <c r="G5" i="61"/>
  <c r="K5" i="61"/>
  <c r="Q5" i="61"/>
  <c r="AO133" i="50" l="1"/>
  <c r="AQ133" i="50" s="1"/>
  <c r="I133" i="50"/>
  <c r="AR133" i="50"/>
  <c r="AS133" i="50"/>
  <c r="AT133" i="50" s="1"/>
  <c r="O502" i="52"/>
  <c r="Q502" i="52" s="1"/>
  <c r="C550" i="52"/>
  <c r="BH116" i="50"/>
  <c r="F6" i="61" s="1"/>
  <c r="BZ140" i="50"/>
  <c r="BZ138" i="50"/>
  <c r="BZ113" i="50"/>
  <c r="BZ111" i="50"/>
  <c r="X33" i="60"/>
  <c r="W36" i="60"/>
  <c r="T36" i="60"/>
  <c r="W33" i="60"/>
  <c r="T32" i="60"/>
  <c r="T29" i="60"/>
  <c r="V36" i="60"/>
  <c r="U32" i="60"/>
  <c r="U33" i="60"/>
  <c r="T33" i="60"/>
  <c r="V32" i="60"/>
  <c r="X32" i="60"/>
  <c r="U28" i="60"/>
  <c r="V34" i="60"/>
  <c r="X36" i="60"/>
  <c r="W28" i="60"/>
  <c r="X27" i="60"/>
  <c r="X28" i="60"/>
  <c r="W34" i="60"/>
  <c r="W32" i="60"/>
  <c r="W31" i="60" s="1"/>
  <c r="V28" i="60"/>
  <c r="U34" i="60"/>
  <c r="V33" i="60"/>
  <c r="W27" i="60"/>
  <c r="T28" i="60"/>
  <c r="T27" i="60"/>
  <c r="T34" i="60"/>
  <c r="V27" i="60"/>
  <c r="U36" i="60"/>
  <c r="U27" i="60"/>
  <c r="X34" i="60"/>
  <c r="AW1937" i="50"/>
  <c r="K1937" i="50"/>
  <c r="M1937" i="50" s="1"/>
  <c r="AV1937" i="50"/>
  <c r="AS1937" i="50"/>
  <c r="AT1937" i="50" s="1"/>
  <c r="AS72" i="50"/>
  <c r="AT72" i="50" s="1"/>
  <c r="AG72" i="50"/>
  <c r="AF72" i="50"/>
  <c r="AH72" i="50" s="1"/>
  <c r="AP72" i="50" s="1"/>
  <c r="AS99" i="50"/>
  <c r="AF99" i="50"/>
  <c r="AT99" i="50"/>
  <c r="AG99" i="50"/>
  <c r="C503" i="52"/>
  <c r="O455" i="52"/>
  <c r="Q455" i="52" s="1"/>
  <c r="O549" i="52"/>
  <c r="Q549" i="52" s="1"/>
  <c r="C597" i="52"/>
  <c r="C643" i="52"/>
  <c r="O643" i="52" s="1"/>
  <c r="Q643" i="52" s="1"/>
  <c r="O595" i="52"/>
  <c r="Q595" i="52" s="1"/>
  <c r="R72" i="38"/>
  <c r="N72" i="38" s="1"/>
  <c r="BZ79" i="50"/>
  <c r="BZ133" i="50"/>
  <c r="BZ107" i="50"/>
  <c r="BZ106" i="50"/>
  <c r="AC106" i="50"/>
  <c r="AC80" i="50"/>
  <c r="BZ134" i="50"/>
  <c r="BH62" i="50"/>
  <c r="F4" i="61" s="1"/>
  <c r="AT126" i="50"/>
  <c r="AS126" i="50"/>
  <c r="AG126" i="50"/>
  <c r="AF126" i="50"/>
  <c r="BZ84" i="50"/>
  <c r="BZ86" i="50"/>
  <c r="O548" i="52"/>
  <c r="Q548" i="52" s="1"/>
  <c r="C596" i="52"/>
  <c r="Z75" i="50"/>
  <c r="Y132" i="50"/>
  <c r="Y102" i="50"/>
  <c r="Y101" i="50"/>
  <c r="Z74" i="50"/>
  <c r="Z129" i="50"/>
  <c r="Z102" i="50"/>
  <c r="Y74" i="50"/>
  <c r="Y78" i="50"/>
  <c r="Y75" i="50"/>
  <c r="Z128" i="50"/>
  <c r="Y129" i="50"/>
  <c r="Y128" i="50"/>
  <c r="Y105" i="50"/>
  <c r="BH89" i="50"/>
  <c r="F5" i="61" s="1"/>
  <c r="AC79" i="50"/>
  <c r="AC107" i="50"/>
  <c r="Z101" i="50"/>
  <c r="BZ80" i="50"/>
  <c r="AC134" i="50"/>
  <c r="AA101" i="50" l="1"/>
  <c r="G101" i="50"/>
  <c r="AR79" i="50"/>
  <c r="AO79" i="50"/>
  <c r="AQ79" i="50" s="1"/>
  <c r="AS79" i="50" s="1"/>
  <c r="AT79" i="50" s="1"/>
  <c r="I79" i="50"/>
  <c r="AY129" i="50"/>
  <c r="AC129" i="50"/>
  <c r="BZ129" i="50"/>
  <c r="M129" i="50"/>
  <c r="AY78" i="50"/>
  <c r="AC78" i="50"/>
  <c r="BZ78" i="50"/>
  <c r="AA129" i="50"/>
  <c r="G129" i="50"/>
  <c r="AY102" i="50"/>
  <c r="AC102" i="50"/>
  <c r="BZ102" i="50"/>
  <c r="M102" i="50"/>
  <c r="G75" i="50"/>
  <c r="AA75" i="50"/>
  <c r="C644" i="52"/>
  <c r="O644" i="52" s="1"/>
  <c r="Q644" i="52" s="1"/>
  <c r="O596" i="52"/>
  <c r="Q596" i="52" s="1"/>
  <c r="AR80" i="50"/>
  <c r="BS62" i="50" s="1"/>
  <c r="T4" i="61" s="1"/>
  <c r="AS80" i="50"/>
  <c r="AT80" i="50" s="1"/>
  <c r="I80" i="50"/>
  <c r="AO80" i="50"/>
  <c r="AQ80" i="50" s="1"/>
  <c r="O503" i="52"/>
  <c r="Q503" i="52" s="1"/>
  <c r="C551" i="52"/>
  <c r="AH99" i="50"/>
  <c r="J34" i="60"/>
  <c r="I34" i="60"/>
  <c r="H34" i="60"/>
  <c r="K34" i="60"/>
  <c r="L34" i="60"/>
  <c r="I28" i="60"/>
  <c r="L28" i="60"/>
  <c r="H28" i="60"/>
  <c r="K28" i="60"/>
  <c r="J28" i="60"/>
  <c r="V31" i="60"/>
  <c r="K32" i="60"/>
  <c r="K31" i="60" s="1"/>
  <c r="H32" i="60"/>
  <c r="J32" i="60"/>
  <c r="J31" i="60" s="1"/>
  <c r="I32" i="60"/>
  <c r="T31" i="60"/>
  <c r="L32" i="60"/>
  <c r="L31" i="60" s="1"/>
  <c r="L36" i="60"/>
  <c r="J36" i="60"/>
  <c r="K36" i="60"/>
  <c r="I36" i="60"/>
  <c r="H36" i="60"/>
  <c r="BR116" i="50"/>
  <c r="R6" i="61" s="1"/>
  <c r="AR134" i="50"/>
  <c r="BS116" i="50" s="1"/>
  <c r="T6" i="61" s="1"/>
  <c r="AO134" i="50"/>
  <c r="AQ134" i="50" s="1"/>
  <c r="AS134" i="50"/>
  <c r="I134" i="50"/>
  <c r="AT134" i="50"/>
  <c r="AY105" i="50"/>
  <c r="BZ105" i="50"/>
  <c r="AC105" i="50"/>
  <c r="G128" i="50"/>
  <c r="AA128" i="50"/>
  <c r="I107" i="50"/>
  <c r="AR107" i="50"/>
  <c r="BS89" i="50" s="1"/>
  <c r="T5" i="61" s="1"/>
  <c r="AS107" i="50"/>
  <c r="AT107" i="50" s="1"/>
  <c r="AO107" i="50"/>
  <c r="AQ107" i="50" s="1"/>
  <c r="AY128" i="50"/>
  <c r="M128" i="50" s="1"/>
  <c r="AC128" i="50"/>
  <c r="BZ128" i="50"/>
  <c r="AY75" i="50"/>
  <c r="M75" i="50" s="1"/>
  <c r="AC75" i="50"/>
  <c r="BZ75" i="50"/>
  <c r="AY74" i="50"/>
  <c r="M74" i="50" s="1"/>
  <c r="BZ74" i="50"/>
  <c r="AC74" i="50"/>
  <c r="G102" i="50"/>
  <c r="AA102" i="50"/>
  <c r="G74" i="50"/>
  <c r="AA74" i="50"/>
  <c r="AY101" i="50"/>
  <c r="BZ101" i="50"/>
  <c r="AC101" i="50"/>
  <c r="M101" i="50"/>
  <c r="AY132" i="50"/>
  <c r="AC132" i="50"/>
  <c r="BZ132" i="50"/>
  <c r="AH126" i="50"/>
  <c r="I106" i="50"/>
  <c r="AR106" i="50"/>
  <c r="AO106" i="50"/>
  <c r="AQ106" i="50" s="1"/>
  <c r="AS106" i="50"/>
  <c r="AT106" i="50" s="1"/>
  <c r="C645" i="52"/>
  <c r="O645" i="52" s="1"/>
  <c r="Q645" i="52" s="1"/>
  <c r="O597" i="52"/>
  <c r="Q597" i="52" s="1"/>
  <c r="AI72" i="50"/>
  <c r="J27" i="60"/>
  <c r="H27" i="60"/>
  <c r="L27" i="60"/>
  <c r="K27" i="60"/>
  <c r="I27" i="60"/>
  <c r="X31" i="60"/>
  <c r="H33" i="60"/>
  <c r="I33" i="60"/>
  <c r="U31" i="60"/>
  <c r="H29" i="60"/>
  <c r="I29" i="60"/>
  <c r="C598" i="52"/>
  <c r="O550" i="52"/>
  <c r="Q550" i="52" s="1"/>
  <c r="AV133" i="50"/>
  <c r="AW133" i="50"/>
  <c r="K133" i="50"/>
  <c r="AZ106" i="50" l="1"/>
  <c r="BR89" i="50"/>
  <c r="R5" i="61" s="1"/>
  <c r="AZ107" i="50"/>
  <c r="AN132" i="50"/>
  <c r="AO132" i="50"/>
  <c r="AG132" i="50"/>
  <c r="AF132" i="50"/>
  <c r="AJ132" i="50"/>
  <c r="AR132" i="50"/>
  <c r="BP116" i="50" s="1"/>
  <c r="L6" i="61" s="1"/>
  <c r="AN75" i="50"/>
  <c r="AG75" i="50"/>
  <c r="AJ75" i="50"/>
  <c r="AR75" i="50"/>
  <c r="AF75" i="50"/>
  <c r="AO75" i="50"/>
  <c r="AF128" i="50"/>
  <c r="AN128" i="50"/>
  <c r="AG128" i="50"/>
  <c r="AR128" i="50"/>
  <c r="BJ116" i="50" s="1"/>
  <c r="J6" i="61" s="1"/>
  <c r="AO128" i="50"/>
  <c r="AV107" i="50"/>
  <c r="K107" i="50"/>
  <c r="M107" i="50" s="1"/>
  <c r="AW107" i="50"/>
  <c r="AO105" i="50"/>
  <c r="AJ105" i="50"/>
  <c r="AG105" i="50"/>
  <c r="AF105" i="50"/>
  <c r="AR105" i="50"/>
  <c r="BP89" i="50" s="1"/>
  <c r="L5" i="61" s="1"/>
  <c r="AN105" i="50"/>
  <c r="AW134" i="50"/>
  <c r="AV134" i="50"/>
  <c r="K134" i="50"/>
  <c r="AZ133" i="50"/>
  <c r="M133" i="50" s="1"/>
  <c r="I31" i="60"/>
  <c r="H31" i="60"/>
  <c r="O551" i="52"/>
  <c r="Q551" i="52" s="1"/>
  <c r="C599" i="52"/>
  <c r="AW80" i="50"/>
  <c r="K80" i="50"/>
  <c r="AV80" i="50"/>
  <c r="BR62" i="50"/>
  <c r="R4" i="61" s="1"/>
  <c r="AZ79" i="50"/>
  <c r="AZ80" i="50"/>
  <c r="C646" i="52"/>
  <c r="O646" i="52" s="1"/>
  <c r="Q646" i="52" s="1"/>
  <c r="O598" i="52"/>
  <c r="Q598" i="52" s="1"/>
  <c r="K106" i="50"/>
  <c r="M106" i="50" s="1"/>
  <c r="AW106" i="50"/>
  <c r="AV106" i="50"/>
  <c r="AP126" i="50"/>
  <c r="AI126" i="50"/>
  <c r="AN101" i="50"/>
  <c r="AF101" i="50"/>
  <c r="AO101" i="50"/>
  <c r="AG101" i="50"/>
  <c r="AR101" i="50"/>
  <c r="BJ89" i="50" s="1"/>
  <c r="J5" i="61" s="1"/>
  <c r="AG74" i="50"/>
  <c r="AF74" i="50"/>
  <c r="AH74" i="50" s="1"/>
  <c r="AO74" i="50"/>
  <c r="AN74" i="50"/>
  <c r="AR74" i="50"/>
  <c r="BJ62" i="50" s="1"/>
  <c r="J4" i="61" s="1"/>
  <c r="AH128" i="50"/>
  <c r="AP128" i="50" s="1"/>
  <c r="AQ128" i="50"/>
  <c r="AS128" i="50" s="1"/>
  <c r="AT128" i="50" s="1"/>
  <c r="AW128" i="50"/>
  <c r="AZ134" i="50"/>
  <c r="AP99" i="50"/>
  <c r="AI99" i="50"/>
  <c r="Y103" i="50"/>
  <c r="Y130" i="50"/>
  <c r="Z130" i="50"/>
  <c r="G130" i="50" s="1"/>
  <c r="Z103" i="50"/>
  <c r="G103" i="50" s="1"/>
  <c r="Y76" i="50"/>
  <c r="Z76" i="50"/>
  <c r="G76" i="50" s="1"/>
  <c r="AH75" i="50"/>
  <c r="AP75" i="50" s="1"/>
  <c r="AQ75" i="50"/>
  <c r="AS75" i="50" s="1"/>
  <c r="AT75" i="50" s="1"/>
  <c r="AW75" i="50"/>
  <c r="AG102" i="50"/>
  <c r="AF102" i="50"/>
  <c r="AH102" i="50" s="1"/>
  <c r="AP102" i="50" s="1"/>
  <c r="AQ102" i="50" s="1"/>
  <c r="AO102" i="50"/>
  <c r="AJ102" i="50"/>
  <c r="AR102" i="50"/>
  <c r="AN102" i="50"/>
  <c r="AG78" i="50"/>
  <c r="AJ78" i="50"/>
  <c r="AR78" i="50"/>
  <c r="BP62" i="50" s="1"/>
  <c r="L4" i="61" s="1"/>
  <c r="AO78" i="50"/>
  <c r="AN78" i="50"/>
  <c r="AF78" i="50"/>
  <c r="AO129" i="50"/>
  <c r="AG129" i="50"/>
  <c r="AJ129" i="50"/>
  <c r="AF129" i="50"/>
  <c r="AH129" i="50" s="1"/>
  <c r="AP129" i="50" s="1"/>
  <c r="AQ129" i="50" s="1"/>
  <c r="AN129" i="50"/>
  <c r="AR129" i="50"/>
  <c r="AW79" i="50"/>
  <c r="K79" i="50"/>
  <c r="M79" i="50" s="1"/>
  <c r="AV79" i="50"/>
  <c r="AH101" i="50"/>
  <c r="AP101" i="50" s="1"/>
  <c r="AQ101" i="50"/>
  <c r="AS101" i="50" s="1"/>
  <c r="AT101" i="50" s="1"/>
  <c r="AV102" i="50" l="1"/>
  <c r="AW102" i="50"/>
  <c r="AS102" i="50"/>
  <c r="AT102" i="50" s="1"/>
  <c r="AV129" i="50"/>
  <c r="AS129" i="50"/>
  <c r="AT129" i="50" s="1"/>
  <c r="AW129" i="50"/>
  <c r="AP74" i="50"/>
  <c r="AQ74" i="50" s="1"/>
  <c r="AI74" i="50"/>
  <c r="BM116" i="50"/>
  <c r="I6" i="61" s="1"/>
  <c r="I129" i="50"/>
  <c r="AY76" i="50"/>
  <c r="BZ76" i="50"/>
  <c r="AC76" i="50"/>
  <c r="AC130" i="50"/>
  <c r="AY130" i="50"/>
  <c r="BZ130" i="50"/>
  <c r="M80" i="50"/>
  <c r="O599" i="52"/>
  <c r="Q599" i="52" s="1"/>
  <c r="C647" i="52"/>
  <c r="O647" i="52" s="1"/>
  <c r="Q647" i="52" s="1"/>
  <c r="BQ89" i="50"/>
  <c r="M5" i="61" s="1"/>
  <c r="AP105" i="50"/>
  <c r="AQ105" i="50" s="1"/>
  <c r="I105" i="50"/>
  <c r="AX105" i="50"/>
  <c r="BL62" i="50"/>
  <c r="H4" i="61" s="1"/>
  <c r="BC77" i="50"/>
  <c r="BC78" i="50"/>
  <c r="I75" i="50"/>
  <c r="BM62" i="50"/>
  <c r="I4" i="61" s="1"/>
  <c r="BQ116" i="50"/>
  <c r="M6" i="61" s="1"/>
  <c r="AX132" i="50"/>
  <c r="AP132" i="50"/>
  <c r="AQ132" i="50" s="1"/>
  <c r="I132" i="50"/>
  <c r="AV101" i="50"/>
  <c r="AP78" i="50"/>
  <c r="AQ78" i="50" s="1"/>
  <c r="I78" i="50"/>
  <c r="BQ62" i="50"/>
  <c r="M4" i="61" s="1"/>
  <c r="AX78" i="50"/>
  <c r="BL89" i="50"/>
  <c r="H5" i="61" s="1"/>
  <c r="BC104" i="50"/>
  <c r="BC105" i="50"/>
  <c r="BM89" i="50"/>
  <c r="I5" i="61" s="1"/>
  <c r="I102" i="50"/>
  <c r="AW101" i="50"/>
  <c r="BL116" i="50"/>
  <c r="H6" i="61" s="1"/>
  <c r="BC132" i="50"/>
  <c r="BC131" i="50"/>
  <c r="AV75" i="50"/>
  <c r="AY103" i="50"/>
  <c r="BZ103" i="50"/>
  <c r="AC103" i="50"/>
  <c r="AV128" i="50"/>
  <c r="AI101" i="50"/>
  <c r="M134" i="50"/>
  <c r="AI128" i="50"/>
  <c r="AT103" i="50" l="1"/>
  <c r="AR103" i="50"/>
  <c r="I103" i="50"/>
  <c r="AS103" i="50"/>
  <c r="BE132" i="50"/>
  <c r="BD132" i="50"/>
  <c r="R126" i="50"/>
  <c r="BX116" i="50" s="1"/>
  <c r="AY6" i="61" s="1"/>
  <c r="BE131" i="50"/>
  <c r="BD131" i="50"/>
  <c r="R125" i="50"/>
  <c r="BW116" i="50" s="1"/>
  <c r="AX6" i="61" s="1"/>
  <c r="BE104" i="50"/>
  <c r="BD104" i="50"/>
  <c r="R98" i="50"/>
  <c r="BW89" i="50" s="1"/>
  <c r="AX5" i="61" s="1"/>
  <c r="AV132" i="50"/>
  <c r="K132" i="50"/>
  <c r="M132" i="50" s="1"/>
  <c r="AW132" i="50"/>
  <c r="AS132" i="50"/>
  <c r="AT132" i="50" s="1"/>
  <c r="BD78" i="50"/>
  <c r="BE78" i="50"/>
  <c r="R72" i="50"/>
  <c r="BX62" i="50" s="1"/>
  <c r="AY4" i="61" s="1"/>
  <c r="Y104" i="50"/>
  <c r="Y77" i="50"/>
  <c r="Y131" i="50"/>
  <c r="BE105" i="50"/>
  <c r="BD105" i="50"/>
  <c r="R99" i="50"/>
  <c r="BX89" i="50" s="1"/>
  <c r="AY5" i="61" s="1"/>
  <c r="AV78" i="50"/>
  <c r="K78" i="50"/>
  <c r="M78" i="50" s="1"/>
  <c r="AW78" i="50"/>
  <c r="AS78" i="50"/>
  <c r="AT78" i="50" s="1"/>
  <c r="BD77" i="50"/>
  <c r="BE77" i="50"/>
  <c r="R71" i="50"/>
  <c r="BW62" i="50" s="1"/>
  <c r="AX4" i="61" s="1"/>
  <c r="U26" i="60" s="1"/>
  <c r="U25" i="60" s="1"/>
  <c r="K105" i="50"/>
  <c r="M105" i="50" s="1"/>
  <c r="AW105" i="50"/>
  <c r="AV105" i="50"/>
  <c r="AS105" i="50"/>
  <c r="AT105" i="50" s="1"/>
  <c r="AR130" i="50"/>
  <c r="AT130" i="50"/>
  <c r="AS130" i="50"/>
  <c r="I130" i="50"/>
  <c r="I76" i="50"/>
  <c r="AS76" i="50"/>
  <c r="AR76" i="50"/>
  <c r="AT76" i="50"/>
  <c r="AW74" i="50"/>
  <c r="AS74" i="50"/>
  <c r="AT74" i="50" s="1"/>
  <c r="AV74" i="50"/>
  <c r="AY131" i="50" l="1"/>
  <c r="AC131" i="50"/>
  <c r="BZ131" i="50"/>
  <c r="AY104" i="50"/>
  <c r="AC104" i="50"/>
  <c r="BZ104" i="50"/>
  <c r="AW76" i="50"/>
  <c r="AZ76" i="50"/>
  <c r="M76" i="50" s="1"/>
  <c r="BN62" i="50"/>
  <c r="N4" i="61" s="1"/>
  <c r="BC76" i="50"/>
  <c r="N62" i="50" s="1"/>
  <c r="BT62" i="50" s="1"/>
  <c r="AU4" i="61" s="1"/>
  <c r="BC75" i="50"/>
  <c r="N63" i="50" s="1"/>
  <c r="BU62" i="50" s="1"/>
  <c r="AV4" i="61" s="1"/>
  <c r="BC74" i="50"/>
  <c r="R65" i="50" s="1"/>
  <c r="BV62" i="50" s="1"/>
  <c r="AW4" i="61" s="1"/>
  <c r="AZ130" i="50"/>
  <c r="M130" i="50" s="1"/>
  <c r="AW130" i="50"/>
  <c r="BN116" i="50"/>
  <c r="N6" i="61" s="1"/>
  <c r="BC130" i="50"/>
  <c r="N116" i="50" s="1"/>
  <c r="BT116" i="50" s="1"/>
  <c r="AU6" i="61" s="1"/>
  <c r="BC128" i="50"/>
  <c r="R119" i="50" s="1"/>
  <c r="BV116" i="50" s="1"/>
  <c r="AW6" i="61" s="1"/>
  <c r="BC129" i="50"/>
  <c r="N117" i="50" s="1"/>
  <c r="BU116" i="50" s="1"/>
  <c r="AV6" i="61" s="1"/>
  <c r="AY77" i="50"/>
  <c r="AC77" i="50"/>
  <c r="BZ77" i="50"/>
  <c r="W26" i="60"/>
  <c r="W25" i="60" s="1"/>
  <c r="AW103" i="50"/>
  <c r="BN89" i="50"/>
  <c r="N5" i="61" s="1"/>
  <c r="AZ103" i="50"/>
  <c r="M103" i="50" s="1"/>
  <c r="BC102" i="50"/>
  <c r="N90" i="50" s="1"/>
  <c r="BU89" i="50" s="1"/>
  <c r="AV5" i="61" s="1"/>
  <c r="BC101" i="50"/>
  <c r="R92" i="50" s="1"/>
  <c r="BV89" i="50" s="1"/>
  <c r="AW5" i="61" s="1"/>
  <c r="BC103" i="50"/>
  <c r="N89" i="50" s="1"/>
  <c r="BT89" i="50" s="1"/>
  <c r="AU5" i="61" s="1"/>
  <c r="AS77" i="50" l="1"/>
  <c r="AR77" i="50"/>
  <c r="AT77" i="50"/>
  <c r="I77" i="50"/>
  <c r="X26" i="60"/>
  <c r="X25" i="60" s="1"/>
  <c r="T26" i="60"/>
  <c r="AS104" i="50"/>
  <c r="AT104" i="50" s="1"/>
  <c r="AR104" i="50"/>
  <c r="I104" i="50"/>
  <c r="AS131" i="50"/>
  <c r="I131" i="50"/>
  <c r="AR131" i="50"/>
  <c r="AT131" i="50"/>
  <c r="V26" i="60"/>
  <c r="V25" i="60" s="1"/>
  <c r="T25" i="60" l="1"/>
  <c r="J26" i="60"/>
  <c r="J25" i="60" s="1"/>
  <c r="H26" i="60"/>
  <c r="H25" i="60" s="1"/>
  <c r="K26" i="60"/>
  <c r="K25" i="60" s="1"/>
  <c r="K38" i="60" s="1"/>
  <c r="L26" i="60"/>
  <c r="L25" i="60" s="1"/>
  <c r="I26" i="60"/>
  <c r="I25" i="60" s="1"/>
  <c r="I38" i="60" s="1"/>
  <c r="BO62" i="50"/>
  <c r="P4" i="61" s="1"/>
  <c r="AZ77" i="50"/>
  <c r="M77" i="50" s="1"/>
  <c r="AW77" i="50"/>
  <c r="AZ131" i="50"/>
  <c r="M131" i="50" s="1"/>
  <c r="BO116" i="50"/>
  <c r="P6" i="61" s="1"/>
  <c r="AW131" i="50"/>
  <c r="AZ104" i="50"/>
  <c r="M104" i="50" s="1"/>
  <c r="BO89" i="50"/>
  <c r="P5" i="61" s="1"/>
  <c r="AW104" i="50"/>
  <c r="J43" i="60" l="1"/>
  <c r="J38" i="60"/>
  <c r="J45" i="60"/>
  <c r="L38" i="60"/>
  <c r="H38" i="60"/>
  <c r="J40" i="60"/>
</calcChain>
</file>

<file path=xl/comments1.xml><?xml version="1.0" encoding="utf-8"?>
<comments xmlns="http://schemas.openxmlformats.org/spreadsheetml/2006/main">
  <authors>
    <author>Christian</author>
  </authors>
  <commentList>
    <comment ref="Y79" authorId="0">
      <text>
        <r>
          <rPr>
            <b/>
            <sz val="9"/>
            <color indexed="81"/>
            <rFont val="Tahoma"/>
            <family val="2"/>
          </rPr>
          <t>Christian:</t>
        </r>
        <r>
          <rPr>
            <sz val="9"/>
            <color indexed="81"/>
            <rFont val="Tahoma"/>
            <family val="2"/>
          </rPr>
          <t xml:space="preserve">
NA if fossil</t>
        </r>
      </text>
    </comment>
    <comment ref="AO79" authorId="0">
      <text>
        <r>
          <rPr>
            <b/>
            <sz val="9"/>
            <color indexed="81"/>
            <rFont val="Tahoma"/>
            <family val="2"/>
          </rPr>
          <t>Christian:</t>
        </r>
        <r>
          <rPr>
            <sz val="9"/>
            <color indexed="81"/>
            <rFont val="Tahoma"/>
            <family val="2"/>
          </rPr>
          <t xml:space="preserve">
Type I here related to MS specific</t>
        </r>
      </text>
    </comment>
    <comment ref="Y80" authorId="0">
      <text>
        <r>
          <rPr>
            <b/>
            <sz val="9"/>
            <color indexed="81"/>
            <rFont val="Tahoma"/>
            <family val="2"/>
          </rPr>
          <t>Christian:</t>
        </r>
        <r>
          <rPr>
            <sz val="9"/>
            <color indexed="81"/>
            <rFont val="Tahoma"/>
            <family val="2"/>
          </rPr>
          <t xml:space="preserve">
NA if fossil</t>
        </r>
      </text>
    </comment>
    <comment ref="AO80" authorId="0">
      <text>
        <r>
          <rPr>
            <b/>
            <sz val="9"/>
            <color indexed="81"/>
            <rFont val="Tahoma"/>
            <family val="2"/>
          </rPr>
          <t>Christian:</t>
        </r>
        <r>
          <rPr>
            <sz val="9"/>
            <color indexed="81"/>
            <rFont val="Tahoma"/>
            <family val="2"/>
          </rPr>
          <t xml:space="preserve">
Type I here related to MS specific</t>
        </r>
      </text>
    </comment>
    <comment ref="Y106" authorId="0">
      <text>
        <r>
          <rPr>
            <b/>
            <sz val="9"/>
            <color indexed="81"/>
            <rFont val="Tahoma"/>
            <family val="2"/>
          </rPr>
          <t>Christian:</t>
        </r>
        <r>
          <rPr>
            <sz val="9"/>
            <color indexed="81"/>
            <rFont val="Tahoma"/>
            <family val="2"/>
          </rPr>
          <t xml:space="preserve">
NA if fossil</t>
        </r>
      </text>
    </comment>
    <comment ref="AO106" authorId="0">
      <text>
        <r>
          <rPr>
            <b/>
            <sz val="9"/>
            <color indexed="81"/>
            <rFont val="Tahoma"/>
            <family val="2"/>
          </rPr>
          <t>Christian:</t>
        </r>
        <r>
          <rPr>
            <sz val="9"/>
            <color indexed="81"/>
            <rFont val="Tahoma"/>
            <family val="2"/>
          </rPr>
          <t xml:space="preserve">
Type I here related to MS specific</t>
        </r>
      </text>
    </comment>
    <comment ref="Y107" authorId="0">
      <text>
        <r>
          <rPr>
            <b/>
            <sz val="9"/>
            <color indexed="81"/>
            <rFont val="Tahoma"/>
            <family val="2"/>
          </rPr>
          <t>Christian:</t>
        </r>
        <r>
          <rPr>
            <sz val="9"/>
            <color indexed="81"/>
            <rFont val="Tahoma"/>
            <family val="2"/>
          </rPr>
          <t xml:space="preserve">
NA if fossil</t>
        </r>
      </text>
    </comment>
    <comment ref="AO107" authorId="0">
      <text>
        <r>
          <rPr>
            <b/>
            <sz val="9"/>
            <color indexed="81"/>
            <rFont val="Tahoma"/>
            <family val="2"/>
          </rPr>
          <t>Christian:</t>
        </r>
        <r>
          <rPr>
            <sz val="9"/>
            <color indexed="81"/>
            <rFont val="Tahoma"/>
            <family val="2"/>
          </rPr>
          <t xml:space="preserve">
Type I here related to MS specific</t>
        </r>
      </text>
    </comment>
    <comment ref="Y133" authorId="0">
      <text>
        <r>
          <rPr>
            <b/>
            <sz val="9"/>
            <color indexed="81"/>
            <rFont val="Tahoma"/>
            <family val="2"/>
          </rPr>
          <t>Christian:</t>
        </r>
        <r>
          <rPr>
            <sz val="9"/>
            <color indexed="81"/>
            <rFont val="Tahoma"/>
            <family val="2"/>
          </rPr>
          <t xml:space="preserve">
NA if fossil</t>
        </r>
      </text>
    </comment>
    <comment ref="AO133" authorId="0">
      <text>
        <r>
          <rPr>
            <b/>
            <sz val="9"/>
            <color indexed="81"/>
            <rFont val="Tahoma"/>
            <family val="2"/>
          </rPr>
          <t>Christian:</t>
        </r>
        <r>
          <rPr>
            <sz val="9"/>
            <color indexed="81"/>
            <rFont val="Tahoma"/>
            <family val="2"/>
          </rPr>
          <t xml:space="preserve">
Type I here related to MS specific</t>
        </r>
      </text>
    </comment>
    <comment ref="Y134" authorId="0">
      <text>
        <r>
          <rPr>
            <b/>
            <sz val="9"/>
            <color indexed="81"/>
            <rFont val="Tahoma"/>
            <family val="2"/>
          </rPr>
          <t>Christian:</t>
        </r>
        <r>
          <rPr>
            <sz val="9"/>
            <color indexed="81"/>
            <rFont val="Tahoma"/>
            <family val="2"/>
          </rPr>
          <t xml:space="preserve">
NA if fossil</t>
        </r>
      </text>
    </comment>
    <comment ref="AO134" authorId="0">
      <text>
        <r>
          <rPr>
            <b/>
            <sz val="9"/>
            <color indexed="81"/>
            <rFont val="Tahoma"/>
            <family val="2"/>
          </rPr>
          <t>Christian:</t>
        </r>
        <r>
          <rPr>
            <sz val="9"/>
            <color indexed="81"/>
            <rFont val="Tahoma"/>
            <family val="2"/>
          </rPr>
          <t xml:space="preserve">
Type I here related to MS specific</t>
        </r>
      </text>
    </comment>
    <comment ref="Y160" authorId="0">
      <text>
        <r>
          <rPr>
            <b/>
            <sz val="9"/>
            <color indexed="81"/>
            <rFont val="Tahoma"/>
            <family val="2"/>
          </rPr>
          <t>Christian:</t>
        </r>
        <r>
          <rPr>
            <sz val="9"/>
            <color indexed="81"/>
            <rFont val="Tahoma"/>
            <family val="2"/>
          </rPr>
          <t xml:space="preserve">
NA if fossil</t>
        </r>
      </text>
    </comment>
    <comment ref="AO160" authorId="0">
      <text>
        <r>
          <rPr>
            <b/>
            <sz val="9"/>
            <color indexed="81"/>
            <rFont val="Tahoma"/>
            <family val="2"/>
          </rPr>
          <t>Christian:</t>
        </r>
        <r>
          <rPr>
            <sz val="9"/>
            <color indexed="81"/>
            <rFont val="Tahoma"/>
            <family val="2"/>
          </rPr>
          <t xml:space="preserve">
Type I here related to MS specific</t>
        </r>
      </text>
    </comment>
    <comment ref="Y161" authorId="0">
      <text>
        <r>
          <rPr>
            <b/>
            <sz val="9"/>
            <color indexed="81"/>
            <rFont val="Tahoma"/>
            <family val="2"/>
          </rPr>
          <t>Christian:</t>
        </r>
        <r>
          <rPr>
            <sz val="9"/>
            <color indexed="81"/>
            <rFont val="Tahoma"/>
            <family val="2"/>
          </rPr>
          <t xml:space="preserve">
NA if fossil</t>
        </r>
      </text>
    </comment>
    <comment ref="AO161" authorId="0">
      <text>
        <r>
          <rPr>
            <b/>
            <sz val="9"/>
            <color indexed="81"/>
            <rFont val="Tahoma"/>
            <family val="2"/>
          </rPr>
          <t>Christian:</t>
        </r>
        <r>
          <rPr>
            <sz val="9"/>
            <color indexed="81"/>
            <rFont val="Tahoma"/>
            <family val="2"/>
          </rPr>
          <t xml:space="preserve">
Type I here related to MS specific</t>
        </r>
      </text>
    </comment>
    <comment ref="Y187" authorId="0">
      <text>
        <r>
          <rPr>
            <b/>
            <sz val="9"/>
            <color indexed="81"/>
            <rFont val="Tahoma"/>
            <family val="2"/>
          </rPr>
          <t>Christian:</t>
        </r>
        <r>
          <rPr>
            <sz val="9"/>
            <color indexed="81"/>
            <rFont val="Tahoma"/>
            <family val="2"/>
          </rPr>
          <t xml:space="preserve">
NA if fossil</t>
        </r>
      </text>
    </comment>
    <comment ref="AO187" authorId="0">
      <text>
        <r>
          <rPr>
            <b/>
            <sz val="9"/>
            <color indexed="81"/>
            <rFont val="Tahoma"/>
            <family val="2"/>
          </rPr>
          <t>Christian:</t>
        </r>
        <r>
          <rPr>
            <sz val="9"/>
            <color indexed="81"/>
            <rFont val="Tahoma"/>
            <family val="2"/>
          </rPr>
          <t xml:space="preserve">
Type I here related to MS specific</t>
        </r>
      </text>
    </comment>
    <comment ref="Y188" authorId="0">
      <text>
        <r>
          <rPr>
            <b/>
            <sz val="9"/>
            <color indexed="81"/>
            <rFont val="Tahoma"/>
            <family val="2"/>
          </rPr>
          <t>Christian:</t>
        </r>
        <r>
          <rPr>
            <sz val="9"/>
            <color indexed="81"/>
            <rFont val="Tahoma"/>
            <family val="2"/>
          </rPr>
          <t xml:space="preserve">
NA if fossil</t>
        </r>
      </text>
    </comment>
    <comment ref="AO188" authorId="0">
      <text>
        <r>
          <rPr>
            <b/>
            <sz val="9"/>
            <color indexed="81"/>
            <rFont val="Tahoma"/>
            <family val="2"/>
          </rPr>
          <t>Christian:</t>
        </r>
        <r>
          <rPr>
            <sz val="9"/>
            <color indexed="81"/>
            <rFont val="Tahoma"/>
            <family val="2"/>
          </rPr>
          <t xml:space="preserve">
Type I here related to MS specific</t>
        </r>
      </text>
    </comment>
    <comment ref="Y214" authorId="0">
      <text>
        <r>
          <rPr>
            <b/>
            <sz val="9"/>
            <color indexed="81"/>
            <rFont val="Tahoma"/>
            <family val="2"/>
          </rPr>
          <t>Christian:</t>
        </r>
        <r>
          <rPr>
            <sz val="9"/>
            <color indexed="81"/>
            <rFont val="Tahoma"/>
            <family val="2"/>
          </rPr>
          <t xml:space="preserve">
NA if fossil</t>
        </r>
      </text>
    </comment>
    <comment ref="AO214" authorId="0">
      <text>
        <r>
          <rPr>
            <b/>
            <sz val="9"/>
            <color indexed="81"/>
            <rFont val="Tahoma"/>
            <family val="2"/>
          </rPr>
          <t>Christian:</t>
        </r>
        <r>
          <rPr>
            <sz val="9"/>
            <color indexed="81"/>
            <rFont val="Tahoma"/>
            <family val="2"/>
          </rPr>
          <t xml:space="preserve">
Type I here related to MS specific</t>
        </r>
      </text>
    </comment>
    <comment ref="Y215" authorId="0">
      <text>
        <r>
          <rPr>
            <b/>
            <sz val="9"/>
            <color indexed="81"/>
            <rFont val="Tahoma"/>
            <family val="2"/>
          </rPr>
          <t>Christian:</t>
        </r>
        <r>
          <rPr>
            <sz val="9"/>
            <color indexed="81"/>
            <rFont val="Tahoma"/>
            <family val="2"/>
          </rPr>
          <t xml:space="preserve">
NA if fossil</t>
        </r>
      </text>
    </comment>
    <comment ref="AO215" authorId="0">
      <text>
        <r>
          <rPr>
            <b/>
            <sz val="9"/>
            <color indexed="81"/>
            <rFont val="Tahoma"/>
            <family val="2"/>
          </rPr>
          <t>Christian:</t>
        </r>
        <r>
          <rPr>
            <sz val="9"/>
            <color indexed="81"/>
            <rFont val="Tahoma"/>
            <family val="2"/>
          </rPr>
          <t xml:space="preserve">
Type I here related to MS specific</t>
        </r>
      </text>
    </comment>
    <comment ref="Y241" authorId="0">
      <text>
        <r>
          <rPr>
            <b/>
            <sz val="9"/>
            <color indexed="81"/>
            <rFont val="Tahoma"/>
            <family val="2"/>
          </rPr>
          <t>Christian:</t>
        </r>
        <r>
          <rPr>
            <sz val="9"/>
            <color indexed="81"/>
            <rFont val="Tahoma"/>
            <family val="2"/>
          </rPr>
          <t xml:space="preserve">
NA if fossil</t>
        </r>
      </text>
    </comment>
    <comment ref="AO241" authorId="0">
      <text>
        <r>
          <rPr>
            <b/>
            <sz val="9"/>
            <color indexed="81"/>
            <rFont val="Tahoma"/>
            <family val="2"/>
          </rPr>
          <t>Christian:</t>
        </r>
        <r>
          <rPr>
            <sz val="9"/>
            <color indexed="81"/>
            <rFont val="Tahoma"/>
            <family val="2"/>
          </rPr>
          <t xml:space="preserve">
Type I here related to MS specific</t>
        </r>
      </text>
    </comment>
    <comment ref="Y242" authorId="0">
      <text>
        <r>
          <rPr>
            <b/>
            <sz val="9"/>
            <color indexed="81"/>
            <rFont val="Tahoma"/>
            <family val="2"/>
          </rPr>
          <t>Christian:</t>
        </r>
        <r>
          <rPr>
            <sz val="9"/>
            <color indexed="81"/>
            <rFont val="Tahoma"/>
            <family val="2"/>
          </rPr>
          <t xml:space="preserve">
NA if fossil</t>
        </r>
      </text>
    </comment>
    <comment ref="AO242" authorId="0">
      <text>
        <r>
          <rPr>
            <b/>
            <sz val="9"/>
            <color indexed="81"/>
            <rFont val="Tahoma"/>
            <family val="2"/>
          </rPr>
          <t>Christian:</t>
        </r>
        <r>
          <rPr>
            <sz val="9"/>
            <color indexed="81"/>
            <rFont val="Tahoma"/>
            <family val="2"/>
          </rPr>
          <t xml:space="preserve">
Type I here related to MS specific</t>
        </r>
      </text>
    </comment>
    <comment ref="Y268" authorId="0">
      <text>
        <r>
          <rPr>
            <b/>
            <sz val="9"/>
            <color indexed="81"/>
            <rFont val="Tahoma"/>
            <family val="2"/>
          </rPr>
          <t>Christian:</t>
        </r>
        <r>
          <rPr>
            <sz val="9"/>
            <color indexed="81"/>
            <rFont val="Tahoma"/>
            <family val="2"/>
          </rPr>
          <t xml:space="preserve">
NA if fossil</t>
        </r>
      </text>
    </comment>
    <comment ref="AO268" authorId="0">
      <text>
        <r>
          <rPr>
            <b/>
            <sz val="9"/>
            <color indexed="81"/>
            <rFont val="Tahoma"/>
            <family val="2"/>
          </rPr>
          <t>Christian:</t>
        </r>
        <r>
          <rPr>
            <sz val="9"/>
            <color indexed="81"/>
            <rFont val="Tahoma"/>
            <family val="2"/>
          </rPr>
          <t xml:space="preserve">
Type I here related to MS specific</t>
        </r>
      </text>
    </comment>
    <comment ref="Y269" authorId="0">
      <text>
        <r>
          <rPr>
            <b/>
            <sz val="9"/>
            <color indexed="81"/>
            <rFont val="Tahoma"/>
            <family val="2"/>
          </rPr>
          <t>Christian:</t>
        </r>
        <r>
          <rPr>
            <sz val="9"/>
            <color indexed="81"/>
            <rFont val="Tahoma"/>
            <family val="2"/>
          </rPr>
          <t xml:space="preserve">
NA if fossil</t>
        </r>
      </text>
    </comment>
    <comment ref="AO269" authorId="0">
      <text>
        <r>
          <rPr>
            <b/>
            <sz val="9"/>
            <color indexed="81"/>
            <rFont val="Tahoma"/>
            <family val="2"/>
          </rPr>
          <t>Christian:</t>
        </r>
        <r>
          <rPr>
            <sz val="9"/>
            <color indexed="81"/>
            <rFont val="Tahoma"/>
            <family val="2"/>
          </rPr>
          <t xml:space="preserve">
Type I here related to MS specific</t>
        </r>
      </text>
    </comment>
    <comment ref="Y295" authorId="0">
      <text>
        <r>
          <rPr>
            <b/>
            <sz val="9"/>
            <color indexed="81"/>
            <rFont val="Tahoma"/>
            <family val="2"/>
          </rPr>
          <t>Christian:</t>
        </r>
        <r>
          <rPr>
            <sz val="9"/>
            <color indexed="81"/>
            <rFont val="Tahoma"/>
            <family val="2"/>
          </rPr>
          <t xml:space="preserve">
NA if fossil</t>
        </r>
      </text>
    </comment>
    <comment ref="AO295" authorId="0">
      <text>
        <r>
          <rPr>
            <b/>
            <sz val="9"/>
            <color indexed="81"/>
            <rFont val="Tahoma"/>
            <family val="2"/>
          </rPr>
          <t>Christian:</t>
        </r>
        <r>
          <rPr>
            <sz val="9"/>
            <color indexed="81"/>
            <rFont val="Tahoma"/>
            <family val="2"/>
          </rPr>
          <t xml:space="preserve">
Type I here related to MS specific</t>
        </r>
      </text>
    </comment>
    <comment ref="Y296" authorId="0">
      <text>
        <r>
          <rPr>
            <b/>
            <sz val="9"/>
            <color indexed="81"/>
            <rFont val="Tahoma"/>
            <family val="2"/>
          </rPr>
          <t>Christian:</t>
        </r>
        <r>
          <rPr>
            <sz val="9"/>
            <color indexed="81"/>
            <rFont val="Tahoma"/>
            <family val="2"/>
          </rPr>
          <t xml:space="preserve">
NA if fossil</t>
        </r>
      </text>
    </comment>
    <comment ref="AO296" authorId="0">
      <text>
        <r>
          <rPr>
            <b/>
            <sz val="9"/>
            <color indexed="81"/>
            <rFont val="Tahoma"/>
            <family val="2"/>
          </rPr>
          <t>Christian:</t>
        </r>
        <r>
          <rPr>
            <sz val="9"/>
            <color indexed="81"/>
            <rFont val="Tahoma"/>
            <family val="2"/>
          </rPr>
          <t xml:space="preserve">
Type I here related to MS specific</t>
        </r>
      </text>
    </comment>
    <comment ref="Y322" authorId="0">
      <text>
        <r>
          <rPr>
            <b/>
            <sz val="9"/>
            <color indexed="81"/>
            <rFont val="Tahoma"/>
            <family val="2"/>
          </rPr>
          <t>Christian:</t>
        </r>
        <r>
          <rPr>
            <sz val="9"/>
            <color indexed="81"/>
            <rFont val="Tahoma"/>
            <family val="2"/>
          </rPr>
          <t xml:space="preserve">
NA if fossil</t>
        </r>
      </text>
    </comment>
    <comment ref="AO322" authorId="0">
      <text>
        <r>
          <rPr>
            <b/>
            <sz val="9"/>
            <color indexed="81"/>
            <rFont val="Tahoma"/>
            <family val="2"/>
          </rPr>
          <t>Christian:</t>
        </r>
        <r>
          <rPr>
            <sz val="9"/>
            <color indexed="81"/>
            <rFont val="Tahoma"/>
            <family val="2"/>
          </rPr>
          <t xml:space="preserve">
Type I here related to MS specific</t>
        </r>
      </text>
    </comment>
    <comment ref="Y323" authorId="0">
      <text>
        <r>
          <rPr>
            <b/>
            <sz val="9"/>
            <color indexed="81"/>
            <rFont val="Tahoma"/>
            <family val="2"/>
          </rPr>
          <t>Christian:</t>
        </r>
        <r>
          <rPr>
            <sz val="9"/>
            <color indexed="81"/>
            <rFont val="Tahoma"/>
            <family val="2"/>
          </rPr>
          <t xml:space="preserve">
NA if fossil</t>
        </r>
      </text>
    </comment>
    <comment ref="AO323" authorId="0">
      <text>
        <r>
          <rPr>
            <b/>
            <sz val="9"/>
            <color indexed="81"/>
            <rFont val="Tahoma"/>
            <family val="2"/>
          </rPr>
          <t>Christian:</t>
        </r>
        <r>
          <rPr>
            <sz val="9"/>
            <color indexed="81"/>
            <rFont val="Tahoma"/>
            <family val="2"/>
          </rPr>
          <t xml:space="preserve">
Type I here related to MS specific</t>
        </r>
      </text>
    </comment>
    <comment ref="Y349" authorId="0">
      <text>
        <r>
          <rPr>
            <b/>
            <sz val="9"/>
            <color indexed="81"/>
            <rFont val="Tahoma"/>
            <family val="2"/>
          </rPr>
          <t>Christian:</t>
        </r>
        <r>
          <rPr>
            <sz val="9"/>
            <color indexed="81"/>
            <rFont val="Tahoma"/>
            <family val="2"/>
          </rPr>
          <t xml:space="preserve">
NA if fossil</t>
        </r>
      </text>
    </comment>
    <comment ref="AO349" authorId="0">
      <text>
        <r>
          <rPr>
            <b/>
            <sz val="9"/>
            <color indexed="81"/>
            <rFont val="Tahoma"/>
            <family val="2"/>
          </rPr>
          <t>Christian:</t>
        </r>
        <r>
          <rPr>
            <sz val="9"/>
            <color indexed="81"/>
            <rFont val="Tahoma"/>
            <family val="2"/>
          </rPr>
          <t xml:space="preserve">
Type I here related to MS specific</t>
        </r>
      </text>
    </comment>
    <comment ref="Y350" authorId="0">
      <text>
        <r>
          <rPr>
            <b/>
            <sz val="9"/>
            <color indexed="81"/>
            <rFont val="Tahoma"/>
            <family val="2"/>
          </rPr>
          <t>Christian:</t>
        </r>
        <r>
          <rPr>
            <sz val="9"/>
            <color indexed="81"/>
            <rFont val="Tahoma"/>
            <family val="2"/>
          </rPr>
          <t xml:space="preserve">
NA if fossil</t>
        </r>
      </text>
    </comment>
    <comment ref="AO350" authorId="0">
      <text>
        <r>
          <rPr>
            <b/>
            <sz val="9"/>
            <color indexed="81"/>
            <rFont val="Tahoma"/>
            <family val="2"/>
          </rPr>
          <t>Christian:</t>
        </r>
        <r>
          <rPr>
            <sz val="9"/>
            <color indexed="81"/>
            <rFont val="Tahoma"/>
            <family val="2"/>
          </rPr>
          <t xml:space="preserve">
Type I here related to MS specific</t>
        </r>
      </text>
    </comment>
    <comment ref="Y376" authorId="0">
      <text>
        <r>
          <rPr>
            <b/>
            <sz val="9"/>
            <color indexed="81"/>
            <rFont val="Tahoma"/>
            <family val="2"/>
          </rPr>
          <t>Christian:</t>
        </r>
        <r>
          <rPr>
            <sz val="9"/>
            <color indexed="81"/>
            <rFont val="Tahoma"/>
            <family val="2"/>
          </rPr>
          <t xml:space="preserve">
NA if fossil</t>
        </r>
      </text>
    </comment>
    <comment ref="AO376" authorId="0">
      <text>
        <r>
          <rPr>
            <b/>
            <sz val="9"/>
            <color indexed="81"/>
            <rFont val="Tahoma"/>
            <family val="2"/>
          </rPr>
          <t>Christian:</t>
        </r>
        <r>
          <rPr>
            <sz val="9"/>
            <color indexed="81"/>
            <rFont val="Tahoma"/>
            <family val="2"/>
          </rPr>
          <t xml:space="preserve">
Type I here related to MS specific</t>
        </r>
      </text>
    </comment>
    <comment ref="Y377" authorId="0">
      <text>
        <r>
          <rPr>
            <b/>
            <sz val="9"/>
            <color indexed="81"/>
            <rFont val="Tahoma"/>
            <family val="2"/>
          </rPr>
          <t>Christian:</t>
        </r>
        <r>
          <rPr>
            <sz val="9"/>
            <color indexed="81"/>
            <rFont val="Tahoma"/>
            <family val="2"/>
          </rPr>
          <t xml:space="preserve">
NA if fossil</t>
        </r>
      </text>
    </comment>
    <comment ref="AO377" authorId="0">
      <text>
        <r>
          <rPr>
            <b/>
            <sz val="9"/>
            <color indexed="81"/>
            <rFont val="Tahoma"/>
            <family val="2"/>
          </rPr>
          <t>Christian:</t>
        </r>
        <r>
          <rPr>
            <sz val="9"/>
            <color indexed="81"/>
            <rFont val="Tahoma"/>
            <family val="2"/>
          </rPr>
          <t xml:space="preserve">
Type I here related to MS specific</t>
        </r>
      </text>
    </comment>
    <comment ref="Y403" authorId="0">
      <text>
        <r>
          <rPr>
            <b/>
            <sz val="9"/>
            <color indexed="81"/>
            <rFont val="Tahoma"/>
            <family val="2"/>
          </rPr>
          <t>Christian:</t>
        </r>
        <r>
          <rPr>
            <sz val="9"/>
            <color indexed="81"/>
            <rFont val="Tahoma"/>
            <family val="2"/>
          </rPr>
          <t xml:space="preserve">
NA if fossil</t>
        </r>
      </text>
    </comment>
    <comment ref="AO403" authorId="0">
      <text>
        <r>
          <rPr>
            <b/>
            <sz val="9"/>
            <color indexed="81"/>
            <rFont val="Tahoma"/>
            <family val="2"/>
          </rPr>
          <t>Christian:</t>
        </r>
        <r>
          <rPr>
            <sz val="9"/>
            <color indexed="81"/>
            <rFont val="Tahoma"/>
            <family val="2"/>
          </rPr>
          <t xml:space="preserve">
Type I here related to MS specific</t>
        </r>
      </text>
    </comment>
    <comment ref="Y404" authorId="0">
      <text>
        <r>
          <rPr>
            <b/>
            <sz val="9"/>
            <color indexed="81"/>
            <rFont val="Tahoma"/>
            <family val="2"/>
          </rPr>
          <t>Christian:</t>
        </r>
        <r>
          <rPr>
            <sz val="9"/>
            <color indexed="81"/>
            <rFont val="Tahoma"/>
            <family val="2"/>
          </rPr>
          <t xml:space="preserve">
NA if fossil</t>
        </r>
      </text>
    </comment>
    <comment ref="AO404" authorId="0">
      <text>
        <r>
          <rPr>
            <b/>
            <sz val="9"/>
            <color indexed="81"/>
            <rFont val="Tahoma"/>
            <family val="2"/>
          </rPr>
          <t>Christian:</t>
        </r>
        <r>
          <rPr>
            <sz val="9"/>
            <color indexed="81"/>
            <rFont val="Tahoma"/>
            <family val="2"/>
          </rPr>
          <t xml:space="preserve">
Type I here related to MS specific</t>
        </r>
      </text>
    </comment>
    <comment ref="Y430" authorId="0">
      <text>
        <r>
          <rPr>
            <b/>
            <sz val="9"/>
            <color indexed="81"/>
            <rFont val="Tahoma"/>
            <family val="2"/>
          </rPr>
          <t>Christian:</t>
        </r>
        <r>
          <rPr>
            <sz val="9"/>
            <color indexed="81"/>
            <rFont val="Tahoma"/>
            <family val="2"/>
          </rPr>
          <t xml:space="preserve">
NA if fossil</t>
        </r>
      </text>
    </comment>
    <comment ref="AO430" authorId="0">
      <text>
        <r>
          <rPr>
            <b/>
            <sz val="9"/>
            <color indexed="81"/>
            <rFont val="Tahoma"/>
            <family val="2"/>
          </rPr>
          <t>Christian:</t>
        </r>
        <r>
          <rPr>
            <sz val="9"/>
            <color indexed="81"/>
            <rFont val="Tahoma"/>
            <family val="2"/>
          </rPr>
          <t xml:space="preserve">
Type I here related to MS specific</t>
        </r>
      </text>
    </comment>
    <comment ref="Y431" authorId="0">
      <text>
        <r>
          <rPr>
            <b/>
            <sz val="9"/>
            <color indexed="81"/>
            <rFont val="Tahoma"/>
            <family val="2"/>
          </rPr>
          <t>Christian:</t>
        </r>
        <r>
          <rPr>
            <sz val="9"/>
            <color indexed="81"/>
            <rFont val="Tahoma"/>
            <family val="2"/>
          </rPr>
          <t xml:space="preserve">
NA if fossil</t>
        </r>
      </text>
    </comment>
    <comment ref="AO431" authorId="0">
      <text>
        <r>
          <rPr>
            <b/>
            <sz val="9"/>
            <color indexed="81"/>
            <rFont val="Tahoma"/>
            <family val="2"/>
          </rPr>
          <t>Christian:</t>
        </r>
        <r>
          <rPr>
            <sz val="9"/>
            <color indexed="81"/>
            <rFont val="Tahoma"/>
            <family val="2"/>
          </rPr>
          <t xml:space="preserve">
Type I here related to MS specific</t>
        </r>
      </text>
    </comment>
    <comment ref="Y457" authorId="0">
      <text>
        <r>
          <rPr>
            <b/>
            <sz val="9"/>
            <color indexed="81"/>
            <rFont val="Tahoma"/>
            <family val="2"/>
          </rPr>
          <t>Christian:</t>
        </r>
        <r>
          <rPr>
            <sz val="9"/>
            <color indexed="81"/>
            <rFont val="Tahoma"/>
            <family val="2"/>
          </rPr>
          <t xml:space="preserve">
NA if fossil</t>
        </r>
      </text>
    </comment>
    <comment ref="AO457" authorId="0">
      <text>
        <r>
          <rPr>
            <b/>
            <sz val="9"/>
            <color indexed="81"/>
            <rFont val="Tahoma"/>
            <family val="2"/>
          </rPr>
          <t>Christian:</t>
        </r>
        <r>
          <rPr>
            <sz val="9"/>
            <color indexed="81"/>
            <rFont val="Tahoma"/>
            <family val="2"/>
          </rPr>
          <t xml:space="preserve">
Type I here related to MS specific</t>
        </r>
      </text>
    </comment>
    <comment ref="Y458" authorId="0">
      <text>
        <r>
          <rPr>
            <b/>
            <sz val="9"/>
            <color indexed="81"/>
            <rFont val="Tahoma"/>
            <family val="2"/>
          </rPr>
          <t>Christian:</t>
        </r>
        <r>
          <rPr>
            <sz val="9"/>
            <color indexed="81"/>
            <rFont val="Tahoma"/>
            <family val="2"/>
          </rPr>
          <t xml:space="preserve">
NA if fossil</t>
        </r>
      </text>
    </comment>
    <comment ref="AO458" authorId="0">
      <text>
        <r>
          <rPr>
            <b/>
            <sz val="9"/>
            <color indexed="81"/>
            <rFont val="Tahoma"/>
            <family val="2"/>
          </rPr>
          <t>Christian:</t>
        </r>
        <r>
          <rPr>
            <sz val="9"/>
            <color indexed="81"/>
            <rFont val="Tahoma"/>
            <family val="2"/>
          </rPr>
          <t xml:space="preserve">
Type I here related to MS specific</t>
        </r>
      </text>
    </comment>
    <comment ref="Y484" authorId="0">
      <text>
        <r>
          <rPr>
            <b/>
            <sz val="9"/>
            <color indexed="81"/>
            <rFont val="Tahoma"/>
            <family val="2"/>
          </rPr>
          <t>Christian:</t>
        </r>
        <r>
          <rPr>
            <sz val="9"/>
            <color indexed="81"/>
            <rFont val="Tahoma"/>
            <family val="2"/>
          </rPr>
          <t xml:space="preserve">
NA if fossil</t>
        </r>
      </text>
    </comment>
    <comment ref="AO484" authorId="0">
      <text>
        <r>
          <rPr>
            <b/>
            <sz val="9"/>
            <color indexed="81"/>
            <rFont val="Tahoma"/>
            <family val="2"/>
          </rPr>
          <t>Christian:</t>
        </r>
        <r>
          <rPr>
            <sz val="9"/>
            <color indexed="81"/>
            <rFont val="Tahoma"/>
            <family val="2"/>
          </rPr>
          <t xml:space="preserve">
Type I here related to MS specific</t>
        </r>
      </text>
    </comment>
    <comment ref="Y485" authorId="0">
      <text>
        <r>
          <rPr>
            <b/>
            <sz val="9"/>
            <color indexed="81"/>
            <rFont val="Tahoma"/>
            <family val="2"/>
          </rPr>
          <t>Christian:</t>
        </r>
        <r>
          <rPr>
            <sz val="9"/>
            <color indexed="81"/>
            <rFont val="Tahoma"/>
            <family val="2"/>
          </rPr>
          <t xml:space="preserve">
NA if fossil</t>
        </r>
      </text>
    </comment>
    <comment ref="AO485" authorId="0">
      <text>
        <r>
          <rPr>
            <b/>
            <sz val="9"/>
            <color indexed="81"/>
            <rFont val="Tahoma"/>
            <family val="2"/>
          </rPr>
          <t>Christian:</t>
        </r>
        <r>
          <rPr>
            <sz val="9"/>
            <color indexed="81"/>
            <rFont val="Tahoma"/>
            <family val="2"/>
          </rPr>
          <t xml:space="preserve">
Type I here related to MS specific</t>
        </r>
      </text>
    </comment>
    <comment ref="Y511" authorId="0">
      <text>
        <r>
          <rPr>
            <b/>
            <sz val="9"/>
            <color indexed="81"/>
            <rFont val="Tahoma"/>
            <family val="2"/>
          </rPr>
          <t>Christian:</t>
        </r>
        <r>
          <rPr>
            <sz val="9"/>
            <color indexed="81"/>
            <rFont val="Tahoma"/>
            <family val="2"/>
          </rPr>
          <t xml:space="preserve">
NA if fossil</t>
        </r>
      </text>
    </comment>
    <comment ref="AO511" authorId="0">
      <text>
        <r>
          <rPr>
            <b/>
            <sz val="9"/>
            <color indexed="81"/>
            <rFont val="Tahoma"/>
            <family val="2"/>
          </rPr>
          <t>Christian:</t>
        </r>
        <r>
          <rPr>
            <sz val="9"/>
            <color indexed="81"/>
            <rFont val="Tahoma"/>
            <family val="2"/>
          </rPr>
          <t xml:space="preserve">
Type I here related to MS specific</t>
        </r>
      </text>
    </comment>
    <comment ref="Y512" authorId="0">
      <text>
        <r>
          <rPr>
            <b/>
            <sz val="9"/>
            <color indexed="81"/>
            <rFont val="Tahoma"/>
            <family val="2"/>
          </rPr>
          <t>Christian:</t>
        </r>
        <r>
          <rPr>
            <sz val="9"/>
            <color indexed="81"/>
            <rFont val="Tahoma"/>
            <family val="2"/>
          </rPr>
          <t xml:space="preserve">
NA if fossil</t>
        </r>
      </text>
    </comment>
    <comment ref="AO512" authorId="0">
      <text>
        <r>
          <rPr>
            <b/>
            <sz val="9"/>
            <color indexed="81"/>
            <rFont val="Tahoma"/>
            <family val="2"/>
          </rPr>
          <t>Christian:</t>
        </r>
        <r>
          <rPr>
            <sz val="9"/>
            <color indexed="81"/>
            <rFont val="Tahoma"/>
            <family val="2"/>
          </rPr>
          <t xml:space="preserve">
Type I here related to MS specific</t>
        </r>
      </text>
    </comment>
    <comment ref="Y538" authorId="0">
      <text>
        <r>
          <rPr>
            <b/>
            <sz val="9"/>
            <color indexed="81"/>
            <rFont val="Tahoma"/>
            <family val="2"/>
          </rPr>
          <t>Christian:</t>
        </r>
        <r>
          <rPr>
            <sz val="9"/>
            <color indexed="81"/>
            <rFont val="Tahoma"/>
            <family val="2"/>
          </rPr>
          <t xml:space="preserve">
NA if fossil</t>
        </r>
      </text>
    </comment>
    <comment ref="AO538" authorId="0">
      <text>
        <r>
          <rPr>
            <b/>
            <sz val="9"/>
            <color indexed="81"/>
            <rFont val="Tahoma"/>
            <family val="2"/>
          </rPr>
          <t>Christian:</t>
        </r>
        <r>
          <rPr>
            <sz val="9"/>
            <color indexed="81"/>
            <rFont val="Tahoma"/>
            <family val="2"/>
          </rPr>
          <t xml:space="preserve">
Type I here related to MS specific</t>
        </r>
      </text>
    </comment>
    <comment ref="Y539" authorId="0">
      <text>
        <r>
          <rPr>
            <b/>
            <sz val="9"/>
            <color indexed="81"/>
            <rFont val="Tahoma"/>
            <family val="2"/>
          </rPr>
          <t>Christian:</t>
        </r>
        <r>
          <rPr>
            <sz val="9"/>
            <color indexed="81"/>
            <rFont val="Tahoma"/>
            <family val="2"/>
          </rPr>
          <t xml:space="preserve">
NA if fossil</t>
        </r>
      </text>
    </comment>
    <comment ref="AO539" authorId="0">
      <text>
        <r>
          <rPr>
            <b/>
            <sz val="9"/>
            <color indexed="81"/>
            <rFont val="Tahoma"/>
            <family val="2"/>
          </rPr>
          <t>Christian:</t>
        </r>
        <r>
          <rPr>
            <sz val="9"/>
            <color indexed="81"/>
            <rFont val="Tahoma"/>
            <family val="2"/>
          </rPr>
          <t xml:space="preserve">
Type I here related to MS specific</t>
        </r>
      </text>
    </comment>
    <comment ref="Y565" authorId="0">
      <text>
        <r>
          <rPr>
            <b/>
            <sz val="9"/>
            <color indexed="81"/>
            <rFont val="Tahoma"/>
            <family val="2"/>
          </rPr>
          <t>Christian:</t>
        </r>
        <r>
          <rPr>
            <sz val="9"/>
            <color indexed="81"/>
            <rFont val="Tahoma"/>
            <family val="2"/>
          </rPr>
          <t xml:space="preserve">
NA if fossil</t>
        </r>
      </text>
    </comment>
    <comment ref="AO565" authorId="0">
      <text>
        <r>
          <rPr>
            <b/>
            <sz val="9"/>
            <color indexed="81"/>
            <rFont val="Tahoma"/>
            <family val="2"/>
          </rPr>
          <t>Christian:</t>
        </r>
        <r>
          <rPr>
            <sz val="9"/>
            <color indexed="81"/>
            <rFont val="Tahoma"/>
            <family val="2"/>
          </rPr>
          <t xml:space="preserve">
Type I here related to MS specific</t>
        </r>
      </text>
    </comment>
    <comment ref="Y566" authorId="0">
      <text>
        <r>
          <rPr>
            <b/>
            <sz val="9"/>
            <color indexed="81"/>
            <rFont val="Tahoma"/>
            <family val="2"/>
          </rPr>
          <t>Christian:</t>
        </r>
        <r>
          <rPr>
            <sz val="9"/>
            <color indexed="81"/>
            <rFont val="Tahoma"/>
            <family val="2"/>
          </rPr>
          <t xml:space="preserve">
NA if fossil</t>
        </r>
      </text>
    </comment>
    <comment ref="AO566" authorId="0">
      <text>
        <r>
          <rPr>
            <b/>
            <sz val="9"/>
            <color indexed="81"/>
            <rFont val="Tahoma"/>
            <family val="2"/>
          </rPr>
          <t>Christian:</t>
        </r>
        <r>
          <rPr>
            <sz val="9"/>
            <color indexed="81"/>
            <rFont val="Tahoma"/>
            <family val="2"/>
          </rPr>
          <t xml:space="preserve">
Type I here related to MS specific</t>
        </r>
      </text>
    </comment>
    <comment ref="Y592" authorId="0">
      <text>
        <r>
          <rPr>
            <b/>
            <sz val="9"/>
            <color indexed="81"/>
            <rFont val="Tahoma"/>
            <family val="2"/>
          </rPr>
          <t>Christian:</t>
        </r>
        <r>
          <rPr>
            <sz val="9"/>
            <color indexed="81"/>
            <rFont val="Tahoma"/>
            <family val="2"/>
          </rPr>
          <t xml:space="preserve">
NA if fossil</t>
        </r>
      </text>
    </comment>
    <comment ref="AO592" authorId="0">
      <text>
        <r>
          <rPr>
            <b/>
            <sz val="9"/>
            <color indexed="81"/>
            <rFont val="Tahoma"/>
            <family val="2"/>
          </rPr>
          <t>Christian:</t>
        </r>
        <r>
          <rPr>
            <sz val="9"/>
            <color indexed="81"/>
            <rFont val="Tahoma"/>
            <family val="2"/>
          </rPr>
          <t xml:space="preserve">
Type I here related to MS specific</t>
        </r>
      </text>
    </comment>
    <comment ref="Y593" authorId="0">
      <text>
        <r>
          <rPr>
            <b/>
            <sz val="9"/>
            <color indexed="81"/>
            <rFont val="Tahoma"/>
            <family val="2"/>
          </rPr>
          <t>Christian:</t>
        </r>
        <r>
          <rPr>
            <sz val="9"/>
            <color indexed="81"/>
            <rFont val="Tahoma"/>
            <family val="2"/>
          </rPr>
          <t xml:space="preserve">
NA if fossil</t>
        </r>
      </text>
    </comment>
    <comment ref="AO593" authorId="0">
      <text>
        <r>
          <rPr>
            <b/>
            <sz val="9"/>
            <color indexed="81"/>
            <rFont val="Tahoma"/>
            <family val="2"/>
          </rPr>
          <t>Christian:</t>
        </r>
        <r>
          <rPr>
            <sz val="9"/>
            <color indexed="81"/>
            <rFont val="Tahoma"/>
            <family val="2"/>
          </rPr>
          <t xml:space="preserve">
Type I here related to MS specific</t>
        </r>
      </text>
    </comment>
    <comment ref="Y619" authorId="0">
      <text>
        <r>
          <rPr>
            <b/>
            <sz val="9"/>
            <color indexed="81"/>
            <rFont val="Tahoma"/>
            <family val="2"/>
          </rPr>
          <t>Christian:</t>
        </r>
        <r>
          <rPr>
            <sz val="9"/>
            <color indexed="81"/>
            <rFont val="Tahoma"/>
            <family val="2"/>
          </rPr>
          <t xml:space="preserve">
NA if fossil</t>
        </r>
      </text>
    </comment>
    <comment ref="AO619" authorId="0">
      <text>
        <r>
          <rPr>
            <b/>
            <sz val="9"/>
            <color indexed="81"/>
            <rFont val="Tahoma"/>
            <family val="2"/>
          </rPr>
          <t>Christian:</t>
        </r>
        <r>
          <rPr>
            <sz val="9"/>
            <color indexed="81"/>
            <rFont val="Tahoma"/>
            <family val="2"/>
          </rPr>
          <t xml:space="preserve">
Type I here related to MS specific</t>
        </r>
      </text>
    </comment>
    <comment ref="Y620" authorId="0">
      <text>
        <r>
          <rPr>
            <b/>
            <sz val="9"/>
            <color indexed="81"/>
            <rFont val="Tahoma"/>
            <family val="2"/>
          </rPr>
          <t>Christian:</t>
        </r>
        <r>
          <rPr>
            <sz val="9"/>
            <color indexed="81"/>
            <rFont val="Tahoma"/>
            <family val="2"/>
          </rPr>
          <t xml:space="preserve">
NA if fossil</t>
        </r>
      </text>
    </comment>
    <comment ref="AO620" authorId="0">
      <text>
        <r>
          <rPr>
            <b/>
            <sz val="9"/>
            <color indexed="81"/>
            <rFont val="Tahoma"/>
            <family val="2"/>
          </rPr>
          <t>Christian:</t>
        </r>
        <r>
          <rPr>
            <sz val="9"/>
            <color indexed="81"/>
            <rFont val="Tahoma"/>
            <family val="2"/>
          </rPr>
          <t xml:space="preserve">
Type I here related to MS specific</t>
        </r>
      </text>
    </comment>
    <comment ref="Y646" authorId="0">
      <text>
        <r>
          <rPr>
            <b/>
            <sz val="9"/>
            <color indexed="81"/>
            <rFont val="Tahoma"/>
            <family val="2"/>
          </rPr>
          <t>Christian:</t>
        </r>
        <r>
          <rPr>
            <sz val="9"/>
            <color indexed="81"/>
            <rFont val="Tahoma"/>
            <family val="2"/>
          </rPr>
          <t xml:space="preserve">
NA if fossil</t>
        </r>
      </text>
    </comment>
    <comment ref="AO646" authorId="0">
      <text>
        <r>
          <rPr>
            <b/>
            <sz val="9"/>
            <color indexed="81"/>
            <rFont val="Tahoma"/>
            <family val="2"/>
          </rPr>
          <t>Christian:</t>
        </r>
        <r>
          <rPr>
            <sz val="9"/>
            <color indexed="81"/>
            <rFont val="Tahoma"/>
            <family val="2"/>
          </rPr>
          <t xml:space="preserve">
Type I here related to MS specific</t>
        </r>
      </text>
    </comment>
    <comment ref="Y647" authorId="0">
      <text>
        <r>
          <rPr>
            <b/>
            <sz val="9"/>
            <color indexed="81"/>
            <rFont val="Tahoma"/>
            <family val="2"/>
          </rPr>
          <t>Christian:</t>
        </r>
        <r>
          <rPr>
            <sz val="9"/>
            <color indexed="81"/>
            <rFont val="Tahoma"/>
            <family val="2"/>
          </rPr>
          <t xml:space="preserve">
NA if fossil</t>
        </r>
      </text>
    </comment>
    <comment ref="AO647" authorId="0">
      <text>
        <r>
          <rPr>
            <b/>
            <sz val="9"/>
            <color indexed="81"/>
            <rFont val="Tahoma"/>
            <family val="2"/>
          </rPr>
          <t>Christian:</t>
        </r>
        <r>
          <rPr>
            <sz val="9"/>
            <color indexed="81"/>
            <rFont val="Tahoma"/>
            <family val="2"/>
          </rPr>
          <t xml:space="preserve">
Type I here related to MS specific</t>
        </r>
      </text>
    </comment>
    <comment ref="Y673" authorId="0">
      <text>
        <r>
          <rPr>
            <b/>
            <sz val="9"/>
            <color indexed="81"/>
            <rFont val="Tahoma"/>
            <family val="2"/>
          </rPr>
          <t>Christian:</t>
        </r>
        <r>
          <rPr>
            <sz val="9"/>
            <color indexed="81"/>
            <rFont val="Tahoma"/>
            <family val="2"/>
          </rPr>
          <t xml:space="preserve">
NA if fossil</t>
        </r>
      </text>
    </comment>
    <comment ref="AO673" authorId="0">
      <text>
        <r>
          <rPr>
            <b/>
            <sz val="9"/>
            <color indexed="81"/>
            <rFont val="Tahoma"/>
            <family val="2"/>
          </rPr>
          <t>Christian:</t>
        </r>
        <r>
          <rPr>
            <sz val="9"/>
            <color indexed="81"/>
            <rFont val="Tahoma"/>
            <family val="2"/>
          </rPr>
          <t xml:space="preserve">
Type I here related to MS specific</t>
        </r>
      </text>
    </comment>
    <comment ref="Y674" authorId="0">
      <text>
        <r>
          <rPr>
            <b/>
            <sz val="9"/>
            <color indexed="81"/>
            <rFont val="Tahoma"/>
            <family val="2"/>
          </rPr>
          <t>Christian:</t>
        </r>
        <r>
          <rPr>
            <sz val="9"/>
            <color indexed="81"/>
            <rFont val="Tahoma"/>
            <family val="2"/>
          </rPr>
          <t xml:space="preserve">
NA if fossil</t>
        </r>
      </text>
    </comment>
    <comment ref="AO674" authorId="0">
      <text>
        <r>
          <rPr>
            <b/>
            <sz val="9"/>
            <color indexed="81"/>
            <rFont val="Tahoma"/>
            <family val="2"/>
          </rPr>
          <t>Christian:</t>
        </r>
        <r>
          <rPr>
            <sz val="9"/>
            <color indexed="81"/>
            <rFont val="Tahoma"/>
            <family val="2"/>
          </rPr>
          <t xml:space="preserve">
Type I here related to MS specific</t>
        </r>
      </text>
    </comment>
    <comment ref="Y700" authorId="0">
      <text>
        <r>
          <rPr>
            <b/>
            <sz val="9"/>
            <color indexed="81"/>
            <rFont val="Tahoma"/>
            <family val="2"/>
          </rPr>
          <t>Christian:</t>
        </r>
        <r>
          <rPr>
            <sz val="9"/>
            <color indexed="81"/>
            <rFont val="Tahoma"/>
            <family val="2"/>
          </rPr>
          <t xml:space="preserve">
NA if fossil</t>
        </r>
      </text>
    </comment>
    <comment ref="AO700" authorId="0">
      <text>
        <r>
          <rPr>
            <b/>
            <sz val="9"/>
            <color indexed="81"/>
            <rFont val="Tahoma"/>
            <family val="2"/>
          </rPr>
          <t>Christian:</t>
        </r>
        <r>
          <rPr>
            <sz val="9"/>
            <color indexed="81"/>
            <rFont val="Tahoma"/>
            <family val="2"/>
          </rPr>
          <t xml:space="preserve">
Type I here related to MS specific</t>
        </r>
      </text>
    </comment>
    <comment ref="Y701" authorId="0">
      <text>
        <r>
          <rPr>
            <b/>
            <sz val="9"/>
            <color indexed="81"/>
            <rFont val="Tahoma"/>
            <family val="2"/>
          </rPr>
          <t>Christian:</t>
        </r>
        <r>
          <rPr>
            <sz val="9"/>
            <color indexed="81"/>
            <rFont val="Tahoma"/>
            <family val="2"/>
          </rPr>
          <t xml:space="preserve">
NA if fossil</t>
        </r>
      </text>
    </comment>
    <comment ref="AO701" authorId="0">
      <text>
        <r>
          <rPr>
            <b/>
            <sz val="9"/>
            <color indexed="81"/>
            <rFont val="Tahoma"/>
            <family val="2"/>
          </rPr>
          <t>Christian:</t>
        </r>
        <r>
          <rPr>
            <sz val="9"/>
            <color indexed="81"/>
            <rFont val="Tahoma"/>
            <family val="2"/>
          </rPr>
          <t xml:space="preserve">
Type I here related to MS specific</t>
        </r>
      </text>
    </comment>
    <comment ref="Y727" authorId="0">
      <text>
        <r>
          <rPr>
            <b/>
            <sz val="9"/>
            <color indexed="81"/>
            <rFont val="Tahoma"/>
            <family val="2"/>
          </rPr>
          <t>Christian:</t>
        </r>
        <r>
          <rPr>
            <sz val="9"/>
            <color indexed="81"/>
            <rFont val="Tahoma"/>
            <family val="2"/>
          </rPr>
          <t xml:space="preserve">
NA if fossil</t>
        </r>
      </text>
    </comment>
    <comment ref="AO727" authorId="0">
      <text>
        <r>
          <rPr>
            <b/>
            <sz val="9"/>
            <color indexed="81"/>
            <rFont val="Tahoma"/>
            <family val="2"/>
          </rPr>
          <t>Christian:</t>
        </r>
        <r>
          <rPr>
            <sz val="9"/>
            <color indexed="81"/>
            <rFont val="Tahoma"/>
            <family val="2"/>
          </rPr>
          <t xml:space="preserve">
Type I here related to MS specific</t>
        </r>
      </text>
    </comment>
    <comment ref="Y728" authorId="0">
      <text>
        <r>
          <rPr>
            <b/>
            <sz val="9"/>
            <color indexed="81"/>
            <rFont val="Tahoma"/>
            <family val="2"/>
          </rPr>
          <t>Christian:</t>
        </r>
        <r>
          <rPr>
            <sz val="9"/>
            <color indexed="81"/>
            <rFont val="Tahoma"/>
            <family val="2"/>
          </rPr>
          <t xml:space="preserve">
NA if fossil</t>
        </r>
      </text>
    </comment>
    <comment ref="AO728" authorId="0">
      <text>
        <r>
          <rPr>
            <b/>
            <sz val="9"/>
            <color indexed="81"/>
            <rFont val="Tahoma"/>
            <family val="2"/>
          </rPr>
          <t>Christian:</t>
        </r>
        <r>
          <rPr>
            <sz val="9"/>
            <color indexed="81"/>
            <rFont val="Tahoma"/>
            <family val="2"/>
          </rPr>
          <t xml:space="preserve">
Type I here related to MS specific</t>
        </r>
      </text>
    </comment>
    <comment ref="Y754" authorId="0">
      <text>
        <r>
          <rPr>
            <b/>
            <sz val="9"/>
            <color indexed="81"/>
            <rFont val="Tahoma"/>
            <family val="2"/>
          </rPr>
          <t>Christian:</t>
        </r>
        <r>
          <rPr>
            <sz val="9"/>
            <color indexed="81"/>
            <rFont val="Tahoma"/>
            <family val="2"/>
          </rPr>
          <t xml:space="preserve">
NA if fossil</t>
        </r>
      </text>
    </comment>
    <comment ref="AO754" authorId="0">
      <text>
        <r>
          <rPr>
            <b/>
            <sz val="9"/>
            <color indexed="81"/>
            <rFont val="Tahoma"/>
            <family val="2"/>
          </rPr>
          <t>Christian:</t>
        </r>
        <r>
          <rPr>
            <sz val="9"/>
            <color indexed="81"/>
            <rFont val="Tahoma"/>
            <family val="2"/>
          </rPr>
          <t xml:space="preserve">
Type I here related to MS specific</t>
        </r>
      </text>
    </comment>
    <comment ref="Y755" authorId="0">
      <text>
        <r>
          <rPr>
            <b/>
            <sz val="9"/>
            <color indexed="81"/>
            <rFont val="Tahoma"/>
            <family val="2"/>
          </rPr>
          <t>Christian:</t>
        </r>
        <r>
          <rPr>
            <sz val="9"/>
            <color indexed="81"/>
            <rFont val="Tahoma"/>
            <family val="2"/>
          </rPr>
          <t xml:space="preserve">
NA if fossil</t>
        </r>
      </text>
    </comment>
    <comment ref="AO755" authorId="0">
      <text>
        <r>
          <rPr>
            <b/>
            <sz val="9"/>
            <color indexed="81"/>
            <rFont val="Tahoma"/>
            <family val="2"/>
          </rPr>
          <t>Christian:</t>
        </r>
        <r>
          <rPr>
            <sz val="9"/>
            <color indexed="81"/>
            <rFont val="Tahoma"/>
            <family val="2"/>
          </rPr>
          <t xml:space="preserve">
Type I here related to MS specific</t>
        </r>
      </text>
    </comment>
    <comment ref="Y781" authorId="0">
      <text>
        <r>
          <rPr>
            <b/>
            <sz val="9"/>
            <color indexed="81"/>
            <rFont val="Tahoma"/>
            <family val="2"/>
          </rPr>
          <t>Christian:</t>
        </r>
        <r>
          <rPr>
            <sz val="9"/>
            <color indexed="81"/>
            <rFont val="Tahoma"/>
            <family val="2"/>
          </rPr>
          <t xml:space="preserve">
NA if fossil</t>
        </r>
      </text>
    </comment>
    <comment ref="AO781" authorId="0">
      <text>
        <r>
          <rPr>
            <b/>
            <sz val="9"/>
            <color indexed="81"/>
            <rFont val="Tahoma"/>
            <family val="2"/>
          </rPr>
          <t>Christian:</t>
        </r>
        <r>
          <rPr>
            <sz val="9"/>
            <color indexed="81"/>
            <rFont val="Tahoma"/>
            <family val="2"/>
          </rPr>
          <t xml:space="preserve">
Type I here related to MS specific</t>
        </r>
      </text>
    </comment>
    <comment ref="Y782" authorId="0">
      <text>
        <r>
          <rPr>
            <b/>
            <sz val="9"/>
            <color indexed="81"/>
            <rFont val="Tahoma"/>
            <family val="2"/>
          </rPr>
          <t>Christian:</t>
        </r>
        <r>
          <rPr>
            <sz val="9"/>
            <color indexed="81"/>
            <rFont val="Tahoma"/>
            <family val="2"/>
          </rPr>
          <t xml:space="preserve">
NA if fossil</t>
        </r>
      </text>
    </comment>
    <comment ref="AO782" authorId="0">
      <text>
        <r>
          <rPr>
            <b/>
            <sz val="9"/>
            <color indexed="81"/>
            <rFont val="Tahoma"/>
            <family val="2"/>
          </rPr>
          <t>Christian:</t>
        </r>
        <r>
          <rPr>
            <sz val="9"/>
            <color indexed="81"/>
            <rFont val="Tahoma"/>
            <family val="2"/>
          </rPr>
          <t xml:space="preserve">
Type I here related to MS specific</t>
        </r>
      </text>
    </comment>
    <comment ref="Y808" authorId="0">
      <text>
        <r>
          <rPr>
            <b/>
            <sz val="9"/>
            <color indexed="81"/>
            <rFont val="Tahoma"/>
            <family val="2"/>
          </rPr>
          <t>Christian:</t>
        </r>
        <r>
          <rPr>
            <sz val="9"/>
            <color indexed="81"/>
            <rFont val="Tahoma"/>
            <family val="2"/>
          </rPr>
          <t xml:space="preserve">
NA if fossil</t>
        </r>
      </text>
    </comment>
    <comment ref="AO808" authorId="0">
      <text>
        <r>
          <rPr>
            <b/>
            <sz val="9"/>
            <color indexed="81"/>
            <rFont val="Tahoma"/>
            <family val="2"/>
          </rPr>
          <t>Christian:</t>
        </r>
        <r>
          <rPr>
            <sz val="9"/>
            <color indexed="81"/>
            <rFont val="Tahoma"/>
            <family val="2"/>
          </rPr>
          <t xml:space="preserve">
Type I here related to MS specific</t>
        </r>
      </text>
    </comment>
    <comment ref="Y809" authorId="0">
      <text>
        <r>
          <rPr>
            <b/>
            <sz val="9"/>
            <color indexed="81"/>
            <rFont val="Tahoma"/>
            <family val="2"/>
          </rPr>
          <t>Christian:</t>
        </r>
        <r>
          <rPr>
            <sz val="9"/>
            <color indexed="81"/>
            <rFont val="Tahoma"/>
            <family val="2"/>
          </rPr>
          <t xml:space="preserve">
NA if fossil</t>
        </r>
      </text>
    </comment>
    <comment ref="AO809" authorId="0">
      <text>
        <r>
          <rPr>
            <b/>
            <sz val="9"/>
            <color indexed="81"/>
            <rFont val="Tahoma"/>
            <family val="2"/>
          </rPr>
          <t>Christian:</t>
        </r>
        <r>
          <rPr>
            <sz val="9"/>
            <color indexed="81"/>
            <rFont val="Tahoma"/>
            <family val="2"/>
          </rPr>
          <t xml:space="preserve">
Type I here related to MS specific</t>
        </r>
      </text>
    </comment>
    <comment ref="Y835" authorId="0">
      <text>
        <r>
          <rPr>
            <b/>
            <sz val="9"/>
            <color indexed="81"/>
            <rFont val="Tahoma"/>
            <family val="2"/>
          </rPr>
          <t>Christian:</t>
        </r>
        <r>
          <rPr>
            <sz val="9"/>
            <color indexed="81"/>
            <rFont val="Tahoma"/>
            <family val="2"/>
          </rPr>
          <t xml:space="preserve">
NA if fossil</t>
        </r>
      </text>
    </comment>
    <comment ref="AO835" authorId="0">
      <text>
        <r>
          <rPr>
            <b/>
            <sz val="9"/>
            <color indexed="81"/>
            <rFont val="Tahoma"/>
            <family val="2"/>
          </rPr>
          <t>Christian:</t>
        </r>
        <r>
          <rPr>
            <sz val="9"/>
            <color indexed="81"/>
            <rFont val="Tahoma"/>
            <family val="2"/>
          </rPr>
          <t xml:space="preserve">
Type I here related to MS specific</t>
        </r>
      </text>
    </comment>
    <comment ref="Y836" authorId="0">
      <text>
        <r>
          <rPr>
            <b/>
            <sz val="9"/>
            <color indexed="81"/>
            <rFont val="Tahoma"/>
            <family val="2"/>
          </rPr>
          <t>Christian:</t>
        </r>
        <r>
          <rPr>
            <sz val="9"/>
            <color indexed="81"/>
            <rFont val="Tahoma"/>
            <family val="2"/>
          </rPr>
          <t xml:space="preserve">
NA if fossil</t>
        </r>
      </text>
    </comment>
    <comment ref="AO836" authorId="0">
      <text>
        <r>
          <rPr>
            <b/>
            <sz val="9"/>
            <color indexed="81"/>
            <rFont val="Tahoma"/>
            <family val="2"/>
          </rPr>
          <t>Christian:</t>
        </r>
        <r>
          <rPr>
            <sz val="9"/>
            <color indexed="81"/>
            <rFont val="Tahoma"/>
            <family val="2"/>
          </rPr>
          <t xml:space="preserve">
Type I here related to MS specific</t>
        </r>
      </text>
    </comment>
    <comment ref="Y862" authorId="0">
      <text>
        <r>
          <rPr>
            <b/>
            <sz val="9"/>
            <color indexed="81"/>
            <rFont val="Tahoma"/>
            <family val="2"/>
          </rPr>
          <t>Christian:</t>
        </r>
        <r>
          <rPr>
            <sz val="9"/>
            <color indexed="81"/>
            <rFont val="Tahoma"/>
            <family val="2"/>
          </rPr>
          <t xml:space="preserve">
NA if fossil</t>
        </r>
      </text>
    </comment>
    <comment ref="AO862" authorId="0">
      <text>
        <r>
          <rPr>
            <b/>
            <sz val="9"/>
            <color indexed="81"/>
            <rFont val="Tahoma"/>
            <family val="2"/>
          </rPr>
          <t>Christian:</t>
        </r>
        <r>
          <rPr>
            <sz val="9"/>
            <color indexed="81"/>
            <rFont val="Tahoma"/>
            <family val="2"/>
          </rPr>
          <t xml:space="preserve">
Type I here related to MS specific</t>
        </r>
      </text>
    </comment>
    <comment ref="Y863" authorId="0">
      <text>
        <r>
          <rPr>
            <b/>
            <sz val="9"/>
            <color indexed="81"/>
            <rFont val="Tahoma"/>
            <family val="2"/>
          </rPr>
          <t>Christian:</t>
        </r>
        <r>
          <rPr>
            <sz val="9"/>
            <color indexed="81"/>
            <rFont val="Tahoma"/>
            <family val="2"/>
          </rPr>
          <t xml:space="preserve">
NA if fossil</t>
        </r>
      </text>
    </comment>
    <comment ref="AO863" authorId="0">
      <text>
        <r>
          <rPr>
            <b/>
            <sz val="9"/>
            <color indexed="81"/>
            <rFont val="Tahoma"/>
            <family val="2"/>
          </rPr>
          <t>Christian:</t>
        </r>
        <r>
          <rPr>
            <sz val="9"/>
            <color indexed="81"/>
            <rFont val="Tahoma"/>
            <family val="2"/>
          </rPr>
          <t xml:space="preserve">
Type I here related to MS specific</t>
        </r>
      </text>
    </comment>
    <comment ref="Y889" authorId="0">
      <text>
        <r>
          <rPr>
            <b/>
            <sz val="9"/>
            <color indexed="81"/>
            <rFont val="Tahoma"/>
            <family val="2"/>
          </rPr>
          <t>Christian:</t>
        </r>
        <r>
          <rPr>
            <sz val="9"/>
            <color indexed="81"/>
            <rFont val="Tahoma"/>
            <family val="2"/>
          </rPr>
          <t xml:space="preserve">
NA if fossil</t>
        </r>
      </text>
    </comment>
    <comment ref="AO889" authorId="0">
      <text>
        <r>
          <rPr>
            <b/>
            <sz val="9"/>
            <color indexed="81"/>
            <rFont val="Tahoma"/>
            <family val="2"/>
          </rPr>
          <t>Christian:</t>
        </r>
        <r>
          <rPr>
            <sz val="9"/>
            <color indexed="81"/>
            <rFont val="Tahoma"/>
            <family val="2"/>
          </rPr>
          <t xml:space="preserve">
Type I here related to MS specific</t>
        </r>
      </text>
    </comment>
    <comment ref="Y890" authorId="0">
      <text>
        <r>
          <rPr>
            <b/>
            <sz val="9"/>
            <color indexed="81"/>
            <rFont val="Tahoma"/>
            <family val="2"/>
          </rPr>
          <t>Christian:</t>
        </r>
        <r>
          <rPr>
            <sz val="9"/>
            <color indexed="81"/>
            <rFont val="Tahoma"/>
            <family val="2"/>
          </rPr>
          <t xml:space="preserve">
NA if fossil</t>
        </r>
      </text>
    </comment>
    <comment ref="AO890" authorId="0">
      <text>
        <r>
          <rPr>
            <b/>
            <sz val="9"/>
            <color indexed="81"/>
            <rFont val="Tahoma"/>
            <family val="2"/>
          </rPr>
          <t>Christian:</t>
        </r>
        <r>
          <rPr>
            <sz val="9"/>
            <color indexed="81"/>
            <rFont val="Tahoma"/>
            <family val="2"/>
          </rPr>
          <t xml:space="preserve">
Type I here related to MS specific</t>
        </r>
      </text>
    </comment>
    <comment ref="Y916" authorId="0">
      <text>
        <r>
          <rPr>
            <b/>
            <sz val="9"/>
            <color indexed="81"/>
            <rFont val="Tahoma"/>
            <family val="2"/>
          </rPr>
          <t>Christian:</t>
        </r>
        <r>
          <rPr>
            <sz val="9"/>
            <color indexed="81"/>
            <rFont val="Tahoma"/>
            <family val="2"/>
          </rPr>
          <t xml:space="preserve">
NA if fossil</t>
        </r>
      </text>
    </comment>
    <comment ref="AO916" authorId="0">
      <text>
        <r>
          <rPr>
            <b/>
            <sz val="9"/>
            <color indexed="81"/>
            <rFont val="Tahoma"/>
            <family val="2"/>
          </rPr>
          <t>Christian:</t>
        </r>
        <r>
          <rPr>
            <sz val="9"/>
            <color indexed="81"/>
            <rFont val="Tahoma"/>
            <family val="2"/>
          </rPr>
          <t xml:space="preserve">
Type I here related to MS specific</t>
        </r>
      </text>
    </comment>
    <comment ref="Y917" authorId="0">
      <text>
        <r>
          <rPr>
            <b/>
            <sz val="9"/>
            <color indexed="81"/>
            <rFont val="Tahoma"/>
            <family val="2"/>
          </rPr>
          <t>Christian:</t>
        </r>
        <r>
          <rPr>
            <sz val="9"/>
            <color indexed="81"/>
            <rFont val="Tahoma"/>
            <family val="2"/>
          </rPr>
          <t xml:space="preserve">
NA if fossil</t>
        </r>
      </text>
    </comment>
    <comment ref="AO917" authorId="0">
      <text>
        <r>
          <rPr>
            <b/>
            <sz val="9"/>
            <color indexed="81"/>
            <rFont val="Tahoma"/>
            <family val="2"/>
          </rPr>
          <t>Christian:</t>
        </r>
        <r>
          <rPr>
            <sz val="9"/>
            <color indexed="81"/>
            <rFont val="Tahoma"/>
            <family val="2"/>
          </rPr>
          <t xml:space="preserve">
Type I here related to MS specific</t>
        </r>
      </text>
    </comment>
    <comment ref="Y943" authorId="0">
      <text>
        <r>
          <rPr>
            <b/>
            <sz val="9"/>
            <color indexed="81"/>
            <rFont val="Tahoma"/>
            <family val="2"/>
          </rPr>
          <t>Christian:</t>
        </r>
        <r>
          <rPr>
            <sz val="9"/>
            <color indexed="81"/>
            <rFont val="Tahoma"/>
            <family val="2"/>
          </rPr>
          <t xml:space="preserve">
NA if fossil</t>
        </r>
      </text>
    </comment>
    <comment ref="AO943" authorId="0">
      <text>
        <r>
          <rPr>
            <b/>
            <sz val="9"/>
            <color indexed="81"/>
            <rFont val="Tahoma"/>
            <family val="2"/>
          </rPr>
          <t>Christian:</t>
        </r>
        <r>
          <rPr>
            <sz val="9"/>
            <color indexed="81"/>
            <rFont val="Tahoma"/>
            <family val="2"/>
          </rPr>
          <t xml:space="preserve">
Type I here related to MS specific</t>
        </r>
      </text>
    </comment>
    <comment ref="Y944" authorId="0">
      <text>
        <r>
          <rPr>
            <b/>
            <sz val="9"/>
            <color indexed="81"/>
            <rFont val="Tahoma"/>
            <family val="2"/>
          </rPr>
          <t>Christian:</t>
        </r>
        <r>
          <rPr>
            <sz val="9"/>
            <color indexed="81"/>
            <rFont val="Tahoma"/>
            <family val="2"/>
          </rPr>
          <t xml:space="preserve">
NA if fossil</t>
        </r>
      </text>
    </comment>
    <comment ref="AO944" authorId="0">
      <text>
        <r>
          <rPr>
            <b/>
            <sz val="9"/>
            <color indexed="81"/>
            <rFont val="Tahoma"/>
            <family val="2"/>
          </rPr>
          <t>Christian:</t>
        </r>
        <r>
          <rPr>
            <sz val="9"/>
            <color indexed="81"/>
            <rFont val="Tahoma"/>
            <family val="2"/>
          </rPr>
          <t xml:space="preserve">
Type I here related to MS specific</t>
        </r>
      </text>
    </comment>
    <comment ref="Y970" authorId="0">
      <text>
        <r>
          <rPr>
            <b/>
            <sz val="9"/>
            <color indexed="81"/>
            <rFont val="Tahoma"/>
            <family val="2"/>
          </rPr>
          <t>Christian:</t>
        </r>
        <r>
          <rPr>
            <sz val="9"/>
            <color indexed="81"/>
            <rFont val="Tahoma"/>
            <family val="2"/>
          </rPr>
          <t xml:space="preserve">
NA if fossil</t>
        </r>
      </text>
    </comment>
    <comment ref="AO970" authorId="0">
      <text>
        <r>
          <rPr>
            <b/>
            <sz val="9"/>
            <color indexed="81"/>
            <rFont val="Tahoma"/>
            <family val="2"/>
          </rPr>
          <t>Christian:</t>
        </r>
        <r>
          <rPr>
            <sz val="9"/>
            <color indexed="81"/>
            <rFont val="Tahoma"/>
            <family val="2"/>
          </rPr>
          <t xml:space="preserve">
Type I here related to MS specific</t>
        </r>
      </text>
    </comment>
    <comment ref="Y971" authorId="0">
      <text>
        <r>
          <rPr>
            <b/>
            <sz val="9"/>
            <color indexed="81"/>
            <rFont val="Tahoma"/>
            <family val="2"/>
          </rPr>
          <t>Christian:</t>
        </r>
        <r>
          <rPr>
            <sz val="9"/>
            <color indexed="81"/>
            <rFont val="Tahoma"/>
            <family val="2"/>
          </rPr>
          <t xml:space="preserve">
NA if fossil</t>
        </r>
      </text>
    </comment>
    <comment ref="AO971" authorId="0">
      <text>
        <r>
          <rPr>
            <b/>
            <sz val="9"/>
            <color indexed="81"/>
            <rFont val="Tahoma"/>
            <family val="2"/>
          </rPr>
          <t>Christian:</t>
        </r>
        <r>
          <rPr>
            <sz val="9"/>
            <color indexed="81"/>
            <rFont val="Tahoma"/>
            <family val="2"/>
          </rPr>
          <t xml:space="preserve">
Type I here related to MS specific</t>
        </r>
      </text>
    </comment>
    <comment ref="Y997" authorId="0">
      <text>
        <r>
          <rPr>
            <b/>
            <sz val="9"/>
            <color indexed="81"/>
            <rFont val="Tahoma"/>
            <family val="2"/>
          </rPr>
          <t>Christian:</t>
        </r>
        <r>
          <rPr>
            <sz val="9"/>
            <color indexed="81"/>
            <rFont val="Tahoma"/>
            <family val="2"/>
          </rPr>
          <t xml:space="preserve">
NA if fossil</t>
        </r>
      </text>
    </comment>
    <comment ref="AO997" authorId="0">
      <text>
        <r>
          <rPr>
            <b/>
            <sz val="9"/>
            <color indexed="81"/>
            <rFont val="Tahoma"/>
            <family val="2"/>
          </rPr>
          <t>Christian:</t>
        </r>
        <r>
          <rPr>
            <sz val="9"/>
            <color indexed="81"/>
            <rFont val="Tahoma"/>
            <family val="2"/>
          </rPr>
          <t xml:space="preserve">
Type I here related to MS specific</t>
        </r>
      </text>
    </comment>
    <comment ref="Y998" authorId="0">
      <text>
        <r>
          <rPr>
            <b/>
            <sz val="9"/>
            <color indexed="81"/>
            <rFont val="Tahoma"/>
            <family val="2"/>
          </rPr>
          <t>Christian:</t>
        </r>
        <r>
          <rPr>
            <sz val="9"/>
            <color indexed="81"/>
            <rFont val="Tahoma"/>
            <family val="2"/>
          </rPr>
          <t xml:space="preserve">
NA if fossil</t>
        </r>
      </text>
    </comment>
    <comment ref="AO998" authorId="0">
      <text>
        <r>
          <rPr>
            <b/>
            <sz val="9"/>
            <color indexed="81"/>
            <rFont val="Tahoma"/>
            <family val="2"/>
          </rPr>
          <t>Christian:</t>
        </r>
        <r>
          <rPr>
            <sz val="9"/>
            <color indexed="81"/>
            <rFont val="Tahoma"/>
            <family val="2"/>
          </rPr>
          <t xml:space="preserve">
Type I here related to MS specific</t>
        </r>
      </text>
    </comment>
    <comment ref="Y1024" authorId="0">
      <text>
        <r>
          <rPr>
            <b/>
            <sz val="9"/>
            <color indexed="81"/>
            <rFont val="Tahoma"/>
            <family val="2"/>
          </rPr>
          <t>Christian:</t>
        </r>
        <r>
          <rPr>
            <sz val="9"/>
            <color indexed="81"/>
            <rFont val="Tahoma"/>
            <family val="2"/>
          </rPr>
          <t xml:space="preserve">
NA if fossil</t>
        </r>
      </text>
    </comment>
    <comment ref="AO1024" authorId="0">
      <text>
        <r>
          <rPr>
            <b/>
            <sz val="9"/>
            <color indexed="81"/>
            <rFont val="Tahoma"/>
            <family val="2"/>
          </rPr>
          <t>Christian:</t>
        </r>
        <r>
          <rPr>
            <sz val="9"/>
            <color indexed="81"/>
            <rFont val="Tahoma"/>
            <family val="2"/>
          </rPr>
          <t xml:space="preserve">
Type I here related to MS specific</t>
        </r>
      </text>
    </comment>
    <comment ref="Y1025" authorId="0">
      <text>
        <r>
          <rPr>
            <b/>
            <sz val="9"/>
            <color indexed="81"/>
            <rFont val="Tahoma"/>
            <family val="2"/>
          </rPr>
          <t>Christian:</t>
        </r>
        <r>
          <rPr>
            <sz val="9"/>
            <color indexed="81"/>
            <rFont val="Tahoma"/>
            <family val="2"/>
          </rPr>
          <t xml:space="preserve">
NA if fossil</t>
        </r>
      </text>
    </comment>
    <comment ref="AO1025" authorId="0">
      <text>
        <r>
          <rPr>
            <b/>
            <sz val="9"/>
            <color indexed="81"/>
            <rFont val="Tahoma"/>
            <family val="2"/>
          </rPr>
          <t>Christian:</t>
        </r>
        <r>
          <rPr>
            <sz val="9"/>
            <color indexed="81"/>
            <rFont val="Tahoma"/>
            <family val="2"/>
          </rPr>
          <t xml:space="preserve">
Type I here related to MS specific</t>
        </r>
      </text>
    </comment>
    <comment ref="Y1051" authorId="0">
      <text>
        <r>
          <rPr>
            <b/>
            <sz val="9"/>
            <color indexed="81"/>
            <rFont val="Tahoma"/>
            <family val="2"/>
          </rPr>
          <t>Christian:</t>
        </r>
        <r>
          <rPr>
            <sz val="9"/>
            <color indexed="81"/>
            <rFont val="Tahoma"/>
            <family val="2"/>
          </rPr>
          <t xml:space="preserve">
NA if fossil</t>
        </r>
      </text>
    </comment>
    <comment ref="AO1051" authorId="0">
      <text>
        <r>
          <rPr>
            <b/>
            <sz val="9"/>
            <color indexed="81"/>
            <rFont val="Tahoma"/>
            <family val="2"/>
          </rPr>
          <t>Christian:</t>
        </r>
        <r>
          <rPr>
            <sz val="9"/>
            <color indexed="81"/>
            <rFont val="Tahoma"/>
            <family val="2"/>
          </rPr>
          <t xml:space="preserve">
Type I here related to MS specific</t>
        </r>
      </text>
    </comment>
    <comment ref="Y1052" authorId="0">
      <text>
        <r>
          <rPr>
            <b/>
            <sz val="9"/>
            <color indexed="81"/>
            <rFont val="Tahoma"/>
            <family val="2"/>
          </rPr>
          <t>Christian:</t>
        </r>
        <r>
          <rPr>
            <sz val="9"/>
            <color indexed="81"/>
            <rFont val="Tahoma"/>
            <family val="2"/>
          </rPr>
          <t xml:space="preserve">
NA if fossil</t>
        </r>
      </text>
    </comment>
    <comment ref="AO1052" authorId="0">
      <text>
        <r>
          <rPr>
            <b/>
            <sz val="9"/>
            <color indexed="81"/>
            <rFont val="Tahoma"/>
            <family val="2"/>
          </rPr>
          <t>Christian:</t>
        </r>
        <r>
          <rPr>
            <sz val="9"/>
            <color indexed="81"/>
            <rFont val="Tahoma"/>
            <family val="2"/>
          </rPr>
          <t xml:space="preserve">
Type I here related to MS specific</t>
        </r>
      </text>
    </comment>
    <comment ref="Y1078" authorId="0">
      <text>
        <r>
          <rPr>
            <b/>
            <sz val="9"/>
            <color indexed="81"/>
            <rFont val="Tahoma"/>
            <family val="2"/>
          </rPr>
          <t>Christian:</t>
        </r>
        <r>
          <rPr>
            <sz val="9"/>
            <color indexed="81"/>
            <rFont val="Tahoma"/>
            <family val="2"/>
          </rPr>
          <t xml:space="preserve">
NA if fossil</t>
        </r>
      </text>
    </comment>
    <comment ref="AO1078" authorId="0">
      <text>
        <r>
          <rPr>
            <b/>
            <sz val="9"/>
            <color indexed="81"/>
            <rFont val="Tahoma"/>
            <family val="2"/>
          </rPr>
          <t>Christian:</t>
        </r>
        <r>
          <rPr>
            <sz val="9"/>
            <color indexed="81"/>
            <rFont val="Tahoma"/>
            <family val="2"/>
          </rPr>
          <t xml:space="preserve">
Type I here related to MS specific</t>
        </r>
      </text>
    </comment>
    <comment ref="Y1079" authorId="0">
      <text>
        <r>
          <rPr>
            <b/>
            <sz val="9"/>
            <color indexed="81"/>
            <rFont val="Tahoma"/>
            <family val="2"/>
          </rPr>
          <t>Christian:</t>
        </r>
        <r>
          <rPr>
            <sz val="9"/>
            <color indexed="81"/>
            <rFont val="Tahoma"/>
            <family val="2"/>
          </rPr>
          <t xml:space="preserve">
NA if fossil</t>
        </r>
      </text>
    </comment>
    <comment ref="AO1079" authorId="0">
      <text>
        <r>
          <rPr>
            <b/>
            <sz val="9"/>
            <color indexed="81"/>
            <rFont val="Tahoma"/>
            <family val="2"/>
          </rPr>
          <t>Christian:</t>
        </r>
        <r>
          <rPr>
            <sz val="9"/>
            <color indexed="81"/>
            <rFont val="Tahoma"/>
            <family val="2"/>
          </rPr>
          <t xml:space="preserve">
Type I here related to MS specific</t>
        </r>
      </text>
    </comment>
    <comment ref="Y1105" authorId="0">
      <text>
        <r>
          <rPr>
            <b/>
            <sz val="9"/>
            <color indexed="81"/>
            <rFont val="Tahoma"/>
            <family val="2"/>
          </rPr>
          <t>Christian:</t>
        </r>
        <r>
          <rPr>
            <sz val="9"/>
            <color indexed="81"/>
            <rFont val="Tahoma"/>
            <family val="2"/>
          </rPr>
          <t xml:space="preserve">
NA if fossil</t>
        </r>
      </text>
    </comment>
    <comment ref="AO1105" authorId="0">
      <text>
        <r>
          <rPr>
            <b/>
            <sz val="9"/>
            <color indexed="81"/>
            <rFont val="Tahoma"/>
            <family val="2"/>
          </rPr>
          <t>Christian:</t>
        </r>
        <r>
          <rPr>
            <sz val="9"/>
            <color indexed="81"/>
            <rFont val="Tahoma"/>
            <family val="2"/>
          </rPr>
          <t xml:space="preserve">
Type I here related to MS specific</t>
        </r>
      </text>
    </comment>
    <comment ref="Y1106" authorId="0">
      <text>
        <r>
          <rPr>
            <b/>
            <sz val="9"/>
            <color indexed="81"/>
            <rFont val="Tahoma"/>
            <family val="2"/>
          </rPr>
          <t>Christian:</t>
        </r>
        <r>
          <rPr>
            <sz val="9"/>
            <color indexed="81"/>
            <rFont val="Tahoma"/>
            <family val="2"/>
          </rPr>
          <t xml:space="preserve">
NA if fossil</t>
        </r>
      </text>
    </comment>
    <comment ref="AO1106" authorId="0">
      <text>
        <r>
          <rPr>
            <b/>
            <sz val="9"/>
            <color indexed="81"/>
            <rFont val="Tahoma"/>
            <family val="2"/>
          </rPr>
          <t>Christian:</t>
        </r>
        <r>
          <rPr>
            <sz val="9"/>
            <color indexed="81"/>
            <rFont val="Tahoma"/>
            <family val="2"/>
          </rPr>
          <t xml:space="preserve">
Type I here related to MS specific</t>
        </r>
      </text>
    </comment>
    <comment ref="Y1132" authorId="0">
      <text>
        <r>
          <rPr>
            <b/>
            <sz val="9"/>
            <color indexed="81"/>
            <rFont val="Tahoma"/>
            <family val="2"/>
          </rPr>
          <t>Christian:</t>
        </r>
        <r>
          <rPr>
            <sz val="9"/>
            <color indexed="81"/>
            <rFont val="Tahoma"/>
            <family val="2"/>
          </rPr>
          <t xml:space="preserve">
NA if fossil</t>
        </r>
      </text>
    </comment>
    <comment ref="AO1132" authorId="0">
      <text>
        <r>
          <rPr>
            <b/>
            <sz val="9"/>
            <color indexed="81"/>
            <rFont val="Tahoma"/>
            <family val="2"/>
          </rPr>
          <t>Christian:</t>
        </r>
        <r>
          <rPr>
            <sz val="9"/>
            <color indexed="81"/>
            <rFont val="Tahoma"/>
            <family val="2"/>
          </rPr>
          <t xml:space="preserve">
Type I here related to MS specific</t>
        </r>
      </text>
    </comment>
    <comment ref="Y1133" authorId="0">
      <text>
        <r>
          <rPr>
            <b/>
            <sz val="9"/>
            <color indexed="81"/>
            <rFont val="Tahoma"/>
            <family val="2"/>
          </rPr>
          <t>Christian:</t>
        </r>
        <r>
          <rPr>
            <sz val="9"/>
            <color indexed="81"/>
            <rFont val="Tahoma"/>
            <family val="2"/>
          </rPr>
          <t xml:space="preserve">
NA if fossil</t>
        </r>
      </text>
    </comment>
    <comment ref="AO1133" authorId="0">
      <text>
        <r>
          <rPr>
            <b/>
            <sz val="9"/>
            <color indexed="81"/>
            <rFont val="Tahoma"/>
            <family val="2"/>
          </rPr>
          <t>Christian:</t>
        </r>
        <r>
          <rPr>
            <sz val="9"/>
            <color indexed="81"/>
            <rFont val="Tahoma"/>
            <family val="2"/>
          </rPr>
          <t xml:space="preserve">
Type I here related to MS specific</t>
        </r>
      </text>
    </comment>
    <comment ref="Y1159" authorId="0">
      <text>
        <r>
          <rPr>
            <b/>
            <sz val="9"/>
            <color indexed="81"/>
            <rFont val="Tahoma"/>
            <family val="2"/>
          </rPr>
          <t>Christian:</t>
        </r>
        <r>
          <rPr>
            <sz val="9"/>
            <color indexed="81"/>
            <rFont val="Tahoma"/>
            <family val="2"/>
          </rPr>
          <t xml:space="preserve">
NA if fossil</t>
        </r>
      </text>
    </comment>
    <comment ref="AO1159" authorId="0">
      <text>
        <r>
          <rPr>
            <b/>
            <sz val="9"/>
            <color indexed="81"/>
            <rFont val="Tahoma"/>
            <family val="2"/>
          </rPr>
          <t>Christian:</t>
        </r>
        <r>
          <rPr>
            <sz val="9"/>
            <color indexed="81"/>
            <rFont val="Tahoma"/>
            <family val="2"/>
          </rPr>
          <t xml:space="preserve">
Type I here related to MS specific</t>
        </r>
      </text>
    </comment>
    <comment ref="Y1160" authorId="0">
      <text>
        <r>
          <rPr>
            <b/>
            <sz val="9"/>
            <color indexed="81"/>
            <rFont val="Tahoma"/>
            <family val="2"/>
          </rPr>
          <t>Christian:</t>
        </r>
        <r>
          <rPr>
            <sz val="9"/>
            <color indexed="81"/>
            <rFont val="Tahoma"/>
            <family val="2"/>
          </rPr>
          <t xml:space="preserve">
NA if fossil</t>
        </r>
      </text>
    </comment>
    <comment ref="AO1160" authorId="0">
      <text>
        <r>
          <rPr>
            <b/>
            <sz val="9"/>
            <color indexed="81"/>
            <rFont val="Tahoma"/>
            <family val="2"/>
          </rPr>
          <t>Christian:</t>
        </r>
        <r>
          <rPr>
            <sz val="9"/>
            <color indexed="81"/>
            <rFont val="Tahoma"/>
            <family val="2"/>
          </rPr>
          <t xml:space="preserve">
Type I here related to MS specific</t>
        </r>
      </text>
    </comment>
    <comment ref="Y1186" authorId="0">
      <text>
        <r>
          <rPr>
            <b/>
            <sz val="9"/>
            <color indexed="81"/>
            <rFont val="Tahoma"/>
            <family val="2"/>
          </rPr>
          <t>Christian:</t>
        </r>
        <r>
          <rPr>
            <sz val="9"/>
            <color indexed="81"/>
            <rFont val="Tahoma"/>
            <family val="2"/>
          </rPr>
          <t xml:space="preserve">
NA if fossil</t>
        </r>
      </text>
    </comment>
    <comment ref="AO1186" authorId="0">
      <text>
        <r>
          <rPr>
            <b/>
            <sz val="9"/>
            <color indexed="81"/>
            <rFont val="Tahoma"/>
            <family val="2"/>
          </rPr>
          <t>Christian:</t>
        </r>
        <r>
          <rPr>
            <sz val="9"/>
            <color indexed="81"/>
            <rFont val="Tahoma"/>
            <family val="2"/>
          </rPr>
          <t xml:space="preserve">
Type I here related to MS specific</t>
        </r>
      </text>
    </comment>
    <comment ref="Y1187" authorId="0">
      <text>
        <r>
          <rPr>
            <b/>
            <sz val="9"/>
            <color indexed="81"/>
            <rFont val="Tahoma"/>
            <family val="2"/>
          </rPr>
          <t>Christian:</t>
        </r>
        <r>
          <rPr>
            <sz val="9"/>
            <color indexed="81"/>
            <rFont val="Tahoma"/>
            <family val="2"/>
          </rPr>
          <t xml:space="preserve">
NA if fossil</t>
        </r>
      </text>
    </comment>
    <comment ref="AO1187" authorId="0">
      <text>
        <r>
          <rPr>
            <b/>
            <sz val="9"/>
            <color indexed="81"/>
            <rFont val="Tahoma"/>
            <family val="2"/>
          </rPr>
          <t>Christian:</t>
        </r>
        <r>
          <rPr>
            <sz val="9"/>
            <color indexed="81"/>
            <rFont val="Tahoma"/>
            <family val="2"/>
          </rPr>
          <t xml:space="preserve">
Type I here related to MS specific</t>
        </r>
      </text>
    </comment>
    <comment ref="Y1213" authorId="0">
      <text>
        <r>
          <rPr>
            <b/>
            <sz val="9"/>
            <color indexed="81"/>
            <rFont val="Tahoma"/>
            <family val="2"/>
          </rPr>
          <t>Christian:</t>
        </r>
        <r>
          <rPr>
            <sz val="9"/>
            <color indexed="81"/>
            <rFont val="Tahoma"/>
            <family val="2"/>
          </rPr>
          <t xml:space="preserve">
NA if fossil</t>
        </r>
      </text>
    </comment>
    <comment ref="AO1213" authorId="0">
      <text>
        <r>
          <rPr>
            <b/>
            <sz val="9"/>
            <color indexed="81"/>
            <rFont val="Tahoma"/>
            <family val="2"/>
          </rPr>
          <t>Christian:</t>
        </r>
        <r>
          <rPr>
            <sz val="9"/>
            <color indexed="81"/>
            <rFont val="Tahoma"/>
            <family val="2"/>
          </rPr>
          <t xml:space="preserve">
Type I here related to MS specific</t>
        </r>
      </text>
    </comment>
    <comment ref="Y1214" authorId="0">
      <text>
        <r>
          <rPr>
            <b/>
            <sz val="9"/>
            <color indexed="81"/>
            <rFont val="Tahoma"/>
            <family val="2"/>
          </rPr>
          <t>Christian:</t>
        </r>
        <r>
          <rPr>
            <sz val="9"/>
            <color indexed="81"/>
            <rFont val="Tahoma"/>
            <family val="2"/>
          </rPr>
          <t xml:space="preserve">
NA if fossil</t>
        </r>
      </text>
    </comment>
    <comment ref="AO1214" authorId="0">
      <text>
        <r>
          <rPr>
            <b/>
            <sz val="9"/>
            <color indexed="81"/>
            <rFont val="Tahoma"/>
            <family val="2"/>
          </rPr>
          <t>Christian:</t>
        </r>
        <r>
          <rPr>
            <sz val="9"/>
            <color indexed="81"/>
            <rFont val="Tahoma"/>
            <family val="2"/>
          </rPr>
          <t xml:space="preserve">
Type I here related to MS specific</t>
        </r>
      </text>
    </comment>
    <comment ref="Y1240" authorId="0">
      <text>
        <r>
          <rPr>
            <b/>
            <sz val="9"/>
            <color indexed="81"/>
            <rFont val="Tahoma"/>
            <family val="2"/>
          </rPr>
          <t>Christian:</t>
        </r>
        <r>
          <rPr>
            <sz val="9"/>
            <color indexed="81"/>
            <rFont val="Tahoma"/>
            <family val="2"/>
          </rPr>
          <t xml:space="preserve">
NA if fossil</t>
        </r>
      </text>
    </comment>
    <comment ref="AO1240" authorId="0">
      <text>
        <r>
          <rPr>
            <b/>
            <sz val="9"/>
            <color indexed="81"/>
            <rFont val="Tahoma"/>
            <family val="2"/>
          </rPr>
          <t>Christian:</t>
        </r>
        <r>
          <rPr>
            <sz val="9"/>
            <color indexed="81"/>
            <rFont val="Tahoma"/>
            <family val="2"/>
          </rPr>
          <t xml:space="preserve">
Type I here related to MS specific</t>
        </r>
      </text>
    </comment>
    <comment ref="Y1241" authorId="0">
      <text>
        <r>
          <rPr>
            <b/>
            <sz val="9"/>
            <color indexed="81"/>
            <rFont val="Tahoma"/>
            <family val="2"/>
          </rPr>
          <t>Christian:</t>
        </r>
        <r>
          <rPr>
            <sz val="9"/>
            <color indexed="81"/>
            <rFont val="Tahoma"/>
            <family val="2"/>
          </rPr>
          <t xml:space="preserve">
NA if fossil</t>
        </r>
      </text>
    </comment>
    <comment ref="AO1241" authorId="0">
      <text>
        <r>
          <rPr>
            <b/>
            <sz val="9"/>
            <color indexed="81"/>
            <rFont val="Tahoma"/>
            <family val="2"/>
          </rPr>
          <t>Christian:</t>
        </r>
        <r>
          <rPr>
            <sz val="9"/>
            <color indexed="81"/>
            <rFont val="Tahoma"/>
            <family val="2"/>
          </rPr>
          <t xml:space="preserve">
Type I here related to MS specific</t>
        </r>
      </text>
    </comment>
    <comment ref="Y1267" authorId="0">
      <text>
        <r>
          <rPr>
            <b/>
            <sz val="9"/>
            <color indexed="81"/>
            <rFont val="Tahoma"/>
            <family val="2"/>
          </rPr>
          <t>Christian:</t>
        </r>
        <r>
          <rPr>
            <sz val="9"/>
            <color indexed="81"/>
            <rFont val="Tahoma"/>
            <family val="2"/>
          </rPr>
          <t xml:space="preserve">
NA if fossil</t>
        </r>
      </text>
    </comment>
    <comment ref="AO1267" authorId="0">
      <text>
        <r>
          <rPr>
            <b/>
            <sz val="9"/>
            <color indexed="81"/>
            <rFont val="Tahoma"/>
            <family val="2"/>
          </rPr>
          <t>Christian:</t>
        </r>
        <r>
          <rPr>
            <sz val="9"/>
            <color indexed="81"/>
            <rFont val="Tahoma"/>
            <family val="2"/>
          </rPr>
          <t xml:space="preserve">
Type I here related to MS specific</t>
        </r>
      </text>
    </comment>
    <comment ref="Y1268" authorId="0">
      <text>
        <r>
          <rPr>
            <b/>
            <sz val="9"/>
            <color indexed="81"/>
            <rFont val="Tahoma"/>
            <family val="2"/>
          </rPr>
          <t>Christian:</t>
        </r>
        <r>
          <rPr>
            <sz val="9"/>
            <color indexed="81"/>
            <rFont val="Tahoma"/>
            <family val="2"/>
          </rPr>
          <t xml:space="preserve">
NA if fossil</t>
        </r>
      </text>
    </comment>
    <comment ref="AO1268" authorId="0">
      <text>
        <r>
          <rPr>
            <b/>
            <sz val="9"/>
            <color indexed="81"/>
            <rFont val="Tahoma"/>
            <family val="2"/>
          </rPr>
          <t>Christian:</t>
        </r>
        <r>
          <rPr>
            <sz val="9"/>
            <color indexed="81"/>
            <rFont val="Tahoma"/>
            <family val="2"/>
          </rPr>
          <t xml:space="preserve">
Type I here related to MS specific</t>
        </r>
      </text>
    </comment>
    <comment ref="Y1294" authorId="0">
      <text>
        <r>
          <rPr>
            <b/>
            <sz val="9"/>
            <color indexed="81"/>
            <rFont val="Tahoma"/>
            <family val="2"/>
          </rPr>
          <t>Christian:</t>
        </r>
        <r>
          <rPr>
            <sz val="9"/>
            <color indexed="81"/>
            <rFont val="Tahoma"/>
            <family val="2"/>
          </rPr>
          <t xml:space="preserve">
NA if fossil</t>
        </r>
      </text>
    </comment>
    <comment ref="AO1294" authorId="0">
      <text>
        <r>
          <rPr>
            <b/>
            <sz val="9"/>
            <color indexed="81"/>
            <rFont val="Tahoma"/>
            <family val="2"/>
          </rPr>
          <t>Christian:</t>
        </r>
        <r>
          <rPr>
            <sz val="9"/>
            <color indexed="81"/>
            <rFont val="Tahoma"/>
            <family val="2"/>
          </rPr>
          <t xml:space="preserve">
Type I here related to MS specific</t>
        </r>
      </text>
    </comment>
    <comment ref="Y1295" authorId="0">
      <text>
        <r>
          <rPr>
            <b/>
            <sz val="9"/>
            <color indexed="81"/>
            <rFont val="Tahoma"/>
            <family val="2"/>
          </rPr>
          <t>Christian:</t>
        </r>
        <r>
          <rPr>
            <sz val="9"/>
            <color indexed="81"/>
            <rFont val="Tahoma"/>
            <family val="2"/>
          </rPr>
          <t xml:space="preserve">
NA if fossil</t>
        </r>
      </text>
    </comment>
    <comment ref="AO1295" authorId="0">
      <text>
        <r>
          <rPr>
            <b/>
            <sz val="9"/>
            <color indexed="81"/>
            <rFont val="Tahoma"/>
            <family val="2"/>
          </rPr>
          <t>Christian:</t>
        </r>
        <r>
          <rPr>
            <sz val="9"/>
            <color indexed="81"/>
            <rFont val="Tahoma"/>
            <family val="2"/>
          </rPr>
          <t xml:space="preserve">
Type I here related to MS specific</t>
        </r>
      </text>
    </comment>
    <comment ref="Y1321" authorId="0">
      <text>
        <r>
          <rPr>
            <b/>
            <sz val="9"/>
            <color indexed="81"/>
            <rFont val="Tahoma"/>
            <family val="2"/>
          </rPr>
          <t>Christian:</t>
        </r>
        <r>
          <rPr>
            <sz val="9"/>
            <color indexed="81"/>
            <rFont val="Tahoma"/>
            <family val="2"/>
          </rPr>
          <t xml:space="preserve">
NA if fossil</t>
        </r>
      </text>
    </comment>
    <comment ref="AO1321" authorId="0">
      <text>
        <r>
          <rPr>
            <b/>
            <sz val="9"/>
            <color indexed="81"/>
            <rFont val="Tahoma"/>
            <family val="2"/>
          </rPr>
          <t>Christian:</t>
        </r>
        <r>
          <rPr>
            <sz val="9"/>
            <color indexed="81"/>
            <rFont val="Tahoma"/>
            <family val="2"/>
          </rPr>
          <t xml:space="preserve">
Type I here related to MS specific</t>
        </r>
      </text>
    </comment>
    <comment ref="Y1322" authorId="0">
      <text>
        <r>
          <rPr>
            <b/>
            <sz val="9"/>
            <color indexed="81"/>
            <rFont val="Tahoma"/>
            <family val="2"/>
          </rPr>
          <t>Christian:</t>
        </r>
        <r>
          <rPr>
            <sz val="9"/>
            <color indexed="81"/>
            <rFont val="Tahoma"/>
            <family val="2"/>
          </rPr>
          <t xml:space="preserve">
NA if fossil</t>
        </r>
      </text>
    </comment>
    <comment ref="AO1322" authorId="0">
      <text>
        <r>
          <rPr>
            <b/>
            <sz val="9"/>
            <color indexed="81"/>
            <rFont val="Tahoma"/>
            <family val="2"/>
          </rPr>
          <t>Christian:</t>
        </r>
        <r>
          <rPr>
            <sz val="9"/>
            <color indexed="81"/>
            <rFont val="Tahoma"/>
            <family val="2"/>
          </rPr>
          <t xml:space="preserve">
Type I here related to MS specific</t>
        </r>
      </text>
    </comment>
    <comment ref="Y1348" authorId="0">
      <text>
        <r>
          <rPr>
            <b/>
            <sz val="9"/>
            <color indexed="81"/>
            <rFont val="Tahoma"/>
            <family val="2"/>
          </rPr>
          <t>Christian:</t>
        </r>
        <r>
          <rPr>
            <sz val="9"/>
            <color indexed="81"/>
            <rFont val="Tahoma"/>
            <family val="2"/>
          </rPr>
          <t xml:space="preserve">
NA if fossil</t>
        </r>
      </text>
    </comment>
    <comment ref="AO1348" authorId="0">
      <text>
        <r>
          <rPr>
            <b/>
            <sz val="9"/>
            <color indexed="81"/>
            <rFont val="Tahoma"/>
            <family val="2"/>
          </rPr>
          <t>Christian:</t>
        </r>
        <r>
          <rPr>
            <sz val="9"/>
            <color indexed="81"/>
            <rFont val="Tahoma"/>
            <family val="2"/>
          </rPr>
          <t xml:space="preserve">
Type I here related to MS specific</t>
        </r>
      </text>
    </comment>
    <comment ref="Y1349" authorId="0">
      <text>
        <r>
          <rPr>
            <b/>
            <sz val="9"/>
            <color indexed="81"/>
            <rFont val="Tahoma"/>
            <family val="2"/>
          </rPr>
          <t>Christian:</t>
        </r>
        <r>
          <rPr>
            <sz val="9"/>
            <color indexed="81"/>
            <rFont val="Tahoma"/>
            <family val="2"/>
          </rPr>
          <t xml:space="preserve">
NA if fossil</t>
        </r>
      </text>
    </comment>
    <comment ref="AO1349" authorId="0">
      <text>
        <r>
          <rPr>
            <b/>
            <sz val="9"/>
            <color indexed="81"/>
            <rFont val="Tahoma"/>
            <family val="2"/>
          </rPr>
          <t>Christian:</t>
        </r>
        <r>
          <rPr>
            <sz val="9"/>
            <color indexed="81"/>
            <rFont val="Tahoma"/>
            <family val="2"/>
          </rPr>
          <t xml:space="preserve">
Type I here related to MS specific</t>
        </r>
      </text>
    </comment>
    <comment ref="Y1375" authorId="0">
      <text>
        <r>
          <rPr>
            <b/>
            <sz val="9"/>
            <color indexed="81"/>
            <rFont val="Tahoma"/>
            <family val="2"/>
          </rPr>
          <t>Christian:</t>
        </r>
        <r>
          <rPr>
            <sz val="9"/>
            <color indexed="81"/>
            <rFont val="Tahoma"/>
            <family val="2"/>
          </rPr>
          <t xml:space="preserve">
NA if fossil</t>
        </r>
      </text>
    </comment>
    <comment ref="AO1375" authorId="0">
      <text>
        <r>
          <rPr>
            <b/>
            <sz val="9"/>
            <color indexed="81"/>
            <rFont val="Tahoma"/>
            <family val="2"/>
          </rPr>
          <t>Christian:</t>
        </r>
        <r>
          <rPr>
            <sz val="9"/>
            <color indexed="81"/>
            <rFont val="Tahoma"/>
            <family val="2"/>
          </rPr>
          <t xml:space="preserve">
Type I here related to MS specific</t>
        </r>
      </text>
    </comment>
    <comment ref="Y1376" authorId="0">
      <text>
        <r>
          <rPr>
            <b/>
            <sz val="9"/>
            <color indexed="81"/>
            <rFont val="Tahoma"/>
            <family val="2"/>
          </rPr>
          <t>Christian:</t>
        </r>
        <r>
          <rPr>
            <sz val="9"/>
            <color indexed="81"/>
            <rFont val="Tahoma"/>
            <family val="2"/>
          </rPr>
          <t xml:space="preserve">
NA if fossil</t>
        </r>
      </text>
    </comment>
    <comment ref="AO1376" authorId="0">
      <text>
        <r>
          <rPr>
            <b/>
            <sz val="9"/>
            <color indexed="81"/>
            <rFont val="Tahoma"/>
            <family val="2"/>
          </rPr>
          <t>Christian:</t>
        </r>
        <r>
          <rPr>
            <sz val="9"/>
            <color indexed="81"/>
            <rFont val="Tahoma"/>
            <family val="2"/>
          </rPr>
          <t xml:space="preserve">
Type I here related to MS specific</t>
        </r>
      </text>
    </comment>
    <comment ref="Y1402" authorId="0">
      <text>
        <r>
          <rPr>
            <b/>
            <sz val="9"/>
            <color indexed="81"/>
            <rFont val="Tahoma"/>
            <family val="2"/>
          </rPr>
          <t>Christian:</t>
        </r>
        <r>
          <rPr>
            <sz val="9"/>
            <color indexed="81"/>
            <rFont val="Tahoma"/>
            <family val="2"/>
          </rPr>
          <t xml:space="preserve">
NA if fossil</t>
        </r>
      </text>
    </comment>
    <comment ref="AO1402" authorId="0">
      <text>
        <r>
          <rPr>
            <b/>
            <sz val="9"/>
            <color indexed="81"/>
            <rFont val="Tahoma"/>
            <family val="2"/>
          </rPr>
          <t>Christian:</t>
        </r>
        <r>
          <rPr>
            <sz val="9"/>
            <color indexed="81"/>
            <rFont val="Tahoma"/>
            <family val="2"/>
          </rPr>
          <t xml:space="preserve">
Type I here related to MS specific</t>
        </r>
      </text>
    </comment>
    <comment ref="Y1403" authorId="0">
      <text>
        <r>
          <rPr>
            <b/>
            <sz val="9"/>
            <color indexed="81"/>
            <rFont val="Tahoma"/>
            <family val="2"/>
          </rPr>
          <t>Christian:</t>
        </r>
        <r>
          <rPr>
            <sz val="9"/>
            <color indexed="81"/>
            <rFont val="Tahoma"/>
            <family val="2"/>
          </rPr>
          <t xml:space="preserve">
NA if fossil</t>
        </r>
      </text>
    </comment>
    <comment ref="AO1403" authorId="0">
      <text>
        <r>
          <rPr>
            <b/>
            <sz val="9"/>
            <color indexed="81"/>
            <rFont val="Tahoma"/>
            <family val="2"/>
          </rPr>
          <t>Christian:</t>
        </r>
        <r>
          <rPr>
            <sz val="9"/>
            <color indexed="81"/>
            <rFont val="Tahoma"/>
            <family val="2"/>
          </rPr>
          <t xml:space="preserve">
Type I here related to MS specific</t>
        </r>
      </text>
    </comment>
    <comment ref="Y1429" authorId="0">
      <text>
        <r>
          <rPr>
            <b/>
            <sz val="9"/>
            <color indexed="81"/>
            <rFont val="Tahoma"/>
            <family val="2"/>
          </rPr>
          <t>Christian:</t>
        </r>
        <r>
          <rPr>
            <sz val="9"/>
            <color indexed="81"/>
            <rFont val="Tahoma"/>
            <family val="2"/>
          </rPr>
          <t xml:space="preserve">
NA if fossil</t>
        </r>
      </text>
    </comment>
    <comment ref="AO1429" authorId="0">
      <text>
        <r>
          <rPr>
            <b/>
            <sz val="9"/>
            <color indexed="81"/>
            <rFont val="Tahoma"/>
            <family val="2"/>
          </rPr>
          <t>Christian:</t>
        </r>
        <r>
          <rPr>
            <sz val="9"/>
            <color indexed="81"/>
            <rFont val="Tahoma"/>
            <family val="2"/>
          </rPr>
          <t xml:space="preserve">
Type I here related to MS specific</t>
        </r>
      </text>
    </comment>
    <comment ref="Y1430" authorId="0">
      <text>
        <r>
          <rPr>
            <b/>
            <sz val="9"/>
            <color indexed="81"/>
            <rFont val="Tahoma"/>
            <family val="2"/>
          </rPr>
          <t>Christian:</t>
        </r>
        <r>
          <rPr>
            <sz val="9"/>
            <color indexed="81"/>
            <rFont val="Tahoma"/>
            <family val="2"/>
          </rPr>
          <t xml:space="preserve">
NA if fossil</t>
        </r>
      </text>
    </comment>
    <comment ref="AO1430" authorId="0">
      <text>
        <r>
          <rPr>
            <b/>
            <sz val="9"/>
            <color indexed="81"/>
            <rFont val="Tahoma"/>
            <family val="2"/>
          </rPr>
          <t>Christian:</t>
        </r>
        <r>
          <rPr>
            <sz val="9"/>
            <color indexed="81"/>
            <rFont val="Tahoma"/>
            <family val="2"/>
          </rPr>
          <t xml:space="preserve">
Type I here related to MS specific</t>
        </r>
      </text>
    </comment>
    <comment ref="Y1456" authorId="0">
      <text>
        <r>
          <rPr>
            <b/>
            <sz val="9"/>
            <color indexed="81"/>
            <rFont val="Tahoma"/>
            <family val="2"/>
          </rPr>
          <t>Christian:</t>
        </r>
        <r>
          <rPr>
            <sz val="9"/>
            <color indexed="81"/>
            <rFont val="Tahoma"/>
            <family val="2"/>
          </rPr>
          <t xml:space="preserve">
NA if fossil</t>
        </r>
      </text>
    </comment>
    <comment ref="AO1456" authorId="0">
      <text>
        <r>
          <rPr>
            <b/>
            <sz val="9"/>
            <color indexed="81"/>
            <rFont val="Tahoma"/>
            <family val="2"/>
          </rPr>
          <t>Christian:</t>
        </r>
        <r>
          <rPr>
            <sz val="9"/>
            <color indexed="81"/>
            <rFont val="Tahoma"/>
            <family val="2"/>
          </rPr>
          <t xml:space="preserve">
Type I here related to MS specific</t>
        </r>
      </text>
    </comment>
    <comment ref="Y1457" authorId="0">
      <text>
        <r>
          <rPr>
            <b/>
            <sz val="9"/>
            <color indexed="81"/>
            <rFont val="Tahoma"/>
            <family val="2"/>
          </rPr>
          <t>Christian:</t>
        </r>
        <r>
          <rPr>
            <sz val="9"/>
            <color indexed="81"/>
            <rFont val="Tahoma"/>
            <family val="2"/>
          </rPr>
          <t xml:space="preserve">
NA if fossil</t>
        </r>
      </text>
    </comment>
    <comment ref="AO1457" authorId="0">
      <text>
        <r>
          <rPr>
            <b/>
            <sz val="9"/>
            <color indexed="81"/>
            <rFont val="Tahoma"/>
            <family val="2"/>
          </rPr>
          <t>Christian:</t>
        </r>
        <r>
          <rPr>
            <sz val="9"/>
            <color indexed="81"/>
            <rFont val="Tahoma"/>
            <family val="2"/>
          </rPr>
          <t xml:space="preserve">
Type I here related to MS specific</t>
        </r>
      </text>
    </comment>
    <comment ref="Y1483" authorId="0">
      <text>
        <r>
          <rPr>
            <b/>
            <sz val="9"/>
            <color indexed="81"/>
            <rFont val="Tahoma"/>
            <family val="2"/>
          </rPr>
          <t>Christian:</t>
        </r>
        <r>
          <rPr>
            <sz val="9"/>
            <color indexed="81"/>
            <rFont val="Tahoma"/>
            <family val="2"/>
          </rPr>
          <t xml:space="preserve">
NA if fossil</t>
        </r>
      </text>
    </comment>
    <comment ref="AO1483" authorId="0">
      <text>
        <r>
          <rPr>
            <b/>
            <sz val="9"/>
            <color indexed="81"/>
            <rFont val="Tahoma"/>
            <family val="2"/>
          </rPr>
          <t>Christian:</t>
        </r>
        <r>
          <rPr>
            <sz val="9"/>
            <color indexed="81"/>
            <rFont val="Tahoma"/>
            <family val="2"/>
          </rPr>
          <t xml:space="preserve">
Type I here related to MS specific</t>
        </r>
      </text>
    </comment>
    <comment ref="Y1484" authorId="0">
      <text>
        <r>
          <rPr>
            <b/>
            <sz val="9"/>
            <color indexed="81"/>
            <rFont val="Tahoma"/>
            <family val="2"/>
          </rPr>
          <t>Christian:</t>
        </r>
        <r>
          <rPr>
            <sz val="9"/>
            <color indexed="81"/>
            <rFont val="Tahoma"/>
            <family val="2"/>
          </rPr>
          <t xml:space="preserve">
NA if fossil</t>
        </r>
      </text>
    </comment>
    <comment ref="AO1484" authorId="0">
      <text>
        <r>
          <rPr>
            <b/>
            <sz val="9"/>
            <color indexed="81"/>
            <rFont val="Tahoma"/>
            <family val="2"/>
          </rPr>
          <t>Christian:</t>
        </r>
        <r>
          <rPr>
            <sz val="9"/>
            <color indexed="81"/>
            <rFont val="Tahoma"/>
            <family val="2"/>
          </rPr>
          <t xml:space="preserve">
Type I here related to MS specific</t>
        </r>
      </text>
    </comment>
    <comment ref="Y1510" authorId="0">
      <text>
        <r>
          <rPr>
            <b/>
            <sz val="9"/>
            <color indexed="81"/>
            <rFont val="Tahoma"/>
            <family val="2"/>
          </rPr>
          <t>Christian:</t>
        </r>
        <r>
          <rPr>
            <sz val="9"/>
            <color indexed="81"/>
            <rFont val="Tahoma"/>
            <family val="2"/>
          </rPr>
          <t xml:space="preserve">
NA if fossil</t>
        </r>
      </text>
    </comment>
    <comment ref="AO1510" authorId="0">
      <text>
        <r>
          <rPr>
            <b/>
            <sz val="9"/>
            <color indexed="81"/>
            <rFont val="Tahoma"/>
            <family val="2"/>
          </rPr>
          <t>Christian:</t>
        </r>
        <r>
          <rPr>
            <sz val="9"/>
            <color indexed="81"/>
            <rFont val="Tahoma"/>
            <family val="2"/>
          </rPr>
          <t xml:space="preserve">
Type I here related to MS specific</t>
        </r>
      </text>
    </comment>
    <comment ref="Y1511" authorId="0">
      <text>
        <r>
          <rPr>
            <b/>
            <sz val="9"/>
            <color indexed="81"/>
            <rFont val="Tahoma"/>
            <family val="2"/>
          </rPr>
          <t>Christian:</t>
        </r>
        <r>
          <rPr>
            <sz val="9"/>
            <color indexed="81"/>
            <rFont val="Tahoma"/>
            <family val="2"/>
          </rPr>
          <t xml:space="preserve">
NA if fossil</t>
        </r>
      </text>
    </comment>
    <comment ref="AO1511" authorId="0">
      <text>
        <r>
          <rPr>
            <b/>
            <sz val="9"/>
            <color indexed="81"/>
            <rFont val="Tahoma"/>
            <family val="2"/>
          </rPr>
          <t>Christian:</t>
        </r>
        <r>
          <rPr>
            <sz val="9"/>
            <color indexed="81"/>
            <rFont val="Tahoma"/>
            <family val="2"/>
          </rPr>
          <t xml:space="preserve">
Type I here related to MS specific</t>
        </r>
      </text>
    </comment>
    <comment ref="Y1537" authorId="0">
      <text>
        <r>
          <rPr>
            <b/>
            <sz val="9"/>
            <color indexed="81"/>
            <rFont val="Tahoma"/>
            <family val="2"/>
          </rPr>
          <t>Christian:</t>
        </r>
        <r>
          <rPr>
            <sz val="9"/>
            <color indexed="81"/>
            <rFont val="Tahoma"/>
            <family val="2"/>
          </rPr>
          <t xml:space="preserve">
NA if fossil</t>
        </r>
      </text>
    </comment>
    <comment ref="AO1537" authorId="0">
      <text>
        <r>
          <rPr>
            <b/>
            <sz val="9"/>
            <color indexed="81"/>
            <rFont val="Tahoma"/>
            <family val="2"/>
          </rPr>
          <t>Christian:</t>
        </r>
        <r>
          <rPr>
            <sz val="9"/>
            <color indexed="81"/>
            <rFont val="Tahoma"/>
            <family val="2"/>
          </rPr>
          <t xml:space="preserve">
Type I here related to MS specific</t>
        </r>
      </text>
    </comment>
    <comment ref="Y1538" authorId="0">
      <text>
        <r>
          <rPr>
            <b/>
            <sz val="9"/>
            <color indexed="81"/>
            <rFont val="Tahoma"/>
            <family val="2"/>
          </rPr>
          <t>Christian:</t>
        </r>
        <r>
          <rPr>
            <sz val="9"/>
            <color indexed="81"/>
            <rFont val="Tahoma"/>
            <family val="2"/>
          </rPr>
          <t xml:space="preserve">
NA if fossil</t>
        </r>
      </text>
    </comment>
    <comment ref="AO1538" authorId="0">
      <text>
        <r>
          <rPr>
            <b/>
            <sz val="9"/>
            <color indexed="81"/>
            <rFont val="Tahoma"/>
            <family val="2"/>
          </rPr>
          <t>Christian:</t>
        </r>
        <r>
          <rPr>
            <sz val="9"/>
            <color indexed="81"/>
            <rFont val="Tahoma"/>
            <family val="2"/>
          </rPr>
          <t xml:space="preserve">
Type I here related to MS specific</t>
        </r>
      </text>
    </comment>
    <comment ref="Y1564" authorId="0">
      <text>
        <r>
          <rPr>
            <b/>
            <sz val="9"/>
            <color indexed="81"/>
            <rFont val="Tahoma"/>
            <family val="2"/>
          </rPr>
          <t>Christian:</t>
        </r>
        <r>
          <rPr>
            <sz val="9"/>
            <color indexed="81"/>
            <rFont val="Tahoma"/>
            <family val="2"/>
          </rPr>
          <t xml:space="preserve">
NA if fossil</t>
        </r>
      </text>
    </comment>
    <comment ref="AO1564" authorId="0">
      <text>
        <r>
          <rPr>
            <b/>
            <sz val="9"/>
            <color indexed="81"/>
            <rFont val="Tahoma"/>
            <family val="2"/>
          </rPr>
          <t>Christian:</t>
        </r>
        <r>
          <rPr>
            <sz val="9"/>
            <color indexed="81"/>
            <rFont val="Tahoma"/>
            <family val="2"/>
          </rPr>
          <t xml:space="preserve">
Type I here related to MS specific</t>
        </r>
      </text>
    </comment>
    <comment ref="Y1565" authorId="0">
      <text>
        <r>
          <rPr>
            <b/>
            <sz val="9"/>
            <color indexed="81"/>
            <rFont val="Tahoma"/>
            <family val="2"/>
          </rPr>
          <t>Christian:</t>
        </r>
        <r>
          <rPr>
            <sz val="9"/>
            <color indexed="81"/>
            <rFont val="Tahoma"/>
            <family val="2"/>
          </rPr>
          <t xml:space="preserve">
NA if fossil</t>
        </r>
      </text>
    </comment>
    <comment ref="AO1565" authorId="0">
      <text>
        <r>
          <rPr>
            <b/>
            <sz val="9"/>
            <color indexed="81"/>
            <rFont val="Tahoma"/>
            <family val="2"/>
          </rPr>
          <t>Christian:</t>
        </r>
        <r>
          <rPr>
            <sz val="9"/>
            <color indexed="81"/>
            <rFont val="Tahoma"/>
            <family val="2"/>
          </rPr>
          <t xml:space="preserve">
Type I here related to MS specific</t>
        </r>
      </text>
    </comment>
    <comment ref="Y1591" authorId="0">
      <text>
        <r>
          <rPr>
            <b/>
            <sz val="9"/>
            <color indexed="81"/>
            <rFont val="Tahoma"/>
            <family val="2"/>
          </rPr>
          <t>Christian:</t>
        </r>
        <r>
          <rPr>
            <sz val="9"/>
            <color indexed="81"/>
            <rFont val="Tahoma"/>
            <family val="2"/>
          </rPr>
          <t xml:space="preserve">
NA if fossil</t>
        </r>
      </text>
    </comment>
    <comment ref="AO1591" authorId="0">
      <text>
        <r>
          <rPr>
            <b/>
            <sz val="9"/>
            <color indexed="81"/>
            <rFont val="Tahoma"/>
            <family val="2"/>
          </rPr>
          <t>Christian:</t>
        </r>
        <r>
          <rPr>
            <sz val="9"/>
            <color indexed="81"/>
            <rFont val="Tahoma"/>
            <family val="2"/>
          </rPr>
          <t xml:space="preserve">
Type I here related to MS specific</t>
        </r>
      </text>
    </comment>
    <comment ref="Y1592" authorId="0">
      <text>
        <r>
          <rPr>
            <b/>
            <sz val="9"/>
            <color indexed="81"/>
            <rFont val="Tahoma"/>
            <family val="2"/>
          </rPr>
          <t>Christian:</t>
        </r>
        <r>
          <rPr>
            <sz val="9"/>
            <color indexed="81"/>
            <rFont val="Tahoma"/>
            <family val="2"/>
          </rPr>
          <t xml:space="preserve">
NA if fossil</t>
        </r>
      </text>
    </comment>
    <comment ref="AO1592" authorId="0">
      <text>
        <r>
          <rPr>
            <b/>
            <sz val="9"/>
            <color indexed="81"/>
            <rFont val="Tahoma"/>
            <family val="2"/>
          </rPr>
          <t>Christian:</t>
        </r>
        <r>
          <rPr>
            <sz val="9"/>
            <color indexed="81"/>
            <rFont val="Tahoma"/>
            <family val="2"/>
          </rPr>
          <t xml:space="preserve">
Type I here related to MS specific</t>
        </r>
      </text>
    </comment>
    <comment ref="Y1618" authorId="0">
      <text>
        <r>
          <rPr>
            <b/>
            <sz val="9"/>
            <color indexed="81"/>
            <rFont val="Tahoma"/>
            <family val="2"/>
          </rPr>
          <t>Christian:</t>
        </r>
        <r>
          <rPr>
            <sz val="9"/>
            <color indexed="81"/>
            <rFont val="Tahoma"/>
            <family val="2"/>
          </rPr>
          <t xml:space="preserve">
NA if fossil</t>
        </r>
      </text>
    </comment>
    <comment ref="AO1618" authorId="0">
      <text>
        <r>
          <rPr>
            <b/>
            <sz val="9"/>
            <color indexed="81"/>
            <rFont val="Tahoma"/>
            <family val="2"/>
          </rPr>
          <t>Christian:</t>
        </r>
        <r>
          <rPr>
            <sz val="9"/>
            <color indexed="81"/>
            <rFont val="Tahoma"/>
            <family val="2"/>
          </rPr>
          <t xml:space="preserve">
Type I here related to MS specific</t>
        </r>
      </text>
    </comment>
    <comment ref="Y1619" authorId="0">
      <text>
        <r>
          <rPr>
            <b/>
            <sz val="9"/>
            <color indexed="81"/>
            <rFont val="Tahoma"/>
            <family val="2"/>
          </rPr>
          <t>Christian:</t>
        </r>
        <r>
          <rPr>
            <sz val="9"/>
            <color indexed="81"/>
            <rFont val="Tahoma"/>
            <family val="2"/>
          </rPr>
          <t xml:space="preserve">
NA if fossil</t>
        </r>
      </text>
    </comment>
    <comment ref="AO1619" authorId="0">
      <text>
        <r>
          <rPr>
            <b/>
            <sz val="9"/>
            <color indexed="81"/>
            <rFont val="Tahoma"/>
            <family val="2"/>
          </rPr>
          <t>Christian:</t>
        </r>
        <r>
          <rPr>
            <sz val="9"/>
            <color indexed="81"/>
            <rFont val="Tahoma"/>
            <family val="2"/>
          </rPr>
          <t xml:space="preserve">
Type I here related to MS specific</t>
        </r>
      </text>
    </comment>
    <comment ref="Y1645" authorId="0">
      <text>
        <r>
          <rPr>
            <b/>
            <sz val="9"/>
            <color indexed="81"/>
            <rFont val="Tahoma"/>
            <family val="2"/>
          </rPr>
          <t>Christian:</t>
        </r>
        <r>
          <rPr>
            <sz val="9"/>
            <color indexed="81"/>
            <rFont val="Tahoma"/>
            <family val="2"/>
          </rPr>
          <t xml:space="preserve">
NA if fossil</t>
        </r>
      </text>
    </comment>
    <comment ref="AO1645" authorId="0">
      <text>
        <r>
          <rPr>
            <b/>
            <sz val="9"/>
            <color indexed="81"/>
            <rFont val="Tahoma"/>
            <family val="2"/>
          </rPr>
          <t>Christian:</t>
        </r>
        <r>
          <rPr>
            <sz val="9"/>
            <color indexed="81"/>
            <rFont val="Tahoma"/>
            <family val="2"/>
          </rPr>
          <t xml:space="preserve">
Type I here related to MS specific</t>
        </r>
      </text>
    </comment>
    <comment ref="Y1646" authorId="0">
      <text>
        <r>
          <rPr>
            <b/>
            <sz val="9"/>
            <color indexed="81"/>
            <rFont val="Tahoma"/>
            <family val="2"/>
          </rPr>
          <t>Christian:</t>
        </r>
        <r>
          <rPr>
            <sz val="9"/>
            <color indexed="81"/>
            <rFont val="Tahoma"/>
            <family val="2"/>
          </rPr>
          <t xml:space="preserve">
NA if fossil</t>
        </r>
      </text>
    </comment>
    <comment ref="AO1646" authorId="0">
      <text>
        <r>
          <rPr>
            <b/>
            <sz val="9"/>
            <color indexed="81"/>
            <rFont val="Tahoma"/>
            <family val="2"/>
          </rPr>
          <t>Christian:</t>
        </r>
        <r>
          <rPr>
            <sz val="9"/>
            <color indexed="81"/>
            <rFont val="Tahoma"/>
            <family val="2"/>
          </rPr>
          <t xml:space="preserve">
Type I here related to MS specific</t>
        </r>
      </text>
    </comment>
    <comment ref="Y1672" authorId="0">
      <text>
        <r>
          <rPr>
            <b/>
            <sz val="9"/>
            <color indexed="81"/>
            <rFont val="Tahoma"/>
            <family val="2"/>
          </rPr>
          <t>Christian:</t>
        </r>
        <r>
          <rPr>
            <sz val="9"/>
            <color indexed="81"/>
            <rFont val="Tahoma"/>
            <family val="2"/>
          </rPr>
          <t xml:space="preserve">
NA if fossil</t>
        </r>
      </text>
    </comment>
    <comment ref="AO1672" authorId="0">
      <text>
        <r>
          <rPr>
            <b/>
            <sz val="9"/>
            <color indexed="81"/>
            <rFont val="Tahoma"/>
            <family val="2"/>
          </rPr>
          <t>Christian:</t>
        </r>
        <r>
          <rPr>
            <sz val="9"/>
            <color indexed="81"/>
            <rFont val="Tahoma"/>
            <family val="2"/>
          </rPr>
          <t xml:space="preserve">
Type I here related to MS specific</t>
        </r>
      </text>
    </comment>
    <comment ref="Y1673" authorId="0">
      <text>
        <r>
          <rPr>
            <b/>
            <sz val="9"/>
            <color indexed="81"/>
            <rFont val="Tahoma"/>
            <family val="2"/>
          </rPr>
          <t>Christian:</t>
        </r>
        <r>
          <rPr>
            <sz val="9"/>
            <color indexed="81"/>
            <rFont val="Tahoma"/>
            <family val="2"/>
          </rPr>
          <t xml:space="preserve">
NA if fossil</t>
        </r>
      </text>
    </comment>
    <comment ref="AO1673" authorId="0">
      <text>
        <r>
          <rPr>
            <b/>
            <sz val="9"/>
            <color indexed="81"/>
            <rFont val="Tahoma"/>
            <family val="2"/>
          </rPr>
          <t>Christian:</t>
        </r>
        <r>
          <rPr>
            <sz val="9"/>
            <color indexed="81"/>
            <rFont val="Tahoma"/>
            <family val="2"/>
          </rPr>
          <t xml:space="preserve">
Type I here related to MS specific</t>
        </r>
      </text>
    </comment>
    <comment ref="Y1699" authorId="0">
      <text>
        <r>
          <rPr>
            <b/>
            <sz val="9"/>
            <color indexed="81"/>
            <rFont val="Tahoma"/>
            <family val="2"/>
          </rPr>
          <t>Christian:</t>
        </r>
        <r>
          <rPr>
            <sz val="9"/>
            <color indexed="81"/>
            <rFont val="Tahoma"/>
            <family val="2"/>
          </rPr>
          <t xml:space="preserve">
NA if fossil</t>
        </r>
      </text>
    </comment>
    <comment ref="AO1699" authorId="0">
      <text>
        <r>
          <rPr>
            <b/>
            <sz val="9"/>
            <color indexed="81"/>
            <rFont val="Tahoma"/>
            <family val="2"/>
          </rPr>
          <t>Christian:</t>
        </r>
        <r>
          <rPr>
            <sz val="9"/>
            <color indexed="81"/>
            <rFont val="Tahoma"/>
            <family val="2"/>
          </rPr>
          <t xml:space="preserve">
Type I here related to MS specific</t>
        </r>
      </text>
    </comment>
    <comment ref="Y1700" authorId="0">
      <text>
        <r>
          <rPr>
            <b/>
            <sz val="9"/>
            <color indexed="81"/>
            <rFont val="Tahoma"/>
            <family val="2"/>
          </rPr>
          <t>Christian:</t>
        </r>
        <r>
          <rPr>
            <sz val="9"/>
            <color indexed="81"/>
            <rFont val="Tahoma"/>
            <family val="2"/>
          </rPr>
          <t xml:space="preserve">
NA if fossil</t>
        </r>
      </text>
    </comment>
    <comment ref="AO1700" authorId="0">
      <text>
        <r>
          <rPr>
            <b/>
            <sz val="9"/>
            <color indexed="81"/>
            <rFont val="Tahoma"/>
            <family val="2"/>
          </rPr>
          <t>Christian:</t>
        </r>
        <r>
          <rPr>
            <sz val="9"/>
            <color indexed="81"/>
            <rFont val="Tahoma"/>
            <family val="2"/>
          </rPr>
          <t xml:space="preserve">
Type I here related to MS specific</t>
        </r>
      </text>
    </comment>
    <comment ref="Y1726" authorId="0">
      <text>
        <r>
          <rPr>
            <b/>
            <sz val="9"/>
            <color indexed="81"/>
            <rFont val="Tahoma"/>
            <family val="2"/>
          </rPr>
          <t>Christian:</t>
        </r>
        <r>
          <rPr>
            <sz val="9"/>
            <color indexed="81"/>
            <rFont val="Tahoma"/>
            <family val="2"/>
          </rPr>
          <t xml:space="preserve">
NA if fossil</t>
        </r>
      </text>
    </comment>
    <comment ref="AO1726" authorId="0">
      <text>
        <r>
          <rPr>
            <b/>
            <sz val="9"/>
            <color indexed="81"/>
            <rFont val="Tahoma"/>
            <family val="2"/>
          </rPr>
          <t>Christian:</t>
        </r>
        <r>
          <rPr>
            <sz val="9"/>
            <color indexed="81"/>
            <rFont val="Tahoma"/>
            <family val="2"/>
          </rPr>
          <t xml:space="preserve">
Type I here related to MS specific</t>
        </r>
      </text>
    </comment>
    <comment ref="Y1727" authorId="0">
      <text>
        <r>
          <rPr>
            <b/>
            <sz val="9"/>
            <color indexed="81"/>
            <rFont val="Tahoma"/>
            <family val="2"/>
          </rPr>
          <t>Christian:</t>
        </r>
        <r>
          <rPr>
            <sz val="9"/>
            <color indexed="81"/>
            <rFont val="Tahoma"/>
            <family val="2"/>
          </rPr>
          <t xml:space="preserve">
NA if fossil</t>
        </r>
      </text>
    </comment>
    <comment ref="AO1727" authorId="0">
      <text>
        <r>
          <rPr>
            <b/>
            <sz val="9"/>
            <color indexed="81"/>
            <rFont val="Tahoma"/>
            <family val="2"/>
          </rPr>
          <t>Christian:</t>
        </r>
        <r>
          <rPr>
            <sz val="9"/>
            <color indexed="81"/>
            <rFont val="Tahoma"/>
            <family val="2"/>
          </rPr>
          <t xml:space="preserve">
Type I here related to MS specific</t>
        </r>
      </text>
    </comment>
    <comment ref="Y1753" authorId="0">
      <text>
        <r>
          <rPr>
            <b/>
            <sz val="9"/>
            <color indexed="81"/>
            <rFont val="Tahoma"/>
            <family val="2"/>
          </rPr>
          <t>Christian:</t>
        </r>
        <r>
          <rPr>
            <sz val="9"/>
            <color indexed="81"/>
            <rFont val="Tahoma"/>
            <family val="2"/>
          </rPr>
          <t xml:space="preserve">
NA if fossil</t>
        </r>
      </text>
    </comment>
    <comment ref="AO1753" authorId="0">
      <text>
        <r>
          <rPr>
            <b/>
            <sz val="9"/>
            <color indexed="81"/>
            <rFont val="Tahoma"/>
            <family val="2"/>
          </rPr>
          <t>Christian:</t>
        </r>
        <r>
          <rPr>
            <sz val="9"/>
            <color indexed="81"/>
            <rFont val="Tahoma"/>
            <family val="2"/>
          </rPr>
          <t xml:space="preserve">
Type I here related to MS specific</t>
        </r>
      </text>
    </comment>
    <comment ref="Y1754" authorId="0">
      <text>
        <r>
          <rPr>
            <b/>
            <sz val="9"/>
            <color indexed="81"/>
            <rFont val="Tahoma"/>
            <family val="2"/>
          </rPr>
          <t>Christian:</t>
        </r>
        <r>
          <rPr>
            <sz val="9"/>
            <color indexed="81"/>
            <rFont val="Tahoma"/>
            <family val="2"/>
          </rPr>
          <t xml:space="preserve">
NA if fossil</t>
        </r>
      </text>
    </comment>
    <comment ref="AO1754" authorId="0">
      <text>
        <r>
          <rPr>
            <b/>
            <sz val="9"/>
            <color indexed="81"/>
            <rFont val="Tahoma"/>
            <family val="2"/>
          </rPr>
          <t>Christian:</t>
        </r>
        <r>
          <rPr>
            <sz val="9"/>
            <color indexed="81"/>
            <rFont val="Tahoma"/>
            <family val="2"/>
          </rPr>
          <t xml:space="preserve">
Type I here related to MS specific</t>
        </r>
      </text>
    </comment>
    <comment ref="Y1780" authorId="0">
      <text>
        <r>
          <rPr>
            <b/>
            <sz val="9"/>
            <color indexed="81"/>
            <rFont val="Tahoma"/>
            <family val="2"/>
          </rPr>
          <t>Christian:</t>
        </r>
        <r>
          <rPr>
            <sz val="9"/>
            <color indexed="81"/>
            <rFont val="Tahoma"/>
            <family val="2"/>
          </rPr>
          <t xml:space="preserve">
NA if fossil</t>
        </r>
      </text>
    </comment>
    <comment ref="AO1780" authorId="0">
      <text>
        <r>
          <rPr>
            <b/>
            <sz val="9"/>
            <color indexed="81"/>
            <rFont val="Tahoma"/>
            <family val="2"/>
          </rPr>
          <t>Christian:</t>
        </r>
        <r>
          <rPr>
            <sz val="9"/>
            <color indexed="81"/>
            <rFont val="Tahoma"/>
            <family val="2"/>
          </rPr>
          <t xml:space="preserve">
Type I here related to MS specific</t>
        </r>
      </text>
    </comment>
    <comment ref="Y1781" authorId="0">
      <text>
        <r>
          <rPr>
            <b/>
            <sz val="9"/>
            <color indexed="81"/>
            <rFont val="Tahoma"/>
            <family val="2"/>
          </rPr>
          <t>Christian:</t>
        </r>
        <r>
          <rPr>
            <sz val="9"/>
            <color indexed="81"/>
            <rFont val="Tahoma"/>
            <family val="2"/>
          </rPr>
          <t xml:space="preserve">
NA if fossil</t>
        </r>
      </text>
    </comment>
    <comment ref="AO1781" authorId="0">
      <text>
        <r>
          <rPr>
            <b/>
            <sz val="9"/>
            <color indexed="81"/>
            <rFont val="Tahoma"/>
            <family val="2"/>
          </rPr>
          <t>Christian:</t>
        </r>
        <r>
          <rPr>
            <sz val="9"/>
            <color indexed="81"/>
            <rFont val="Tahoma"/>
            <family val="2"/>
          </rPr>
          <t xml:space="preserve">
Type I here related to MS specific</t>
        </r>
      </text>
    </comment>
    <comment ref="Y1807" authorId="0">
      <text>
        <r>
          <rPr>
            <b/>
            <sz val="9"/>
            <color indexed="81"/>
            <rFont val="Tahoma"/>
            <family val="2"/>
          </rPr>
          <t>Christian:</t>
        </r>
        <r>
          <rPr>
            <sz val="9"/>
            <color indexed="81"/>
            <rFont val="Tahoma"/>
            <family val="2"/>
          </rPr>
          <t xml:space="preserve">
NA if fossil</t>
        </r>
      </text>
    </comment>
    <comment ref="AO1807" authorId="0">
      <text>
        <r>
          <rPr>
            <b/>
            <sz val="9"/>
            <color indexed="81"/>
            <rFont val="Tahoma"/>
            <family val="2"/>
          </rPr>
          <t>Christian:</t>
        </r>
        <r>
          <rPr>
            <sz val="9"/>
            <color indexed="81"/>
            <rFont val="Tahoma"/>
            <family val="2"/>
          </rPr>
          <t xml:space="preserve">
Type I here related to MS specific</t>
        </r>
      </text>
    </comment>
    <comment ref="Y1808" authorId="0">
      <text>
        <r>
          <rPr>
            <b/>
            <sz val="9"/>
            <color indexed="81"/>
            <rFont val="Tahoma"/>
            <family val="2"/>
          </rPr>
          <t>Christian:</t>
        </r>
        <r>
          <rPr>
            <sz val="9"/>
            <color indexed="81"/>
            <rFont val="Tahoma"/>
            <family val="2"/>
          </rPr>
          <t xml:space="preserve">
NA if fossil</t>
        </r>
      </text>
    </comment>
    <comment ref="AO1808" authorId="0">
      <text>
        <r>
          <rPr>
            <b/>
            <sz val="9"/>
            <color indexed="81"/>
            <rFont val="Tahoma"/>
            <family val="2"/>
          </rPr>
          <t>Christian:</t>
        </r>
        <r>
          <rPr>
            <sz val="9"/>
            <color indexed="81"/>
            <rFont val="Tahoma"/>
            <family val="2"/>
          </rPr>
          <t xml:space="preserve">
Type I here related to MS specific</t>
        </r>
      </text>
    </comment>
    <comment ref="Y1834" authorId="0">
      <text>
        <r>
          <rPr>
            <b/>
            <sz val="9"/>
            <color indexed="81"/>
            <rFont val="Tahoma"/>
            <family val="2"/>
          </rPr>
          <t>Christian:</t>
        </r>
        <r>
          <rPr>
            <sz val="9"/>
            <color indexed="81"/>
            <rFont val="Tahoma"/>
            <family val="2"/>
          </rPr>
          <t xml:space="preserve">
NA if fossil</t>
        </r>
      </text>
    </comment>
    <comment ref="AO1834" authorId="0">
      <text>
        <r>
          <rPr>
            <b/>
            <sz val="9"/>
            <color indexed="81"/>
            <rFont val="Tahoma"/>
            <family val="2"/>
          </rPr>
          <t>Christian:</t>
        </r>
        <r>
          <rPr>
            <sz val="9"/>
            <color indexed="81"/>
            <rFont val="Tahoma"/>
            <family val="2"/>
          </rPr>
          <t xml:space="preserve">
Type I here related to MS specific</t>
        </r>
      </text>
    </comment>
    <comment ref="Y1835" authorId="0">
      <text>
        <r>
          <rPr>
            <b/>
            <sz val="9"/>
            <color indexed="81"/>
            <rFont val="Tahoma"/>
            <family val="2"/>
          </rPr>
          <t>Christian:</t>
        </r>
        <r>
          <rPr>
            <sz val="9"/>
            <color indexed="81"/>
            <rFont val="Tahoma"/>
            <family val="2"/>
          </rPr>
          <t xml:space="preserve">
NA if fossil</t>
        </r>
      </text>
    </comment>
    <comment ref="AO1835" authorId="0">
      <text>
        <r>
          <rPr>
            <b/>
            <sz val="9"/>
            <color indexed="81"/>
            <rFont val="Tahoma"/>
            <family val="2"/>
          </rPr>
          <t>Christian:</t>
        </r>
        <r>
          <rPr>
            <sz val="9"/>
            <color indexed="81"/>
            <rFont val="Tahoma"/>
            <family val="2"/>
          </rPr>
          <t xml:space="preserve">
Type I here related to MS specific</t>
        </r>
      </text>
    </comment>
    <comment ref="Y1861" authorId="0">
      <text>
        <r>
          <rPr>
            <b/>
            <sz val="9"/>
            <color indexed="81"/>
            <rFont val="Tahoma"/>
            <family val="2"/>
          </rPr>
          <t>Christian:</t>
        </r>
        <r>
          <rPr>
            <sz val="9"/>
            <color indexed="81"/>
            <rFont val="Tahoma"/>
            <family val="2"/>
          </rPr>
          <t xml:space="preserve">
NA if fossil</t>
        </r>
      </text>
    </comment>
    <comment ref="AO1861" authorId="0">
      <text>
        <r>
          <rPr>
            <b/>
            <sz val="9"/>
            <color indexed="81"/>
            <rFont val="Tahoma"/>
            <family val="2"/>
          </rPr>
          <t>Christian:</t>
        </r>
        <r>
          <rPr>
            <sz val="9"/>
            <color indexed="81"/>
            <rFont val="Tahoma"/>
            <family val="2"/>
          </rPr>
          <t xml:space="preserve">
Type I here related to MS specific</t>
        </r>
      </text>
    </comment>
    <comment ref="Y1862" authorId="0">
      <text>
        <r>
          <rPr>
            <b/>
            <sz val="9"/>
            <color indexed="81"/>
            <rFont val="Tahoma"/>
            <family val="2"/>
          </rPr>
          <t>Christian:</t>
        </r>
        <r>
          <rPr>
            <sz val="9"/>
            <color indexed="81"/>
            <rFont val="Tahoma"/>
            <family val="2"/>
          </rPr>
          <t xml:space="preserve">
NA if fossil</t>
        </r>
      </text>
    </comment>
    <comment ref="AO1862" authorId="0">
      <text>
        <r>
          <rPr>
            <b/>
            <sz val="9"/>
            <color indexed="81"/>
            <rFont val="Tahoma"/>
            <family val="2"/>
          </rPr>
          <t>Christian:</t>
        </r>
        <r>
          <rPr>
            <sz val="9"/>
            <color indexed="81"/>
            <rFont val="Tahoma"/>
            <family val="2"/>
          </rPr>
          <t xml:space="preserve">
Type I here related to MS specific</t>
        </r>
      </text>
    </comment>
    <comment ref="Y1888" authorId="0">
      <text>
        <r>
          <rPr>
            <b/>
            <sz val="9"/>
            <color indexed="81"/>
            <rFont val="Tahoma"/>
            <family val="2"/>
          </rPr>
          <t>Christian:</t>
        </r>
        <r>
          <rPr>
            <sz val="9"/>
            <color indexed="81"/>
            <rFont val="Tahoma"/>
            <family val="2"/>
          </rPr>
          <t xml:space="preserve">
NA if fossil</t>
        </r>
      </text>
    </comment>
    <comment ref="AO1888" authorId="0">
      <text>
        <r>
          <rPr>
            <b/>
            <sz val="9"/>
            <color indexed="81"/>
            <rFont val="Tahoma"/>
            <family val="2"/>
          </rPr>
          <t>Christian:</t>
        </r>
        <r>
          <rPr>
            <sz val="9"/>
            <color indexed="81"/>
            <rFont val="Tahoma"/>
            <family val="2"/>
          </rPr>
          <t xml:space="preserve">
Type I here related to MS specific</t>
        </r>
      </text>
    </comment>
    <comment ref="Y1889" authorId="0">
      <text>
        <r>
          <rPr>
            <b/>
            <sz val="9"/>
            <color indexed="81"/>
            <rFont val="Tahoma"/>
            <family val="2"/>
          </rPr>
          <t>Christian:</t>
        </r>
        <r>
          <rPr>
            <sz val="9"/>
            <color indexed="81"/>
            <rFont val="Tahoma"/>
            <family val="2"/>
          </rPr>
          <t xml:space="preserve">
NA if fossil</t>
        </r>
      </text>
    </comment>
    <comment ref="AO1889" authorId="0">
      <text>
        <r>
          <rPr>
            <b/>
            <sz val="9"/>
            <color indexed="81"/>
            <rFont val="Tahoma"/>
            <family val="2"/>
          </rPr>
          <t>Christian:</t>
        </r>
        <r>
          <rPr>
            <sz val="9"/>
            <color indexed="81"/>
            <rFont val="Tahoma"/>
            <family val="2"/>
          </rPr>
          <t xml:space="preserve">
Type I here related to MS specific</t>
        </r>
      </text>
    </comment>
    <comment ref="Y1915" authorId="0">
      <text>
        <r>
          <rPr>
            <b/>
            <sz val="9"/>
            <color indexed="81"/>
            <rFont val="Tahoma"/>
            <family val="2"/>
          </rPr>
          <t>Christian:</t>
        </r>
        <r>
          <rPr>
            <sz val="9"/>
            <color indexed="81"/>
            <rFont val="Tahoma"/>
            <family val="2"/>
          </rPr>
          <t xml:space="preserve">
NA if fossil</t>
        </r>
      </text>
    </comment>
    <comment ref="AO1915" authorId="0">
      <text>
        <r>
          <rPr>
            <b/>
            <sz val="9"/>
            <color indexed="81"/>
            <rFont val="Tahoma"/>
            <family val="2"/>
          </rPr>
          <t>Christian:</t>
        </r>
        <r>
          <rPr>
            <sz val="9"/>
            <color indexed="81"/>
            <rFont val="Tahoma"/>
            <family val="2"/>
          </rPr>
          <t xml:space="preserve">
Type I here related to MS specific</t>
        </r>
      </text>
    </comment>
    <comment ref="Y1916" authorId="0">
      <text>
        <r>
          <rPr>
            <b/>
            <sz val="9"/>
            <color indexed="81"/>
            <rFont val="Tahoma"/>
            <family val="2"/>
          </rPr>
          <t>Christian:</t>
        </r>
        <r>
          <rPr>
            <sz val="9"/>
            <color indexed="81"/>
            <rFont val="Tahoma"/>
            <family val="2"/>
          </rPr>
          <t xml:space="preserve">
NA if fossil</t>
        </r>
      </text>
    </comment>
    <comment ref="AO1916" authorId="0">
      <text>
        <r>
          <rPr>
            <b/>
            <sz val="9"/>
            <color indexed="81"/>
            <rFont val="Tahoma"/>
            <family val="2"/>
          </rPr>
          <t>Christian:</t>
        </r>
        <r>
          <rPr>
            <sz val="9"/>
            <color indexed="81"/>
            <rFont val="Tahoma"/>
            <family val="2"/>
          </rPr>
          <t xml:space="preserve">
Type I here related to MS specific</t>
        </r>
      </text>
    </comment>
    <comment ref="Y1942" authorId="0">
      <text>
        <r>
          <rPr>
            <b/>
            <sz val="9"/>
            <color indexed="81"/>
            <rFont val="Tahoma"/>
            <family val="2"/>
          </rPr>
          <t>Christian:</t>
        </r>
        <r>
          <rPr>
            <sz val="9"/>
            <color indexed="81"/>
            <rFont val="Tahoma"/>
            <family val="2"/>
          </rPr>
          <t xml:space="preserve">
NA if fossil</t>
        </r>
      </text>
    </comment>
    <comment ref="AO1942" authorId="0">
      <text>
        <r>
          <rPr>
            <b/>
            <sz val="9"/>
            <color indexed="81"/>
            <rFont val="Tahoma"/>
            <family val="2"/>
          </rPr>
          <t>Christian:</t>
        </r>
        <r>
          <rPr>
            <sz val="9"/>
            <color indexed="81"/>
            <rFont val="Tahoma"/>
            <family val="2"/>
          </rPr>
          <t xml:space="preserve">
Type I here related to MS specific</t>
        </r>
      </text>
    </comment>
    <comment ref="Y1943" authorId="0">
      <text>
        <r>
          <rPr>
            <b/>
            <sz val="9"/>
            <color indexed="81"/>
            <rFont val="Tahoma"/>
            <family val="2"/>
          </rPr>
          <t>Christian:</t>
        </r>
        <r>
          <rPr>
            <sz val="9"/>
            <color indexed="81"/>
            <rFont val="Tahoma"/>
            <family val="2"/>
          </rPr>
          <t xml:space="preserve">
NA if fossil</t>
        </r>
      </text>
    </comment>
    <comment ref="AO1943" authorId="0">
      <text>
        <r>
          <rPr>
            <b/>
            <sz val="9"/>
            <color indexed="81"/>
            <rFont val="Tahoma"/>
            <family val="2"/>
          </rPr>
          <t>Christian:</t>
        </r>
        <r>
          <rPr>
            <sz val="9"/>
            <color indexed="81"/>
            <rFont val="Tahoma"/>
            <family val="2"/>
          </rPr>
          <t xml:space="preserve">
Type I here related to MS specific</t>
        </r>
      </text>
    </comment>
    <comment ref="Y1969" authorId="0">
      <text>
        <r>
          <rPr>
            <b/>
            <sz val="9"/>
            <color indexed="81"/>
            <rFont val="Tahoma"/>
            <family val="2"/>
          </rPr>
          <t>Christian:</t>
        </r>
        <r>
          <rPr>
            <sz val="9"/>
            <color indexed="81"/>
            <rFont val="Tahoma"/>
            <family val="2"/>
          </rPr>
          <t xml:space="preserve">
NA if fossil</t>
        </r>
      </text>
    </comment>
    <comment ref="AO1969" authorId="0">
      <text>
        <r>
          <rPr>
            <b/>
            <sz val="9"/>
            <color indexed="81"/>
            <rFont val="Tahoma"/>
            <family val="2"/>
          </rPr>
          <t>Christian:</t>
        </r>
        <r>
          <rPr>
            <sz val="9"/>
            <color indexed="81"/>
            <rFont val="Tahoma"/>
            <family val="2"/>
          </rPr>
          <t xml:space="preserve">
Type I here related to MS specific</t>
        </r>
      </text>
    </comment>
    <comment ref="Y1970" authorId="0">
      <text>
        <r>
          <rPr>
            <b/>
            <sz val="9"/>
            <color indexed="81"/>
            <rFont val="Tahoma"/>
            <family val="2"/>
          </rPr>
          <t>Christian:</t>
        </r>
        <r>
          <rPr>
            <sz val="9"/>
            <color indexed="81"/>
            <rFont val="Tahoma"/>
            <family val="2"/>
          </rPr>
          <t xml:space="preserve">
NA if fossil</t>
        </r>
      </text>
    </comment>
    <comment ref="AO1970" authorId="0">
      <text>
        <r>
          <rPr>
            <b/>
            <sz val="9"/>
            <color indexed="81"/>
            <rFont val="Tahoma"/>
            <family val="2"/>
          </rPr>
          <t>Christian:</t>
        </r>
        <r>
          <rPr>
            <sz val="9"/>
            <color indexed="81"/>
            <rFont val="Tahoma"/>
            <family val="2"/>
          </rPr>
          <t xml:space="preserve">
Type I here related to MS specific</t>
        </r>
      </text>
    </comment>
    <comment ref="Y1996" authorId="0">
      <text>
        <r>
          <rPr>
            <b/>
            <sz val="9"/>
            <color indexed="81"/>
            <rFont val="Tahoma"/>
            <family val="2"/>
          </rPr>
          <t>Christian:</t>
        </r>
        <r>
          <rPr>
            <sz val="9"/>
            <color indexed="81"/>
            <rFont val="Tahoma"/>
            <family val="2"/>
          </rPr>
          <t xml:space="preserve">
NA if fossil</t>
        </r>
      </text>
    </comment>
    <comment ref="AO1996" authorId="0">
      <text>
        <r>
          <rPr>
            <b/>
            <sz val="9"/>
            <color indexed="81"/>
            <rFont val="Tahoma"/>
            <family val="2"/>
          </rPr>
          <t>Christian:</t>
        </r>
        <r>
          <rPr>
            <sz val="9"/>
            <color indexed="81"/>
            <rFont val="Tahoma"/>
            <family val="2"/>
          </rPr>
          <t xml:space="preserve">
Type I here related to MS specific</t>
        </r>
      </text>
    </comment>
    <comment ref="Y1997" authorId="0">
      <text>
        <r>
          <rPr>
            <b/>
            <sz val="9"/>
            <color indexed="81"/>
            <rFont val="Tahoma"/>
            <family val="2"/>
          </rPr>
          <t>Christian:</t>
        </r>
        <r>
          <rPr>
            <sz val="9"/>
            <color indexed="81"/>
            <rFont val="Tahoma"/>
            <family val="2"/>
          </rPr>
          <t xml:space="preserve">
NA if fossil</t>
        </r>
      </text>
    </comment>
    <comment ref="AO1997" authorId="0">
      <text>
        <r>
          <rPr>
            <b/>
            <sz val="9"/>
            <color indexed="81"/>
            <rFont val="Tahoma"/>
            <family val="2"/>
          </rPr>
          <t>Christian:</t>
        </r>
        <r>
          <rPr>
            <sz val="9"/>
            <color indexed="81"/>
            <rFont val="Tahoma"/>
            <family val="2"/>
          </rPr>
          <t xml:space="preserve">
Type I here related to MS specific</t>
        </r>
      </text>
    </comment>
    <comment ref="Y2023" authorId="0">
      <text>
        <r>
          <rPr>
            <b/>
            <sz val="9"/>
            <color indexed="81"/>
            <rFont val="Tahoma"/>
            <family val="2"/>
          </rPr>
          <t>Christian:</t>
        </r>
        <r>
          <rPr>
            <sz val="9"/>
            <color indexed="81"/>
            <rFont val="Tahoma"/>
            <family val="2"/>
          </rPr>
          <t xml:space="preserve">
NA if fossil</t>
        </r>
      </text>
    </comment>
    <comment ref="AO2023" authorId="0">
      <text>
        <r>
          <rPr>
            <b/>
            <sz val="9"/>
            <color indexed="81"/>
            <rFont val="Tahoma"/>
            <family val="2"/>
          </rPr>
          <t>Christian:</t>
        </r>
        <r>
          <rPr>
            <sz val="9"/>
            <color indexed="81"/>
            <rFont val="Tahoma"/>
            <family val="2"/>
          </rPr>
          <t xml:space="preserve">
Type I here related to MS specific</t>
        </r>
      </text>
    </comment>
    <comment ref="Y2024" authorId="0">
      <text>
        <r>
          <rPr>
            <b/>
            <sz val="9"/>
            <color indexed="81"/>
            <rFont val="Tahoma"/>
            <family val="2"/>
          </rPr>
          <t>Christian:</t>
        </r>
        <r>
          <rPr>
            <sz val="9"/>
            <color indexed="81"/>
            <rFont val="Tahoma"/>
            <family val="2"/>
          </rPr>
          <t xml:space="preserve">
NA if fossil</t>
        </r>
      </text>
    </comment>
    <comment ref="AO2024" authorId="0">
      <text>
        <r>
          <rPr>
            <b/>
            <sz val="9"/>
            <color indexed="81"/>
            <rFont val="Tahoma"/>
            <family val="2"/>
          </rPr>
          <t>Christian:</t>
        </r>
        <r>
          <rPr>
            <sz val="9"/>
            <color indexed="81"/>
            <rFont val="Tahoma"/>
            <family val="2"/>
          </rPr>
          <t xml:space="preserve">
Type I here related to MS specific</t>
        </r>
      </text>
    </comment>
    <comment ref="Y2050" authorId="0">
      <text>
        <r>
          <rPr>
            <b/>
            <sz val="9"/>
            <color indexed="81"/>
            <rFont val="Tahoma"/>
            <family val="2"/>
          </rPr>
          <t>Christian:</t>
        </r>
        <r>
          <rPr>
            <sz val="9"/>
            <color indexed="81"/>
            <rFont val="Tahoma"/>
            <family val="2"/>
          </rPr>
          <t xml:space="preserve">
NA if fossil</t>
        </r>
      </text>
    </comment>
    <comment ref="AO2050" authorId="0">
      <text>
        <r>
          <rPr>
            <b/>
            <sz val="9"/>
            <color indexed="81"/>
            <rFont val="Tahoma"/>
            <family val="2"/>
          </rPr>
          <t>Christian:</t>
        </r>
        <r>
          <rPr>
            <sz val="9"/>
            <color indexed="81"/>
            <rFont val="Tahoma"/>
            <family val="2"/>
          </rPr>
          <t xml:space="preserve">
Type I here related to MS specific</t>
        </r>
      </text>
    </comment>
    <comment ref="Y2051" authorId="0">
      <text>
        <r>
          <rPr>
            <b/>
            <sz val="9"/>
            <color indexed="81"/>
            <rFont val="Tahoma"/>
            <family val="2"/>
          </rPr>
          <t>Christian:</t>
        </r>
        <r>
          <rPr>
            <sz val="9"/>
            <color indexed="81"/>
            <rFont val="Tahoma"/>
            <family val="2"/>
          </rPr>
          <t xml:space="preserve">
NA if fossil</t>
        </r>
      </text>
    </comment>
    <comment ref="AO2051" authorId="0">
      <text>
        <r>
          <rPr>
            <b/>
            <sz val="9"/>
            <color indexed="81"/>
            <rFont val="Tahoma"/>
            <family val="2"/>
          </rPr>
          <t>Christian:</t>
        </r>
        <r>
          <rPr>
            <sz val="9"/>
            <color indexed="81"/>
            <rFont val="Tahoma"/>
            <family val="2"/>
          </rPr>
          <t xml:space="preserve">
Type I here related to MS specific</t>
        </r>
      </text>
    </comment>
    <comment ref="Y2077" authorId="0">
      <text>
        <r>
          <rPr>
            <b/>
            <sz val="9"/>
            <color indexed="81"/>
            <rFont val="Tahoma"/>
            <family val="2"/>
          </rPr>
          <t>Christian:</t>
        </r>
        <r>
          <rPr>
            <sz val="9"/>
            <color indexed="81"/>
            <rFont val="Tahoma"/>
            <family val="2"/>
          </rPr>
          <t xml:space="preserve">
NA if fossil</t>
        </r>
      </text>
    </comment>
    <comment ref="AO2077" authorId="0">
      <text>
        <r>
          <rPr>
            <b/>
            <sz val="9"/>
            <color indexed="81"/>
            <rFont val="Tahoma"/>
            <family val="2"/>
          </rPr>
          <t>Christian:</t>
        </r>
        <r>
          <rPr>
            <sz val="9"/>
            <color indexed="81"/>
            <rFont val="Tahoma"/>
            <family val="2"/>
          </rPr>
          <t xml:space="preserve">
Type I here related to MS specific</t>
        </r>
      </text>
    </comment>
    <comment ref="Y2078" authorId="0">
      <text>
        <r>
          <rPr>
            <b/>
            <sz val="9"/>
            <color indexed="81"/>
            <rFont val="Tahoma"/>
            <family val="2"/>
          </rPr>
          <t>Christian:</t>
        </r>
        <r>
          <rPr>
            <sz val="9"/>
            <color indexed="81"/>
            <rFont val="Tahoma"/>
            <family val="2"/>
          </rPr>
          <t xml:space="preserve">
NA if fossil</t>
        </r>
      </text>
    </comment>
    <comment ref="AO2078" author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text>
        <r>
          <rPr>
            <b/>
            <sz val="8"/>
            <color indexed="81"/>
            <rFont val="Tahoma"/>
            <family val="2"/>
          </rPr>
          <t>Final link to be added as soon as available in the OJ.</t>
        </r>
      </text>
    </comment>
    <comment ref="B37" authorId="0">
      <text>
        <r>
          <rPr>
            <b/>
            <sz val="8"/>
            <color indexed="81"/>
            <rFont val="Tahoma"/>
            <family val="2"/>
          </rPr>
          <t>Final link to be added as soon as available.</t>
        </r>
      </text>
    </comment>
  </commentList>
</comments>
</file>

<file path=xl/sharedStrings.xml><?xml version="1.0" encoding="utf-8"?>
<sst xmlns="http://schemas.openxmlformats.org/spreadsheetml/2006/main" count="8903" uniqueCount="1822">
  <si>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</si>
  <si>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</si>
  <si>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</si>
  <si>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</si>
  <si>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</si>
  <si>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</si>
  <si>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</si>
  <si>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</si>
  <si>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</si>
  <si>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</si>
  <si>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</si>
  <si>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</si>
  <si>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</si>
  <si>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</si>
  <si>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</si>
  <si>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</si>
  <si>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</si>
  <si>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</si>
  <si>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</si>
  <si>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</si>
  <si>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</si>
  <si>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</si>
  <si>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</si>
  <si>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</si>
  <si>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</si>
  <si>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</si>
  <si>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</si>
  <si>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</si>
  <si>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</si>
  <si>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</si>
  <si>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</si>
  <si>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</si>
  <si>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</si>
  <si>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</si>
  <si>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</si>
  <si>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</si>
  <si>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</si>
  <si>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</si>
  <si>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</si>
  <si>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</si>
  <si>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</si>
  <si>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</si>
  <si>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</si>
  <si>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</si>
  <si>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</si>
  <si>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</si>
  <si>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</si>
  <si>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</si>
  <si>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</si>
  <si>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</si>
  <si>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</si>
  <si>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</si>
  <si>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</si>
  <si>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</si>
  <si>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</si>
  <si>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</si>
  <si>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</si>
  <si>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</si>
  <si>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</si>
  <si>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</si>
  <si>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</si>
  <si>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</si>
  <si>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</si>
  <si>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</si>
  <si>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</si>
  <si>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</si>
  <si>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</si>
  <si>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</si>
  <si>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</si>
  <si>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</si>
  <si>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</si>
  <si>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</si>
  <si>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</si>
  <si>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</si>
  <si>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</si>
  <si>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</si>
  <si>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</si>
  <si>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</si>
  <si>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</si>
  <si>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</si>
  <si>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</si>
  <si>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</si>
  <si>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</si>
  <si>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</si>
  <si>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</si>
  <si>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</si>
  <si>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</si>
  <si>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</si>
  <si>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</si>
  <si>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</si>
  <si>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</si>
  <si>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</si>
  <si>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</si>
  <si>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</si>
  <si>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</si>
  <si>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</si>
  <si>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</si>
  <si>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</si>
  <si>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</si>
  <si>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</si>
  <si>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</si>
  <si>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</si>
  <si>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</si>
  <si>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</si>
  <si>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</si>
  <si>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</si>
  <si>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</si>
  <si>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</si>
  <si>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</si>
  <si>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</si>
  <si>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</si>
  <si>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</si>
  <si>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</si>
  <si>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</si>
  <si>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</si>
  <si>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</si>
  <si>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</si>
  <si>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</si>
  <si>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</si>
  <si>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</si>
  <si>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</si>
  <si>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</si>
  <si>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</si>
  <si>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</si>
  <si>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</si>
  <si>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</si>
  <si>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</si>
  <si>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</si>
  <si>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</si>
  <si>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</si>
  <si>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</si>
  <si>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</si>
  <si>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</si>
  <si>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</si>
  <si>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</si>
  <si>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</si>
  <si>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</si>
  <si>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</si>
  <si>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</si>
  <si>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</si>
  <si>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</si>
  <si>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</si>
  <si>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</si>
  <si>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</si>
  <si>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</si>
  <si>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</si>
  <si>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</si>
  <si>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</si>
  <si>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</si>
  <si>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</si>
  <si>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</si>
  <si>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</si>
  <si>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</si>
  <si>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</si>
  <si>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</si>
  <si>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</si>
  <si>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</si>
  <si>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</si>
  <si>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</si>
  <si>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</si>
  <si>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</si>
  <si>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</si>
  <si>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</si>
  <si>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</si>
  <si>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</si>
  <si>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</si>
  <si>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</si>
  <si>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</si>
  <si>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</si>
  <si>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</si>
  <si>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</si>
  <si>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</si>
  <si>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</si>
  <si>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</si>
  <si>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</si>
  <si>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</si>
  <si>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</si>
  <si>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</si>
  <si>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</si>
  <si>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</si>
  <si>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</si>
  <si>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</si>
  <si>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</si>
  <si>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</si>
  <si>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</si>
  <si>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</si>
  <si>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</si>
  <si>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</si>
  <si>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</si>
  <si>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</si>
  <si>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</si>
  <si>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</si>
  <si>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</si>
  <si>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</si>
  <si>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</si>
  <si>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</si>
  <si>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</si>
  <si>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</si>
  <si>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</si>
  <si>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</si>
  <si>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</si>
  <si>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</si>
  <si>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</si>
  <si>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</si>
  <si>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</si>
  <si>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</si>
  <si>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</si>
  <si>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</si>
  <si>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</si>
  <si>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</si>
  <si>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</si>
  <si>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</si>
  <si>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</si>
  <si>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</si>
  <si>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</si>
  <si>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</si>
  <si>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</si>
  <si>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</si>
  <si>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</si>
  <si>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</si>
  <si>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</si>
  <si>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</si>
  <si>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</si>
  <si>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</si>
  <si>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</si>
  <si>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</si>
  <si>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</si>
  <si>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</si>
  <si>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</si>
  <si>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</si>
  <si>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</si>
  <si>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</si>
  <si>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</si>
  <si>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</si>
  <si>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</si>
  <si>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</si>
  <si>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</si>
  <si>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</si>
  <si>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</si>
  <si>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</si>
  <si>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</si>
  <si>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</si>
  <si>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</si>
  <si>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</si>
  <si>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</si>
  <si>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</si>
  <si>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</si>
  <si>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</si>
  <si>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</si>
  <si>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</si>
  <si>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</si>
  <si>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</si>
  <si>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</si>
  <si>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</si>
  <si>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</si>
  <si>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</si>
  <si>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</si>
  <si>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</si>
  <si>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</si>
  <si>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</si>
  <si>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</si>
  <si>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</si>
  <si>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</si>
  <si>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</si>
  <si>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</si>
  <si>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</si>
  <si>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</si>
  <si>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</si>
  <si>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</si>
  <si>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</si>
  <si>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</si>
  <si>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</si>
  <si>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</si>
  <si>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</si>
  <si>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</si>
  <si>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</si>
  <si>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</si>
  <si>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</si>
  <si>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</si>
  <si>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</si>
  <si>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</si>
  <si>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</si>
  <si>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</si>
  <si>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</si>
  <si>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</si>
  <si>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</si>
  <si>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</si>
  <si>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</si>
  <si>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</si>
  <si>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</si>
  <si>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</si>
  <si>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</si>
  <si>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</si>
  <si>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</si>
  <si>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</si>
  <si>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</si>
  <si>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</si>
  <si>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</si>
  <si>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</si>
  <si>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</si>
  <si>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</si>
  <si>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</si>
  <si>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</si>
  <si>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</si>
  <si>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</si>
  <si>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</si>
  <si>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</si>
  <si>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</si>
  <si>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</si>
  <si>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</si>
  <si>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</si>
  <si>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</si>
  <si>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</si>
  <si>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</si>
  <si>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</si>
  <si>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</si>
  <si>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</si>
  <si>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</si>
  <si>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</si>
  <si>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</si>
  <si>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</si>
  <si>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</si>
  <si>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</si>
  <si>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</si>
  <si>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</si>
  <si>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</si>
  <si>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</si>
  <si>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</si>
  <si>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</si>
  <si>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</si>
  <si>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</si>
  <si>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</si>
  <si>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</si>
  <si>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</si>
  <si>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</si>
  <si>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</si>
  <si>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</si>
  <si>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</si>
  <si>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</si>
  <si>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</si>
  <si>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</si>
  <si>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</si>
  <si>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</si>
  <si>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</si>
  <si>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</si>
  <si>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</si>
  <si>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</si>
  <si>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</si>
  <si>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</si>
  <si>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</si>
  <si>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</si>
  <si>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</si>
  <si>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</si>
  <si>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</si>
  <si>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</si>
  <si>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</si>
  <si>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</si>
  <si>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</si>
  <si>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</si>
  <si>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</si>
  <si>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</si>
  <si>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</si>
  <si>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</si>
  <si>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</si>
  <si>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</si>
  <si>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</si>
  <si>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</si>
  <si>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</si>
  <si>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</si>
  <si>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</si>
  <si>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</si>
  <si>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</si>
  <si>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</si>
  <si>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</si>
  <si>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</si>
  <si>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</si>
  <si>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</si>
  <si>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</si>
  <si>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</si>
  <si>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</si>
  <si>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</si>
  <si>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</si>
  <si>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</si>
  <si>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</si>
  <si>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</si>
  <si>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</si>
  <si>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</si>
  <si>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</si>
  <si>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</si>
  <si>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</si>
  <si>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</si>
  <si>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</si>
  <si>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</si>
  <si>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</si>
  <si>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</si>
  <si>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</si>
  <si>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</si>
  <si>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</si>
  <si>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</si>
  <si>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</si>
  <si>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</si>
  <si>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</si>
  <si>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</si>
  <si>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</si>
  <si>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</si>
  <si>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</si>
  <si>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</si>
  <si>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</si>
  <si>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</si>
  <si>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</si>
  <si>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</si>
  <si>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</si>
  <si>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</si>
  <si>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</si>
  <si>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</si>
  <si>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</si>
  <si>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</si>
  <si>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</si>
  <si>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</si>
  <si>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</si>
  <si>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</si>
  <si>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</si>
  <si>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</si>
  <si>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</si>
  <si>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</si>
  <si>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</si>
  <si>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</si>
  <si>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</si>
  <si>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</si>
  <si>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</si>
  <si>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</si>
  <si>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</si>
  <si>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</si>
  <si>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</si>
  <si>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</si>
  <si>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</si>
  <si>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</si>
  <si>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</si>
  <si>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</si>
  <si>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</si>
  <si>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</si>
  <si>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</si>
  <si>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</si>
  <si>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</si>
  <si>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</si>
  <si>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</si>
  <si>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</si>
  <si>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</si>
  <si>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</si>
  <si>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</si>
  <si>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</si>
  <si>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</si>
  <si>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</si>
  <si>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</si>
  <si>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</si>
  <si>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</si>
  <si>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</si>
  <si>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</si>
  <si>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</si>
  <si>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</si>
  <si>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</si>
  <si>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</si>
  <si>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</si>
  <si>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</si>
  <si>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</si>
  <si>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</si>
  <si>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</si>
  <si>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</si>
  <si>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</si>
  <si>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</si>
  <si>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</si>
  <si>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</si>
  <si>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</si>
  <si>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</si>
  <si>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</si>
  <si>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</si>
  <si>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</si>
  <si>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</si>
  <si>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</si>
  <si>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</si>
  <si>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</si>
  <si>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</si>
  <si>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</si>
  <si>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</si>
  <si>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</si>
  <si>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</si>
  <si>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</si>
  <si>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</si>
  <si>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</si>
  <si>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</si>
  <si>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</si>
  <si>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</si>
  <si>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</si>
  <si>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</si>
  <si>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</si>
  <si>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</si>
  <si>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</si>
  <si>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</si>
  <si>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</si>
  <si>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</si>
  <si>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</si>
  <si>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</si>
  <si>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</si>
  <si>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</si>
  <si>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</si>
  <si>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</si>
  <si>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</si>
  <si>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</si>
  <si>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</si>
  <si>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</si>
  <si>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</si>
  <si>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</si>
  <si>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</si>
  <si>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</si>
  <si>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</si>
  <si>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</si>
  <si>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</si>
  <si>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</si>
  <si>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</si>
  <si>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</si>
  <si>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</si>
  <si>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</si>
  <si>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</si>
  <si>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</si>
  <si>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</si>
  <si>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</si>
  <si>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</si>
  <si>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</si>
  <si>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</si>
  <si>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</si>
  <si>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</si>
  <si>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</si>
  <si>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</si>
  <si>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</si>
  <si>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</si>
  <si>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</si>
  <si>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</si>
  <si>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</si>
  <si>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</si>
  <si>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</si>
  <si>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</si>
  <si>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</si>
  <si>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</si>
  <si>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</si>
  <si>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</si>
  <si>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</si>
  <si>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</si>
  <si>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</si>
  <si>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</si>
  <si>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</si>
  <si>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</si>
  <si>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</si>
  <si>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</si>
  <si>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</si>
  <si>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</si>
  <si>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</si>
  <si>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</si>
  <si>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</si>
  <si>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</si>
  <si>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</si>
  <si>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</si>
  <si>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</si>
  <si>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</si>
  <si>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</si>
  <si>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</si>
  <si>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</si>
  <si>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</si>
  <si>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</si>
  <si>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</si>
  <si>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</si>
  <si>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</si>
  <si>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</si>
  <si>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</si>
  <si>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</si>
  <si>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</si>
  <si>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</si>
  <si>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</si>
  <si>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</si>
  <si>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</si>
  <si>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</si>
  <si>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</si>
  <si>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</si>
  <si>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</si>
  <si>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</si>
  <si>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</si>
  <si>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</si>
  <si>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</si>
  <si>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</si>
  <si>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</si>
  <si>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</si>
  <si>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</si>
  <si>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</si>
  <si>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</si>
  <si>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</si>
  <si>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</si>
  <si>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</si>
  <si>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</si>
  <si>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</si>
  <si>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</si>
  <si>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</si>
  <si>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</si>
  <si>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</si>
  <si>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</si>
  <si>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</si>
  <si>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</si>
  <si>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</si>
  <si>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</si>
  <si>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</si>
  <si>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</si>
  <si>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</si>
  <si>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</si>
  <si>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</si>
  <si>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</si>
  <si>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</si>
  <si>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</si>
  <si>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</si>
  <si>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</si>
  <si>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</si>
  <si>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</si>
  <si>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</si>
  <si>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</si>
  <si>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</si>
  <si>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</si>
  <si>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</si>
  <si>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</si>
  <si>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</si>
  <si>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</si>
  <si>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</si>
  <si>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</si>
  <si>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</si>
  <si>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</si>
  <si>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</si>
  <si>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</si>
  <si>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</si>
  <si>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</si>
  <si>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</si>
  <si>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</si>
  <si>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</si>
  <si>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</si>
  <si>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</si>
  <si>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</si>
  <si>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</si>
  <si>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</si>
  <si>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</si>
  <si>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</si>
  <si>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</si>
  <si>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</si>
  <si>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</si>
  <si>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</si>
  <si>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</si>
  <si>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</si>
  <si>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</si>
  <si>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</si>
  <si>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</si>
  <si>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</si>
  <si>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</si>
  <si>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</si>
  <si>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</si>
  <si>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</si>
  <si>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</si>
  <si>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</si>
  <si>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</si>
  <si>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</si>
  <si>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</si>
  <si>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</si>
  <si>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</si>
  <si>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</si>
  <si>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</si>
  <si>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</si>
  <si>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</si>
  <si>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</si>
  <si>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</si>
  <si>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</si>
  <si>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</si>
  <si>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</si>
  <si>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</si>
  <si>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</si>
  <si>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</si>
  <si>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</si>
  <si>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</si>
  <si>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</si>
  <si>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</si>
  <si>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</si>
  <si>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</si>
  <si>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</si>
  <si>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</si>
  <si>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</si>
  <si>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</si>
  <si>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</si>
  <si>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</si>
  <si>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</si>
  <si>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</si>
  <si>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</si>
  <si>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</si>
  <si>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</si>
  <si>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</si>
  <si>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</si>
  <si>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</si>
  <si>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</si>
  <si>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</si>
  <si>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</si>
  <si>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</si>
  <si>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</si>
  <si>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</si>
  <si>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</si>
  <si>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</si>
  <si>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</si>
  <si>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</si>
  <si>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</si>
  <si>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</si>
  <si>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</si>
  <si>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</si>
  <si>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</si>
  <si>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</si>
  <si>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</si>
  <si>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</si>
  <si>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</si>
  <si>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</si>
  <si>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</si>
  <si>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</si>
  <si>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</si>
  <si>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</si>
  <si>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</si>
  <si>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</si>
  <si>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</si>
  <si>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</si>
  <si>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</si>
  <si>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</si>
  <si>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</si>
  <si>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</si>
  <si>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</si>
  <si>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</si>
  <si>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</si>
  <si>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</si>
  <si>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</si>
  <si>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</si>
  <si>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</si>
  <si>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</si>
  <si>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</si>
  <si>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</si>
  <si>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</si>
  <si>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</si>
  <si>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</si>
  <si>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</si>
  <si>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</si>
  <si>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</si>
  <si>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</si>
  <si>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</si>
  <si>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</si>
  <si>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</si>
  <si>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</si>
  <si>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</si>
  <si>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</si>
  <si>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</si>
  <si>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</si>
  <si>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</si>
  <si>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</si>
  <si>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</si>
  <si>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</si>
  <si>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</si>
  <si>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</si>
  <si>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</si>
  <si>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</si>
  <si>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</si>
  <si>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</si>
  <si>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</si>
  <si>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</si>
  <si>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</si>
  <si>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</si>
  <si>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</si>
  <si>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</si>
  <si>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</si>
  <si>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</si>
  <si>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</si>
  <si>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</si>
  <si>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</si>
  <si>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</si>
  <si>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</si>
  <si>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</si>
  <si>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</si>
  <si>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</si>
  <si>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</si>
  <si>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</si>
  <si>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</si>
  <si>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</si>
  <si>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</si>
  <si>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</si>
  <si>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</si>
  <si>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</si>
  <si>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</si>
  <si>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</si>
  <si>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</si>
  <si>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</si>
  <si>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</si>
  <si>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</si>
  <si>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</si>
  <si>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</si>
  <si>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</si>
  <si>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</si>
  <si>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</si>
  <si>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</si>
  <si>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</si>
  <si>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</si>
  <si>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</si>
  <si>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</si>
  <si>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</si>
  <si>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</si>
  <si>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</si>
  <si>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</si>
  <si>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</si>
  <si>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</si>
  <si>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</si>
  <si>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</si>
  <si>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</si>
  <si>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</si>
  <si>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</si>
  <si>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</si>
  <si>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</si>
  <si>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</si>
  <si>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</si>
  <si>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</si>
  <si>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</si>
  <si>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</si>
  <si>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</si>
  <si>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</si>
  <si>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</si>
  <si>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</si>
  <si>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</si>
  <si>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</si>
  <si>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</si>
  <si>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</si>
  <si>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</si>
  <si>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</si>
  <si>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</si>
  <si>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</si>
  <si>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</si>
  <si>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</si>
  <si>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</si>
  <si>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</si>
  <si>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</si>
  <si>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</si>
  <si>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</si>
  <si>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</si>
  <si>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</si>
  <si>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</si>
  <si>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</si>
  <si>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</si>
  <si>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</si>
  <si>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</si>
  <si>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</si>
  <si>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</si>
  <si>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</si>
  <si>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</si>
  <si>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</si>
  <si>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</si>
  <si>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</si>
  <si>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</si>
  <si>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</si>
  <si>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</si>
  <si>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</si>
  <si>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</si>
  <si>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</si>
  <si>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</si>
  <si>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</si>
  <si>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</si>
  <si>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</si>
  <si>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</si>
  <si>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</si>
  <si>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</si>
  <si>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</si>
  <si>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</si>
  <si>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</si>
  <si>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</si>
  <si>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</si>
  <si>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</si>
  <si>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</si>
  <si>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</si>
  <si>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</si>
  <si>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</si>
  <si>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</si>
  <si>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</si>
  <si>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</si>
  <si>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</si>
  <si>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</si>
  <si>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</si>
  <si>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</si>
  <si>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</si>
  <si>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</si>
  <si>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</si>
  <si>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</si>
  <si>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</si>
  <si>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</si>
  <si>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</si>
  <si>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</si>
  <si>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</si>
  <si>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</si>
  <si>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</si>
  <si>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</si>
  <si>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</si>
  <si>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</si>
  <si>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</si>
  <si>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</si>
  <si>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</si>
  <si>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</si>
  <si>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</si>
  <si>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</si>
  <si>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</si>
  <si>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</si>
  <si>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</si>
  <si>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</si>
  <si>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</si>
  <si>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</si>
  <si>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</si>
  <si>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</si>
  <si>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</si>
  <si>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</si>
  <si>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</si>
  <si>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</si>
  <si>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</si>
  <si>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</si>
  <si>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</si>
  <si>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</si>
  <si>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</si>
  <si>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</si>
  <si>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</si>
  <si>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</si>
  <si>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</si>
  <si>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</si>
  <si>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</si>
  <si>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</si>
  <si>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</si>
  <si>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</si>
  <si>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</si>
  <si>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</si>
  <si>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</si>
  <si>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</si>
  <si>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</si>
  <si>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</si>
  <si>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</si>
  <si>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</si>
  <si>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</si>
  <si>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</si>
  <si>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</si>
  <si>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</si>
  <si>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</si>
  <si>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</si>
  <si>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</si>
  <si>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</si>
  <si>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</si>
  <si>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</si>
  <si>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</si>
  <si>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</si>
  <si>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</si>
  <si>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</si>
  <si>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</si>
  <si>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</si>
  <si>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</si>
  <si>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</si>
  <si>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</si>
  <si>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</si>
  <si>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</si>
  <si>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</si>
  <si>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</si>
  <si>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</si>
  <si>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</si>
  <si>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</si>
  <si>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</si>
  <si>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</si>
  <si>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</si>
  <si>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</si>
  <si>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</si>
  <si>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</si>
  <si>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</si>
  <si>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</si>
  <si>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</si>
  <si>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</si>
  <si>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</si>
  <si>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</si>
  <si>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</si>
  <si>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</si>
  <si>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</si>
  <si>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</si>
  <si>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</si>
  <si>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</si>
  <si>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</si>
  <si>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</si>
  <si>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</si>
  <si>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</si>
  <si>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</si>
  <si>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</si>
  <si>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</si>
  <si>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</si>
  <si>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</si>
  <si>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</si>
  <si>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</si>
  <si>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</si>
  <si>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</si>
  <si>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</si>
  <si>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</si>
  <si>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</si>
  <si>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</si>
  <si>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</si>
  <si>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</si>
  <si>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</si>
  <si>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</si>
  <si>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</si>
  <si>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</si>
  <si>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</si>
  <si>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</si>
  <si>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</si>
  <si>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</si>
  <si>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</si>
  <si>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</si>
  <si>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</si>
  <si>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</si>
  <si>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</si>
  <si>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</si>
  <si>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</si>
  <si>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</si>
  <si>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</si>
  <si>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</si>
  <si>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</si>
  <si>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</si>
  <si>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</si>
  <si>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</si>
  <si>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</si>
  <si>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</si>
  <si>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</si>
  <si>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</si>
  <si>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</si>
  <si>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</si>
  <si>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</si>
  <si>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</si>
  <si>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</si>
  <si>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</si>
  <si>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</si>
  <si>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</si>
  <si>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</si>
  <si>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</si>
  <si>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</si>
  <si>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</si>
  <si>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</si>
  <si>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</si>
  <si>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</si>
  <si>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</si>
  <si>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</si>
  <si>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</si>
  <si>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</si>
  <si>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</si>
  <si>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</si>
  <si>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</si>
  <si>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</si>
  <si>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</si>
  <si>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</si>
  <si>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</si>
  <si>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</si>
  <si>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</si>
  <si>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</si>
  <si>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</si>
  <si>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</si>
  <si>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</si>
  <si>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</si>
  <si>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</si>
  <si>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</si>
  <si>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</si>
  <si>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</si>
  <si>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</si>
  <si>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</si>
  <si>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</si>
  <si>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</si>
  <si>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</si>
  <si>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</si>
  <si>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</si>
  <si>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</si>
  <si>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</si>
  <si>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</si>
  <si>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</si>
  <si>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</si>
  <si>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</si>
  <si>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</si>
  <si>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</si>
  <si>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</si>
  <si>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</si>
  <si>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</si>
  <si>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</si>
  <si>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</si>
  <si>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</si>
  <si>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</si>
  <si>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</si>
  <si>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</si>
  <si>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</si>
  <si>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</si>
  <si>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</si>
  <si>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</si>
  <si>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</si>
  <si>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</si>
  <si>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</si>
  <si>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</si>
  <si>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</si>
  <si>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</si>
  <si>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</si>
  <si>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</si>
  <si>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</si>
  <si>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</si>
  <si>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</si>
  <si>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</si>
  <si>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</si>
  <si>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</si>
  <si>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</si>
  <si>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</si>
  <si>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</si>
  <si>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</si>
  <si>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</si>
  <si>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</si>
  <si>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</si>
  <si>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</si>
  <si>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</si>
  <si>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</si>
  <si>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</si>
  <si>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</si>
  <si>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</si>
  <si>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</si>
  <si>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</si>
  <si>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</si>
  <si>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</si>
  <si>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</si>
  <si>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</si>
  <si>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</si>
  <si>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</si>
  <si>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</si>
  <si>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</si>
  <si>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</si>
  <si>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</si>
  <si>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</si>
  <si>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</si>
  <si>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</si>
  <si>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</si>
  <si>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</si>
  <si>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</si>
  <si>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</si>
  <si>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</si>
  <si>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</si>
  <si>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</si>
  <si>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</si>
  <si>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</si>
  <si>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</si>
  <si>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</si>
  <si>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</si>
  <si>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</si>
  <si>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</si>
  <si>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</si>
  <si>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</si>
  <si>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</si>
  <si>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</si>
  <si>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</si>
  <si>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</si>
  <si>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</si>
  <si>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</si>
  <si>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</si>
  <si>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</si>
  <si>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</si>
  <si>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</si>
  <si>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</si>
  <si>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</si>
  <si>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</si>
  <si>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</si>
  <si>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</si>
  <si>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</si>
  <si>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</si>
  <si>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</si>
  <si>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</si>
  <si>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</si>
  <si>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</si>
  <si>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</si>
  <si>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</si>
  <si>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</si>
  <si>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</si>
  <si>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</si>
  <si>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</si>
  <si>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</si>
  <si>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</si>
  <si>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</si>
  <si>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</si>
  <si>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</si>
  <si>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</si>
  <si>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</si>
  <si>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</si>
  <si>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</si>
  <si>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</si>
  <si>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</si>
  <si>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</si>
  <si>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</si>
  <si>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</si>
  <si>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</si>
  <si>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</si>
  <si>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</si>
  <si>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</si>
  <si>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</si>
  <si>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</si>
  <si>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</si>
  <si>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</si>
  <si>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</si>
  <si>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</si>
  <si>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</si>
  <si>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</si>
  <si>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</si>
  <si>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</si>
  <si>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</si>
  <si>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</si>
  <si>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</si>
  <si>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</si>
  <si>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</si>
  <si>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</si>
  <si>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</si>
  <si>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</si>
  <si>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</si>
  <si>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</si>
  <si>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</si>
  <si>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</si>
  <si>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</si>
  <si>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</si>
  <si>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</si>
  <si>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</si>
  <si>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</si>
  <si>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</si>
  <si>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</si>
  <si>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</si>
  <si>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</si>
  <si>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</si>
  <si>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</si>
  <si>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</si>
  <si>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</si>
  <si>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</si>
  <si>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</si>
  <si>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</si>
  <si>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</si>
  <si>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</si>
  <si>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</si>
  <si>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</si>
  <si>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</si>
  <si>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</si>
  <si>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</si>
  <si>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</si>
  <si>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</si>
  <si>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</si>
  <si>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</si>
  <si>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</si>
  <si>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</si>
  <si>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</si>
  <si>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</si>
  <si>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</si>
  <si>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</si>
  <si>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</si>
  <si>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</si>
  <si>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</si>
  <si>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</si>
  <si>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</si>
  <si>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</si>
  <si>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</si>
  <si>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</si>
  <si>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</si>
  <si>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</si>
  <si>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</si>
  <si>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</si>
  <si>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</si>
  <si>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</si>
  <si>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</si>
  <si>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</si>
  <si>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</si>
  <si>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</si>
  <si>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</si>
  <si>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</si>
  <si>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</si>
  <si>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</si>
  <si>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</si>
  <si>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</si>
  <si>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</si>
  <si>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</si>
  <si>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</si>
  <si>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</si>
  <si>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</si>
  <si>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</si>
  <si>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</si>
  <si>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</si>
  <si>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</si>
  <si>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</si>
  <si>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</si>
  <si>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</si>
  <si>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</si>
  <si>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</si>
  <si>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</si>
  <si>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</si>
  <si>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</si>
  <si>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</si>
  <si>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</si>
  <si>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</si>
  <si>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</si>
  <si>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</si>
  <si>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</si>
  <si>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</si>
  <si>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</si>
  <si>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</si>
  <si>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</si>
  <si>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</si>
  <si>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</si>
  <si>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</si>
  <si>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</si>
  <si>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</si>
  <si>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</si>
  <si>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</si>
  <si>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</si>
  <si>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</si>
  <si>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</si>
  <si>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</si>
  <si>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</si>
  <si>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</si>
  <si>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</si>
  <si>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</si>
  <si>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</si>
  <si>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</si>
  <si>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</si>
  <si>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</si>
  <si>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</si>
  <si>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</si>
  <si>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</si>
  <si>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</si>
  <si>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</si>
  <si>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</si>
  <si>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</si>
  <si>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</si>
  <si>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</si>
  <si>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</si>
  <si>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</si>
  <si>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</si>
  <si>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</si>
  <si>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</si>
  <si>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</si>
  <si>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</si>
  <si>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</si>
  <si>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</si>
  <si>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</si>
  <si>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</si>
  <si>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</si>
  <si>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</si>
  <si>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</si>
  <si>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</si>
  <si>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</si>
  <si>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</si>
  <si>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</si>
  <si>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</si>
  <si>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</si>
  <si>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</si>
  <si>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</si>
  <si>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</si>
  <si>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</si>
  <si>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</si>
  <si>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</si>
  <si>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</si>
  <si>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</si>
  <si>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</si>
  <si>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</si>
  <si>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</si>
  <si>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</si>
  <si>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</si>
  <si>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</si>
  <si>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</si>
  <si>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</si>
  <si>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</si>
  <si>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</si>
  <si>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</si>
  <si>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</si>
  <si>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</si>
  <si>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</si>
  <si>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</si>
  <si>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</si>
  <si>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</si>
  <si>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</si>
  <si>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</si>
  <si>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</si>
  <si>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</si>
  <si>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</si>
  <si>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</si>
  <si>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</si>
  <si>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</si>
  <si>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</si>
  <si>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</si>
  <si>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</si>
  <si>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</si>
  <si>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</si>
  <si>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</si>
  <si>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</si>
  <si>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</si>
  <si>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</si>
  <si>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</si>
  <si>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</si>
  <si>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</si>
  <si>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</si>
  <si>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</si>
  <si>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</si>
  <si>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</si>
  <si>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</si>
  <si>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</si>
  <si>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</si>
  <si>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</si>
  <si>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</si>
  <si>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</si>
  <si>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</si>
  <si>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</si>
  <si>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</si>
  <si>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</si>
  <si>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</si>
  <si>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</si>
  <si>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</si>
  <si>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</si>
  <si>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</si>
  <si>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</si>
  <si>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</si>
  <si>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</si>
  <si>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</si>
  <si>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</si>
  <si>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</si>
  <si>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</si>
  <si>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</si>
  <si>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</si>
  <si>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</si>
  <si>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</si>
  <si>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</si>
  <si>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</si>
  <si>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</si>
  <si>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</si>
  <si>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</si>
  <si>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</si>
  <si>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</si>
  <si>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</si>
  <si>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</si>
  <si>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</si>
  <si>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</si>
  <si>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</si>
  <si>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</si>
  <si>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</si>
  <si>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</si>
  <si>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</si>
  <si>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</si>
  <si>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</si>
  <si>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</si>
  <si>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</si>
  <si>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</si>
  <si>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</si>
  <si>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</si>
  <si>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</si>
  <si>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</si>
  <si>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</si>
  <si>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</si>
  <si>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</si>
  <si>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</si>
  <si>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</si>
  <si>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</si>
  <si>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</si>
  <si>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</si>
  <si>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</si>
  <si>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</si>
  <si>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</si>
  <si>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</si>
  <si>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</si>
  <si>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</si>
  <si>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</si>
  <si>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</si>
  <si>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</si>
  <si>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</si>
  <si>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</si>
  <si>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</si>
  <si>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</si>
  <si>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</si>
  <si>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</si>
  <si>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</si>
  <si>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</si>
  <si>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</si>
  <si>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</si>
  <si>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</si>
  <si>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</si>
  <si>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</si>
  <si>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</si>
  <si>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</si>
  <si>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</si>
  <si>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</si>
  <si>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</si>
  <si>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</si>
  <si>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</si>
  <si>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</si>
  <si>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</si>
  <si>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</si>
  <si>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</si>
  <si>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</si>
  <si>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</si>
  <si>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</si>
  <si>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</si>
  <si>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</si>
  <si>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</si>
  <si>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</si>
  <si>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</si>
  <si>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</si>
  <si>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</si>
  <si>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</si>
  <si>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</si>
  <si>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</si>
  <si>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</si>
  <si>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</si>
  <si>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</si>
  <si>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</si>
  <si>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</si>
  <si>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</si>
  <si>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</si>
  <si>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</si>
  <si>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</si>
  <si>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</si>
  <si>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</si>
  <si>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</si>
  <si>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</si>
  <si>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</si>
  <si>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</si>
  <si>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</si>
  <si>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</si>
  <si>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</si>
  <si>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</si>
  <si>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</si>
  <si>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</si>
  <si>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</si>
  <si>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</si>
  <si>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</si>
  <si>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</si>
  <si>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</si>
  <si>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</si>
  <si>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</si>
  <si>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</si>
  <si>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</si>
  <si>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</si>
  <si>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</si>
  <si>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</si>
  <si>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</si>
  <si>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</si>
  <si>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</si>
  <si>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</si>
  <si>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</si>
  <si>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</si>
  <si>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</si>
  <si>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</si>
  <si>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</si>
  <si>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</si>
  <si>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</si>
  <si>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</si>
  <si>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</si>
  <si>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</si>
  <si>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</si>
  <si>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</si>
  <si>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</si>
  <si>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</si>
  <si>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</si>
  <si>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</si>
  <si>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</si>
  <si>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</si>
  <si>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</si>
  <si>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</si>
  <si>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</si>
  <si>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</si>
  <si>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</si>
  <si>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</si>
  <si>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</si>
  <si>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</si>
  <si>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</si>
  <si>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</si>
  <si>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</si>
  <si>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</si>
  <si>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</si>
  <si>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</si>
  <si>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</si>
  <si>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</si>
  <si>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</si>
  <si>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</si>
  <si>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</si>
  <si>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</si>
  <si>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</si>
  <si>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</si>
  <si>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</si>
  <si>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</si>
  <si>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</si>
  <si>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</si>
  <si>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</si>
  <si>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</si>
  <si>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</si>
  <si>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</si>
  <si>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</si>
  <si>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</si>
  <si>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</si>
  <si>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</si>
  <si>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</si>
  <si>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</si>
  <si>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</si>
  <si>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</si>
  <si>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</si>
  <si>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</si>
  <si>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</si>
  <si>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</si>
  <si>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</si>
  <si>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</si>
  <si>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</si>
  <si>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</si>
  <si>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</si>
  <si>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</si>
  <si>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</si>
  <si>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</si>
  <si>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</si>
  <si>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</si>
  <si>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</si>
  <si>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</si>
  <si>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</si>
  <si>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</si>
  <si>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</si>
  <si>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</si>
  <si>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</si>
  <si>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</si>
  <si>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</si>
  <si>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</si>
  <si>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</si>
  <si>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</si>
  <si>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</si>
  <si>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</si>
  <si>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</si>
  <si>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</si>
  <si>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</si>
  <si>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</si>
  <si>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</si>
  <si>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</si>
  <si>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</si>
  <si>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</si>
  <si>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</si>
  <si>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</si>
  <si>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</si>
  <si>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</si>
  <si>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</si>
  <si>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</si>
  <si>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</si>
  <si>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</si>
  <si>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</si>
  <si>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</si>
  <si>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</si>
  <si>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</si>
  <si>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</si>
  <si>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</si>
  <si>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</si>
  <si>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</si>
  <si>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</si>
  <si>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</si>
  <si>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</si>
  <si>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</si>
  <si>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</si>
  <si>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</si>
  <si>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</si>
  <si>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</si>
  <si>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</si>
  <si>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</si>
  <si>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</si>
  <si>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</si>
  <si>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</si>
  <si>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</si>
  <si>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</si>
  <si>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</si>
  <si>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</si>
  <si>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</si>
  <si>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</si>
  <si>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</si>
  <si>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</si>
  <si>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</si>
  <si>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</si>
  <si>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</si>
  <si>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</si>
  <si>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</si>
  <si>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</si>
  <si>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</si>
  <si>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</si>
  <si>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</si>
  <si>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</si>
  <si>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</si>
  <si>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</si>
  <si>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</si>
  <si>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</si>
  <si>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</si>
  <si>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</si>
  <si>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</si>
  <si>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</si>
  <si>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</si>
  <si>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</si>
  <si>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</si>
  <si>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</si>
  <si>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</si>
  <si>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</si>
  <si>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</si>
  <si>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</si>
  <si>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</si>
  <si>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</si>
  <si>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</si>
  <si>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</si>
  <si>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</si>
  <si>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</si>
  <si>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</si>
  <si>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</si>
  <si>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</si>
  <si>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</si>
  <si>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</si>
  <si>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</si>
  <si>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</si>
  <si>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</si>
  <si>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</si>
  <si>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</si>
  <si>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</si>
  <si>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</si>
  <si>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</si>
  <si>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</si>
  <si>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</si>
  <si>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</si>
  <si>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</si>
  <si>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</si>
  <si>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</si>
  <si>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</si>
  <si>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</si>
  <si>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</si>
  <si>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</si>
  <si>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</si>
  <si>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</si>
  <si>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</si>
  <si>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</si>
  <si>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</si>
  <si>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</si>
  <si>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</si>
  <si>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</si>
  <si>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</si>
  <si>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</si>
  <si>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</si>
  <si>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</si>
  <si>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</si>
  <si>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</si>
  <si>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</si>
  <si>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</si>
  <si>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</si>
  <si>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</si>
  <si>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</si>
  <si>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</si>
  <si>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</si>
  <si>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</si>
  <si>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</si>
  <si>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</si>
  <si>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</si>
  <si>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</si>
  <si>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</si>
  <si>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</si>
  <si>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</si>
  <si>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</si>
  <si>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</si>
  <si>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</si>
  <si>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</si>
  <si>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</si>
  <si>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</si>
  <si>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</si>
  <si>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</si>
  <si>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</si>
  <si>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</si>
  <si>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</si>
  <si>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</si>
  <si>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</si>
  <si>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</si>
  <si>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</si>
  <si>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</si>
  <si>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</si>
  <si>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</si>
  <si>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</si>
  <si>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</si>
  <si>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</si>
  <si>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</si>
  <si>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</si>
  <si>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</si>
  <si>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</si>
  <si>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</si>
  <si>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</si>
  <si>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</si>
  <si>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</si>
  <si>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</si>
  <si>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Nr.8.6.-33/10/TL-M.3-6.3/2017</t>
  </si>
  <si>
    <t>UAB ,,Lietuvos cukrus"</t>
  </si>
  <si>
    <t>P. Armino g. 65</t>
  </si>
  <si>
    <t>LT-68127</t>
  </si>
  <si>
    <t>Marijampolė</t>
  </si>
  <si>
    <t>katilinė ir išspaudų džiovykla</t>
  </si>
  <si>
    <t>LT0000000030</t>
  </si>
  <si>
    <t>P. Armino g. 84E</t>
  </si>
  <si>
    <t>Marijampolės apskritis</t>
  </si>
  <si>
    <t xml:space="preserve">Anatoljus </t>
  </si>
  <si>
    <t>Urbas</t>
  </si>
  <si>
    <t>vyriausiasis energetikas</t>
  </si>
  <si>
    <t>a.urbas@lietuvoscukrus.lt</t>
  </si>
  <si>
    <t>+370 699 97860</t>
  </si>
  <si>
    <t>+370 343 54289</t>
  </si>
  <si>
    <t>Romutė</t>
  </si>
  <si>
    <t xml:space="preserve">Daugėlaitė </t>
  </si>
  <si>
    <t>technikė - chemikė</t>
  </si>
  <si>
    <t>chemike@lietuvoscukrus.lt</t>
  </si>
  <si>
    <t>+370 343 22171</t>
  </si>
  <si>
    <t>SIA Bureau Veritas Latvija</t>
  </si>
  <si>
    <t>Duntes street 17a</t>
  </si>
  <si>
    <t>Riga</t>
  </si>
  <si>
    <t>LV - 1005</t>
  </si>
  <si>
    <t>Giedrius Kirstukas</t>
  </si>
  <si>
    <t>giedrius.kirstukas@inbox.lt</t>
  </si>
  <si>
    <t>+370 617 61848</t>
  </si>
  <si>
    <t>LATAK-GHG-488</t>
  </si>
  <si>
    <t>F1. Dujinis – Gamtinės dujos; CO2</t>
  </si>
  <si>
    <t>tCO2/TJ</t>
  </si>
  <si>
    <t>F2. Dujinis – Gamtinės dujos; CO2</t>
  </si>
  <si>
    <t>F3. Dujinis – Gamtinės dujos; CO2</t>
  </si>
  <si>
    <t>2</t>
  </si>
  <si>
    <t>UAB ,, Lietuvos cukrus ", Marijampolė</t>
  </si>
  <si>
    <t>LT - 67127</t>
  </si>
  <si>
    <t>UAB ,, Lietuvos cukrus "</t>
  </si>
  <si>
    <t>LINA MINDERIENĖ</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</si>
</sst>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 numFmtId="175" formatCode="#,##0.000_);[Red]\-#,##0.000_)"/>
  </numFmts>
  <fonts count="106"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s>
  <fills count="37">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5">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thin">
        <color indexed="64"/>
      </left>
      <right/>
      <top/>
      <bottom style="hair">
        <color indexed="64"/>
      </bottom>
      <diagonal/>
    </border>
    <border>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17">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cellStyleXfs>
  <cellXfs count="1790">
    <xf numFmtId="0" fontId="0" fillId="0" borderId="0" xfId="0"/>
    <xf numFmtId="0" fontId="0" fillId="29" borderId="0" xfId="0" applyFill="1" applyProtection="1"/>
    <xf numFmtId="0" fontId="2" fillId="13"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3" fillId="13"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3" borderId="7" xfId="0" applyNumberFormat="1" applyFont="1" applyFill="1" applyBorder="1" applyAlignment="1" applyProtection="1">
      <alignment vertical="top"/>
    </xf>
    <xf numFmtId="0" fontId="4" fillId="13" borderId="8"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3" fillId="13"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3" fillId="13"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2"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2" borderId="9" xfId="0" applyNumberFormat="1" applyFont="1" applyFill="1" applyBorder="1" applyAlignment="1" applyProtection="1">
      <alignment vertical="top"/>
    </xf>
    <xf numFmtId="0" fontId="4" fillId="12" borderId="9" xfId="0" applyFont="1" applyFill="1" applyBorder="1" applyAlignment="1" applyProtection="1">
      <alignment horizontal="center" vertical="top"/>
    </xf>
    <xf numFmtId="0" fontId="4" fillId="12" borderId="9" xfId="0" applyFont="1" applyFill="1" applyBorder="1" applyAlignment="1" applyProtection="1">
      <alignment horizontal="right" vertical="top"/>
    </xf>
    <xf numFmtId="0" fontId="0" fillId="12" borderId="9" xfId="0" applyFill="1" applyBorder="1" applyAlignment="1" applyProtection="1">
      <alignment vertical="top" wrapText="1"/>
    </xf>
    <xf numFmtId="0" fontId="4" fillId="12" borderId="10" xfId="0" applyFont="1" applyFill="1" applyBorder="1" applyAlignment="1" applyProtection="1">
      <alignment horizontal="center" vertical="top"/>
    </xf>
    <xf numFmtId="0" fontId="0" fillId="12" borderId="10" xfId="0" applyFill="1" applyBorder="1" applyAlignment="1" applyProtection="1">
      <alignment vertical="top" wrapText="1"/>
    </xf>
    <xf numFmtId="0" fontId="4" fillId="12" borderId="10" xfId="0" applyFont="1" applyFill="1" applyBorder="1" applyAlignment="1" applyProtection="1">
      <alignment vertical="top" wrapText="1"/>
    </xf>
    <xf numFmtId="0" fontId="43" fillId="13" borderId="7" xfId="0" applyNumberFormat="1" applyFont="1" applyFill="1" applyBorder="1" applyAlignment="1" applyProtection="1">
      <alignment horizontal="center" vertical="top"/>
    </xf>
    <xf numFmtId="0" fontId="17" fillId="0" borderId="11" xfId="15"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7"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2" fillId="0" borderId="0" xfId="0" applyFont="1" applyProtection="1"/>
    <xf numFmtId="1" fontId="6" fillId="12" borderId="7"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2"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2"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7" borderId="0" xfId="0" applyFill="1" applyProtection="1"/>
    <xf numFmtId="0" fontId="2" fillId="18"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19" borderId="14" xfId="0" applyNumberFormat="1" applyFill="1" applyBorder="1" applyAlignment="1" applyProtection="1">
      <alignment horizontal="left"/>
    </xf>
    <xf numFmtId="0" fontId="0" fillId="20" borderId="15" xfId="0" applyFill="1" applyBorder="1" applyProtection="1"/>
    <xf numFmtId="0" fontId="0" fillId="20" borderId="16" xfId="0" applyFill="1" applyBorder="1" applyProtection="1"/>
    <xf numFmtId="0" fontId="0" fillId="20" borderId="17" xfId="0" applyFill="1" applyBorder="1" applyProtection="1"/>
    <xf numFmtId="0" fontId="0" fillId="0" borderId="18" xfId="0" applyBorder="1" applyProtection="1"/>
    <xf numFmtId="0" fontId="0" fillId="17" borderId="19" xfId="0" applyFill="1" applyBorder="1" applyProtection="1"/>
    <xf numFmtId="0" fontId="0" fillId="0" borderId="20" xfId="0" applyBorder="1" applyProtection="1"/>
    <xf numFmtId="0" fontId="0" fillId="18"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20" borderId="25" xfId="0" applyFill="1" applyBorder="1" applyProtection="1"/>
    <xf numFmtId="0" fontId="0" fillId="20" borderId="26" xfId="0" applyFill="1" applyBorder="1" applyProtection="1"/>
    <xf numFmtId="14" fontId="0" fillId="19" borderId="27" xfId="0" applyNumberFormat="1" applyFill="1" applyBorder="1" applyAlignment="1" applyProtection="1">
      <alignment horizontal="center"/>
    </xf>
    <xf numFmtId="0" fontId="0" fillId="20" borderId="28" xfId="0" applyFill="1" applyBorder="1" applyProtection="1"/>
    <xf numFmtId="0" fontId="0" fillId="20" borderId="29" xfId="0" applyFill="1" applyBorder="1" applyProtection="1"/>
    <xf numFmtId="0" fontId="0" fillId="20" borderId="30" xfId="0" applyFill="1" applyBorder="1" applyProtection="1"/>
    <xf numFmtId="0" fontId="0" fillId="20" borderId="31" xfId="0" applyFill="1" applyBorder="1" applyProtection="1"/>
    <xf numFmtId="0" fontId="37"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3"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8" fillId="12" borderId="0" xfId="0" applyFont="1" applyFill="1" applyBorder="1" applyAlignment="1" applyProtection="1">
      <alignment vertical="center"/>
    </xf>
    <xf numFmtId="0" fontId="25" fillId="12"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2" borderId="7" xfId="0" applyNumberFormat="1" applyFont="1" applyFill="1" applyBorder="1" applyAlignment="1" applyProtection="1">
      <alignment horizontal="center" vertical="top" wrapText="1"/>
    </xf>
    <xf numFmtId="0" fontId="35" fillId="12" borderId="7" xfId="0" applyFont="1" applyFill="1" applyBorder="1" applyAlignment="1" applyProtection="1">
      <alignment horizontal="center" vertical="center" wrapText="1"/>
    </xf>
    <xf numFmtId="0" fontId="62" fillId="12"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2"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2" borderId="7" xfId="0" applyNumberFormat="1" applyFont="1" applyFill="1" applyBorder="1" applyAlignment="1" applyProtection="1">
      <alignment horizontal="center" vertical="top" wrapText="1"/>
    </xf>
    <xf numFmtId="0" fontId="21" fillId="12" borderId="0" xfId="0" applyFont="1" applyFill="1" applyAlignment="1" applyProtection="1">
      <alignment vertical="center"/>
    </xf>
    <xf numFmtId="0" fontId="22" fillId="12" borderId="0" xfId="0" applyFont="1" applyFill="1" applyAlignment="1" applyProtection="1">
      <alignment vertical="center"/>
    </xf>
    <xf numFmtId="0" fontId="0" fillId="12" borderId="32" xfId="0" applyFill="1" applyBorder="1" applyAlignment="1" applyProtection="1">
      <alignment vertical="center"/>
    </xf>
    <xf numFmtId="0" fontId="0" fillId="12" borderId="33" xfId="0" applyFill="1" applyBorder="1" applyAlignment="1" applyProtection="1">
      <alignment vertical="center"/>
    </xf>
    <xf numFmtId="0" fontId="0" fillId="12" borderId="2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37" xfId="0" applyFill="1" applyBorder="1" applyAlignment="1" applyProtection="1">
      <alignment vertical="center"/>
    </xf>
    <xf numFmtId="0" fontId="0" fillId="12" borderId="0" xfId="0" applyFill="1" applyBorder="1" applyAlignment="1" applyProtection="1">
      <alignment vertical="center"/>
    </xf>
    <xf numFmtId="0" fontId="0" fillId="12" borderId="38" xfId="0" applyFill="1" applyBorder="1" applyAlignment="1" applyProtection="1">
      <alignment vertical="center"/>
    </xf>
    <xf numFmtId="0" fontId="0" fillId="12" borderId="22" xfId="0" applyFill="1" applyBorder="1" applyAlignment="1" applyProtection="1">
      <alignment vertical="center"/>
    </xf>
    <xf numFmtId="0" fontId="0" fillId="12" borderId="39"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5" borderId="40"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29" fillId="13" borderId="0" xfId="0" applyFont="1" applyFill="1" applyProtection="1"/>
    <xf numFmtId="0" fontId="41" fillId="12" borderId="0" xfId="0" applyFont="1" applyFill="1" applyAlignment="1" applyProtection="1">
      <alignment horizontal="left" vertical="center" wrapText="1"/>
    </xf>
    <xf numFmtId="0" fontId="24" fillId="12" borderId="7" xfId="0" applyNumberFormat="1" applyFont="1" applyFill="1" applyBorder="1" applyAlignment="1" applyProtection="1">
      <alignment horizontal="left" vertical="top" wrapText="1"/>
    </xf>
    <xf numFmtId="0" fontId="2" fillId="20"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20" borderId="41" xfId="0" applyFont="1" applyFill="1" applyBorder="1" applyAlignment="1" applyProtection="1">
      <alignment horizontal="left" vertical="center"/>
    </xf>
    <xf numFmtId="0" fontId="0" fillId="20" borderId="32" xfId="0" applyFill="1" applyBorder="1" applyAlignment="1" applyProtection="1">
      <alignment vertical="center"/>
    </xf>
    <xf numFmtId="0" fontId="0" fillId="20" borderId="33" xfId="0" applyFill="1" applyBorder="1" applyAlignment="1" applyProtection="1">
      <alignment vertical="center"/>
    </xf>
    <xf numFmtId="0" fontId="4" fillId="20" borderId="42" xfId="0" applyFont="1" applyFill="1" applyBorder="1" applyAlignment="1" applyProtection="1">
      <alignment horizontal="left" vertical="center"/>
    </xf>
    <xf numFmtId="0" fontId="0" fillId="20" borderId="11" xfId="0" applyFill="1" applyBorder="1" applyAlignment="1" applyProtection="1">
      <alignment vertical="center"/>
    </xf>
    <xf numFmtId="0" fontId="0" fillId="20" borderId="43" xfId="0" applyFill="1" applyBorder="1" applyAlignment="1" applyProtection="1">
      <alignment vertical="center"/>
    </xf>
    <xf numFmtId="0" fontId="59" fillId="12" borderId="0" xfId="0" applyFont="1" applyFill="1" applyAlignment="1" applyProtection="1">
      <alignment horizontal="center" vertical="top"/>
    </xf>
    <xf numFmtId="0" fontId="60" fillId="12" borderId="0" xfId="0" applyFont="1" applyFill="1" applyAlignment="1" applyProtection="1">
      <alignment horizontal="left" vertical="top"/>
    </xf>
    <xf numFmtId="0" fontId="60" fillId="12" borderId="0" xfId="0" applyFont="1" applyFill="1" applyBorder="1" applyProtection="1"/>
    <xf numFmtId="0" fontId="60" fillId="12" borderId="0" xfId="0" applyFont="1" applyFill="1" applyBorder="1" applyAlignment="1" applyProtection="1">
      <alignment vertical="top"/>
    </xf>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2" borderId="0" xfId="14" applyFill="1" applyProtection="1"/>
    <xf numFmtId="0" fontId="2" fillId="12" borderId="0" xfId="0" applyFont="1" applyFill="1" applyProtection="1"/>
    <xf numFmtId="0" fontId="2" fillId="12" borderId="0" xfId="0" applyFont="1" applyFill="1" applyBorder="1" applyProtection="1"/>
    <xf numFmtId="0" fontId="71" fillId="12"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19"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4" fillId="12" borderId="0" xfId="0" applyNumberFormat="1" applyFont="1" applyFill="1" applyBorder="1" applyAlignment="1" applyProtection="1"/>
    <xf numFmtId="0" fontId="7" fillId="12" borderId="7" xfId="0" applyFont="1" applyFill="1" applyBorder="1" applyAlignment="1" applyProtection="1">
      <alignment horizontal="center" vertical="top" wrapText="1"/>
    </xf>
    <xf numFmtId="0" fontId="7" fillId="12" borderId="7"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3" borderId="0" xfId="0" applyFill="1" applyAlignment="1" applyProtection="1">
      <alignment vertical="top"/>
    </xf>
    <xf numFmtId="0" fontId="56"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7" xfId="0" applyFill="1" applyBorder="1" applyAlignment="1" applyProtection="1">
      <alignment horizontal="center"/>
    </xf>
    <xf numFmtId="0" fontId="0" fillId="13" borderId="7" xfId="0" applyFill="1" applyBorder="1" applyProtection="1"/>
    <xf numFmtId="0" fontId="0" fillId="13" borderId="22" xfId="0" applyFill="1" applyBorder="1" applyProtection="1"/>
    <xf numFmtId="0" fontId="0" fillId="13" borderId="44" xfId="0" applyFill="1" applyBorder="1" applyAlignment="1" applyProtection="1">
      <alignment horizontal="center"/>
    </xf>
    <xf numFmtId="0" fontId="0" fillId="13" borderId="24" xfId="0" applyFill="1" applyBorder="1" applyProtection="1"/>
    <xf numFmtId="0" fontId="0" fillId="13" borderId="45" xfId="0" applyFill="1" applyBorder="1" applyAlignment="1" applyProtection="1">
      <alignment horizontal="center"/>
    </xf>
    <xf numFmtId="0" fontId="25"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2" xfId="0" applyFill="1" applyBorder="1" applyAlignment="1" applyProtection="1">
      <alignment horizontal="center"/>
    </xf>
    <xf numFmtId="0" fontId="44" fillId="13" borderId="0" xfId="0" applyFont="1" applyFill="1" applyProtection="1"/>
    <xf numFmtId="0" fontId="2" fillId="13" borderId="0" xfId="0" quotePrefix="1" applyFont="1" applyFill="1" applyBorder="1" applyAlignment="1" applyProtection="1">
      <alignment vertical="top" wrapText="1"/>
    </xf>
    <xf numFmtId="0" fontId="0" fillId="13" borderId="7" xfId="0" applyFill="1" applyBorder="1" applyAlignment="1" applyProtection="1">
      <alignment horizontal="center" vertical="center"/>
    </xf>
    <xf numFmtId="0" fontId="52" fillId="13" borderId="0" xfId="0" applyFont="1" applyFill="1" applyProtection="1"/>
    <xf numFmtId="0" fontId="50" fillId="13" borderId="0" xfId="0" applyFont="1" applyFill="1" applyBorder="1" applyAlignment="1" applyProtection="1">
      <alignment vertical="center"/>
    </xf>
    <xf numFmtId="0" fontId="2" fillId="13" borderId="7"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4" fillId="12" borderId="46" xfId="0" quotePrefix="1"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 fillId="12" borderId="46" xfId="0" quotePrefix="1" applyFont="1" applyFill="1" applyBorder="1" applyAlignment="1" applyProtection="1">
      <alignment horizontal="right" vertical="top" wrapText="1"/>
    </xf>
    <xf numFmtId="0" fontId="54"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4" borderId="0" xfId="0" applyFont="1" applyFill="1" applyProtection="1"/>
    <xf numFmtId="0" fontId="37" fillId="13"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2" xfId="0" applyNumberFormat="1" applyFont="1" applyFill="1" applyBorder="1" applyAlignment="1" applyProtection="1">
      <alignment vertical="top" wrapText="1"/>
    </xf>
    <xf numFmtId="0" fontId="7" fillId="12" borderId="7" xfId="0" applyFont="1" applyFill="1" applyBorder="1" applyAlignment="1" applyProtection="1">
      <alignment horizontal="left" vertical="top" wrapText="1"/>
    </xf>
    <xf numFmtId="0" fontId="7" fillId="12" borderId="7" xfId="0" applyFont="1" applyFill="1" applyBorder="1" applyAlignment="1" applyProtection="1">
      <alignment vertical="top"/>
    </xf>
    <xf numFmtId="0" fontId="71" fillId="12" borderId="0" xfId="0" applyFont="1" applyFill="1" applyProtection="1"/>
    <xf numFmtId="0" fontId="71" fillId="12" borderId="0" xfId="0" applyFont="1" applyFill="1" applyAlignment="1" applyProtection="1">
      <alignment vertical="center"/>
    </xf>
    <xf numFmtId="0" fontId="2" fillId="12" borderId="49" xfId="0" applyNumberFormat="1" applyFont="1" applyFill="1" applyBorder="1" applyAlignment="1" applyProtection="1">
      <alignment horizontal="center" vertical="top"/>
    </xf>
    <xf numFmtId="0" fontId="2" fillId="12" borderId="50" xfId="0" applyNumberFormat="1" applyFont="1" applyFill="1" applyBorder="1" applyAlignment="1" applyProtection="1">
      <alignment vertical="top"/>
    </xf>
    <xf numFmtId="0" fontId="2" fillId="12" borderId="51" xfId="0" applyNumberFormat="1" applyFont="1" applyFill="1" applyBorder="1" applyAlignment="1" applyProtection="1">
      <alignment horizontal="center" vertical="top"/>
    </xf>
    <xf numFmtId="0" fontId="2" fillId="12" borderId="4" xfId="0" applyNumberFormat="1" applyFont="1" applyFill="1" applyBorder="1" applyAlignment="1" applyProtection="1">
      <alignment vertical="top"/>
    </xf>
    <xf numFmtId="0" fontId="2" fillId="12" borderId="52"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3" xfId="0" applyNumberFormat="1" applyFont="1" applyFill="1" applyBorder="1" applyAlignment="1" applyProtection="1">
      <alignment vertical="top"/>
    </xf>
    <xf numFmtId="0" fontId="2" fillId="12" borderId="54"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5" xfId="0" applyNumberFormat="1" applyFont="1" applyFill="1" applyBorder="1" applyAlignment="1" applyProtection="1">
      <alignment vertical="top"/>
    </xf>
    <xf numFmtId="0" fontId="2" fillId="12" borderId="56" xfId="0" applyNumberFormat="1" applyFont="1" applyFill="1" applyBorder="1" applyAlignment="1" applyProtection="1">
      <alignment horizontal="center" vertical="top"/>
    </xf>
    <xf numFmtId="0" fontId="2" fillId="12" borderId="40" xfId="0" applyNumberFormat="1" applyFont="1" applyFill="1" applyBorder="1" applyAlignment="1" applyProtection="1">
      <alignment vertical="top"/>
    </xf>
    <xf numFmtId="0" fontId="2" fillId="12" borderId="57" xfId="0" applyNumberFormat="1" applyFont="1" applyFill="1" applyBorder="1" applyAlignment="1" applyProtection="1">
      <alignment vertical="top"/>
    </xf>
    <xf numFmtId="0" fontId="71" fillId="12" borderId="0" xfId="0" applyFont="1" applyFill="1" applyBorder="1" applyAlignment="1" applyProtection="1">
      <alignment horizontal="left" vertical="top" wrapText="1"/>
    </xf>
    <xf numFmtId="0" fontId="71" fillId="12" borderId="0" xfId="0" applyFont="1" applyFill="1" applyBorder="1" applyAlignment="1" applyProtection="1"/>
    <xf numFmtId="0" fontId="71" fillId="12" borderId="0" xfId="0" applyFont="1" applyFill="1" applyBorder="1" applyProtection="1"/>
    <xf numFmtId="0" fontId="4" fillId="12" borderId="0" xfId="0" applyFont="1" applyFill="1" applyBorder="1" applyAlignment="1" applyProtection="1">
      <alignment horizontal="left" vertical="top"/>
    </xf>
    <xf numFmtId="0" fontId="71"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7" xfId="0" applyFont="1" applyFill="1" applyBorder="1" applyAlignment="1" applyProtection="1">
      <alignment horizontal="center" vertical="top" wrapText="1"/>
    </xf>
    <xf numFmtId="0" fontId="71" fillId="12" borderId="0" xfId="0" applyFont="1" applyFill="1" applyBorder="1" applyAlignment="1" applyProtection="1">
      <alignment horizontal="left" vertical="top" shrinkToFit="1"/>
    </xf>
    <xf numFmtId="0" fontId="71" fillId="12" borderId="0" xfId="0" applyFont="1" applyFill="1" applyBorder="1" applyAlignment="1" applyProtection="1">
      <alignment horizontal="center" vertical="top" wrapText="1" shrinkToFit="1"/>
    </xf>
    <xf numFmtId="0" fontId="71"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1" fillId="13" borderId="0" xfId="0" applyFont="1" applyFill="1" applyProtection="1"/>
    <xf numFmtId="0" fontId="54" fillId="12" borderId="47" xfId="0" applyNumberFormat="1" applyFont="1" applyFill="1" applyBorder="1" applyAlignment="1" applyProtection="1">
      <alignment horizontal="left" vertical="top" wrapText="1"/>
    </xf>
    <xf numFmtId="0" fontId="54" fillId="12" borderId="48" xfId="0" applyNumberFormat="1" applyFont="1" applyFill="1" applyBorder="1" applyAlignment="1" applyProtection="1">
      <alignment horizontal="left" vertical="top" wrapText="1"/>
    </xf>
    <xf numFmtId="0" fontId="64" fillId="12" borderId="0" xfId="0" applyFont="1" applyFill="1" applyBorder="1" applyAlignment="1" applyProtection="1">
      <alignment horizontal="left" vertical="top" wrapText="1"/>
    </xf>
    <xf numFmtId="0" fontId="4" fillId="12" borderId="22" xfId="0" applyFont="1" applyFill="1" applyBorder="1" applyAlignment="1" applyProtection="1">
      <alignment horizontal="left" vertical="top" wrapText="1"/>
    </xf>
    <xf numFmtId="0" fontId="0" fillId="13" borderId="0" xfId="0" applyFill="1" applyAlignment="1" applyProtection="1">
      <alignment horizontal="left" vertical="top"/>
    </xf>
    <xf numFmtId="0" fontId="68" fillId="12" borderId="0" xfId="0" applyFont="1" applyFill="1" applyAlignment="1" applyProtection="1">
      <alignment horizontal="left" vertical="top" wrapText="1"/>
    </xf>
    <xf numFmtId="0" fontId="30" fillId="12" borderId="0" xfId="0" applyNumberFormat="1" applyFont="1" applyFill="1" applyAlignment="1" applyProtection="1">
      <alignment horizontal="left" vertical="top" wrapText="1"/>
    </xf>
    <xf numFmtId="0" fontId="69" fillId="12" borderId="0" xfId="0" applyNumberFormat="1" applyFont="1" applyFill="1" applyAlignment="1" applyProtection="1">
      <alignment horizontal="left" vertical="top" wrapText="1"/>
    </xf>
    <xf numFmtId="0" fontId="67" fillId="12" borderId="0" xfId="0" applyFont="1" applyFill="1" applyAlignment="1" applyProtection="1">
      <alignment horizontal="left" vertical="top" wrapText="1"/>
    </xf>
    <xf numFmtId="0" fontId="59" fillId="12" borderId="0" xfId="0" applyFont="1" applyFill="1" applyAlignment="1" applyProtection="1">
      <alignment horizontal="left" vertical="top" wrapText="1"/>
    </xf>
    <xf numFmtId="0" fontId="54" fillId="12" borderId="0" xfId="0" applyFont="1" applyFill="1" applyBorder="1" applyAlignment="1" applyProtection="1">
      <alignment horizontal="left" vertical="top" wrapText="1"/>
    </xf>
    <xf numFmtId="0" fontId="33" fillId="18" borderId="0" xfId="0" applyFont="1" applyFill="1" applyBorder="1" applyAlignment="1" applyProtection="1">
      <alignment horizontal="left" vertical="top" wrapText="1"/>
    </xf>
    <xf numFmtId="0" fontId="35" fillId="12" borderId="7"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7" xfId="0" applyNumberFormat="1" applyFont="1" applyFill="1" applyBorder="1" applyAlignment="1" applyProtection="1">
      <alignment horizontal="left" vertical="top" wrapText="1"/>
    </xf>
    <xf numFmtId="0" fontId="4" fillId="12" borderId="7" xfId="0" applyNumberFormat="1"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2" xfId="0" applyFont="1" applyFill="1" applyBorder="1" applyAlignment="1" applyProtection="1">
      <alignment horizontal="left" vertical="top" wrapText="1"/>
    </xf>
    <xf numFmtId="0" fontId="35" fillId="12" borderId="25" xfId="0" applyFont="1" applyFill="1" applyBorder="1" applyAlignment="1" applyProtection="1">
      <alignment horizontal="left" vertical="center" wrapText="1"/>
    </xf>
    <xf numFmtId="0" fontId="5" fillId="12" borderId="47"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39"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5" fillId="12" borderId="7"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4" applyFont="1" applyFill="1" applyBorder="1" applyAlignment="1" applyProtection="1">
      <alignment horizontal="left" vertical="center" wrapText="1"/>
    </xf>
    <xf numFmtId="0" fontId="0" fillId="12" borderId="58" xfId="0" applyFill="1" applyBorder="1" applyAlignment="1" applyProtection="1">
      <alignment horizontal="left" vertical="center" wrapText="1"/>
    </xf>
    <xf numFmtId="0" fontId="0" fillId="12" borderId="41" xfId="0" applyFill="1" applyBorder="1" applyAlignment="1" applyProtection="1">
      <alignment horizontal="left" vertical="center" wrapText="1"/>
    </xf>
    <xf numFmtId="0" fontId="0" fillId="12" borderId="42" xfId="0" applyFill="1" applyBorder="1" applyAlignment="1" applyProtection="1">
      <alignment horizontal="left" vertical="center" wrapText="1"/>
    </xf>
    <xf numFmtId="0" fontId="0" fillId="12" borderId="59" xfId="0" applyFill="1" applyBorder="1" applyAlignment="1" applyProtection="1">
      <alignment horizontal="left" vertical="center" wrapText="1"/>
    </xf>
    <xf numFmtId="0" fontId="4" fillId="18" borderId="60"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60" fillId="12" borderId="0" xfId="0" applyFont="1" applyFill="1" applyAlignment="1" applyProtection="1">
      <alignment horizontal="left" vertical="top" wrapText="1"/>
    </xf>
    <xf numFmtId="0" fontId="66" fillId="12" borderId="0" xfId="0" applyFont="1" applyFill="1" applyAlignment="1" applyProtection="1">
      <alignment horizontal="left" vertical="top" wrapText="1"/>
    </xf>
    <xf numFmtId="0" fontId="2" fillId="18" borderId="61" xfId="0" applyFont="1" applyFill="1" applyBorder="1" applyAlignment="1" applyProtection="1">
      <alignment horizontal="left" vertical="top" wrapText="1"/>
    </xf>
    <xf numFmtId="0" fontId="2" fillId="18" borderId="0" xfId="0" applyFont="1" applyFill="1" applyAlignment="1" applyProtection="1">
      <alignment horizontal="left" vertical="top" wrapText="1"/>
    </xf>
    <xf numFmtId="0" fontId="39" fillId="12" borderId="11"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0" fillId="12" borderId="0" xfId="0" applyFont="1" applyFill="1" applyBorder="1" applyAlignment="1" applyProtection="1">
      <alignment horizontal="left" vertical="top" wrapText="1"/>
    </xf>
    <xf numFmtId="0" fontId="69" fillId="12" borderId="37" xfId="0" applyNumberFormat="1" applyFont="1" applyFill="1" applyBorder="1" applyAlignment="1" applyProtection="1">
      <alignment horizontal="left" vertical="top" wrapText="1"/>
    </xf>
    <xf numFmtId="0" fontId="4" fillId="18" borderId="60" xfId="0" applyFont="1" applyFill="1" applyBorder="1" applyAlignment="1" applyProtection="1">
      <alignment horizontal="left" vertical="center" wrapText="1"/>
    </xf>
    <xf numFmtId="0" fontId="35" fillId="12" borderId="7" xfId="14"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5" fillId="18"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2" xfId="0" applyNumberFormat="1" applyFont="1" applyFill="1" applyBorder="1" applyAlignment="1" applyProtection="1">
      <alignment horizontal="left" vertical="top" wrapText="1"/>
    </xf>
    <xf numFmtId="0" fontId="34" fillId="12" borderId="7" xfId="0" applyFont="1" applyFill="1" applyBorder="1" applyAlignment="1" applyProtection="1">
      <alignment horizontal="left" vertical="top" wrapText="1"/>
    </xf>
    <xf numFmtId="0" fontId="72" fillId="12" borderId="7" xfId="0" applyFont="1" applyFill="1" applyBorder="1" applyAlignment="1" applyProtection="1">
      <alignment horizontal="left" vertical="top" wrapText="1"/>
    </xf>
    <xf numFmtId="0" fontId="54" fillId="12" borderId="47" xfId="0" quotePrefix="1" applyNumberFormat="1" applyFont="1" applyFill="1" applyBorder="1" applyAlignment="1" applyProtection="1">
      <alignment horizontal="left" vertical="top" wrapText="1"/>
    </xf>
    <xf numFmtId="0" fontId="54" fillId="12" borderId="48" xfId="0" quotePrefix="1" applyNumberFormat="1" applyFont="1" applyFill="1" applyBorder="1" applyAlignment="1" applyProtection="1">
      <alignment horizontal="left" vertical="top" wrapText="1"/>
    </xf>
    <xf numFmtId="0" fontId="54" fillId="12" borderId="0" xfId="0" quotePrefix="1" applyNumberFormat="1" applyFont="1" applyFill="1" applyBorder="1" applyAlignment="1" applyProtection="1">
      <alignment horizontal="left" vertical="top" wrapText="1"/>
    </xf>
    <xf numFmtId="0" fontId="54" fillId="12" borderId="46"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14" fontId="0" fillId="19" borderId="62"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1"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4"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3" borderId="44" xfId="0" applyFill="1" applyBorder="1" applyProtection="1"/>
    <xf numFmtId="0" fontId="0" fillId="13" borderId="45" xfId="0" applyFill="1" applyBorder="1" applyProtection="1"/>
    <xf numFmtId="0" fontId="0" fillId="13" borderId="65" xfId="0" applyFill="1" applyBorder="1" applyProtection="1"/>
    <xf numFmtId="0" fontId="79" fillId="0" borderId="0" xfId="0" applyFont="1" applyProtection="1"/>
    <xf numFmtId="0" fontId="80" fillId="0" borderId="0" xfId="0" applyFont="1" applyProtection="1"/>
    <xf numFmtId="0" fontId="33" fillId="12" borderId="7" xfId="0" applyFont="1" applyFill="1" applyBorder="1" applyAlignment="1" applyProtection="1">
      <alignment horizontal="center"/>
    </xf>
    <xf numFmtId="0" fontId="33" fillId="12" borderId="64" xfId="0" applyFont="1" applyFill="1" applyBorder="1" applyAlignment="1" applyProtection="1">
      <alignment horizontal="center"/>
    </xf>
    <xf numFmtId="0" fontId="33" fillId="12" borderId="50" xfId="0" applyFont="1" applyFill="1" applyBorder="1" applyProtection="1"/>
    <xf numFmtId="0" fontId="33" fillId="12" borderId="66" xfId="0" applyFont="1" applyFill="1" applyBorder="1" applyProtection="1"/>
    <xf numFmtId="0" fontId="33" fillId="12" borderId="67" xfId="0" applyFont="1" applyFill="1" applyBorder="1" applyProtection="1"/>
    <xf numFmtId="0" fontId="33" fillId="12" borderId="8" xfId="0" applyFont="1" applyFill="1" applyBorder="1" applyProtection="1"/>
    <xf numFmtId="0" fontId="33" fillId="12" borderId="68" xfId="0" applyFont="1" applyFill="1" applyBorder="1" applyAlignment="1" applyProtection="1">
      <alignment horizontal="center"/>
    </xf>
    <xf numFmtId="0" fontId="33" fillId="12" borderId="69" xfId="0" applyFont="1" applyFill="1" applyBorder="1" applyAlignment="1" applyProtection="1">
      <alignment horizontal="center"/>
    </xf>
    <xf numFmtId="0" fontId="33" fillId="12" borderId="70" xfId="0" applyFont="1" applyFill="1" applyBorder="1" applyAlignment="1" applyProtection="1">
      <alignment horizontal="center"/>
    </xf>
    <xf numFmtId="0" fontId="33" fillId="12" borderId="62" xfId="0" applyFont="1" applyFill="1" applyBorder="1" applyAlignment="1" applyProtection="1">
      <alignment horizontal="center"/>
    </xf>
    <xf numFmtId="0" fontId="33" fillId="12" borderId="50" xfId="0" applyFont="1" applyFill="1" applyBorder="1" applyAlignment="1" applyProtection="1">
      <alignment horizontal="center"/>
    </xf>
    <xf numFmtId="0" fontId="33" fillId="12" borderId="66" xfId="0" applyFont="1" applyFill="1" applyBorder="1" applyAlignment="1" applyProtection="1">
      <alignment horizontal="center"/>
    </xf>
    <xf numFmtId="0" fontId="33" fillId="12" borderId="71" xfId="0" applyFont="1" applyFill="1" applyBorder="1" applyAlignment="1" applyProtection="1">
      <alignment horizontal="center"/>
    </xf>
    <xf numFmtId="0" fontId="33" fillId="12" borderId="42" xfId="0" applyFont="1" applyFill="1" applyBorder="1" applyAlignment="1" applyProtection="1">
      <alignment horizontal="center"/>
    </xf>
    <xf numFmtId="0" fontId="33" fillId="12" borderId="72" xfId="0" applyFont="1" applyFill="1" applyBorder="1" applyAlignment="1" applyProtection="1">
      <alignment horizontal="center"/>
    </xf>
    <xf numFmtId="0" fontId="33" fillId="12" borderId="64" xfId="0" applyFont="1" applyFill="1" applyBorder="1" applyAlignment="1" applyProtection="1">
      <alignment horizontal="center" vertical="top" wrapText="1"/>
    </xf>
    <xf numFmtId="0" fontId="33" fillId="12" borderId="50" xfId="0" applyFont="1" applyFill="1" applyBorder="1" applyAlignment="1" applyProtection="1">
      <alignment horizontal="center" wrapText="1"/>
    </xf>
    <xf numFmtId="0" fontId="33" fillId="12" borderId="62" xfId="0" applyFont="1" applyFill="1" applyBorder="1" applyAlignment="1" applyProtection="1">
      <alignment horizontal="center" vertical="top" wrapText="1"/>
    </xf>
    <xf numFmtId="0" fontId="33" fillId="12" borderId="73" xfId="0" applyFont="1" applyFill="1" applyBorder="1" applyAlignment="1" applyProtection="1">
      <alignment horizontal="center" vertical="top" wrapText="1"/>
    </xf>
    <xf numFmtId="0" fontId="33" fillId="12" borderId="7" xfId="0" applyFont="1" applyFill="1" applyBorder="1" applyAlignment="1" applyProtection="1">
      <alignment horizontal="center" vertical="top" wrapText="1"/>
    </xf>
    <xf numFmtId="0" fontId="33" fillId="12"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20" borderId="75" xfId="0" applyFont="1" applyFill="1" applyBorder="1" applyAlignment="1" applyProtection="1">
      <alignment horizontal="center"/>
    </xf>
    <xf numFmtId="0" fontId="33" fillId="20" borderId="7" xfId="0" applyFont="1" applyFill="1" applyBorder="1" applyAlignment="1" applyProtection="1">
      <alignment horizontal="center"/>
    </xf>
    <xf numFmtId="0" fontId="33" fillId="20" borderId="68" xfId="0" applyFont="1" applyFill="1" applyBorder="1" applyAlignment="1" applyProtection="1">
      <alignment horizontal="center"/>
    </xf>
    <xf numFmtId="0" fontId="33" fillId="20" borderId="62" xfId="0" applyFont="1" applyFill="1" applyBorder="1" applyAlignment="1" applyProtection="1">
      <alignment horizontal="center"/>
    </xf>
    <xf numFmtId="0" fontId="33" fillId="20" borderId="68" xfId="0" applyFont="1" applyFill="1" applyBorder="1" applyAlignment="1" applyProtection="1">
      <alignment horizontal="center" vertical="top" wrapText="1"/>
    </xf>
    <xf numFmtId="0" fontId="33" fillId="12" borderId="15" xfId="0" applyFont="1" applyFill="1" applyBorder="1" applyAlignment="1" applyProtection="1">
      <alignment horizontal="center"/>
    </xf>
    <xf numFmtId="0" fontId="19" fillId="12" borderId="76" xfId="0" applyFont="1" applyFill="1" applyBorder="1" applyAlignment="1" applyProtection="1">
      <alignment horizontal="center"/>
    </xf>
    <xf numFmtId="0" fontId="43" fillId="12" borderId="47" xfId="0" applyNumberFormat="1" applyFont="1" applyFill="1" applyBorder="1" applyAlignment="1" applyProtection="1">
      <alignment vertical="top"/>
    </xf>
    <xf numFmtId="0" fontId="43" fillId="12"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2" borderId="7" xfId="0" applyNumberFormat="1" applyFont="1" applyFill="1" applyBorder="1" applyAlignment="1" applyProtection="1">
      <alignment horizontal="center" vertical="top" wrapText="1"/>
    </xf>
    <xf numFmtId="0" fontId="33" fillId="12" borderId="78" xfId="0" applyFont="1" applyFill="1" applyBorder="1" applyAlignment="1" applyProtection="1">
      <alignment horizontal="center"/>
    </xf>
    <xf numFmtId="0" fontId="33" fillId="12" borderId="49" xfId="0" applyFont="1" applyFill="1" applyBorder="1" applyAlignment="1" applyProtection="1">
      <alignment horizontal="center"/>
    </xf>
    <xf numFmtId="0" fontId="19" fillId="12" borderId="77" xfId="0" applyFont="1" applyFill="1" applyBorder="1" applyAlignment="1" applyProtection="1">
      <alignment horizontal="center"/>
    </xf>
    <xf numFmtId="0" fontId="33" fillId="12" borderId="49" xfId="0" applyFont="1" applyFill="1" applyBorder="1" applyProtection="1"/>
    <xf numFmtId="4" fontId="2" fillId="14" borderId="7" xfId="0" applyNumberFormat="1" applyFont="1" applyFill="1" applyBorder="1" applyAlignment="1" applyProtection="1">
      <alignment horizontal="center" vertical="center"/>
    </xf>
    <xf numFmtId="0" fontId="41" fillId="12" borderId="8" xfId="0" applyNumberFormat="1" applyFont="1" applyFill="1" applyBorder="1" applyAlignment="1" applyProtection="1">
      <alignment horizontal="center" vertical="center"/>
    </xf>
    <xf numFmtId="0" fontId="41" fillId="12"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20" borderId="25" xfId="0" applyFont="1" applyFill="1" applyBorder="1" applyProtection="1"/>
    <xf numFmtId="0" fontId="2" fillId="12" borderId="47" xfId="0" applyFont="1" applyFill="1" applyBorder="1" applyAlignment="1" applyProtection="1">
      <alignment vertical="top"/>
    </xf>
    <xf numFmtId="0" fontId="2" fillId="12" borderId="46"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2"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2"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3" borderId="8" xfId="0" applyFill="1" applyBorder="1" applyAlignment="1" applyProtection="1">
      <alignment vertical="center"/>
    </xf>
    <xf numFmtId="0" fontId="2" fillId="13" borderId="60" xfId="0" applyFont="1" applyFill="1" applyBorder="1" applyAlignment="1" applyProtection="1"/>
    <xf numFmtId="0" fontId="2" fillId="0" borderId="58" xfId="0" applyFont="1" applyBorder="1" applyProtection="1"/>
    <xf numFmtId="0" fontId="0" fillId="0" borderId="58" xfId="0" applyBorder="1" applyProtection="1"/>
    <xf numFmtId="0" fontId="2" fillId="13" borderId="63" xfId="0" applyFont="1" applyFill="1" applyBorder="1" applyAlignment="1" applyProtection="1"/>
    <xf numFmtId="0" fontId="0" fillId="0" borderId="0" xfId="0" applyBorder="1" applyProtection="1"/>
    <xf numFmtId="0" fontId="2" fillId="13"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2" borderId="25" xfId="0" applyFont="1" applyFill="1" applyBorder="1" applyAlignment="1" applyProtection="1">
      <alignment horizontal="left"/>
    </xf>
    <xf numFmtId="0" fontId="33" fillId="12" borderId="41" xfId="0" applyFont="1" applyFill="1" applyBorder="1" applyAlignment="1" applyProtection="1">
      <alignment horizontal="left" vertical="top"/>
    </xf>
    <xf numFmtId="0" fontId="33" fillId="12" borderId="42" xfId="0" applyFont="1" applyFill="1" applyBorder="1" applyAlignment="1" applyProtection="1">
      <alignment horizontal="left" vertical="top"/>
    </xf>
    <xf numFmtId="0" fontId="19" fillId="12" borderId="71" xfId="0" applyFont="1" applyFill="1" applyBorder="1" applyAlignment="1" applyProtection="1">
      <alignment horizontal="center"/>
    </xf>
    <xf numFmtId="0" fontId="43" fillId="20" borderId="83" xfId="0" applyNumberFormat="1" applyFont="1" applyFill="1" applyBorder="1" applyAlignment="1" applyProtection="1">
      <alignment horizontal="center" vertical="center"/>
    </xf>
    <xf numFmtId="0" fontId="19" fillId="12" borderId="0" xfId="0" applyFont="1" applyFill="1" applyBorder="1" applyAlignment="1" applyProtection="1"/>
    <xf numFmtId="0" fontId="33" fillId="12" borderId="15" xfId="0" applyFont="1" applyFill="1" applyBorder="1" applyProtection="1"/>
    <xf numFmtId="0" fontId="19" fillId="12"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2" borderId="0" xfId="0" applyFill="1" applyBorder="1" applyAlignment="1" applyProtection="1">
      <alignment vertical="center" wrapText="1"/>
    </xf>
    <xf numFmtId="0" fontId="93" fillId="12" borderId="0" xfId="0" applyFont="1" applyFill="1" applyAlignment="1" applyProtection="1">
      <alignment vertical="center"/>
    </xf>
    <xf numFmtId="0" fontId="2" fillId="13"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2" borderId="9" xfId="0" applyNumberFormat="1" applyFont="1" applyFill="1" applyBorder="1" applyAlignment="1" applyProtection="1">
      <alignment vertical="center"/>
    </xf>
    <xf numFmtId="0" fontId="4" fillId="12" borderId="9" xfId="0" applyFont="1" applyFill="1" applyBorder="1" applyAlignment="1" applyProtection="1">
      <alignment horizontal="center" vertical="center"/>
    </xf>
    <xf numFmtId="0" fontId="4" fillId="12" borderId="9" xfId="0" applyFont="1" applyFill="1" applyBorder="1" applyAlignment="1" applyProtection="1">
      <alignment horizontal="right" vertical="center"/>
    </xf>
    <xf numFmtId="0" fontId="0" fillId="12" borderId="9"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2" borderId="47" xfId="0" applyNumberFormat="1" applyFont="1" applyFill="1" applyBorder="1" applyAlignment="1" applyProtection="1">
      <alignment horizontal="left" vertical="center"/>
    </xf>
    <xf numFmtId="0" fontId="43" fillId="12"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3" borderId="49"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3" fillId="13"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3" borderId="75" xfId="0" applyNumberFormat="1" applyFont="1" applyFill="1" applyBorder="1" applyAlignment="1" applyProtection="1">
      <alignment horizontal="center" vertical="center"/>
    </xf>
    <xf numFmtId="0" fontId="43" fillId="13" borderId="38"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horizontal="center" vertical="center"/>
    </xf>
    <xf numFmtId="0" fontId="43" fillId="13" borderId="17" xfId="0" applyNumberFormat="1" applyFont="1" applyFill="1" applyBorder="1" applyAlignment="1" applyProtection="1">
      <alignment vertical="center"/>
    </xf>
    <xf numFmtId="0" fontId="43" fillId="13" borderId="8"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67" fontId="0" fillId="20" borderId="41"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3"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3"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horizontal="center" vertical="center"/>
    </xf>
    <xf numFmtId="0" fontId="43" fillId="13" borderId="32"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3" borderId="76" xfId="0" applyNumberFormat="1" applyFont="1" applyFill="1" applyBorder="1" applyAlignment="1" applyProtection="1">
      <alignment vertical="center"/>
    </xf>
    <xf numFmtId="0" fontId="43" fillId="13" borderId="38" xfId="0" applyNumberFormat="1" applyFont="1" applyFill="1" applyBorder="1" applyAlignment="1" applyProtection="1">
      <alignment vertical="center"/>
    </xf>
    <xf numFmtId="0" fontId="43" fillId="13" borderId="15" xfId="0" applyNumberFormat="1" applyFont="1" applyFill="1" applyBorder="1" applyAlignment="1" applyProtection="1">
      <alignment vertical="center"/>
    </xf>
    <xf numFmtId="0" fontId="2" fillId="13"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2" borderId="85" xfId="0" applyNumberFormat="1" applyFont="1" applyFill="1" applyBorder="1" applyAlignment="1" applyProtection="1">
      <alignment vertical="center"/>
    </xf>
    <xf numFmtId="167" fontId="0" fillId="20" borderId="86" xfId="0" applyNumberFormat="1" applyFill="1" applyBorder="1" applyAlignment="1" applyProtection="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3"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3"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3" borderId="81" xfId="0" applyNumberFormat="1" applyFont="1" applyFill="1" applyBorder="1" applyAlignment="1" applyProtection="1">
      <alignment vertical="center"/>
    </xf>
    <xf numFmtId="0" fontId="43" fillId="13" borderId="74"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10" fontId="0" fillId="20"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NumberFormat="1" applyFont="1" applyFill="1" applyBorder="1" applyAlignment="1" applyProtection="1">
      <alignment vertical="center"/>
    </xf>
    <xf numFmtId="0" fontId="43" fillId="12" borderId="90" xfId="0" applyNumberFormat="1" applyFont="1" applyFill="1" applyBorder="1" applyAlignment="1" applyProtection="1">
      <alignment vertical="center"/>
    </xf>
    <xf numFmtId="0" fontId="43" fillId="12" borderId="91" xfId="0" applyNumberFormat="1" applyFont="1" applyFill="1" applyBorder="1" applyAlignment="1" applyProtection="1">
      <alignment horizontal="center" vertical="center"/>
    </xf>
    <xf numFmtId="0" fontId="43" fillId="12" borderId="91" xfId="0" applyNumberFormat="1" applyFont="1" applyFill="1" applyBorder="1" applyAlignment="1" applyProtection="1">
      <alignment vertical="center"/>
    </xf>
    <xf numFmtId="0" fontId="0" fillId="12"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3" borderId="22" xfId="0" applyNumberFormat="1" applyFont="1" applyFill="1" applyBorder="1" applyAlignment="1" applyProtection="1">
      <alignment vertical="center"/>
    </xf>
    <xf numFmtId="0" fontId="43" fillId="13" borderId="59" xfId="0" applyNumberFormat="1" applyFont="1" applyFill="1" applyBorder="1" applyAlignment="1" applyProtection="1">
      <alignment vertical="center"/>
    </xf>
    <xf numFmtId="0" fontId="43" fillId="13" borderId="65" xfId="0" applyNumberFormat="1" applyFont="1" applyFill="1" applyBorder="1" applyAlignment="1" applyProtection="1">
      <alignment vertical="center"/>
    </xf>
    <xf numFmtId="0" fontId="43" fillId="13"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2" borderId="92" xfId="0" applyNumberFormat="1" applyFont="1" applyFill="1" applyBorder="1" applyAlignment="1" applyProtection="1">
      <alignment horizontal="center" vertical="center"/>
    </xf>
    <xf numFmtId="0" fontId="0" fillId="12"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xf>
    <xf numFmtId="168" fontId="0" fillId="20" borderId="86" xfId="0" applyNumberFormat="1" applyFill="1" applyBorder="1" applyAlignment="1" applyProtection="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3"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20"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3" borderId="93" xfId="0" applyNumberFormat="1" applyFont="1" applyFill="1" applyBorder="1" applyAlignment="1" applyProtection="1">
      <alignment horizontal="center" vertical="center"/>
    </xf>
    <xf numFmtId="0" fontId="43" fillId="12" borderId="80" xfId="0" applyNumberFormat="1" applyFont="1" applyFill="1" applyBorder="1" applyAlignment="1" applyProtection="1">
      <alignment vertical="center"/>
    </xf>
    <xf numFmtId="0" fontId="43" fillId="12" borderId="37" xfId="0" applyNumberFormat="1" applyFont="1" applyFill="1" applyBorder="1" applyAlignment="1" applyProtection="1">
      <alignment vertical="center"/>
    </xf>
    <xf numFmtId="0" fontId="43" fillId="12" borderId="94" xfId="0" applyNumberFormat="1" applyFont="1" applyFill="1" applyBorder="1" applyAlignment="1" applyProtection="1">
      <alignment vertical="center"/>
    </xf>
    <xf numFmtId="0" fontId="43" fillId="12"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43" fillId="13" borderId="82" xfId="0" applyNumberFormat="1" applyFont="1" applyFill="1" applyBorder="1" applyAlignment="1" applyProtection="1">
      <alignment vertical="center"/>
    </xf>
    <xf numFmtId="0" fontId="43" fillId="13"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2"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3" borderId="8" xfId="0" applyNumberFormat="1" applyFont="1" applyFill="1" applyBorder="1" applyAlignment="1" applyProtection="1">
      <alignment horizontal="center" vertical="center"/>
    </xf>
    <xf numFmtId="0" fontId="71" fillId="12" borderId="5" xfId="0" applyNumberFormat="1" applyFont="1" applyFill="1" applyBorder="1" applyAlignment="1" applyProtection="1">
      <alignment vertical="top"/>
    </xf>
    <xf numFmtId="0" fontId="71" fillId="12" borderId="40"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1" fillId="12" borderId="56" xfId="0" applyNumberFormat="1" applyFont="1" applyFill="1" applyBorder="1" applyAlignment="1" applyProtection="1">
      <alignment vertical="top"/>
    </xf>
    <xf numFmtId="0" fontId="71" fillId="12" borderId="52" xfId="0" applyNumberFormat="1" applyFont="1" applyFill="1" applyBorder="1" applyAlignment="1" applyProtection="1">
      <alignment vertical="top"/>
    </xf>
    <xf numFmtId="0" fontId="71" fillId="12" borderId="53" xfId="0" applyNumberFormat="1" applyFont="1" applyFill="1" applyBorder="1" applyAlignment="1" applyProtection="1">
      <alignment vertical="top"/>
    </xf>
    <xf numFmtId="0" fontId="71" fillId="12" borderId="54" xfId="0" applyNumberFormat="1" applyFont="1" applyFill="1" applyBorder="1" applyAlignment="1" applyProtection="1">
      <alignment vertical="top"/>
    </xf>
    <xf numFmtId="0" fontId="71" fillId="12" borderId="6" xfId="0" applyNumberFormat="1" applyFont="1" applyFill="1" applyBorder="1" applyAlignment="1" applyProtection="1">
      <alignment vertical="top"/>
    </xf>
    <xf numFmtId="0" fontId="71" fillId="12"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3" borderId="0" xfId="0" applyFont="1" applyFill="1" applyAlignment="1" applyProtection="1">
      <alignment vertical="top"/>
    </xf>
    <xf numFmtId="0" fontId="0" fillId="13"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2"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2" borderId="47" xfId="0" applyFont="1" applyFill="1" applyBorder="1" applyAlignment="1" applyProtection="1">
      <alignment horizontal="left" vertical="center"/>
    </xf>
    <xf numFmtId="0" fontId="2" fillId="12" borderId="47" xfId="0" applyNumberFormat="1" applyFont="1" applyFill="1" applyBorder="1" applyAlignment="1" applyProtection="1">
      <alignment vertical="center"/>
    </xf>
    <xf numFmtId="0" fontId="43" fillId="12" borderId="97" xfId="0" applyNumberFormat="1" applyFont="1" applyFill="1" applyBorder="1" applyAlignment="1" applyProtection="1">
      <alignment horizontal="center" vertical="center"/>
    </xf>
    <xf numFmtId="0" fontId="43" fillId="12" borderId="98" xfId="0" applyNumberFormat="1" applyFont="1" applyFill="1" applyBorder="1" applyAlignment="1" applyProtection="1">
      <alignment horizontal="center" vertical="center"/>
    </xf>
    <xf numFmtId="0" fontId="2" fillId="12" borderId="46" xfId="0" applyNumberFormat="1" applyFont="1" applyFill="1" applyBorder="1" applyAlignment="1" applyProtection="1">
      <alignment horizontal="left" vertical="center"/>
    </xf>
    <xf numFmtId="0" fontId="43" fillId="12" borderId="46"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3" fillId="12"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3" borderId="85"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0" fontId="43" fillId="13"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2"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3" borderId="65" xfId="0" applyNumberFormat="1" applyFont="1" applyFill="1" applyBorder="1" applyAlignment="1" applyProtection="1">
      <alignment horizontal="center" vertical="center"/>
    </xf>
    <xf numFmtId="0" fontId="0" fillId="12" borderId="44" xfId="0" applyFill="1" applyBorder="1" applyAlignment="1" applyProtection="1">
      <alignment horizontal="center" vertical="center"/>
    </xf>
    <xf numFmtId="0" fontId="0" fillId="12" borderId="45" xfId="0" applyFill="1" applyBorder="1" applyAlignment="1" applyProtection="1">
      <alignment horizontal="center" vertical="center"/>
    </xf>
    <xf numFmtId="0" fontId="94" fillId="14" borderId="0" xfId="0" applyFont="1" applyFill="1" applyProtection="1"/>
    <xf numFmtId="170" fontId="0" fillId="20" borderId="41" xfId="0" applyNumberFormat="1" applyFill="1" applyBorder="1" applyAlignment="1" applyProtection="1">
      <alignment horizontal="center" vertical="center"/>
    </xf>
    <xf numFmtId="170" fontId="0" fillId="20" borderId="71" xfId="0" applyNumberFormat="1" applyFill="1" applyBorder="1" applyAlignment="1" applyProtection="1">
      <alignment horizontal="center" vertical="center"/>
    </xf>
    <xf numFmtId="170" fontId="0" fillId="20" borderId="86" xfId="0" applyNumberFormat="1" applyFill="1" applyBorder="1" applyAlignment="1" applyProtection="1">
      <alignment horizontal="center" vertical="center"/>
    </xf>
    <xf numFmtId="170" fontId="0" fillId="20" borderId="42" xfId="0" applyNumberFormat="1" applyFill="1" applyBorder="1" applyAlignment="1" applyProtection="1">
      <alignment horizontal="center" vertical="center"/>
    </xf>
    <xf numFmtId="170" fontId="0" fillId="20" borderId="80" xfId="0" applyNumberFormat="1" applyFill="1" applyBorder="1" applyAlignment="1" applyProtection="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2" borderId="47"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6" xfId="0" applyFont="1" applyFill="1" applyBorder="1" applyAlignment="1" applyProtection="1">
      <alignment horizontal="center" vertical="top" wrapText="1"/>
    </xf>
    <xf numFmtId="0" fontId="94" fillId="13" borderId="0" xfId="0" applyNumberFormat="1" applyFont="1" applyFill="1" applyBorder="1" applyAlignment="1" applyProtection="1">
      <alignment vertical="top"/>
    </xf>
    <xf numFmtId="3" fontId="2" fillId="20"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center"/>
    </xf>
    <xf numFmtId="3" fontId="43" fillId="20" borderId="44" xfId="0" applyNumberFormat="1" applyFont="1" applyFill="1" applyBorder="1" applyAlignment="1" applyProtection="1">
      <alignment horizontal="center" vertical="center"/>
    </xf>
    <xf numFmtId="3" fontId="43" fillId="20"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20" borderId="18" xfId="0" applyNumberFormat="1" applyFont="1" applyFill="1" applyBorder="1" applyAlignment="1" applyProtection="1">
      <alignment horizontal="center" vertical="center"/>
    </xf>
    <xf numFmtId="0" fontId="79" fillId="12" borderId="0" xfId="0" applyNumberFormat="1" applyFont="1" applyFill="1" applyBorder="1" applyAlignment="1" applyProtection="1">
      <alignment horizontal="center" vertical="center"/>
    </xf>
    <xf numFmtId="0" fontId="79" fillId="20" borderId="103" xfId="0" applyNumberFormat="1" applyFont="1" applyFill="1" applyBorder="1" applyAlignment="1" applyProtection="1">
      <alignment horizontal="center" vertical="center"/>
    </xf>
    <xf numFmtId="0" fontId="79" fillId="20" borderId="13"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2" fillId="12" borderId="9"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1" fillId="12" borderId="0" xfId="0" applyFont="1" applyFill="1" applyAlignment="1" applyProtection="1">
      <alignment horizontal="center" vertical="center"/>
    </xf>
    <xf numFmtId="0" fontId="71" fillId="12"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1"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3" fillId="12" borderId="90" xfId="0" applyNumberFormat="1" applyFont="1" applyFill="1" applyBorder="1" applyAlignment="1" applyProtection="1">
      <alignment vertical="top"/>
    </xf>
    <xf numFmtId="0" fontId="40" fillId="12" borderId="90" xfId="0" applyFont="1" applyFill="1" applyBorder="1" applyAlignment="1" applyProtection="1">
      <alignment vertical="top" wrapText="1"/>
    </xf>
    <xf numFmtId="0" fontId="40"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0" fillId="12" borderId="90" xfId="0" applyFill="1" applyBorder="1" applyAlignment="1" applyProtection="1">
      <alignment vertical="center"/>
    </xf>
    <xf numFmtId="0" fontId="2" fillId="12" borderId="104" xfId="0" applyNumberFormat="1" applyFont="1" applyFill="1" applyBorder="1" applyAlignment="1" applyProtection="1">
      <alignment vertical="top"/>
    </xf>
    <xf numFmtId="0" fontId="44" fillId="12" borderId="90" xfId="0" applyFont="1" applyFill="1" applyBorder="1" applyProtection="1"/>
    <xf numFmtId="0" fontId="7" fillId="12" borderId="90" xfId="0" applyFont="1" applyFill="1" applyBorder="1" applyAlignment="1" applyProtection="1">
      <alignment horizontal="left" vertical="center"/>
    </xf>
    <xf numFmtId="0" fontId="2" fillId="13"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3" borderId="63" xfId="0" applyFont="1" applyFill="1" applyBorder="1" applyProtection="1"/>
    <xf numFmtId="0" fontId="0" fillId="13" borderId="63" xfId="0" applyFill="1" applyBorder="1" applyProtection="1"/>
    <xf numFmtId="0" fontId="0" fillId="13"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3" borderId="63" xfId="0" applyNumberFormat="1" applyFont="1" applyFill="1" applyBorder="1" applyAlignment="1" applyProtection="1">
      <alignment vertical="top"/>
    </xf>
    <xf numFmtId="0" fontId="20" fillId="13" borderId="63" xfId="0" applyFont="1" applyFill="1" applyBorder="1" applyAlignment="1" applyProtection="1">
      <alignment vertical="center"/>
    </xf>
    <xf numFmtId="0" fontId="2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30" fillId="12" borderId="0" xfId="0" applyFont="1" applyFill="1" applyBorder="1" applyAlignment="1" applyProtection="1">
      <alignment vertical="center"/>
    </xf>
    <xf numFmtId="0" fontId="0" fillId="12" borderId="0" xfId="0" applyFill="1" applyBorder="1" applyAlignment="1" applyProtection="1">
      <alignment wrapText="1"/>
    </xf>
    <xf numFmtId="0" fontId="38" fillId="12" borderId="0" xfId="0" applyFont="1" applyFill="1" applyBorder="1" applyProtection="1"/>
    <xf numFmtId="0" fontId="2" fillId="12" borderId="0" xfId="0" applyFont="1" applyFill="1" applyBorder="1" applyAlignment="1" applyProtection="1">
      <alignment horizontal="right" vertical="center"/>
    </xf>
    <xf numFmtId="0" fontId="41"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7" fillId="12" borderId="0" xfId="0" applyNumberFormat="1" applyFont="1" applyFill="1" applyBorder="1" applyAlignment="1" applyProtection="1">
      <alignment horizontal="right" vertical="center"/>
    </xf>
    <xf numFmtId="0" fontId="0" fillId="14" borderId="63" xfId="0" applyFill="1" applyBorder="1" applyProtection="1"/>
    <xf numFmtId="0" fontId="71" fillId="13" borderId="80"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1" fillId="12" borderId="0" xfId="0" applyFont="1" applyFill="1" applyBorder="1" applyProtection="1"/>
    <xf numFmtId="0" fontId="2" fillId="12" borderId="63" xfId="0" applyNumberFormat="1" applyFont="1" applyFill="1" applyBorder="1" applyAlignment="1" applyProtection="1">
      <alignment vertical="top"/>
    </xf>
    <xf numFmtId="0" fontId="57" fillId="12" borderId="0" xfId="0" applyFont="1" applyFill="1" applyBorder="1" applyAlignment="1" applyProtection="1">
      <alignment vertical="center"/>
    </xf>
    <xf numFmtId="0" fontId="57" fillId="12" borderId="0" xfId="0" applyFont="1" applyFill="1" applyBorder="1" applyAlignment="1" applyProtection="1"/>
    <xf numFmtId="0" fontId="0" fillId="12" borderId="80" xfId="0" applyFill="1" applyBorder="1" applyProtection="1"/>
    <xf numFmtId="0" fontId="4" fillId="12" borderId="37" xfId="0" applyFont="1" applyFill="1" applyBorder="1" applyAlignment="1" applyProtection="1">
      <alignment vertical="center"/>
    </xf>
    <xf numFmtId="0" fontId="0" fillId="12" borderId="37" xfId="0" applyFill="1" applyBorder="1" applyProtection="1"/>
    <xf numFmtId="0" fontId="2" fillId="14" borderId="60" xfId="0" applyFont="1" applyFill="1" applyBorder="1" applyProtection="1"/>
    <xf numFmtId="0" fontId="2" fillId="13" borderId="58" xfId="0" applyNumberFormat="1" applyFont="1" applyFill="1" applyBorder="1" applyAlignment="1" applyProtection="1">
      <alignment vertical="top"/>
    </xf>
    <xf numFmtId="0" fontId="2" fillId="13" borderId="58" xfId="0" applyNumberFormat="1" applyFont="1" applyFill="1" applyBorder="1" applyAlignment="1" applyProtection="1">
      <alignment vertical="center"/>
    </xf>
    <xf numFmtId="0" fontId="2" fillId="13"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3" borderId="63" xfId="0" applyNumberFormat="1" applyFont="1" applyFill="1" applyBorder="1" applyAlignment="1" applyProtection="1">
      <alignment vertical="top"/>
    </xf>
    <xf numFmtId="0" fontId="41" fillId="12" borderId="0" xfId="0" applyFont="1" applyFill="1" applyBorder="1" applyAlignment="1" applyProtection="1">
      <alignment vertical="center" wrapText="1"/>
    </xf>
    <xf numFmtId="0" fontId="0" fillId="14" borderId="63" xfId="0" applyFill="1" applyBorder="1" applyAlignment="1" applyProtection="1"/>
    <xf numFmtId="0" fontId="41" fillId="12"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2" borderId="0" xfId="0" applyFont="1" applyFill="1" applyBorder="1" applyAlignment="1" applyProtection="1">
      <alignment horizontal="right" vertical="center"/>
    </xf>
    <xf numFmtId="0" fontId="43" fillId="13" borderId="63" xfId="0" applyNumberFormat="1" applyFont="1" applyFill="1" applyBorder="1" applyAlignment="1" applyProtection="1">
      <alignment vertical="center"/>
    </xf>
    <xf numFmtId="0" fontId="0" fillId="14" borderId="80" xfId="0" applyFill="1" applyBorder="1" applyProtection="1"/>
    <xf numFmtId="0" fontId="2" fillId="12" borderId="37" xfId="0" applyNumberFormat="1" applyFont="1" applyFill="1" applyBorder="1" applyAlignment="1" applyProtection="1">
      <alignment vertical="center"/>
    </xf>
    <xf numFmtId="0" fontId="4" fillId="12" borderId="37" xfId="0" applyFont="1" applyFill="1" applyBorder="1" applyAlignment="1" applyProtection="1">
      <alignment horizontal="center" vertical="top"/>
    </xf>
    <xf numFmtId="0" fontId="4" fillId="12" borderId="37" xfId="0" applyFont="1" applyFill="1" applyBorder="1" applyAlignment="1" applyProtection="1">
      <alignment vertical="top" wrapText="1"/>
    </xf>
    <xf numFmtId="0" fontId="0" fillId="12" borderId="37"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3" borderId="63" xfId="0" applyFont="1" applyFill="1" applyBorder="1" applyAlignment="1" applyProtection="1">
      <alignment horizontal="center" vertical="top"/>
    </xf>
    <xf numFmtId="0" fontId="71"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3" borderId="80" xfId="0" applyFill="1" applyBorder="1" applyProtection="1"/>
    <xf numFmtId="0" fontId="71" fillId="12" borderId="37" xfId="0" applyFont="1" applyFill="1" applyBorder="1" applyProtection="1"/>
    <xf numFmtId="0" fontId="11" fillId="12" borderId="0" xfId="0" applyNumberFormat="1" applyFont="1" applyFill="1" applyBorder="1" applyAlignment="1" applyProtection="1">
      <alignment vertical="top" wrapText="1"/>
    </xf>
    <xf numFmtId="0" fontId="24" fillId="12" borderId="0" xfId="0" applyNumberFormat="1" applyFont="1" applyFill="1" applyBorder="1" applyAlignment="1" applyProtection="1"/>
    <xf numFmtId="0" fontId="24" fillId="12" borderId="0" xfId="0" applyFont="1" applyFill="1" applyBorder="1" applyAlignment="1" applyProtection="1"/>
    <xf numFmtId="0" fontId="0" fillId="12" borderId="94" xfId="0" applyFill="1" applyBorder="1" applyProtection="1"/>
    <xf numFmtId="0" fontId="71" fillId="12" borderId="63" xfId="0" applyFont="1" applyFill="1" applyBorder="1" applyProtection="1"/>
    <xf numFmtId="0" fontId="43"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1" fillId="12" borderId="80" xfId="0" applyFont="1" applyFill="1" applyBorder="1" applyProtection="1"/>
    <xf numFmtId="0" fontId="71" fillId="12" borderId="63" xfId="0" applyFont="1" applyFill="1" applyBorder="1" applyAlignment="1" applyProtection="1">
      <alignment vertical="center"/>
    </xf>
    <xf numFmtId="0" fontId="2" fillId="12"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20" borderId="99" xfId="0" applyNumberFormat="1" applyFont="1" applyFill="1" applyBorder="1" applyAlignment="1" applyProtection="1">
      <alignment horizontal="center" vertical="top" wrapText="1"/>
    </xf>
    <xf numFmtId="38" fontId="2" fillId="20"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applyProtection="1"/>
    <xf numFmtId="0" fontId="2" fillId="13" borderId="8"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2" borderId="0" xfId="0" applyFont="1" applyFill="1" applyBorder="1" applyAlignment="1" applyProtection="1">
      <alignment horizontal="right" vertical="center" wrapText="1"/>
    </xf>
    <xf numFmtId="1" fontId="6" fillId="12"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2" borderId="47" xfId="0" applyFont="1" applyFill="1" applyBorder="1" applyAlignment="1" applyProtection="1">
      <alignment vertical="center"/>
    </xf>
    <xf numFmtId="0" fontId="0" fillId="12" borderId="47" xfId="0" applyFill="1" applyBorder="1" applyAlignment="1" applyProtection="1">
      <alignment vertical="center"/>
    </xf>
    <xf numFmtId="0" fontId="2" fillId="12" borderId="105" xfId="0" applyFont="1" applyFill="1" applyBorder="1" applyAlignment="1" applyProtection="1"/>
    <xf numFmtId="0" fontId="24"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5" fillId="12"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3" borderId="7" xfId="0" applyNumberFormat="1" applyFont="1" applyFill="1" applyBorder="1" applyAlignment="1" applyProtection="1">
      <alignment horizontal="center" vertical="center"/>
    </xf>
    <xf numFmtId="0" fontId="43" fillId="13" borderId="7" xfId="0" applyNumberFormat="1" applyFont="1" applyFill="1" applyBorder="1" applyAlignment="1" applyProtection="1">
      <alignment horizontal="center" vertical="center"/>
    </xf>
    <xf numFmtId="0" fontId="0" fillId="12" borderId="7"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3" borderId="7" xfId="0" applyNumberFormat="1" applyFont="1" applyFill="1" applyBorder="1" applyAlignment="1" applyProtection="1">
      <alignment horizontal="center" vertical="center"/>
    </xf>
    <xf numFmtId="0" fontId="0" fillId="14" borderId="0" xfId="0" applyFill="1" applyBorder="1" applyProtection="1"/>
    <xf numFmtId="0" fontId="88" fillId="12" borderId="0" xfId="0" applyFont="1" applyFill="1" applyAlignment="1" applyProtection="1">
      <alignment horizontal="left"/>
    </xf>
    <xf numFmtId="0" fontId="2" fillId="20" borderId="7" xfId="0" applyNumberFormat="1" applyFont="1" applyFill="1" applyBorder="1" applyAlignment="1" applyProtection="1">
      <alignment horizontal="center" vertical="top" wrapText="1"/>
    </xf>
    <xf numFmtId="0" fontId="23" fillId="12" borderId="0" xfId="0" applyFont="1" applyFill="1" applyBorder="1" applyAlignment="1" applyProtection="1">
      <alignment horizontal="right"/>
    </xf>
    <xf numFmtId="0" fontId="4" fillId="12" borderId="11" xfId="0" applyFont="1" applyFill="1" applyBorder="1" applyAlignment="1" applyProtection="1">
      <alignment horizontal="center" wrapText="1"/>
    </xf>
    <xf numFmtId="0" fontId="4" fillId="12"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3" borderId="15" xfId="0" applyNumberFormat="1" applyFont="1" applyFill="1" applyBorder="1" applyAlignment="1" applyProtection="1">
      <alignment horizontal="center" vertical="center"/>
    </xf>
    <xf numFmtId="3" fontId="2" fillId="13" borderId="7" xfId="0" applyNumberFormat="1" applyFont="1" applyFill="1" applyBorder="1" applyAlignment="1" applyProtection="1">
      <alignment horizontal="center" vertical="center"/>
    </xf>
    <xf numFmtId="169" fontId="2" fillId="13" borderId="7" xfId="0" applyNumberFormat="1" applyFont="1" applyFill="1" applyBorder="1" applyAlignment="1" applyProtection="1">
      <alignment horizontal="center" vertical="center"/>
    </xf>
    <xf numFmtId="4" fontId="2" fillId="13" borderId="7" xfId="0" applyNumberFormat="1" applyFont="1" applyFill="1" applyBorder="1" applyAlignment="1" applyProtection="1">
      <alignment horizontal="center" vertical="center"/>
    </xf>
    <xf numFmtId="0" fontId="24" fillId="12" borderId="63" xfId="0" applyFont="1" applyFill="1" applyBorder="1" applyProtection="1"/>
    <xf numFmtId="0" fontId="24" fillId="12"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5" xfId="0" applyFont="1" applyFill="1" applyBorder="1" applyAlignment="1" applyProtection="1">
      <alignment vertical="center"/>
    </xf>
    <xf numFmtId="0" fontId="0" fillId="12" borderId="16" xfId="0" applyFill="1" applyBorder="1" applyAlignment="1" applyProtection="1">
      <alignment vertical="center"/>
    </xf>
    <xf numFmtId="0" fontId="19" fillId="12" borderId="28"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3" fillId="20" borderId="7" xfId="0" applyFont="1" applyFill="1" applyBorder="1" applyAlignment="1" applyProtection="1">
      <alignment horizontal="center" vertical="top" wrapText="1"/>
    </xf>
    <xf numFmtId="0" fontId="33" fillId="20"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8" xfId="0" applyFont="1" applyFill="1" applyBorder="1" applyAlignment="1" applyProtection="1">
      <alignment vertical="top"/>
    </xf>
    <xf numFmtId="0" fontId="2" fillId="12"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pplyProtection="1">
      <alignment horizontal="center" vertical="center"/>
    </xf>
    <xf numFmtId="4" fontId="4" fillId="22" borderId="7" xfId="0" applyNumberFormat="1" applyFont="1" applyFill="1" applyBorder="1" applyAlignment="1" applyProtection="1">
      <alignment horizontal="right" vertical="center"/>
      <protection locked="0"/>
    </xf>
    <xf numFmtId="0" fontId="33" fillId="12" borderId="42" xfId="0" applyFont="1" applyFill="1" applyBorder="1" applyAlignment="1" applyProtection="1">
      <alignment horizontal="left" vertical="top" wrapText="1"/>
    </xf>
    <xf numFmtId="0" fontId="33" fillId="12" borderId="42" xfId="0" applyFont="1" applyFill="1" applyBorder="1" applyAlignment="1" applyProtection="1">
      <alignment horizontal="center" vertical="top" wrapText="1"/>
    </xf>
    <xf numFmtId="0" fontId="33" fillId="12" borderId="59" xfId="0" applyFont="1" applyFill="1" applyBorder="1" applyAlignment="1" applyProtection="1">
      <alignment horizontal="left" vertical="top" wrapText="1"/>
    </xf>
    <xf numFmtId="0" fontId="33" fillId="12" borderId="59" xfId="0" applyFont="1" applyFill="1" applyBorder="1" applyAlignment="1" applyProtection="1">
      <alignment horizontal="center" vertical="top" wrapText="1"/>
    </xf>
    <xf numFmtId="0" fontId="33" fillId="12" borderId="68" xfId="0" applyFont="1" applyFill="1" applyBorder="1" applyAlignment="1" applyProtection="1">
      <alignment horizontal="center" vertical="top" wrapText="1"/>
    </xf>
    <xf numFmtId="0" fontId="33" fillId="12" borderId="69" xfId="0" applyFont="1" applyFill="1" applyBorder="1" applyAlignment="1" applyProtection="1">
      <alignment horizontal="center" vertical="top" wrapText="1"/>
    </xf>
    <xf numFmtId="0" fontId="33" fillId="12" borderId="41" xfId="0" applyFont="1" applyFill="1" applyBorder="1" applyAlignment="1" applyProtection="1">
      <alignment horizontal="center"/>
    </xf>
    <xf numFmtId="0" fontId="33" fillId="12" borderId="75" xfId="0" applyFont="1" applyFill="1" applyBorder="1" applyAlignment="1" applyProtection="1">
      <alignment horizontal="center" vertical="top" wrapText="1"/>
    </xf>
    <xf numFmtId="0" fontId="33" fillId="12" borderId="75" xfId="0" applyFont="1" applyFill="1" applyBorder="1" applyAlignment="1" applyProtection="1">
      <alignment horizontal="center"/>
    </xf>
    <xf numFmtId="0" fontId="33" fillId="12" borderId="77" xfId="0" applyFont="1" applyFill="1" applyBorder="1" applyAlignment="1" applyProtection="1">
      <alignment horizontal="center" vertical="top" wrapText="1"/>
    </xf>
    <xf numFmtId="0" fontId="33" fillId="12" borderId="72" xfId="0" applyFont="1" applyFill="1" applyBorder="1" applyAlignment="1" applyProtection="1">
      <alignment horizontal="left" vertical="top"/>
    </xf>
    <xf numFmtId="0" fontId="33" fillId="12" borderId="70" xfId="0" applyFont="1" applyFill="1" applyBorder="1" applyAlignment="1" applyProtection="1">
      <alignment horizontal="center" vertical="top" wrapText="1"/>
    </xf>
    <xf numFmtId="0" fontId="33" fillId="12" borderId="59" xfId="0" applyFont="1" applyFill="1" applyBorder="1" applyAlignment="1" applyProtection="1">
      <alignment horizontal="center"/>
    </xf>
    <xf numFmtId="0" fontId="33" fillId="12" borderId="71" xfId="0" applyFont="1" applyFill="1" applyBorder="1" applyAlignment="1" applyProtection="1">
      <alignment horizontal="left" vertical="top"/>
    </xf>
    <xf numFmtId="0" fontId="33" fillId="12"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3"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1" fillId="12" borderId="51" xfId="0" applyNumberFormat="1" applyFont="1" applyFill="1" applyBorder="1" applyAlignment="1" applyProtection="1">
      <alignment vertical="top"/>
    </xf>
    <xf numFmtId="0" fontId="71" fillId="12"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20" borderId="44" xfId="0" applyNumberFormat="1" applyFont="1" applyFill="1" applyBorder="1" applyAlignment="1" applyProtection="1">
      <alignment horizontal="center" vertical="center"/>
    </xf>
    <xf numFmtId="4" fontId="43" fillId="20"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20" borderId="59" xfId="0" applyFont="1" applyFill="1" applyBorder="1" applyAlignment="1" applyProtection="1">
      <alignment horizontal="left" vertical="center"/>
    </xf>
    <xf numFmtId="0" fontId="0" fillId="20" borderId="35" xfId="0" applyFill="1" applyBorder="1" applyAlignment="1" applyProtection="1">
      <alignment vertical="center"/>
    </xf>
    <xf numFmtId="0" fontId="0" fillId="20" borderId="36" xfId="0" applyFill="1" applyBorder="1" applyAlignment="1" applyProtection="1">
      <alignment vertical="center"/>
    </xf>
    <xf numFmtId="0" fontId="54" fillId="12" borderId="0" xfId="0" applyNumberFormat="1" applyFont="1" applyFill="1" applyBorder="1" applyAlignment="1" applyProtection="1">
      <alignment vertical="top" wrapText="1"/>
    </xf>
    <xf numFmtId="0" fontId="54" fillId="12" borderId="48" xfId="0" applyNumberFormat="1" applyFont="1" applyFill="1" applyBorder="1" applyAlignment="1" applyProtection="1">
      <alignment horizontal="right" vertical="top" wrapText="1"/>
    </xf>
    <xf numFmtId="0" fontId="4" fillId="12" borderId="46" xfId="0" applyFont="1" applyFill="1" applyBorder="1" applyAlignment="1" applyProtection="1">
      <alignment horizontal="center" vertical="top"/>
    </xf>
    <xf numFmtId="0" fontId="54" fillId="12"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3"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20" borderId="17" xfId="0" applyNumberFormat="1" applyFont="1" applyFill="1" applyBorder="1" applyAlignment="1" applyProtection="1">
      <alignment vertical="center"/>
    </xf>
    <xf numFmtId="0" fontId="87" fillId="12" borderId="0" xfId="0" applyNumberFormat="1" applyFont="1" applyFill="1" applyBorder="1" applyAlignment="1" applyProtection="1">
      <alignment vertical="center"/>
    </xf>
    <xf numFmtId="0" fontId="87" fillId="20"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2" borderId="105" xfId="0" applyFill="1" applyBorder="1" applyProtection="1"/>
    <xf numFmtId="0" fontId="26" fillId="12" borderId="63" xfId="0" applyFont="1" applyFill="1" applyBorder="1" applyProtection="1"/>
    <xf numFmtId="0" fontId="71" fillId="12" borderId="0" xfId="0" applyFont="1" applyFill="1" applyBorder="1" applyAlignment="1" applyProtection="1">
      <alignment vertical="top"/>
    </xf>
    <xf numFmtId="0" fontId="71"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20" borderId="8" xfId="0" applyNumberFormat="1" applyFont="1" applyFill="1" applyBorder="1" applyAlignment="1" applyProtection="1">
      <alignment horizontal="right" vertical="center"/>
    </xf>
    <xf numFmtId="169" fontId="24" fillId="20" borderId="62" xfId="0" applyNumberFormat="1" applyFont="1" applyFill="1" applyBorder="1" applyAlignment="1" applyProtection="1">
      <alignment horizontal="right" vertical="center"/>
    </xf>
    <xf numFmtId="169" fontId="4" fillId="20" borderId="8" xfId="0" applyNumberFormat="1" applyFont="1" applyFill="1" applyBorder="1" applyAlignment="1" applyProtection="1">
      <alignment horizontal="right" vertical="center"/>
    </xf>
    <xf numFmtId="169" fontId="0" fillId="12" borderId="62" xfId="0" applyNumberFormat="1" applyFill="1" applyBorder="1" applyAlignment="1" applyProtection="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Protection="1"/>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2" borderId="0" xfId="0" applyFont="1" applyFill="1" applyBorder="1" applyAlignment="1" applyProtection="1">
      <alignment vertical="top" wrapText="1"/>
    </xf>
    <xf numFmtId="172" fontId="42" fillId="20" borderId="8" xfId="0" applyNumberFormat="1" applyFont="1" applyFill="1" applyBorder="1" applyAlignment="1" applyProtection="1">
      <alignment horizontal="right" vertical="center"/>
    </xf>
    <xf numFmtId="172" fontId="24" fillId="20" borderId="62" xfId="0" applyNumberFormat="1" applyFont="1" applyFill="1" applyBorder="1" applyAlignment="1" applyProtection="1">
      <alignment horizontal="right" vertical="center"/>
    </xf>
    <xf numFmtId="173" fontId="43" fillId="23" borderId="7" xfId="0" applyNumberFormat="1" applyFont="1" applyFill="1" applyBorder="1" applyAlignment="1" applyProtection="1">
      <alignment horizontal="center" vertical="center"/>
      <protection locked="0"/>
    </xf>
    <xf numFmtId="0" fontId="2" fillId="12" borderId="105" xfId="0" applyNumberFormat="1" applyFont="1" applyFill="1" applyBorder="1" applyAlignment="1" applyProtection="1">
      <alignment vertical="top"/>
    </xf>
    <xf numFmtId="0" fontId="2" fillId="20" borderId="28" xfId="0" applyFont="1" applyFill="1" applyBorder="1" applyProtection="1"/>
    <xf numFmtId="0" fontId="4" fillId="13" borderId="8" xfId="0" applyFont="1" applyFill="1" applyBorder="1" applyAlignment="1" applyProtection="1">
      <alignment horizontal="center"/>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7" xfId="0" applyFont="1" applyFill="1" applyBorder="1" applyAlignment="1" applyProtection="1"/>
    <xf numFmtId="0" fontId="2" fillId="12"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19" borderId="64" xfId="0" applyNumberFormat="1" applyFill="1" applyBorder="1" applyAlignment="1" applyProtection="1">
      <alignment horizontal="center"/>
    </xf>
    <xf numFmtId="0" fontId="30" fillId="20"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4" fillId="13" borderId="7" xfId="0" applyNumberFormat="1" applyFont="1" applyFill="1" applyBorder="1" applyAlignment="1" applyProtection="1">
      <alignment vertical="top"/>
    </xf>
    <xf numFmtId="0" fontId="104" fillId="12" borderId="90" xfId="0" applyFont="1" applyFill="1" applyBorder="1" applyAlignment="1" applyProtection="1">
      <alignment horizontal="center"/>
    </xf>
    <xf numFmtId="0" fontId="86" fillId="12" borderId="0" xfId="0" applyFont="1" applyFill="1" applyBorder="1" applyProtection="1"/>
    <xf numFmtId="0" fontId="24" fillId="12" borderId="0" xfId="0" applyFont="1" applyFill="1" applyBorder="1" applyProtection="1"/>
    <xf numFmtId="0" fontId="24" fillId="12"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8" borderId="16" xfId="0" applyFont="1" applyFill="1" applyBorder="1" applyAlignment="1" applyProtection="1">
      <alignment horizontal="left" wrapText="1"/>
    </xf>
    <xf numFmtId="0" fontId="65" fillId="12" borderId="0" xfId="0" applyFont="1" applyFill="1" applyAlignment="1" applyProtection="1">
      <alignment horizontal="left" vertical="top" wrapText="1"/>
    </xf>
    <xf numFmtId="0" fontId="59" fillId="12" borderId="0" xfId="0" applyFont="1" applyFill="1" applyAlignment="1" applyProtection="1">
      <alignment horizontal="left" wrapText="1"/>
    </xf>
    <xf numFmtId="0" fontId="60" fillId="12" borderId="0" xfId="0" applyFont="1" applyFill="1" applyAlignment="1" applyProtection="1">
      <alignment horizontal="left" wrapText="1"/>
    </xf>
    <xf numFmtId="0" fontId="66" fillId="12"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2" borderId="0" xfId="0" applyFont="1" applyFill="1" applyAlignment="1" applyProtection="1">
      <alignment horizontal="left" vertical="top" wrapText="1"/>
    </xf>
    <xf numFmtId="0" fontId="2" fillId="12" borderId="7" xfId="0" applyFont="1" applyFill="1" applyBorder="1" applyAlignment="1" applyProtection="1">
      <alignment horizontal="left" vertical="center" wrapText="1"/>
    </xf>
    <xf numFmtId="0" fontId="24" fillId="12" borderId="22" xfId="0" applyNumberFormat="1" applyFont="1" applyFill="1" applyBorder="1" applyAlignment="1" applyProtection="1">
      <alignment horizontal="left" vertical="top" wrapText="1"/>
    </xf>
    <xf numFmtId="0" fontId="2" fillId="12" borderId="7" xfId="0" applyNumberFormat="1" applyFont="1" applyFill="1" applyBorder="1" applyAlignment="1" applyProtection="1">
      <alignment horizontal="left" vertical="top" wrapText="1"/>
    </xf>
    <xf numFmtId="0" fontId="2" fillId="12" borderId="22"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4" borderId="0" xfId="0" applyFont="1" applyFill="1" applyAlignment="1" applyProtection="1">
      <alignment horizontal="left" wrapText="1"/>
    </xf>
    <xf numFmtId="0" fontId="0" fillId="13"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7" fillId="12" borderId="22" xfId="0" applyFont="1" applyFill="1" applyBorder="1" applyAlignment="1" applyProtection="1">
      <alignment horizontal="center" vertical="top" wrapText="1"/>
    </xf>
    <xf numFmtId="0" fontId="29" fillId="36" borderId="116" xfId="0" applyFont="1" applyFill="1" applyBorder="1" applyProtection="1"/>
    <xf numFmtId="0" fontId="29" fillId="36" borderId="117" xfId="0" applyFont="1" applyFill="1" applyBorder="1" applyProtection="1"/>
    <xf numFmtId="0" fontId="2" fillId="12" borderId="47" xfId="0" applyFont="1" applyFill="1" applyBorder="1" applyAlignment="1" applyProtection="1">
      <alignment horizontal="right" vertical="center"/>
    </xf>
    <xf numFmtId="0" fontId="2" fillId="12" borderId="47" xfId="0" applyNumberFormat="1" applyFont="1" applyFill="1" applyBorder="1" applyAlignment="1" applyProtection="1">
      <alignment horizontal="right" vertical="center"/>
    </xf>
    <xf numFmtId="0" fontId="30" fillId="20" borderId="118" xfId="0" applyNumberFormat="1" applyFont="1" applyFill="1" applyBorder="1" applyAlignment="1" applyProtection="1">
      <alignment horizontal="center" vertical="center"/>
    </xf>
    <xf numFmtId="0" fontId="0" fillId="20"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20"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20" borderId="45" xfId="0" applyFill="1" applyBorder="1" applyAlignment="1" applyProtection="1">
      <alignment horizontal="center" vertical="center" shrinkToFit="1"/>
    </xf>
    <xf numFmtId="0" fontId="2" fillId="20" borderId="45" xfId="0" applyFont="1" applyFill="1" applyBorder="1" applyAlignment="1" applyProtection="1">
      <alignment horizontal="center" vertical="center" shrinkToFit="1"/>
    </xf>
    <xf numFmtId="0" fontId="2" fillId="20" borderId="93" xfId="0" applyFont="1" applyFill="1" applyBorder="1" applyAlignment="1" applyProtection="1">
      <alignment horizontal="center" vertical="center" shrinkToFit="1"/>
    </xf>
    <xf numFmtId="0" fontId="2" fillId="13"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2"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2"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2" fillId="12" borderId="47" xfId="0" applyFont="1" applyFill="1" applyBorder="1" applyAlignment="1" applyProtection="1">
      <alignment horizontal="left" wrapText="1"/>
    </xf>
    <xf numFmtId="0" fontId="2" fillId="12"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8" borderId="0"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 fillId="12" borderId="11" xfId="0" applyFont="1" applyFill="1" applyBorder="1" applyAlignment="1" applyProtection="1">
      <alignment horizontal="left" vertical="top" wrapText="1"/>
    </xf>
    <xf numFmtId="0" fontId="4" fillId="12"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3"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5" fillId="12" borderId="7" xfId="0" applyFont="1" applyFill="1" applyBorder="1" applyAlignment="1" applyProtection="1">
      <alignment horizontal="left" vertical="center" wrapText="1"/>
    </xf>
    <xf numFmtId="0" fontId="54"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4" fillId="12" borderId="0" xfId="0" applyNumberFormat="1" applyFont="1" applyFill="1" applyBorder="1" applyAlignment="1" applyProtection="1">
      <alignment horizontal="left" vertical="center"/>
    </xf>
    <xf numFmtId="0" fontId="33" fillId="12" borderId="47" xfId="0" applyNumberFormat="1" applyFont="1" applyFill="1" applyBorder="1" applyAlignment="1" applyProtection="1">
      <alignment horizontal="left" vertical="center"/>
    </xf>
    <xf numFmtId="0" fontId="4" fillId="12" borderId="46" xfId="0" applyNumberFormat="1" applyFont="1" applyFill="1" applyBorder="1" applyAlignment="1" applyProtection="1">
      <alignment horizontal="left" vertical="center"/>
    </xf>
    <xf numFmtId="0" fontId="4" fillId="12" borderId="37"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8"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1"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7"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6"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indent="1"/>
    </xf>
    <xf numFmtId="0" fontId="24" fillId="12" borderId="63" xfId="0" applyFont="1" applyFill="1" applyBorder="1" applyAlignment="1" applyProtection="1">
      <alignment horizontal="left"/>
    </xf>
    <xf numFmtId="0" fontId="24" fillId="12" borderId="63" xfId="0" applyFont="1" applyFill="1" applyBorder="1" applyAlignment="1" applyProtection="1">
      <alignment horizontal="left" wrapText="1"/>
    </xf>
    <xf numFmtId="0" fontId="24" fillId="12" borderId="0" xfId="0" applyFont="1" applyFill="1" applyBorder="1" applyAlignment="1" applyProtection="1">
      <alignment horizontal="left" wrapText="1"/>
    </xf>
    <xf numFmtId="0" fontId="4" fillId="12" borderId="15"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3" fillId="12" borderId="0" xfId="0" applyFont="1" applyFill="1" applyBorder="1" applyAlignment="1" applyProtection="1">
      <alignment horizontal="left"/>
    </xf>
    <xf numFmtId="0" fontId="87" fillId="12" borderId="0" xfId="0" applyNumberFormat="1" applyFont="1" applyFill="1" applyBorder="1" applyAlignment="1" applyProtection="1">
      <alignment horizontal="left" vertical="center"/>
    </xf>
    <xf numFmtId="0" fontId="86" fillId="12" borderId="0" xfId="0" applyFont="1" applyFill="1" applyBorder="1" applyAlignment="1" applyProtection="1">
      <alignment horizontal="left"/>
    </xf>
    <xf numFmtId="0" fontId="24" fillId="12"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20" borderId="7" xfId="0" applyNumberFormat="1" applyFont="1" applyFill="1" applyBorder="1" applyAlignment="1" applyProtection="1">
      <alignment horizontal="right" vertical="center" indent="1"/>
    </xf>
    <xf numFmtId="174" fontId="6" fillId="20" borderId="40" xfId="0" applyNumberFormat="1" applyFont="1" applyFill="1" applyBorder="1" applyAlignment="1" applyProtection="1">
      <alignment horizontal="right" vertical="center" indent="1"/>
    </xf>
    <xf numFmtId="174" fontId="6" fillId="20" borderId="5" xfId="0" applyNumberFormat="1" applyFont="1" applyFill="1" applyBorder="1" applyAlignment="1" applyProtection="1">
      <alignment horizontal="right" vertical="center" indent="1"/>
    </xf>
    <xf numFmtId="174" fontId="6" fillId="20" borderId="117" xfId="0" applyNumberFormat="1" applyFont="1" applyFill="1" applyBorder="1" applyAlignment="1" applyProtection="1">
      <alignment horizontal="right" vertical="center" indent="1"/>
    </xf>
    <xf numFmtId="174" fontId="42" fillId="20" borderId="49" xfId="0" applyNumberFormat="1" applyFont="1" applyFill="1" applyBorder="1" applyAlignment="1" applyProtection="1">
      <alignment horizontal="right" vertical="center" indent="1"/>
    </xf>
    <xf numFmtId="174" fontId="24" fillId="20" borderId="24" xfId="0" applyNumberFormat="1" applyFont="1" applyFill="1" applyBorder="1" applyAlignment="1" applyProtection="1">
      <alignment horizontal="right" vertical="center" indent="1"/>
    </xf>
    <xf numFmtId="174" fontId="35" fillId="20" borderId="119" xfId="0" applyNumberFormat="1" applyFont="1" applyFill="1" applyBorder="1" applyAlignment="1" applyProtection="1">
      <alignment horizontal="right" vertical="center" indent="1"/>
    </xf>
    <xf numFmtId="174" fontId="35" fillId="20" borderId="114" xfId="0" applyNumberFormat="1" applyFont="1" applyFill="1" applyBorder="1" applyAlignment="1" applyProtection="1">
      <alignment horizontal="right" vertical="center" indent="1"/>
    </xf>
    <xf numFmtId="174" fontId="35" fillId="20" borderId="120" xfId="0" applyNumberFormat="1" applyFont="1" applyFill="1" applyBorder="1" applyAlignment="1" applyProtection="1">
      <alignment horizontal="right" vertical="center" indent="1"/>
    </xf>
    <xf numFmtId="174" fontId="89" fillId="20" borderId="121" xfId="0" applyNumberFormat="1" applyFont="1" applyFill="1" applyBorder="1" applyAlignment="1" applyProtection="1">
      <alignment horizontal="right" vertical="center" indent="1"/>
    </xf>
    <xf numFmtId="174" fontId="89" fillId="20" borderId="66" xfId="0" applyNumberFormat="1" applyFont="1" applyFill="1" applyBorder="1" applyAlignment="1" applyProtection="1">
      <alignment horizontal="right" vertical="center" indent="1"/>
    </xf>
    <xf numFmtId="174" fontId="24" fillId="20" borderId="7" xfId="0" applyNumberFormat="1" applyFont="1" applyFill="1" applyBorder="1" applyAlignment="1" applyProtection="1">
      <alignment horizontal="right" vertical="center" indent="1"/>
    </xf>
    <xf numFmtId="174" fontId="35" fillId="20" borderId="40" xfId="0" applyNumberFormat="1" applyFont="1" applyFill="1" applyBorder="1" applyAlignment="1" applyProtection="1">
      <alignment horizontal="right" vertical="center" indent="1"/>
    </xf>
    <xf numFmtId="174" fontId="35" fillId="20" borderId="5" xfId="0" applyNumberFormat="1" applyFont="1" applyFill="1" applyBorder="1" applyAlignment="1" applyProtection="1">
      <alignment horizontal="right" vertical="center" indent="1"/>
    </xf>
    <xf numFmtId="174" fontId="35" fillId="20" borderId="117" xfId="0" applyNumberFormat="1" applyFont="1" applyFill="1" applyBorder="1" applyAlignment="1" applyProtection="1">
      <alignment horizontal="right" vertical="center" indent="1"/>
    </xf>
    <xf numFmtId="165" fontId="24" fillId="20" borderId="7" xfId="0" applyNumberFormat="1" applyFont="1" applyFill="1" applyBorder="1" applyAlignment="1" applyProtection="1">
      <alignment horizontal="right" vertical="center" indent="1"/>
    </xf>
    <xf numFmtId="165" fontId="35" fillId="20" borderId="40" xfId="0" applyNumberFormat="1" applyFont="1" applyFill="1" applyBorder="1" applyAlignment="1" applyProtection="1">
      <alignment horizontal="right" vertical="center" indent="1"/>
    </xf>
    <xf numFmtId="165" fontId="35" fillId="20" borderId="5" xfId="0" applyNumberFormat="1" applyFont="1" applyFill="1" applyBorder="1" applyAlignment="1" applyProtection="1">
      <alignment horizontal="right" vertical="center" indent="1"/>
    </xf>
    <xf numFmtId="165" fontId="35" fillId="20" borderId="117" xfId="0" applyNumberFormat="1" applyFont="1" applyFill="1" applyBorder="1" applyAlignment="1" applyProtection="1">
      <alignment horizontal="right" vertical="center" indent="1"/>
    </xf>
    <xf numFmtId="165" fontId="4" fillId="20" borderId="74" xfId="0" applyNumberFormat="1" applyFont="1" applyFill="1" applyBorder="1" applyAlignment="1" applyProtection="1">
      <alignment horizontal="right" vertical="center" indent="1"/>
    </xf>
    <xf numFmtId="165" fontId="6" fillId="20" borderId="57" xfId="0" applyNumberFormat="1" applyFont="1" applyFill="1" applyBorder="1" applyAlignment="1" applyProtection="1">
      <alignment horizontal="right" vertical="center" indent="1"/>
    </xf>
    <xf numFmtId="165" fontId="6" fillId="20" borderId="53" xfId="0" applyNumberFormat="1" applyFont="1" applyFill="1" applyBorder="1" applyAlignment="1" applyProtection="1">
      <alignment horizontal="right" vertical="center" indent="1"/>
    </xf>
    <xf numFmtId="165" fontId="6" fillId="20" borderId="122" xfId="0" applyNumberFormat="1" applyFont="1" applyFill="1" applyBorder="1" applyAlignment="1" applyProtection="1">
      <alignment horizontal="right" vertical="center" indent="1"/>
    </xf>
    <xf numFmtId="165" fontId="89" fillId="20" borderId="50" xfId="0" applyNumberFormat="1" applyFont="1" applyFill="1" applyBorder="1" applyAlignment="1" applyProtection="1">
      <alignment horizontal="right" vertical="center" indent="1"/>
    </xf>
    <xf numFmtId="165" fontId="42" fillId="20"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5" fillId="0" borderId="0" xfId="0" applyFont="1" applyProtection="1"/>
    <xf numFmtId="0" fontId="2" fillId="23" borderId="7" xfId="0" applyNumberFormat="1" applyFont="1" applyFill="1" applyBorder="1" applyAlignment="1" applyProtection="1">
      <alignment vertical="center"/>
      <protection locked="0"/>
    </xf>
    <xf numFmtId="0" fontId="105" fillId="13" borderId="0" xfId="0" applyFont="1" applyFill="1" applyBorder="1" applyAlignment="1" applyProtection="1">
      <alignment vertical="center"/>
    </xf>
    <xf numFmtId="0" fontId="59" fillId="12" borderId="0" xfId="0" applyFont="1" applyFill="1" applyBorder="1" applyAlignment="1" applyProtection="1">
      <alignment horizontal="justify" vertical="top" wrapText="1"/>
    </xf>
    <xf numFmtId="0" fontId="71" fillId="12" borderId="29" xfId="0" applyFont="1" applyFill="1" applyBorder="1" applyAlignment="1" applyProtection="1"/>
    <xf numFmtId="0" fontId="2" fillId="12" borderId="0" xfId="0" applyFont="1" applyFill="1" applyBorder="1" applyAlignment="1" applyProtection="1">
      <alignment horizontal="right"/>
    </xf>
    <xf numFmtId="1" fontId="6" fillId="34" borderId="7" xfId="0" applyNumberFormat="1" applyFont="1" applyFill="1" applyBorder="1" applyAlignment="1" applyProtection="1">
      <alignment horizontal="center" vertical="top" wrapText="1"/>
      <protection locked="0"/>
    </xf>
    <xf numFmtId="0" fontId="6" fillId="34" borderId="7" xfId="0" applyNumberFormat="1" applyFont="1" applyFill="1" applyBorder="1" applyAlignment="1" applyProtection="1">
      <alignment horizontal="center" vertical="top" wrapText="1"/>
      <protection locked="0"/>
    </xf>
    <xf numFmtId="0" fontId="6" fillId="34" borderId="7" xfId="0" applyNumberFormat="1" applyFont="1" applyFill="1" applyBorder="1" applyAlignment="1" applyProtection="1">
      <alignment horizontal="center" vertical="top" wrapText="1"/>
    </xf>
    <xf numFmtId="0" fontId="8" fillId="18" borderId="0" xfId="10" applyFill="1" applyAlignment="1" applyProtection="1">
      <alignment horizontal="left" vertical="top" wrapText="1"/>
    </xf>
    <xf numFmtId="0" fontId="0" fillId="12" borderId="25" xfId="0" applyFill="1" applyBorder="1" applyAlignment="1" applyProtection="1"/>
    <xf numFmtId="0" fontId="6" fillId="12" borderId="61" xfId="0" applyFont="1" applyFill="1" applyBorder="1" applyAlignment="1" applyProtection="1">
      <alignment horizontal="center" vertical="center"/>
    </xf>
    <xf numFmtId="0" fontId="0" fillId="12" borderId="61" xfId="0" applyFill="1" applyBorder="1" applyAlignment="1" applyProtection="1">
      <alignment horizontal="center" vertical="center"/>
    </xf>
    <xf numFmtId="0" fontId="0" fillId="12" borderId="61" xfId="0" applyFill="1" applyBorder="1" applyAlignment="1" applyProtection="1"/>
    <xf numFmtId="0" fontId="0" fillId="12" borderId="61" xfId="0" applyFill="1" applyBorder="1" applyAlignment="1" applyProtection="1">
      <alignment horizontal="center"/>
    </xf>
    <xf numFmtId="0" fontId="2" fillId="12" borderId="61" xfId="0" applyFont="1" applyFill="1" applyBorder="1" applyAlignment="1" applyProtection="1"/>
    <xf numFmtId="0" fontId="2" fillId="12" borderId="26" xfId="0" applyFont="1" applyFill="1" applyBorder="1" applyAlignment="1" applyProtection="1"/>
    <xf numFmtId="0" fontId="0" fillId="12" borderId="28" xfId="0" applyFill="1" applyBorder="1" applyAlignment="1" applyProtection="1">
      <alignment vertical="center"/>
    </xf>
    <xf numFmtId="0" fontId="0" fillId="12" borderId="29" xfId="0" applyFill="1" applyBorder="1" applyAlignment="1" applyProtection="1">
      <alignment vertical="center"/>
    </xf>
    <xf numFmtId="0" fontId="0" fillId="12" borderId="28" xfId="0" applyFill="1" applyBorder="1" applyProtection="1"/>
    <xf numFmtId="0" fontId="0" fillId="12" borderId="29" xfId="0" applyFill="1" applyBorder="1" applyProtection="1"/>
    <xf numFmtId="0" fontId="29" fillId="12" borderId="29" xfId="0" applyFont="1" applyFill="1" applyBorder="1" applyProtection="1"/>
    <xf numFmtId="0" fontId="7" fillId="12" borderId="29" xfId="0" applyFont="1" applyFill="1" applyBorder="1" applyAlignment="1" applyProtection="1">
      <alignment horizontal="left" vertical="center"/>
    </xf>
    <xf numFmtId="0" fontId="2" fillId="12" borderId="28" xfId="0" applyNumberFormat="1" applyFont="1" applyFill="1" applyBorder="1" applyAlignment="1" applyProtection="1">
      <alignment vertical="top"/>
    </xf>
    <xf numFmtId="0" fontId="2" fillId="12" borderId="29" xfId="0" applyNumberFormat="1" applyFont="1" applyFill="1" applyBorder="1" applyAlignment="1" applyProtection="1">
      <alignment vertical="top"/>
    </xf>
    <xf numFmtId="0" fontId="44" fillId="12" borderId="29" xfId="0" applyFont="1" applyFill="1" applyBorder="1" applyProtection="1"/>
    <xf numFmtId="0" fontId="29" fillId="12" borderId="29" xfId="0" applyFont="1" applyFill="1" applyBorder="1" applyAlignment="1" applyProtection="1">
      <alignment horizontal="center"/>
    </xf>
    <xf numFmtId="0" fontId="25" fillId="12" borderId="29" xfId="0" applyFont="1" applyFill="1" applyBorder="1" applyAlignment="1" applyProtection="1">
      <alignment horizontal="left" vertical="top"/>
    </xf>
    <xf numFmtId="0" fontId="4" fillId="12" borderId="29" xfId="0" applyFont="1" applyFill="1" applyBorder="1" applyAlignment="1" applyProtection="1">
      <alignment wrapText="1"/>
    </xf>
    <xf numFmtId="0" fontId="5" fillId="12" borderId="29" xfId="0" applyFont="1" applyFill="1" applyBorder="1" applyAlignment="1" applyProtection="1">
      <alignment horizontal="left" vertical="top" wrapText="1"/>
    </xf>
    <xf numFmtId="0" fontId="0" fillId="12" borderId="29" xfId="0" applyFill="1" applyBorder="1" applyAlignment="1" applyProtection="1">
      <alignment vertical="center" wrapText="1"/>
    </xf>
    <xf numFmtId="0" fontId="0" fillId="12" borderId="29" xfId="0" applyFill="1" applyBorder="1" applyAlignment="1" applyProtection="1">
      <alignment vertical="top" wrapText="1"/>
    </xf>
    <xf numFmtId="0" fontId="104" fillId="12" borderId="29" xfId="0" applyFont="1" applyFill="1" applyBorder="1" applyAlignment="1" applyProtection="1">
      <alignment vertical="top" wrapText="1"/>
    </xf>
    <xf numFmtId="0" fontId="0" fillId="12" borderId="27" xfId="0" applyFill="1" applyBorder="1" applyProtection="1"/>
    <xf numFmtId="0" fontId="2" fillId="12" borderId="30" xfId="0" applyNumberFormat="1" applyFont="1" applyFill="1" applyBorder="1" applyAlignment="1" applyProtection="1">
      <alignment vertical="top"/>
    </xf>
    <xf numFmtId="0" fontId="2" fillId="12" borderId="11" xfId="0" applyNumberFormat="1" applyFont="1" applyFill="1" applyBorder="1" applyAlignment="1" applyProtection="1">
      <alignment horizontal="center" vertical="center"/>
    </xf>
    <xf numFmtId="0" fontId="4" fillId="12" borderId="11" xfId="0" applyFont="1" applyFill="1" applyBorder="1" applyAlignment="1" applyProtection="1">
      <alignment horizontal="center" vertical="center"/>
    </xf>
    <xf numFmtId="0" fontId="4" fillId="12" borderId="11" xfId="0" applyFont="1" applyFill="1" applyBorder="1" applyAlignment="1" applyProtection="1">
      <alignment horizontal="right" vertical="top"/>
    </xf>
    <xf numFmtId="0" fontId="0" fillId="12" borderId="11" xfId="0" applyFill="1" applyBorder="1" applyAlignment="1" applyProtection="1">
      <alignment vertical="top" wrapText="1"/>
    </xf>
    <xf numFmtId="0" fontId="2" fillId="12" borderId="31" xfId="0" applyNumberFormat="1" applyFont="1" applyFill="1" applyBorder="1" applyAlignment="1" applyProtection="1">
      <alignment vertical="top"/>
    </xf>
    <xf numFmtId="0" fontId="71" fillId="12" borderId="25" xfId="0" applyNumberFormat="1" applyFont="1" applyFill="1" applyBorder="1" applyAlignment="1" applyProtection="1">
      <alignment vertical="top"/>
    </xf>
    <xf numFmtId="0" fontId="71" fillId="12" borderId="61" xfId="0" applyNumberFormat="1" applyFont="1" applyFill="1" applyBorder="1" applyAlignment="1" applyProtection="1">
      <alignment horizontal="center" vertical="center"/>
    </xf>
    <xf numFmtId="0" fontId="71" fillId="12" borderId="61" xfId="0" applyNumberFormat="1" applyFont="1" applyFill="1" applyBorder="1" applyAlignment="1" applyProtection="1">
      <alignment vertical="center"/>
    </xf>
    <xf numFmtId="0" fontId="71" fillId="12" borderId="61" xfId="0" applyNumberFormat="1" applyFont="1" applyFill="1" applyBorder="1" applyAlignment="1" applyProtection="1">
      <alignment vertical="top"/>
    </xf>
    <xf numFmtId="0" fontId="2" fillId="12" borderId="26" xfId="0" applyNumberFormat="1" applyFont="1" applyFill="1" applyBorder="1" applyAlignment="1" applyProtection="1">
      <alignment vertical="top"/>
    </xf>
    <xf numFmtId="0" fontId="71" fillId="12" borderId="29" xfId="0" applyFont="1" applyFill="1" applyBorder="1" applyAlignment="1" applyProtection="1">
      <alignment vertical="center"/>
    </xf>
    <xf numFmtId="0" fontId="71" fillId="12" borderId="28" xfId="0" applyNumberFormat="1" applyFont="1" applyFill="1" applyBorder="1" applyAlignment="1" applyProtection="1">
      <alignment vertical="top"/>
    </xf>
    <xf numFmtId="0" fontId="104" fillId="12" borderId="29" xfId="0" applyNumberFormat="1" applyFont="1" applyFill="1" applyBorder="1" applyAlignment="1" applyProtection="1">
      <alignment vertical="top"/>
    </xf>
    <xf numFmtId="0" fontId="2" fillId="12" borderId="29" xfId="0" applyNumberFormat="1" applyFont="1" applyFill="1" applyBorder="1" applyAlignment="1" applyProtection="1">
      <alignment vertical="top" wrapText="1"/>
    </xf>
    <xf numFmtId="0" fontId="0" fillId="12" borderId="28" xfId="0" applyFill="1" applyBorder="1" applyAlignment="1" applyProtection="1"/>
    <xf numFmtId="0" fontId="2" fillId="12" borderId="29" xfId="0" applyFont="1" applyFill="1" applyBorder="1" applyAlignment="1" applyProtection="1"/>
    <xf numFmtId="0" fontId="104" fillId="12" borderId="29" xfId="0" applyNumberFormat="1" applyFont="1" applyFill="1" applyBorder="1" applyAlignment="1" applyProtection="1">
      <alignment horizontal="center" vertical="top"/>
    </xf>
    <xf numFmtId="0" fontId="2" fillId="12" borderId="27" xfId="0" applyNumberFormat="1" applyFont="1" applyFill="1" applyBorder="1" applyAlignment="1" applyProtection="1">
      <alignment vertical="top"/>
    </xf>
    <xf numFmtId="0" fontId="0" fillId="12" borderId="11" xfId="0" applyFill="1" applyBorder="1" applyAlignment="1" applyProtection="1">
      <alignment horizontal="center" vertical="center"/>
    </xf>
    <xf numFmtId="0" fontId="0" fillId="12" borderId="11" xfId="0" applyFill="1" applyBorder="1" applyAlignment="1" applyProtection="1">
      <alignment horizontal="left" vertical="center"/>
    </xf>
    <xf numFmtId="0" fontId="0" fillId="12" borderId="11" xfId="0" applyFill="1" applyBorder="1" applyProtection="1"/>
    <xf numFmtId="0" fontId="22" fillId="12" borderId="25" xfId="0" applyFont="1" applyFill="1" applyBorder="1" applyAlignment="1" applyProtection="1">
      <alignment vertical="center"/>
    </xf>
    <xf numFmtId="0" fontId="93" fillId="12" borderId="61" xfId="0" applyFont="1" applyFill="1" applyBorder="1" applyAlignment="1" applyProtection="1">
      <alignment vertical="center"/>
    </xf>
    <xf numFmtId="0" fontId="0" fillId="12" borderId="61" xfId="0" applyFill="1" applyBorder="1" applyAlignment="1" applyProtection="1">
      <alignment vertical="center"/>
    </xf>
    <xf numFmtId="0" fontId="0" fillId="12" borderId="26" xfId="0" applyFill="1" applyBorder="1" applyAlignment="1" applyProtection="1">
      <alignment vertical="center"/>
    </xf>
    <xf numFmtId="0" fontId="60" fillId="12" borderId="28" xfId="0" applyFont="1" applyFill="1" applyBorder="1" applyAlignment="1" applyProtection="1">
      <alignment horizontal="center" vertical="top" wrapText="1"/>
    </xf>
    <xf numFmtId="0" fontId="22" fillId="12" borderId="0" xfId="10" applyFont="1" applyFill="1" applyBorder="1" applyAlignment="1" applyProtection="1">
      <alignment horizontal="left" vertical="top" wrapText="1"/>
    </xf>
    <xf numFmtId="0" fontId="59" fillId="12" borderId="0" xfId="0" applyFont="1" applyFill="1" applyBorder="1" applyAlignment="1" applyProtection="1">
      <alignment vertical="top" wrapText="1"/>
    </xf>
    <xf numFmtId="0" fontId="22" fillId="12" borderId="28" xfId="10" applyFont="1" applyFill="1" applyBorder="1" applyAlignment="1" applyProtection="1">
      <alignment horizontal="left" vertical="top" wrapText="1"/>
    </xf>
    <xf numFmtId="0" fontId="59" fillId="12" borderId="28" xfId="0" applyFont="1" applyFill="1" applyBorder="1" applyAlignment="1" applyProtection="1">
      <alignment horizontal="center" vertical="top" wrapText="1"/>
    </xf>
    <xf numFmtId="0" fontId="60" fillId="12" borderId="28" xfId="0" applyFont="1" applyFill="1" applyBorder="1" applyProtection="1"/>
    <xf numFmtId="0" fontId="60" fillId="12" borderId="28" xfId="0" applyFont="1" applyFill="1" applyBorder="1" applyAlignment="1" applyProtection="1">
      <alignment vertical="top"/>
    </xf>
    <xf numFmtId="0" fontId="8" fillId="12" borderId="0" xfId="10" applyFill="1" applyBorder="1" applyAlignment="1" applyProtection="1"/>
    <xf numFmtId="0" fontId="59" fillId="12" borderId="28" xfId="0" applyFont="1" applyFill="1" applyBorder="1" applyProtection="1"/>
    <xf numFmtId="0" fontId="68" fillId="12" borderId="28" xfId="0" applyFont="1" applyFill="1" applyBorder="1" applyAlignment="1" applyProtection="1">
      <alignment horizontal="left" vertical="top" wrapText="1"/>
    </xf>
    <xf numFmtId="0" fontId="68" fillId="12" borderId="0" xfId="0" applyFont="1" applyFill="1" applyBorder="1" applyAlignment="1" applyProtection="1">
      <alignment horizontal="left" vertical="top" wrapText="1"/>
    </xf>
    <xf numFmtId="0" fontId="0" fillId="14" borderId="22" xfId="0" applyFill="1" applyBorder="1" applyAlignment="1" applyProtection="1">
      <alignment vertical="center"/>
    </xf>
    <xf numFmtId="0" fontId="2" fillId="14" borderId="34" xfId="0" applyNumberFormat="1" applyFont="1" applyFill="1" applyBorder="1" applyAlignment="1" applyProtection="1">
      <alignment horizontal="center" vertical="center"/>
    </xf>
    <xf numFmtId="0" fontId="6" fillId="12" borderId="61" xfId="0" applyFont="1" applyFill="1" applyBorder="1" applyAlignment="1" applyProtection="1">
      <alignment vertical="center"/>
    </xf>
    <xf numFmtId="0" fontId="2" fillId="12" borderId="29" xfId="0" applyFont="1" applyFill="1" applyBorder="1" applyAlignment="1" applyProtection="1">
      <alignment vertical="center"/>
    </xf>
    <xf numFmtId="0" fontId="71" fillId="12" borderId="28" xfId="0" applyFont="1" applyFill="1" applyBorder="1" applyAlignment="1" applyProtection="1">
      <alignment vertical="center"/>
    </xf>
    <xf numFmtId="0" fontId="104" fillId="12" borderId="29" xfId="0" applyNumberFormat="1" applyFont="1" applyFill="1" applyBorder="1" applyAlignment="1" applyProtection="1">
      <alignment horizontal="center" vertical="center"/>
    </xf>
    <xf numFmtId="0" fontId="43" fillId="12" borderId="28" xfId="0" applyNumberFormat="1" applyFont="1" applyFill="1" applyBorder="1" applyAlignment="1" applyProtection="1">
      <alignment vertical="top"/>
    </xf>
    <xf numFmtId="0" fontId="43" fillId="12" borderId="29" xfId="0" applyNumberFormat="1" applyFont="1" applyFill="1" applyBorder="1" applyAlignment="1" applyProtection="1">
      <alignment vertical="top"/>
    </xf>
    <xf numFmtId="0" fontId="40" fillId="12" borderId="29" xfId="0" applyFont="1" applyFill="1" applyBorder="1" applyAlignment="1" applyProtection="1">
      <alignment vertical="top" wrapText="1"/>
    </xf>
    <xf numFmtId="0" fontId="40" fillId="12" borderId="29" xfId="0" applyFont="1" applyFill="1" applyBorder="1" applyAlignment="1" applyProtection="1">
      <alignment wrapText="1"/>
    </xf>
    <xf numFmtId="0" fontId="2" fillId="12" borderId="28" xfId="0" applyNumberFormat="1" applyFont="1" applyFill="1" applyBorder="1" applyAlignment="1" applyProtection="1">
      <alignment vertical="center"/>
    </xf>
    <xf numFmtId="0" fontId="2" fillId="12" borderId="29" xfId="0" applyNumberFormat="1" applyFont="1" applyFill="1" applyBorder="1" applyAlignment="1" applyProtection="1">
      <alignment vertical="center"/>
    </xf>
    <xf numFmtId="0" fontId="4" fillId="12" borderId="29" xfId="0" applyNumberFormat="1" applyFont="1" applyFill="1" applyBorder="1" applyAlignment="1" applyProtection="1">
      <alignment vertical="center"/>
    </xf>
    <xf numFmtId="0" fontId="24" fillId="12" borderId="29" xfId="0" applyNumberFormat="1" applyFont="1" applyFill="1" applyBorder="1" applyAlignment="1" applyProtection="1">
      <alignment vertical="center"/>
    </xf>
    <xf numFmtId="0" fontId="43" fillId="12" borderId="28" xfId="0" applyNumberFormat="1" applyFont="1" applyFill="1" applyBorder="1" applyAlignment="1" applyProtection="1">
      <alignment vertical="center"/>
    </xf>
    <xf numFmtId="0" fontId="43" fillId="12" borderId="29" xfId="0" applyNumberFormat="1" applyFont="1" applyFill="1" applyBorder="1" applyAlignment="1" applyProtection="1">
      <alignment vertical="center"/>
    </xf>
    <xf numFmtId="0" fontId="2" fillId="12" borderId="11" xfId="0" applyNumberFormat="1" applyFont="1" applyFill="1" applyBorder="1" applyAlignment="1" applyProtection="1">
      <alignment vertical="center"/>
    </xf>
    <xf numFmtId="0" fontId="4" fillId="12" borderId="11" xfId="0" applyFont="1" applyFill="1" applyBorder="1" applyAlignment="1" applyProtection="1">
      <alignment horizontal="center" vertical="top"/>
    </xf>
    <xf numFmtId="0" fontId="4" fillId="12" borderId="11" xfId="0" applyFont="1" applyFill="1" applyBorder="1" applyAlignment="1" applyProtection="1">
      <alignment vertical="center"/>
    </xf>
    <xf numFmtId="0" fontId="4" fillId="12" borderId="11" xfId="0" applyFont="1" applyFill="1" applyBorder="1" applyAlignment="1" applyProtection="1">
      <alignment vertical="top" wrapText="1"/>
    </xf>
    <xf numFmtId="0" fontId="6" fillId="12" borderId="61" xfId="0" applyFont="1" applyFill="1" applyBorder="1" applyAlignment="1" applyProtection="1"/>
    <xf numFmtId="0" fontId="4" fillId="12" borderId="28" xfId="0" applyFont="1" applyFill="1" applyBorder="1" applyAlignment="1" applyProtection="1">
      <alignment horizontal="center" vertical="top"/>
    </xf>
    <xf numFmtId="0" fontId="71" fillId="12" borderId="29" xfId="0" applyFont="1" applyFill="1" applyBorder="1" applyProtection="1"/>
    <xf numFmtId="0" fontId="71" fillId="12" borderId="28" xfId="0" applyFont="1" applyFill="1" applyBorder="1" applyProtection="1"/>
    <xf numFmtId="0" fontId="71" fillId="12" borderId="28" xfId="0" applyFont="1" applyFill="1" applyBorder="1" applyAlignment="1" applyProtection="1"/>
    <xf numFmtId="0" fontId="4" fillId="12" borderId="29" xfId="0" applyFont="1" applyFill="1" applyBorder="1" applyProtection="1"/>
    <xf numFmtId="0" fontId="2" fillId="12" borderId="29" xfId="0" applyFont="1" applyFill="1" applyBorder="1" applyProtection="1"/>
    <xf numFmtId="0" fontId="4" fillId="12" borderId="29" xfId="0" applyFont="1" applyFill="1" applyBorder="1" applyAlignment="1" applyProtection="1">
      <alignment vertical="top"/>
    </xf>
    <xf numFmtId="0" fontId="71" fillId="12" borderId="30" xfId="0" applyFont="1" applyFill="1" applyBorder="1" applyProtection="1"/>
    <xf numFmtId="0" fontId="71" fillId="12" borderId="11" xfId="0" applyFont="1" applyFill="1" applyBorder="1" applyProtection="1"/>
    <xf numFmtId="0" fontId="71" fillId="12" borderId="11" xfId="0" applyFont="1" applyFill="1" applyBorder="1" applyAlignment="1" applyProtection="1">
      <alignment horizontal="center"/>
    </xf>
    <xf numFmtId="0" fontId="71" fillId="12" borderId="31" xfId="0" applyFont="1" applyFill="1" applyBorder="1" applyProtection="1"/>
    <xf numFmtId="0" fontId="0" fillId="12" borderId="30" xfId="0" applyFill="1" applyBorder="1" applyProtection="1"/>
    <xf numFmtId="0" fontId="0" fillId="12" borderId="31" xfId="0" applyFill="1" applyBorder="1" applyProtection="1"/>
    <xf numFmtId="0" fontId="71" fillId="12" borderId="29" xfId="0" applyFont="1" applyFill="1" applyBorder="1" applyAlignment="1" applyProtection="1">
      <alignment horizontal="left" vertical="top"/>
    </xf>
    <xf numFmtId="0" fontId="71" fillId="12" borderId="11" xfId="0" applyFont="1" applyFill="1" applyBorder="1" applyAlignment="1" applyProtection="1"/>
    <xf numFmtId="0" fontId="71" fillId="12" borderId="31" xfId="0" applyFont="1" applyFill="1" applyBorder="1" applyAlignment="1" applyProtection="1"/>
    <xf numFmtId="175" fontId="0" fillId="22" borderId="34" xfId="0" applyNumberFormat="1" applyFill="1" applyBorder="1" applyAlignment="1" applyProtection="1">
      <alignment horizontal="center" vertical="center"/>
      <protection locked="0"/>
    </xf>
    <xf numFmtId="0" fontId="0" fillId="12" borderId="58" xfId="0" applyFill="1" applyBorder="1" applyAlignment="1" applyProtection="1">
      <alignment horizontal="center" vertical="top" wrapText="1"/>
    </xf>
    <xf numFmtId="0" fontId="0" fillId="0" borderId="58" xfId="0" applyBorder="1" applyAlignment="1">
      <alignment horizontal="center" vertical="top" wrapText="1"/>
    </xf>
    <xf numFmtId="0" fontId="73" fillId="29" borderId="0" xfId="10" applyFont="1" applyFill="1" applyBorder="1" applyAlignment="1" applyProtection="1">
      <alignment vertical="top" wrapText="1"/>
    </xf>
    <xf numFmtId="0" fontId="73" fillId="29" borderId="0" xfId="10" applyFont="1" applyFill="1" applyAlignment="1" applyProtection="1">
      <alignment vertical="top" wrapText="1"/>
    </xf>
    <xf numFmtId="0" fontId="8" fillId="29" borderId="0" xfId="10" applyFill="1" applyBorder="1" applyAlignment="1" applyProtection="1">
      <alignment vertical="center" wrapText="1"/>
    </xf>
    <xf numFmtId="0" fontId="0" fillId="29" borderId="0" xfId="0" applyFill="1" applyProtection="1"/>
    <xf numFmtId="0" fontId="4" fillId="29" borderId="0" xfId="0" applyFont="1" applyFill="1" applyAlignment="1" applyProtection="1">
      <alignment vertical="top" wrapText="1"/>
    </xf>
    <xf numFmtId="0" fontId="0" fillId="12" borderId="59" xfId="0" applyFill="1" applyBorder="1" applyAlignment="1" applyProtection="1">
      <alignment vertical="center" wrapText="1"/>
    </xf>
    <xf numFmtId="0" fontId="0" fillId="12" borderId="35"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58" xfId="0" applyFill="1" applyBorder="1" applyAlignment="1" applyProtection="1">
      <alignment horizontal="center" vertical="center" wrapText="1"/>
    </xf>
    <xf numFmtId="0" fontId="0" fillId="12" borderId="41" xfId="0" applyFill="1" applyBorder="1" applyAlignment="1" applyProtection="1">
      <alignment vertical="center" wrapText="1"/>
    </xf>
    <xf numFmtId="0" fontId="0" fillId="12" borderId="32" xfId="0" applyFill="1" applyBorder="1" applyAlignment="1" applyProtection="1">
      <alignment vertical="center" wrapText="1"/>
    </xf>
    <xf numFmtId="0" fontId="0" fillId="12" borderId="124" xfId="0" applyFill="1" applyBorder="1" applyAlignment="1" applyProtection="1">
      <alignment vertical="center" wrapText="1"/>
    </xf>
    <xf numFmtId="0" fontId="0" fillId="12" borderId="42" xfId="0" applyFill="1" applyBorder="1" applyAlignment="1" applyProtection="1">
      <alignment vertical="center" wrapText="1"/>
    </xf>
    <xf numFmtId="0" fontId="0" fillId="12" borderId="23" xfId="0" applyFill="1" applyBorder="1" applyAlignment="1" applyProtection="1">
      <alignment vertical="center" wrapText="1"/>
    </xf>
    <xf numFmtId="0" fontId="0" fillId="12" borderId="24" xfId="0" applyFill="1" applyBorder="1" applyAlignment="1" applyProtection="1">
      <alignment vertical="center" wrapText="1"/>
    </xf>
    <xf numFmtId="0" fontId="0" fillId="12" borderId="0" xfId="0" applyFill="1" applyAlignment="1" applyProtection="1">
      <alignment vertical="center" wrapText="1"/>
    </xf>
    <xf numFmtId="0" fontId="4" fillId="26" borderId="67"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2" borderId="17" xfId="0" applyFont="1" applyFill="1" applyBorder="1" applyAlignment="1" applyProtection="1">
      <alignment horizontal="left" vertical="center" wrapText="1" indent="1"/>
    </xf>
    <xf numFmtId="0" fontId="69" fillId="12" borderId="28" xfId="0" applyNumberFormat="1" applyFont="1" applyFill="1" applyBorder="1" applyAlignment="1" applyProtection="1">
      <alignment horizontal="justify" vertical="top" wrapText="1"/>
    </xf>
    <xf numFmtId="0" fontId="71" fillId="12" borderId="0" xfId="0" applyFont="1" applyFill="1" applyBorder="1" applyAlignment="1" applyProtection="1">
      <alignment horizontal="justify" vertical="top" wrapText="1"/>
    </xf>
    <xf numFmtId="0" fontId="69" fillId="12" borderId="28" xfId="0" applyNumberFormat="1" applyFont="1" applyFill="1" applyBorder="1" applyAlignment="1" applyProtection="1">
      <alignment horizontal="left" vertical="top" wrapText="1"/>
    </xf>
    <xf numFmtId="0" fontId="71" fillId="12" borderId="0" xfId="0" applyFont="1" applyFill="1" applyBorder="1" applyAlignment="1" applyProtection="1">
      <alignment horizontal="left" vertical="top" wrapText="1"/>
    </xf>
    <xf numFmtId="0" fontId="69" fillId="12" borderId="125" xfId="0" applyNumberFormat="1" applyFont="1" applyFill="1" applyBorder="1" applyAlignment="1" applyProtection="1">
      <alignment horizontal="justify" vertical="top" wrapText="1"/>
    </xf>
    <xf numFmtId="0" fontId="71" fillId="12" borderId="37" xfId="0" applyFont="1" applyFill="1" applyBorder="1" applyAlignment="1" applyProtection="1">
      <alignment horizontal="justify" vertical="top" wrapText="1"/>
    </xf>
    <xf numFmtId="0" fontId="2" fillId="18" borderId="25" xfId="0" applyFont="1" applyFill="1" applyBorder="1" applyAlignment="1" applyProtection="1">
      <alignment horizontal="justify" vertical="top" wrapText="1"/>
    </xf>
    <xf numFmtId="0" fontId="2" fillId="18" borderId="61" xfId="0" applyFont="1" applyFill="1" applyBorder="1" applyAlignment="1" applyProtection="1">
      <alignment horizontal="justify" vertical="top" wrapText="1"/>
    </xf>
    <xf numFmtId="0" fontId="2" fillId="18" borderId="26" xfId="0" applyFont="1" applyFill="1" applyBorder="1" applyAlignment="1" applyProtection="1">
      <alignment horizontal="justify" vertical="top" wrapText="1"/>
    </xf>
    <xf numFmtId="0" fontId="2" fillId="18" borderId="28" xfId="0" applyFont="1" applyFill="1" applyBorder="1" applyAlignment="1" applyProtection="1">
      <alignment horizontal="justify" vertical="top" wrapText="1"/>
    </xf>
    <xf numFmtId="0" fontId="2" fillId="18" borderId="0" xfId="0" applyFont="1" applyFill="1" applyBorder="1" applyAlignment="1" applyProtection="1">
      <alignment horizontal="justify" vertical="top" wrapText="1"/>
    </xf>
    <xf numFmtId="0" fontId="2" fillId="18" borderId="29" xfId="0" applyFont="1" applyFill="1" applyBorder="1" applyAlignment="1" applyProtection="1">
      <alignment horizontal="justify" vertical="top" wrapText="1"/>
    </xf>
    <xf numFmtId="0" fontId="2" fillId="18" borderId="30" xfId="0" applyFont="1" applyFill="1" applyBorder="1" applyAlignment="1" applyProtection="1">
      <alignment horizontal="justify" vertical="top" wrapText="1"/>
    </xf>
    <xf numFmtId="0" fontId="2" fillId="18" borderId="11" xfId="0" applyFont="1" applyFill="1" applyBorder="1" applyAlignment="1" applyProtection="1">
      <alignment horizontal="justify" vertical="top" wrapText="1"/>
    </xf>
    <xf numFmtId="0" fontId="2" fillId="18" borderId="31" xfId="0" applyFont="1" applyFill="1" applyBorder="1" applyAlignment="1" applyProtection="1">
      <alignment horizontal="justify" vertical="top" wrapText="1"/>
    </xf>
    <xf numFmtId="0" fontId="103" fillId="12" borderId="28" xfId="0" applyNumberFormat="1" applyFont="1" applyFill="1" applyBorder="1" applyAlignment="1" applyProtection="1">
      <alignment horizontal="justify" vertical="top" wrapText="1"/>
    </xf>
    <xf numFmtId="0" fontId="4" fillId="12" borderId="0" xfId="0" applyFont="1" applyFill="1" applyBorder="1" applyAlignment="1" applyProtection="1">
      <alignment horizontal="justify" vertical="top" wrapText="1"/>
    </xf>
    <xf numFmtId="0" fontId="68" fillId="12" borderId="28" xfId="0" applyFont="1" applyFill="1" applyBorder="1" applyAlignment="1" applyProtection="1">
      <alignment horizontal="left" vertical="top" wrapText="1"/>
    </xf>
    <xf numFmtId="0" fontId="68" fillId="12" borderId="0" xfId="0" applyFont="1" applyFill="1" applyBorder="1" applyAlignment="1" applyProtection="1">
      <alignment horizontal="left" vertical="top" wrapText="1"/>
    </xf>
    <xf numFmtId="0" fontId="0" fillId="32" borderId="7" xfId="0" applyFill="1" applyBorder="1" applyAlignment="1" applyProtection="1">
      <alignment vertical="top" wrapText="1"/>
    </xf>
    <xf numFmtId="0" fontId="0" fillId="18" borderId="7" xfId="0" applyFill="1" applyBorder="1" applyAlignment="1" applyProtection="1">
      <alignment vertical="top" wrapText="1"/>
    </xf>
    <xf numFmtId="0" fontId="60" fillId="12" borderId="0" xfId="0" applyFont="1" applyFill="1" applyBorder="1" applyAlignment="1" applyProtection="1">
      <alignment horizontal="justify" vertical="top" wrapText="1"/>
    </xf>
    <xf numFmtId="0" fontId="66" fillId="12" borderId="28" xfId="0" applyFont="1" applyFill="1" applyBorder="1" applyAlignment="1" applyProtection="1">
      <alignment horizontal="justify" vertical="top" wrapText="1"/>
    </xf>
    <xf numFmtId="0" fontId="66" fillId="12" borderId="0" xfId="0" applyFont="1" applyFill="1" applyBorder="1" applyAlignment="1" applyProtection="1">
      <alignment horizontal="justify" vertical="top" wrapText="1"/>
    </xf>
    <xf numFmtId="0" fontId="0" fillId="22" borderId="7" xfId="0" applyFill="1" applyBorder="1" applyAlignment="1" applyProtection="1">
      <alignment vertical="top" wrapText="1"/>
      <protection locked="0"/>
    </xf>
    <xf numFmtId="0" fontId="71" fillId="12" borderId="7" xfId="0" applyFont="1" applyFill="1" applyBorder="1" applyAlignment="1" applyProtection="1">
      <alignment vertical="top" wrapText="1"/>
      <protection locked="0"/>
    </xf>
    <xf numFmtId="0" fontId="59" fillId="12" borderId="0" xfId="0" applyFont="1" applyFill="1" applyBorder="1" applyAlignment="1" applyProtection="1">
      <alignment horizontal="justify" vertical="top" wrapText="1"/>
    </xf>
    <xf numFmtId="0" fontId="0" fillId="27" borderId="7" xfId="0" applyFill="1" applyBorder="1" applyAlignment="1" applyProtection="1">
      <alignment vertical="top" wrapText="1"/>
    </xf>
    <xf numFmtId="0" fontId="71" fillId="12" borderId="7" xfId="0" applyFont="1" applyFill="1" applyBorder="1" applyAlignment="1" applyProtection="1">
      <alignment vertical="top" wrapText="1"/>
    </xf>
    <xf numFmtId="0" fontId="4" fillId="29" borderId="0" xfId="0" applyFont="1" applyFill="1" applyBorder="1" applyAlignment="1" applyProtection="1">
      <alignment vertical="top" wrapText="1"/>
    </xf>
    <xf numFmtId="0" fontId="71" fillId="12" borderId="0" xfId="0" applyFont="1" applyFill="1" applyBorder="1" applyAlignment="1" applyProtection="1">
      <alignment vertical="top" wrapText="1"/>
    </xf>
    <xf numFmtId="0" fontId="39" fillId="12" borderId="11" xfId="0" applyFont="1" applyFill="1" applyBorder="1" applyAlignment="1" applyProtection="1">
      <alignment vertical="top" wrapText="1"/>
    </xf>
    <xf numFmtId="0" fontId="29" fillId="12" borderId="28" xfId="0" applyNumberFormat="1" applyFont="1" applyFill="1" applyBorder="1" applyAlignment="1" applyProtection="1">
      <alignment horizontal="left" vertical="top" wrapText="1"/>
    </xf>
    <xf numFmtId="0" fontId="4" fillId="29" borderId="0" xfId="0" applyFont="1" applyFill="1" applyBorder="1" applyAlignment="1" applyProtection="1">
      <alignment horizontal="left" vertical="top" wrapText="1"/>
    </xf>
    <xf numFmtId="164" fontId="0" fillId="23" borderId="7" xfId="0" applyNumberFormat="1" applyFill="1" applyBorder="1" applyAlignment="1" applyProtection="1">
      <alignment vertical="top" wrapText="1"/>
      <protection locked="0"/>
    </xf>
    <xf numFmtId="164" fontId="0" fillId="20" borderId="7" xfId="0" applyNumberFormat="1" applyFill="1" applyBorder="1" applyAlignment="1" applyProtection="1">
      <alignment vertical="top" wrapText="1"/>
    </xf>
    <xf numFmtId="0" fontId="60" fillId="12" borderId="28" xfId="0" applyFont="1" applyFill="1" applyBorder="1" applyAlignment="1" applyProtection="1">
      <alignment horizontal="justify" vertical="top" wrapText="1"/>
    </xf>
    <xf numFmtId="0" fontId="2" fillId="18" borderId="28" xfId="0" applyFont="1" applyFill="1" applyBorder="1" applyAlignment="1" applyProtection="1">
      <alignment vertical="top" wrapText="1"/>
    </xf>
    <xf numFmtId="0" fontId="59" fillId="12" borderId="28" xfId="0" applyFont="1" applyFill="1" applyBorder="1" applyAlignment="1" applyProtection="1">
      <alignment vertical="top" wrapText="1"/>
    </xf>
    <xf numFmtId="0" fontId="60" fillId="12" borderId="0" xfId="0" applyFont="1" applyFill="1" applyBorder="1" applyAlignment="1" applyProtection="1">
      <alignment vertical="top" wrapText="1"/>
    </xf>
    <xf numFmtId="0" fontId="67" fillId="12" borderId="28" xfId="0" applyFont="1" applyFill="1" applyBorder="1" applyAlignment="1" applyProtection="1">
      <alignment horizontal="left" vertical="top" wrapText="1"/>
    </xf>
    <xf numFmtId="0" fontId="67" fillId="12" borderId="0" xfId="0" applyFont="1" applyFill="1" applyBorder="1" applyAlignment="1" applyProtection="1">
      <alignment horizontal="left" vertical="top" wrapText="1"/>
    </xf>
    <xf numFmtId="0" fontId="66" fillId="12" borderId="0" xfId="10" applyFont="1" applyFill="1" applyBorder="1" applyAlignment="1" applyProtection="1"/>
    <xf numFmtId="0" fontId="60" fillId="12" borderId="0" xfId="0" applyFont="1" applyFill="1" applyBorder="1" applyAlignment="1" applyProtection="1"/>
    <xf numFmtId="0" fontId="8" fillId="12" borderId="0" xfId="10" applyFill="1" applyBorder="1" applyAlignment="1" applyProtection="1"/>
    <xf numFmtId="0" fontId="92" fillId="18" borderId="25" xfId="0" applyFont="1" applyFill="1" applyBorder="1" applyAlignment="1" applyProtection="1">
      <alignment horizontal="center" vertical="top" wrapText="1"/>
    </xf>
    <xf numFmtId="0" fontId="92" fillId="18" borderId="61" xfId="0" applyFont="1" applyFill="1" applyBorder="1" applyAlignment="1" applyProtection="1">
      <alignment horizontal="center" vertical="top" wrapText="1"/>
    </xf>
    <xf numFmtId="0" fontId="92" fillId="18" borderId="26" xfId="0" applyFont="1" applyFill="1" applyBorder="1" applyAlignment="1" applyProtection="1">
      <alignment horizontal="center" vertical="top" wrapText="1"/>
    </xf>
    <xf numFmtId="0" fontId="92" fillId="18" borderId="28" xfId="0" applyFont="1" applyFill="1" applyBorder="1" applyAlignment="1" applyProtection="1">
      <alignment horizontal="center" vertical="top" wrapText="1"/>
    </xf>
    <xf numFmtId="0" fontId="92" fillId="18" borderId="0" xfId="0" applyFont="1" applyFill="1" applyBorder="1" applyAlignment="1" applyProtection="1">
      <alignment horizontal="center" vertical="top" wrapText="1"/>
    </xf>
    <xf numFmtId="0" fontId="92" fillId="18" borderId="29" xfId="0" applyFont="1" applyFill="1" applyBorder="1" applyAlignment="1" applyProtection="1">
      <alignment horizontal="center" vertical="top" wrapText="1"/>
    </xf>
    <xf numFmtId="0" fontId="92" fillId="18" borderId="30" xfId="0" applyFont="1" applyFill="1" applyBorder="1" applyAlignment="1" applyProtection="1">
      <alignment horizontal="center" vertical="top" wrapText="1"/>
    </xf>
    <xf numFmtId="0" fontId="92" fillId="18" borderId="11" xfId="0" applyFont="1" applyFill="1" applyBorder="1" applyAlignment="1" applyProtection="1">
      <alignment horizontal="center" vertical="top" wrapText="1"/>
    </xf>
    <xf numFmtId="0" fontId="92" fillId="18" borderId="31" xfId="0" applyFont="1" applyFill="1" applyBorder="1" applyAlignment="1" applyProtection="1">
      <alignment horizontal="center" vertical="top" wrapText="1"/>
    </xf>
    <xf numFmtId="0" fontId="22" fillId="12" borderId="28" xfId="10" applyFont="1" applyFill="1" applyBorder="1" applyAlignment="1" applyProtection="1">
      <alignment horizontal="left" vertical="top" wrapText="1"/>
    </xf>
    <xf numFmtId="0" fontId="22" fillId="12" borderId="0" xfId="10" applyFont="1" applyFill="1" applyBorder="1" applyAlignment="1" applyProtection="1">
      <alignment horizontal="left" vertical="top" wrapText="1"/>
    </xf>
    <xf numFmtId="0" fontId="59" fillId="12" borderId="0" xfId="0" applyFont="1" applyFill="1" applyBorder="1" applyAlignment="1" applyProtection="1">
      <alignment vertical="top" wrapText="1"/>
    </xf>
    <xf numFmtId="0" fontId="59" fillId="12" borderId="28" xfId="0" applyFont="1" applyFill="1" applyBorder="1" applyAlignment="1" applyProtection="1">
      <alignment horizontal="justify" vertical="top" wrapText="1"/>
    </xf>
    <xf numFmtId="0" fontId="65" fillId="12" borderId="28" xfId="0" applyFont="1" applyFill="1" applyBorder="1" applyAlignment="1" applyProtection="1">
      <alignment horizontal="left" vertical="top" wrapText="1" indent="2"/>
    </xf>
    <xf numFmtId="0" fontId="65" fillId="12" borderId="0" xfId="0" applyFont="1" applyFill="1" applyBorder="1" applyAlignment="1" applyProtection="1">
      <alignment horizontal="left" vertical="top" wrapText="1" indent="2"/>
    </xf>
    <xf numFmtId="0" fontId="74" fillId="13" borderId="28" xfId="0" applyNumberFormat="1" applyFont="1" applyFill="1" applyBorder="1" applyAlignment="1" applyProtection="1">
      <alignment horizontal="left" vertical="center" wrapText="1"/>
    </xf>
    <xf numFmtId="0" fontId="99" fillId="13"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8" fillId="18" borderId="7" xfId="10" applyFill="1" applyBorder="1" applyAlignment="1" applyProtection="1">
      <alignment horizontal="center" vertical="center"/>
    </xf>
    <xf numFmtId="0" fontId="8" fillId="18" borderId="15" xfId="10" applyFill="1" applyBorder="1" applyAlignment="1" applyProtection="1">
      <alignment horizontal="center"/>
    </xf>
    <xf numFmtId="0" fontId="8" fillId="18" borderId="17" xfId="10"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8" fillId="18" borderId="118" xfId="10" applyFill="1" applyBorder="1" applyAlignment="1" applyProtection="1">
      <alignment horizontal="center" vertical="top" wrapText="1"/>
    </xf>
    <xf numFmtId="0" fontId="8" fillId="18" borderId="126" xfId="10" applyFill="1" applyBorder="1" applyAlignment="1" applyProtection="1">
      <alignment horizontal="center" vertical="top" wrapText="1"/>
    </xf>
    <xf numFmtId="0" fontId="10" fillId="12" borderId="28" xfId="0" applyNumberFormat="1" applyFont="1" applyFill="1" applyBorder="1" applyAlignment="1" applyProtection="1">
      <alignment vertical="top" wrapText="1"/>
    </xf>
    <xf numFmtId="0" fontId="10" fillId="12" borderId="0" xfId="0" applyNumberFormat="1" applyFont="1" applyFill="1" applyBorder="1" applyAlignment="1" applyProtection="1">
      <alignment vertical="top" wrapText="1"/>
    </xf>
    <xf numFmtId="0" fontId="4" fillId="18"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8" fillId="18" borderId="127" xfId="10" applyFill="1" applyBorder="1" applyAlignment="1" applyProtection="1">
      <alignment horizontal="center" vertical="top" wrapText="1"/>
    </xf>
    <xf numFmtId="0" fontId="8" fillId="12" borderId="128" xfId="10" applyFill="1" applyBorder="1" applyAlignment="1" applyProtection="1">
      <alignment horizontal="center" vertical="top" wrapText="1"/>
    </xf>
    <xf numFmtId="0" fontId="8" fillId="12" borderId="129" xfId="10" applyFill="1" applyBorder="1" applyAlignment="1" applyProtection="1">
      <alignment horizontal="center" vertical="top" wrapText="1"/>
    </xf>
    <xf numFmtId="0" fontId="8" fillId="18" borderId="130" xfId="10" applyFill="1" applyBorder="1" applyAlignment="1" applyProtection="1">
      <alignment horizontal="center" vertical="top" wrapText="1"/>
    </xf>
    <xf numFmtId="0" fontId="4" fillId="18" borderId="16" xfId="0" applyFont="1" applyFill="1" applyBorder="1" applyAlignment="1" applyProtection="1">
      <alignment horizontal="center"/>
    </xf>
    <xf numFmtId="0" fontId="4" fillId="18" borderId="17" xfId="0" applyFont="1" applyFill="1" applyBorder="1" applyAlignment="1" applyProtection="1">
      <alignment horizontal="center"/>
    </xf>
    <xf numFmtId="0" fontId="2" fillId="12" borderId="28" xfId="0" applyNumberFormat="1" applyFont="1" applyFill="1" applyBorder="1" applyAlignment="1" applyProtection="1">
      <alignment vertical="top" wrapText="1"/>
    </xf>
    <xf numFmtId="0" fontId="2" fillId="12" borderId="0" xfId="0" applyNumberFormat="1" applyFont="1" applyFill="1" applyBorder="1" applyAlignment="1" applyProtection="1">
      <alignment vertical="top" wrapText="1"/>
    </xf>
    <xf numFmtId="0" fontId="8" fillId="12" borderId="28" xfId="10" applyFill="1" applyBorder="1" applyAlignment="1" applyProtection="1">
      <alignment horizontal="left" vertical="top" wrapText="1"/>
    </xf>
    <xf numFmtId="0" fontId="8" fillId="18" borderId="133" xfId="10" applyFill="1" applyBorder="1" applyAlignment="1" applyProtection="1">
      <alignment horizontal="center" vertical="top" wrapText="1"/>
    </xf>
    <xf numFmtId="0" fontId="8" fillId="18" borderId="132" xfId="10" applyFill="1" applyBorder="1" applyAlignment="1" applyProtection="1">
      <alignment horizontal="center" vertical="top" wrapText="1"/>
    </xf>
    <xf numFmtId="0" fontId="8" fillId="18" borderId="131" xfId="10" applyFill="1" applyBorder="1" applyAlignment="1" applyProtection="1">
      <alignment horizontal="center" vertical="top" wrapText="1"/>
    </xf>
    <xf numFmtId="0" fontId="8" fillId="18" borderId="137" xfId="10" applyFill="1" applyBorder="1" applyAlignment="1" applyProtection="1">
      <alignment horizontal="center" vertical="top" wrapText="1"/>
    </xf>
    <xf numFmtId="0" fontId="8" fillId="18" borderId="62" xfId="10" applyFill="1" applyBorder="1" applyAlignment="1" applyProtection="1">
      <alignment horizontal="center" vertical="center"/>
    </xf>
    <xf numFmtId="0" fontId="8" fillId="18" borderId="134" xfId="10" applyFill="1" applyBorder="1" applyAlignment="1" applyProtection="1">
      <alignment horizontal="center" vertical="top" wrapText="1"/>
    </xf>
    <xf numFmtId="0" fontId="11" fillId="12" borderId="0" xfId="0" applyFont="1" applyFill="1" applyBorder="1" applyAlignment="1" applyProtection="1">
      <alignment horizontal="left" vertical="top" wrapText="1"/>
    </xf>
    <xf numFmtId="0" fontId="8" fillId="18" borderId="135" xfId="10" applyFill="1" applyBorder="1" applyAlignment="1" applyProtection="1">
      <alignment horizontal="center" vertical="top" wrapText="1"/>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49" fontId="2" fillId="31" borderId="136"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0" fontId="2" fillId="12" borderId="47" xfId="0" applyFont="1" applyFill="1" applyBorder="1" applyAlignment="1" applyProtection="1">
      <alignment horizontal="left" wrapText="1"/>
    </xf>
    <xf numFmtId="0" fontId="2" fillId="12" borderId="114" xfId="0" applyFont="1" applyFill="1" applyBorder="1" applyAlignment="1" applyProtection="1">
      <alignment horizontal="left" wrapText="1"/>
    </xf>
    <xf numFmtId="49" fontId="2" fillId="22" borderId="7" xfId="0" applyNumberFormat="1" applyFont="1" applyFill="1" applyBorder="1" applyAlignment="1" applyProtection="1">
      <alignment horizontal="left" vertical="top"/>
      <protection locked="0"/>
    </xf>
    <xf numFmtId="49" fontId="2" fillId="31" borderId="117"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0" fontId="4" fillId="12" borderId="0" xfId="0" applyFont="1" applyFill="1" applyBorder="1" applyAlignment="1" applyProtection="1">
      <alignment wrapText="1"/>
    </xf>
    <xf numFmtId="0" fontId="0" fillId="12" borderId="0" xfId="0" applyFill="1" applyBorder="1" applyAlignment="1" applyProtection="1">
      <alignment wrapText="1"/>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0" fontId="33" fillId="18" borderId="0" xfId="0" applyFont="1" applyFill="1" applyBorder="1" applyAlignment="1" applyProtection="1">
      <alignment horizontal="left" vertical="top" wrapText="1"/>
    </xf>
    <xf numFmtId="0" fontId="71" fillId="12" borderId="29" xfId="0" applyFont="1" applyFill="1" applyBorder="1" applyAlignment="1" applyProtection="1"/>
    <xf numFmtId="0" fontId="4" fillId="18" borderId="60" xfId="0" applyFont="1" applyFill="1" applyBorder="1" applyAlignment="1" applyProtection="1">
      <alignment horizontal="center" vertical="center" wrapText="1"/>
    </xf>
    <xf numFmtId="0" fontId="4" fillId="18" borderId="58" xfId="0" applyFont="1" applyFill="1" applyBorder="1" applyAlignment="1" applyProtection="1">
      <alignment horizontal="center" vertical="center" wrapText="1"/>
    </xf>
    <xf numFmtId="0" fontId="4" fillId="18" borderId="105" xfId="0" applyFont="1" applyFill="1" applyBorder="1" applyAlignment="1" applyProtection="1">
      <alignment horizontal="center" vertical="center" wrapText="1"/>
    </xf>
    <xf numFmtId="0" fontId="4" fillId="18" borderId="63" xfId="0" applyFont="1" applyFill="1" applyBorder="1" applyAlignment="1" applyProtection="1">
      <alignment horizontal="center" vertical="center" wrapText="1"/>
    </xf>
    <xf numFmtId="0" fontId="4" fillId="18" borderId="0" xfId="0" applyFont="1" applyFill="1" applyBorder="1" applyAlignment="1" applyProtection="1">
      <alignment horizontal="center" vertical="center" wrapText="1"/>
    </xf>
    <xf numFmtId="0" fontId="4" fillId="18" borderId="90" xfId="0" applyFont="1" applyFill="1" applyBorder="1" applyAlignment="1" applyProtection="1">
      <alignment horizontal="center" vertical="center" wrapText="1"/>
    </xf>
    <xf numFmtId="0" fontId="8" fillId="18" borderId="113" xfId="10" applyFill="1" applyBorder="1" applyAlignment="1" applyProtection="1">
      <alignment horizontal="center" vertical="top" wrapText="1"/>
    </xf>
    <xf numFmtId="0" fontId="64" fillId="12" borderId="0" xfId="0" applyFont="1" applyFill="1" applyBorder="1" applyAlignment="1" applyProtection="1">
      <alignment horizontal="left" vertical="top" wrapText="1"/>
    </xf>
    <xf numFmtId="0" fontId="0" fillId="0" borderId="0" xfId="0" applyBorder="1" applyAlignment="1" applyProtection="1">
      <alignment horizontal="left" vertical="top" wrapText="1"/>
    </xf>
    <xf numFmtId="0" fontId="35" fillId="18" borderId="0" xfId="0" applyFont="1" applyFill="1" applyBorder="1" applyAlignment="1" applyProtection="1">
      <alignment vertical="top" wrapText="1"/>
    </xf>
    <xf numFmtId="0" fontId="24" fillId="12" borderId="0" xfId="0" applyFont="1" applyFill="1" applyBorder="1" applyAlignment="1" applyProtection="1">
      <alignment vertical="top" wrapText="1"/>
    </xf>
    <xf numFmtId="0" fontId="0" fillId="0" borderId="0" xfId="0" applyBorder="1" applyAlignment="1" applyProtection="1">
      <alignment vertical="top" wrapText="1"/>
    </xf>
    <xf numFmtId="0" fontId="4" fillId="18" borderId="15" xfId="0" applyFont="1" applyFill="1" applyBorder="1" applyAlignment="1" applyProtection="1">
      <alignment horizontal="center"/>
    </xf>
    <xf numFmtId="0" fontId="85" fillId="22" borderId="7" xfId="0" applyFont="1" applyFill="1" applyBorder="1" applyAlignment="1" applyProtection="1">
      <alignment horizontal="center" vertical="center"/>
      <protection locked="0"/>
    </xf>
    <xf numFmtId="0" fontId="84" fillId="16" borderId="0" xfId="0" applyFont="1" applyFill="1" applyBorder="1" applyAlignment="1" applyProtection="1">
      <alignment horizontal="left" vertical="center"/>
    </xf>
    <xf numFmtId="0" fontId="3" fillId="16" borderId="0" xfId="0" applyFont="1" applyFill="1" applyBorder="1" applyAlignment="1" applyProtection="1">
      <alignment horizontal="left"/>
    </xf>
    <xf numFmtId="0" fontId="10" fillId="12" borderId="0" xfId="0" applyFont="1" applyFill="1" applyBorder="1" applyAlignment="1" applyProtection="1">
      <alignment horizontal="left" vertical="center" wrapText="1"/>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49" fontId="2" fillId="22" borderId="136"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49" fontId="2" fillId="22" borderId="138" xfId="0" applyNumberFormat="1" applyFont="1" applyFill="1" applyBorder="1" applyAlignment="1" applyProtection="1">
      <alignment horizontal="left" vertical="top" wrapText="1"/>
      <protection locked="0"/>
    </xf>
    <xf numFmtId="49" fontId="2" fillId="22" borderId="139" xfId="0" applyNumberFormat="1" applyFont="1" applyFill="1" applyBorder="1" applyAlignment="1" applyProtection="1">
      <alignment horizontal="left" vertical="top" wrapText="1"/>
      <protection locked="0"/>
    </xf>
    <xf numFmtId="49" fontId="2" fillId="22" borderId="140"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0" fontId="2" fillId="12" borderId="48" xfId="0" applyFont="1" applyFill="1" applyBorder="1" applyAlignment="1" applyProtection="1">
      <alignment horizontal="left" wrapText="1"/>
    </xf>
    <xf numFmtId="0" fontId="2" fillId="12" borderId="113" xfId="0" applyFont="1" applyFill="1" applyBorder="1" applyAlignment="1" applyProtection="1">
      <alignment horizontal="left" wrapText="1"/>
    </xf>
    <xf numFmtId="49" fontId="2" fillId="31" borderId="141" xfId="0" applyNumberFormat="1" applyFont="1" applyFill="1" applyBorder="1" applyAlignment="1" applyProtection="1">
      <alignment horizontal="left" vertical="top" wrapText="1"/>
      <protection locked="0"/>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7" xfId="0" applyFont="1" applyFill="1" applyBorder="1" applyAlignment="1" applyProtection="1">
      <alignment horizontal="left"/>
    </xf>
    <xf numFmtId="0" fontId="2" fillId="12" borderId="114" xfId="0" applyFont="1" applyFill="1" applyBorder="1" applyAlignment="1" applyProtection="1">
      <alignment horizontal="left"/>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49" fontId="8" fillId="22" borderId="116" xfId="10" applyNumberFormat="1" applyFill="1" applyBorder="1" applyAlignment="1" applyProtection="1">
      <alignment horizontal="left" vertical="top" wrapText="1"/>
      <protection locked="0"/>
    </xf>
    <xf numFmtId="49" fontId="8" fillId="22" borderId="28" xfId="10" applyNumberForma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0" fontId="4" fillId="12" borderId="0" xfId="0" applyNumberFormat="1" applyFont="1" applyFill="1" applyBorder="1" applyAlignment="1" applyProtection="1">
      <alignment horizontal="left" vertical="top" wrapText="1"/>
    </xf>
    <xf numFmtId="49" fontId="8" fillId="31" borderId="5" xfId="10" applyNumberFormat="1" applyFill="1" applyBorder="1" applyAlignment="1" applyProtection="1">
      <alignment horizontal="left" vertical="top" wrapText="1"/>
      <protection locked="0"/>
    </xf>
    <xf numFmtId="49" fontId="2" fillId="31" borderId="5" xfId="0" applyNumberFormat="1" applyFont="1" applyFill="1" applyBorder="1" applyAlignment="1" applyProtection="1">
      <alignment horizontal="left" vertical="top" wrapText="1"/>
      <protection locked="0"/>
    </xf>
    <xf numFmtId="0" fontId="41" fillId="12" borderId="28" xfId="0" applyFont="1" applyFill="1" applyBorder="1" applyAlignment="1" applyProtection="1">
      <alignment horizontal="center"/>
    </xf>
    <xf numFmtId="49" fontId="2" fillId="22" borderId="142"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49" fontId="2" fillId="23" borderId="142"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49" fontId="2" fillId="22" borderId="143" xfId="0" applyNumberFormat="1" applyFont="1" applyFill="1" applyBorder="1" applyAlignment="1" applyProtection="1">
      <alignment horizontal="left" vertical="top" wrapText="1"/>
      <protection locked="0"/>
    </xf>
    <xf numFmtId="49" fontId="2" fillId="22" borderId="48" xfId="0" applyNumberFormat="1" applyFont="1" applyFill="1" applyBorder="1" applyAlignment="1" applyProtection="1">
      <alignment horizontal="left" vertical="top" wrapText="1"/>
      <protection locked="0"/>
    </xf>
    <xf numFmtId="49" fontId="2" fillId="22" borderId="113" xfId="0" applyNumberFormat="1" applyFont="1" applyFill="1" applyBorder="1" applyAlignment="1" applyProtection="1">
      <alignment horizontal="left" vertical="top" wrapText="1"/>
      <protection locked="0"/>
    </xf>
    <xf numFmtId="49" fontId="2" fillId="23" borderId="144" xfId="0" applyNumberFormat="1" applyFont="1" applyFill="1" applyBorder="1" applyAlignment="1" applyProtection="1">
      <alignment horizontal="left" vertical="top" wrapText="1"/>
      <protection locked="0"/>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49" fontId="2" fillId="22" borderId="62" xfId="0" applyNumberFormat="1" applyFont="1" applyFill="1" applyBorder="1" applyAlignment="1" applyProtection="1">
      <alignment horizontal="left" vertical="top" wrapText="1"/>
      <protection locked="0"/>
    </xf>
    <xf numFmtId="0" fontId="2" fillId="34" borderId="7" xfId="0" applyNumberFormat="1" applyFont="1" applyFill="1" applyBorder="1" applyAlignment="1" applyProtection="1">
      <alignment horizontal="left" vertical="center" wrapText="1" shrinkToFit="1"/>
      <protection locked="0"/>
    </xf>
    <xf numFmtId="49" fontId="2" fillId="22" borderId="25" xfId="0" applyNumberFormat="1" applyFont="1" applyFill="1" applyBorder="1" applyAlignment="1" applyProtection="1">
      <alignment horizontal="center" vertical="top"/>
      <protection locked="0"/>
    </xf>
    <xf numFmtId="49" fontId="2" fillId="22" borderId="61" xfId="0" applyNumberFormat="1" applyFont="1" applyFill="1" applyBorder="1" applyAlignment="1" applyProtection="1">
      <alignment horizontal="center" vertical="top"/>
      <protection locked="0"/>
    </xf>
    <xf numFmtId="49" fontId="2" fillId="22" borderId="26" xfId="0" applyNumberFormat="1" applyFont="1" applyFill="1" applyBorder="1" applyAlignment="1" applyProtection="1">
      <alignment horizontal="center" vertical="top"/>
      <protection locked="0"/>
    </xf>
    <xf numFmtId="49" fontId="2" fillId="22" borderId="28" xfId="0" applyNumberFormat="1" applyFont="1" applyFill="1" applyBorder="1" applyAlignment="1" applyProtection="1">
      <alignment horizontal="center" vertical="top"/>
      <protection locked="0"/>
    </xf>
    <xf numFmtId="49" fontId="2" fillId="22" borderId="0" xfId="0" applyNumberFormat="1" applyFont="1" applyFill="1" applyBorder="1" applyAlignment="1" applyProtection="1">
      <alignment horizontal="center" vertical="top"/>
      <protection locked="0"/>
    </xf>
    <xf numFmtId="49" fontId="2" fillId="22" borderId="29" xfId="0" applyNumberFormat="1" applyFont="1" applyFill="1" applyBorder="1" applyAlignment="1" applyProtection="1">
      <alignment horizontal="center" vertical="top"/>
      <protection locked="0"/>
    </xf>
    <xf numFmtId="49" fontId="2" fillId="22" borderId="30" xfId="0" applyNumberFormat="1" applyFont="1" applyFill="1" applyBorder="1" applyAlignment="1" applyProtection="1">
      <alignment horizontal="center" vertical="top"/>
      <protection locked="0"/>
    </xf>
    <xf numFmtId="49" fontId="2" fillId="22" borderId="11" xfId="0" applyNumberFormat="1" applyFont="1" applyFill="1" applyBorder="1" applyAlignment="1" applyProtection="1">
      <alignment horizontal="center" vertical="top"/>
      <protection locked="0"/>
    </xf>
    <xf numFmtId="49" fontId="2" fillId="22" borderId="31" xfId="0" applyNumberFormat="1" applyFont="1" applyFill="1" applyBorder="1" applyAlignment="1" applyProtection="1">
      <alignment horizontal="center" vertical="top"/>
      <protection locked="0"/>
    </xf>
    <xf numFmtId="49" fontId="2" fillId="22" borderId="7" xfId="0" applyNumberFormat="1" applyFont="1" applyFill="1" applyBorder="1" applyAlignment="1" applyProtection="1">
      <alignment horizontal="left" vertical="top" wrapText="1"/>
      <protection locked="0"/>
    </xf>
    <xf numFmtId="0" fontId="6" fillId="22" borderId="22"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35" fillId="12" borderId="22" xfId="0" applyFont="1" applyFill="1" applyBorder="1" applyAlignment="1" applyProtection="1">
      <alignment horizontal="left" vertical="top"/>
    </xf>
    <xf numFmtId="0" fontId="35" fillId="12" borderId="23" xfId="0" applyFont="1" applyFill="1" applyBorder="1" applyAlignment="1" applyProtection="1">
      <alignment horizontal="left" vertical="top"/>
    </xf>
    <xf numFmtId="0" fontId="35" fillId="12" borderId="24" xfId="0" applyFont="1" applyFill="1" applyBorder="1" applyAlignment="1" applyProtection="1">
      <alignment horizontal="left" vertical="top"/>
    </xf>
    <xf numFmtId="0" fontId="35" fillId="12" borderId="22" xfId="0" applyFont="1" applyFill="1" applyBorder="1" applyAlignment="1" applyProtection="1">
      <alignment horizontal="left" vertical="top" wrapText="1"/>
    </xf>
    <xf numFmtId="0" fontId="35" fillId="12" borderId="23" xfId="0" applyFont="1" applyFill="1" applyBorder="1" applyAlignment="1" applyProtection="1">
      <alignment horizontal="left" vertical="top" wrapText="1"/>
    </xf>
    <xf numFmtId="0" fontId="35" fillId="12" borderId="24" xfId="0" applyFont="1" applyFill="1" applyBorder="1" applyAlignment="1" applyProtection="1">
      <alignment horizontal="left" vertical="top" wrapText="1"/>
    </xf>
    <xf numFmtId="0" fontId="7" fillId="12" borderId="22" xfId="0" applyNumberFormat="1" applyFont="1" applyFill="1" applyBorder="1" applyAlignment="1" applyProtection="1">
      <alignment horizontal="left" vertical="top" wrapText="1"/>
    </xf>
    <xf numFmtId="0" fontId="7" fillId="12" borderId="23"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0" fillId="12" borderId="22" xfId="0" applyFill="1" applyBorder="1" applyAlignment="1" applyProtection="1">
      <alignment horizontal="left"/>
    </xf>
    <xf numFmtId="0" fontId="0" fillId="12" borderId="24" xfId="0" applyFill="1" applyBorder="1" applyAlignment="1" applyProtection="1">
      <alignment horizontal="left"/>
    </xf>
    <xf numFmtId="0" fontId="35" fillId="12" borderId="22" xfId="0" applyFont="1" applyFill="1" applyBorder="1" applyAlignment="1" applyProtection="1">
      <alignment horizontal="left"/>
    </xf>
    <xf numFmtId="0" fontId="35" fillId="12" borderId="24" xfId="0" applyFont="1" applyFill="1" applyBorder="1" applyAlignment="1" applyProtection="1">
      <alignment horizontal="left"/>
    </xf>
    <xf numFmtId="0" fontId="54" fillId="12" borderId="0" xfId="0" applyFont="1" applyFill="1" applyBorder="1" applyAlignment="1" applyProtection="1">
      <alignment horizontal="left" vertical="top" wrapText="1"/>
    </xf>
    <xf numFmtId="0" fontId="0" fillId="12" borderId="0" xfId="0" applyFill="1" applyBorder="1" applyAlignment="1" applyProtection="1">
      <alignment horizontal="left" vertical="top" wrapText="1"/>
    </xf>
    <xf numFmtId="0" fontId="5" fillId="12" borderId="0" xfId="0" applyFont="1" applyFill="1" applyBorder="1" applyAlignment="1" applyProtection="1">
      <alignment horizontal="left" vertical="top" wrapText="1"/>
    </xf>
    <xf numFmtId="0" fontId="6" fillId="31" borderId="7" xfId="0" applyNumberFormat="1" applyFont="1" applyFill="1" applyBorder="1" applyAlignment="1" applyProtection="1">
      <alignment horizontal="left" vertical="top" wrapText="1"/>
      <protection locked="0"/>
    </xf>
    <xf numFmtId="0" fontId="61" fillId="18" borderId="7" xfId="0" applyFont="1" applyFill="1" applyBorder="1" applyAlignment="1" applyProtection="1">
      <alignment horizontal="left"/>
    </xf>
    <xf numFmtId="0" fontId="2" fillId="20" borderId="7" xfId="0" applyFont="1" applyFill="1" applyBorder="1" applyAlignment="1" applyProtection="1">
      <alignment horizontal="left" vertical="top" wrapText="1" indent="1"/>
    </xf>
    <xf numFmtId="0" fontId="0" fillId="20" borderId="7" xfId="0" applyFill="1" applyBorder="1" applyAlignment="1" applyProtection="1">
      <alignment horizontal="left" vertical="top" wrapText="1" indent="1"/>
    </xf>
    <xf numFmtId="0" fontId="5" fillId="12" borderId="0" xfId="0" applyFont="1" applyFill="1" applyBorder="1" applyAlignment="1" applyProtection="1">
      <alignment horizontal="left" vertical="center" wrapText="1"/>
    </xf>
    <xf numFmtId="0" fontId="2" fillId="12" borderId="7" xfId="0" applyFont="1" applyFill="1" applyBorder="1" applyAlignment="1" applyProtection="1">
      <alignment horizontal="left" vertical="center"/>
    </xf>
    <xf numFmtId="0" fontId="41" fillId="12" borderId="0" xfId="0" applyFont="1" applyFill="1" applyBorder="1" applyAlignment="1" applyProtection="1">
      <alignment horizontal="left" vertical="center" wrapText="1"/>
    </xf>
    <xf numFmtId="0" fontId="41" fillId="12" borderId="29" xfId="0" applyFont="1" applyFill="1" applyBorder="1" applyAlignment="1" applyProtection="1">
      <alignment horizontal="left" vertical="center" wrapText="1"/>
    </xf>
    <xf numFmtId="0" fontId="4" fillId="20" borderId="22" xfId="0" applyFont="1" applyFill="1" applyBorder="1" applyAlignment="1" applyProtection="1">
      <alignment horizontal="center" vertical="center"/>
    </xf>
    <xf numFmtId="0" fontId="4" fillId="20" borderId="23" xfId="0" applyFont="1" applyFill="1" applyBorder="1" applyAlignment="1" applyProtection="1">
      <alignment horizontal="center" vertical="center"/>
    </xf>
    <xf numFmtId="0" fontId="4" fillId="20" borderId="24" xfId="0" applyFont="1" applyFill="1" applyBorder="1" applyAlignment="1" applyProtection="1">
      <alignment horizontal="center" vertical="center"/>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35" fillId="12" borderId="22"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4" xfId="0" applyNumberFormat="1" applyFont="1" applyFill="1" applyBorder="1" applyAlignment="1" applyProtection="1">
      <alignment horizontal="left" vertical="top" wrapText="1"/>
    </xf>
    <xf numFmtId="0" fontId="8" fillId="12" borderId="0" xfId="10" applyFill="1" applyBorder="1" applyAlignment="1" applyProtection="1">
      <alignment horizontal="left"/>
    </xf>
    <xf numFmtId="0" fontId="34" fillId="12" borderId="7" xfId="0" applyFont="1" applyFill="1" applyBorder="1" applyAlignment="1" applyProtection="1">
      <alignment horizontal="center" vertical="top" wrapText="1"/>
    </xf>
    <xf numFmtId="1" fontId="35" fillId="12" borderId="7" xfId="0" applyNumberFormat="1" applyFont="1" applyFill="1" applyBorder="1" applyAlignment="1" applyProtection="1">
      <alignment horizontal="center" vertical="top" wrapText="1"/>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3" fillId="16" borderId="0" xfId="0" applyFont="1" applyFill="1" applyBorder="1" applyAlignment="1" applyProtection="1">
      <alignment horizontal="left" vertical="center"/>
    </xf>
    <xf numFmtId="0" fontId="100" fillId="12" borderId="0" xfId="10"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7" fillId="12" borderId="7" xfId="0" applyFont="1" applyFill="1" applyBorder="1" applyAlignment="1" applyProtection="1">
      <alignment horizontal="left" vertical="top" wrapText="1"/>
    </xf>
    <xf numFmtId="0" fontId="35" fillId="18" borderId="0" xfId="0" applyFont="1" applyFill="1" applyBorder="1" applyAlignment="1" applyProtection="1">
      <alignment horizontal="left" vertical="top" wrapText="1"/>
    </xf>
    <xf numFmtId="0" fontId="43" fillId="20" borderId="145" xfId="0" applyNumberFormat="1" applyFont="1" applyFill="1" applyBorder="1" applyAlignment="1" applyProtection="1">
      <alignment horizontal="left" vertical="center"/>
    </xf>
    <xf numFmtId="0" fontId="43" fillId="20" borderId="47" xfId="0" applyNumberFormat="1" applyFont="1" applyFill="1" applyBorder="1" applyAlignment="1" applyProtection="1">
      <alignment horizontal="lef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4" fillId="12" borderId="37" xfId="0" applyFont="1" applyFill="1" applyBorder="1" applyAlignment="1" applyProtection="1">
      <alignment horizontal="center" vertical="center"/>
    </xf>
    <xf numFmtId="0" fontId="0" fillId="0" borderId="146" xfId="0" applyBorder="1" applyAlignment="1" applyProtection="1">
      <alignment vertical="center"/>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 fillId="12" borderId="46" xfId="0" applyNumberFormat="1" applyFont="1" applyFill="1" applyBorder="1" applyAlignment="1" applyProtection="1">
      <alignment horizontal="center" vertical="center"/>
    </xf>
    <xf numFmtId="0" fontId="101" fillId="12" borderId="0"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100" fillId="12" borderId="46" xfId="1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4" fillId="12" borderId="0" xfId="0" applyNumberFormat="1" applyFont="1" applyFill="1" applyBorder="1" applyAlignment="1" applyProtection="1">
      <alignment horizontal="right" vertical="center"/>
    </xf>
    <xf numFmtId="0" fontId="4" fillId="12" borderId="29" xfId="0" applyNumberFormat="1" applyFont="1" applyFill="1" applyBorder="1" applyAlignment="1" applyProtection="1">
      <alignment horizontal="right" vertical="center"/>
    </xf>
    <xf numFmtId="0" fontId="2" fillId="12" borderId="28"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29" xfId="0" applyFont="1" applyFill="1" applyBorder="1" applyAlignment="1" applyProtection="1">
      <alignment horizontal="right" vertical="center"/>
    </xf>
    <xf numFmtId="0" fontId="42" fillId="20" borderId="15" xfId="0" applyFont="1" applyFill="1" applyBorder="1" applyAlignment="1" applyProtection="1">
      <alignment horizontal="center" vertical="center"/>
    </xf>
    <xf numFmtId="0" fontId="42" fillId="20" borderId="17" xfId="0" applyFont="1" applyFill="1" applyBorder="1" applyAlignment="1" applyProtection="1">
      <alignment horizontal="center" vertical="center"/>
    </xf>
    <xf numFmtId="0" fontId="0" fillId="20" borderId="49" xfId="0" applyFill="1" applyBorder="1" applyAlignment="1" applyProtection="1">
      <alignment horizontal="left" vertical="center"/>
    </xf>
    <xf numFmtId="0" fontId="0" fillId="20" borderId="50" xfId="0" applyFill="1" applyBorder="1" applyAlignment="1" applyProtection="1">
      <alignment horizontal="left" vertical="center"/>
    </xf>
    <xf numFmtId="0" fontId="0" fillId="20" borderId="66" xfId="0" applyFill="1" applyBorder="1" applyAlignment="1" applyProtection="1">
      <alignment horizontal="left" vertical="center"/>
    </xf>
    <xf numFmtId="0" fontId="97" fillId="28" borderId="7" xfId="0" applyFont="1" applyFill="1" applyBorder="1" applyAlignment="1" applyProtection="1">
      <alignment horizontal="center" vertical="center"/>
    </xf>
    <xf numFmtId="0" fontId="2" fillId="12" borderId="0" xfId="0" applyNumberFormat="1" applyFont="1" applyFill="1" applyBorder="1" applyAlignment="1" applyProtection="1">
      <alignment horizontal="right" vertical="center"/>
    </xf>
    <xf numFmtId="0" fontId="2" fillId="12" borderId="29" xfId="0" applyNumberFormat="1" applyFont="1" applyFill="1" applyBorder="1" applyAlignment="1" applyProtection="1">
      <alignment horizontal="right" vertical="center"/>
    </xf>
    <xf numFmtId="0" fontId="33" fillId="12" borderId="47" xfId="0" applyNumberFormat="1" applyFont="1" applyFill="1" applyBorder="1" applyAlignment="1" applyProtection="1">
      <alignment horizontal="right" vertical="center"/>
    </xf>
    <xf numFmtId="0" fontId="5" fillId="12" borderId="47"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8" fillId="18" borderId="22" xfId="10" applyFill="1" applyBorder="1" applyAlignment="1" applyProtection="1">
      <alignment horizontal="center" vertical="center"/>
    </xf>
    <xf numFmtId="0" fontId="8" fillId="18" borderId="23" xfId="10" applyFill="1" applyBorder="1" applyAlignment="1" applyProtection="1">
      <alignment horizontal="center" vertical="center"/>
    </xf>
    <xf numFmtId="0" fontId="8" fillId="18" borderId="24" xfId="10" applyFill="1" applyBorder="1" applyAlignment="1" applyProtection="1">
      <alignment horizontal="center" vertical="center"/>
    </xf>
    <xf numFmtId="0" fontId="2" fillId="18" borderId="58" xfId="0" applyFont="1" applyFill="1" applyBorder="1" applyAlignment="1" applyProtection="1">
      <alignment horizontal="center" vertical="center" wrapText="1"/>
    </xf>
    <xf numFmtId="0" fontId="2" fillId="18" borderId="105" xfId="0" applyFont="1" applyFill="1" applyBorder="1" applyAlignment="1" applyProtection="1">
      <alignment horizontal="center" vertical="center" wrapText="1"/>
    </xf>
    <xf numFmtId="0" fontId="0" fillId="18" borderId="63" xfId="0" applyFill="1" applyBorder="1" applyAlignment="1" applyProtection="1">
      <alignment horizontal="center" vertical="center" wrapText="1"/>
    </xf>
    <xf numFmtId="0" fontId="0" fillId="18" borderId="0" xfId="0" applyFill="1" applyBorder="1" applyAlignment="1" applyProtection="1">
      <alignment horizontal="center" vertical="center" wrapText="1"/>
    </xf>
    <xf numFmtId="0" fontId="0" fillId="18" borderId="90" xfId="0" applyFill="1" applyBorder="1" applyAlignment="1" applyProtection="1">
      <alignment horizontal="center" vertical="center" wrapText="1"/>
    </xf>
    <xf numFmtId="0" fontId="25" fillId="20" borderId="15" xfId="0" applyFont="1" applyFill="1" applyBorder="1" applyAlignment="1" applyProtection="1">
      <alignment horizontal="center" vertical="center"/>
    </xf>
    <xf numFmtId="0" fontId="25" fillId="20" borderId="16" xfId="0" applyFont="1" applyFill="1" applyBorder="1" applyAlignment="1" applyProtection="1">
      <alignment horizontal="center" vertical="center"/>
    </xf>
    <xf numFmtId="0" fontId="25" fillId="20" borderId="17" xfId="0" applyFont="1" applyFill="1" applyBorder="1" applyAlignment="1" applyProtection="1">
      <alignment horizontal="center" vertical="center"/>
    </xf>
    <xf numFmtId="0" fontId="0" fillId="22" borderId="7" xfId="0" applyFont="1" applyFill="1" applyBorder="1" applyAlignment="1" applyProtection="1">
      <alignment horizontal="left" vertical="top" wrapText="1"/>
      <protection locked="0"/>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2" fillId="12" borderId="11" xfId="0" applyFont="1" applyFill="1" applyBorder="1" applyAlignment="1" applyProtection="1">
      <alignment horizontal="left" vertical="top" wrapText="1"/>
    </xf>
    <xf numFmtId="0" fontId="2" fillId="12" borderId="0" xfId="0" applyNumberFormat="1" applyFont="1" applyFill="1" applyBorder="1" applyAlignment="1" applyProtection="1">
      <alignment horizontal="right" vertical="top"/>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2" fillId="22" borderId="7" xfId="0" applyFont="1" applyFill="1" applyBorder="1" applyAlignment="1" applyProtection="1">
      <alignment horizontal="left" vertical="top" wrapText="1"/>
      <protection locked="0"/>
    </xf>
    <xf numFmtId="0" fontId="54" fillId="12" borderId="48" xfId="0" applyNumberFormat="1" applyFont="1" applyFill="1" applyBorder="1" applyAlignment="1" applyProtection="1">
      <alignment horizontal="right" vertical="top" wrapText="1"/>
    </xf>
    <xf numFmtId="0" fontId="54" fillId="12" borderId="0" xfId="0"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4" fillId="12" borderId="46" xfId="0" quotePrefix="1" applyNumberFormat="1" applyFont="1" applyFill="1" applyBorder="1" applyAlignment="1" applyProtection="1">
      <alignment horizontal="right" vertical="top" wrapText="1"/>
    </xf>
    <xf numFmtId="0" fontId="8" fillId="18" borderId="127" xfId="10" applyFont="1" applyFill="1" applyBorder="1" applyAlignment="1" applyProtection="1">
      <alignment horizontal="center" vertical="top" wrapText="1"/>
    </xf>
    <xf numFmtId="0" fontId="2" fillId="12" borderId="0" xfId="0" applyFont="1" applyFill="1" applyBorder="1" applyAlignment="1" applyProtection="1">
      <alignment vertical="top" wrapText="1"/>
    </xf>
    <xf numFmtId="0" fontId="54" fillId="12" borderId="47" xfId="0" quotePrefix="1" applyNumberFormat="1" applyFont="1" applyFill="1" applyBorder="1" applyAlignment="1" applyProtection="1">
      <alignment horizontal="right" vertical="top" wrapText="1"/>
    </xf>
    <xf numFmtId="0" fontId="54" fillId="12" borderId="47" xfId="0" applyNumberFormat="1" applyFont="1" applyFill="1" applyBorder="1" applyAlignment="1" applyProtection="1">
      <alignment horizontal="right" vertical="top" wrapText="1"/>
    </xf>
    <xf numFmtId="0" fontId="0" fillId="22" borderId="25" xfId="0" applyFill="1" applyBorder="1" applyAlignment="1" applyProtection="1">
      <alignment horizontal="center" vertical="top" wrapText="1"/>
      <protection locked="0"/>
    </xf>
    <xf numFmtId="0" fontId="0" fillId="22" borderId="61" xfId="0" applyFill="1" applyBorder="1" applyAlignment="1" applyProtection="1">
      <alignment horizontal="center" vertical="top" wrapText="1"/>
      <protection locked="0"/>
    </xf>
    <xf numFmtId="0" fontId="0" fillId="22" borderId="26" xfId="0" applyFill="1" applyBorder="1" applyAlignment="1" applyProtection="1">
      <alignment horizontal="center" vertical="top" wrapText="1"/>
      <protection locked="0"/>
    </xf>
    <xf numFmtId="0" fontId="0" fillId="22" borderId="28" xfId="0" applyFill="1" applyBorder="1" applyAlignment="1" applyProtection="1">
      <alignment horizontal="center" vertical="top" wrapText="1"/>
      <protection locked="0"/>
    </xf>
    <xf numFmtId="0" fontId="0" fillId="22" borderId="0" xfId="0" applyFill="1" applyBorder="1" applyAlignment="1" applyProtection="1">
      <alignment horizontal="center" vertical="top" wrapText="1"/>
      <protection locked="0"/>
    </xf>
    <xf numFmtId="0" fontId="0" fillId="22" borderId="29" xfId="0" applyFill="1" applyBorder="1" applyAlignment="1" applyProtection="1">
      <alignment horizontal="center" vertical="top" wrapText="1"/>
      <protection locked="0"/>
    </xf>
    <xf numFmtId="0" fontId="0" fillId="22" borderId="30" xfId="0" applyFill="1" applyBorder="1" applyAlignment="1" applyProtection="1">
      <alignment horizontal="center" vertical="top" wrapText="1"/>
      <protection locked="0"/>
    </xf>
    <xf numFmtId="0" fontId="0" fillId="22" borderId="11" xfId="0" applyFill="1" applyBorder="1" applyAlignment="1" applyProtection="1">
      <alignment horizontal="center" vertical="top" wrapText="1"/>
      <protection locked="0"/>
    </xf>
    <xf numFmtId="0" fontId="0" fillId="22" borderId="31" xfId="0" applyFill="1" applyBorder="1" applyAlignment="1" applyProtection="1">
      <alignment horizontal="center" vertical="top" wrapText="1"/>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29" xfId="0" applyFont="1" applyFill="1" applyBorder="1" applyAlignment="1" applyProtection="1">
      <alignment horizontal="right"/>
    </xf>
    <xf numFmtId="0" fontId="4" fillId="23" borderId="7" xfId="0" applyNumberFormat="1" applyFont="1" applyFill="1" applyBorder="1" applyAlignment="1" applyProtection="1">
      <alignment horizontal="left" vertical="center"/>
      <protection locked="0"/>
    </xf>
    <xf numFmtId="0" fontId="43" fillId="20" borderId="147" xfId="0" applyNumberFormat="1" applyFont="1" applyFill="1" applyBorder="1" applyAlignment="1" applyProtection="1">
      <alignment horizontal="left" vertical="center"/>
    </xf>
    <xf numFmtId="0" fontId="43" fillId="20" borderId="46" xfId="0" applyNumberFormat="1" applyFont="1" applyFill="1" applyBorder="1" applyAlignment="1" applyProtection="1">
      <alignment horizontal="left" vertical="center"/>
    </xf>
    <xf numFmtId="0" fontId="0" fillId="20" borderId="41" xfId="0" applyFill="1" applyBorder="1" applyAlignment="1" applyProtection="1">
      <alignment horizontal="center" vertical="center"/>
    </xf>
    <xf numFmtId="0" fontId="0" fillId="20" borderId="33" xfId="0" applyFill="1" applyBorder="1" applyAlignment="1" applyProtection="1">
      <alignment horizontal="center" vertical="center"/>
    </xf>
    <xf numFmtId="0" fontId="0" fillId="20" borderId="59" xfId="0" applyFill="1" applyBorder="1" applyAlignment="1" applyProtection="1">
      <alignment horizontal="center" vertical="center"/>
    </xf>
    <xf numFmtId="0" fontId="0" fillId="20" borderId="36" xfId="0" applyFill="1" applyBorder="1" applyAlignment="1" applyProtection="1">
      <alignment horizontal="center" vertical="center"/>
    </xf>
    <xf numFmtId="0" fontId="0" fillId="20" borderId="15" xfId="0" applyFill="1" applyBorder="1" applyAlignment="1" applyProtection="1">
      <alignment horizontal="center" vertical="center"/>
    </xf>
    <xf numFmtId="0" fontId="0" fillId="20" borderId="17" xfId="0" applyFill="1" applyBorder="1" applyAlignment="1" applyProtection="1">
      <alignment horizontal="center" vertical="center"/>
    </xf>
    <xf numFmtId="0" fontId="43" fillId="20" borderId="148" xfId="0" applyNumberFormat="1" applyFont="1" applyFill="1" applyBorder="1" applyAlignment="1" applyProtection="1">
      <alignment horizontal="left" vertical="center"/>
    </xf>
    <xf numFmtId="0" fontId="43" fillId="20" borderId="79" xfId="0" applyNumberFormat="1" applyFont="1" applyFill="1" applyBorder="1" applyAlignment="1" applyProtection="1">
      <alignment horizontal="left" vertical="center"/>
    </xf>
    <xf numFmtId="0" fontId="0" fillId="20" borderId="42" xfId="0" applyFill="1" applyBorder="1" applyAlignment="1" applyProtection="1">
      <alignment horizontal="center" vertical="center"/>
    </xf>
    <xf numFmtId="0" fontId="0" fillId="20" borderId="34" xfId="0" applyFill="1" applyBorder="1" applyAlignment="1" applyProtection="1">
      <alignment horizontal="center" vertical="center"/>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1" fontId="2" fillId="20" borderId="7" xfId="0" applyNumberFormat="1" applyFont="1" applyFill="1" applyBorder="1" applyAlignment="1" applyProtection="1">
      <alignment horizontal="left" vertical="top" wrapText="1"/>
    </xf>
    <xf numFmtId="0" fontId="2" fillId="20" borderId="7" xfId="0" applyNumberFormat="1" applyFont="1" applyFill="1" applyBorder="1" applyAlignment="1" applyProtection="1">
      <alignment horizontal="left" vertical="top" wrapText="1"/>
    </xf>
    <xf numFmtId="0" fontId="2" fillId="20" borderId="22" xfId="0" applyNumberFormat="1" applyFont="1" applyFill="1" applyBorder="1" applyAlignment="1" applyProtection="1">
      <alignment horizontal="left" vertical="top" wrapText="1"/>
    </xf>
    <xf numFmtId="0" fontId="71" fillId="12" borderId="23" xfId="0" applyFont="1" applyFill="1" applyBorder="1" applyAlignment="1" applyProtection="1">
      <alignment horizontal="left" vertical="top" wrapText="1"/>
    </xf>
    <xf numFmtId="0" fontId="71" fillId="12" borderId="24" xfId="0"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0" fontId="4" fillId="12" borderId="7" xfId="0" applyFont="1" applyFill="1" applyBorder="1" applyAlignment="1" applyProtection="1">
      <alignment horizontal="left" vertical="top" wrapText="1"/>
    </xf>
    <xf numFmtId="0" fontId="8" fillId="18" borderId="83" xfId="10" applyFill="1" applyBorder="1" applyAlignment="1" applyProtection="1">
      <alignment horizontal="center" vertical="top" wrapText="1"/>
    </xf>
    <xf numFmtId="0" fontId="8" fillId="18" borderId="149" xfId="10" applyFill="1" applyBorder="1" applyAlignment="1" applyProtection="1">
      <alignment horizontal="center" vertical="top" wrapText="1"/>
    </xf>
    <xf numFmtId="0" fontId="8" fillId="18" borderId="150" xfId="10" applyFill="1" applyBorder="1" applyAlignment="1" applyProtection="1"/>
    <xf numFmtId="0" fontId="8" fillId="18" borderId="83" xfId="10" applyFill="1" applyBorder="1" applyAlignment="1" applyProtection="1"/>
    <xf numFmtId="0" fontId="8" fillId="18" borderId="131" xfId="10" quotePrefix="1" applyFill="1" applyBorder="1" applyAlignment="1" applyProtection="1">
      <alignment horizontal="center"/>
    </xf>
    <xf numFmtId="0" fontId="8" fillId="18" borderId="132" xfId="10" applyFill="1" applyBorder="1" applyAlignment="1" applyProtection="1">
      <alignment horizontal="center"/>
    </xf>
    <xf numFmtId="0" fontId="8" fillId="18" borderId="151" xfId="10" applyFont="1" applyFill="1" applyBorder="1" applyAlignment="1" applyProtection="1">
      <alignment horizontal="center" vertical="top" wrapText="1"/>
    </xf>
    <xf numFmtId="0" fontId="8" fillId="18" borderId="152" xfId="10" applyFill="1" applyBorder="1" applyAlignment="1" applyProtection="1">
      <alignment horizontal="center" vertical="top" wrapText="1"/>
    </xf>
    <xf numFmtId="0" fontId="4" fillId="12" borderId="22" xfId="0" applyNumberFormat="1" applyFont="1" applyFill="1" applyBorder="1" applyAlignment="1" applyProtection="1">
      <alignment vertical="top" wrapText="1"/>
    </xf>
    <xf numFmtId="0" fontId="2" fillId="12" borderId="23" xfId="0" applyFont="1" applyFill="1" applyBorder="1" applyAlignment="1" applyProtection="1">
      <alignment vertical="top" wrapText="1"/>
    </xf>
    <xf numFmtId="0" fontId="2" fillId="12" borderId="24" xfId="0" applyFont="1" applyFill="1" applyBorder="1" applyAlignment="1" applyProtection="1">
      <alignment vertical="top" wrapText="1"/>
    </xf>
    <xf numFmtId="0" fontId="4" fillId="12" borderId="7" xfId="0" applyNumberFormat="1" applyFont="1" applyFill="1" applyBorder="1" applyAlignment="1" applyProtection="1">
      <alignment horizontal="left" vertical="top" wrapText="1"/>
    </xf>
    <xf numFmtId="0" fontId="18" fillId="18" borderId="7" xfId="0" applyFont="1" applyFill="1" applyBorder="1" applyAlignment="1" applyProtection="1">
      <alignment horizontal="left"/>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2" fillId="31" borderId="7" xfId="0" applyFont="1" applyFill="1" applyBorder="1" applyAlignment="1" applyProtection="1">
      <alignment horizontal="left" vertical="center" wrapText="1"/>
      <protection locked="0"/>
    </xf>
    <xf numFmtId="0" fontId="4" fillId="12" borderId="11" xfId="0" applyFont="1" applyFill="1" applyBorder="1" applyAlignment="1" applyProtection="1">
      <alignment horizontal="left"/>
    </xf>
    <xf numFmtId="0" fontId="4" fillId="12" borderId="11" xfId="0" applyFont="1" applyFill="1" applyBorder="1" applyAlignment="1" applyProtection="1">
      <alignment horizontal="left" wrapText="1"/>
    </xf>
    <xf numFmtId="0" fontId="8" fillId="18" borderId="153" xfId="10" applyFill="1" applyBorder="1" applyAlignment="1" applyProtection="1">
      <alignment horizontal="center" vertical="top" wrapText="1"/>
    </xf>
    <xf numFmtId="0" fontId="0" fillId="18" borderId="80" xfId="0" applyFill="1" applyBorder="1" applyAlignment="1" applyProtection="1">
      <alignment horizontal="center" vertical="center" wrapText="1"/>
    </xf>
    <xf numFmtId="0" fontId="0" fillId="18" borderId="37" xfId="0" applyFill="1" applyBorder="1" applyAlignment="1" applyProtection="1">
      <alignment horizontal="center" vertical="center" wrapText="1"/>
    </xf>
    <xf numFmtId="0" fontId="0" fillId="18" borderId="94" xfId="0" applyFill="1" applyBorder="1" applyAlignment="1" applyProtection="1">
      <alignment horizontal="center" vertical="center" wrapText="1"/>
    </xf>
    <xf numFmtId="0" fontId="10" fillId="12" borderId="0" xfId="0" applyFont="1" applyFill="1" applyBorder="1" applyAlignment="1" applyProtection="1">
      <alignment vertical="top" wrapText="1"/>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0" fontId="39" fillId="12" borderId="0" xfId="0" applyFont="1" applyFill="1" applyBorder="1" applyAlignment="1" applyProtection="1">
      <alignment horizontal="left" vertical="top" wrapText="1"/>
    </xf>
    <xf numFmtId="0" fontId="8" fillId="18" borderId="83" xfId="10" applyFill="1" applyBorder="1" applyAlignment="1" applyProtection="1">
      <alignment horizontal="center"/>
    </xf>
    <xf numFmtId="0" fontId="8" fillId="18" borderId="103" xfId="10" applyFont="1" applyFill="1" applyBorder="1" applyAlignment="1" applyProtection="1">
      <alignment horizontal="center" vertical="top" wrapText="1"/>
    </xf>
    <xf numFmtId="0" fontId="8" fillId="18" borderId="154" xfId="10" applyFill="1" applyBorder="1" applyAlignment="1" applyProtection="1">
      <alignment horizontal="center" vertical="top" wrapText="1"/>
    </xf>
    <xf numFmtId="0" fontId="8" fillId="18" borderId="83" xfId="10" quotePrefix="1" applyFill="1" applyBorder="1" applyAlignment="1" applyProtection="1">
      <alignment horizontal="center"/>
    </xf>
    <xf numFmtId="0" fontId="0" fillId="23" borderId="25" xfId="0" applyFill="1" applyBorder="1" applyAlignment="1" applyProtection="1">
      <alignment horizontal="justify" vertical="top" wrapText="1"/>
      <protection locked="0"/>
    </xf>
    <xf numFmtId="0" fontId="0" fillId="23" borderId="61" xfId="0" applyFill="1" applyBorder="1" applyAlignment="1" applyProtection="1">
      <alignment horizontal="justify" vertical="top" wrapText="1"/>
      <protection locked="0"/>
    </xf>
    <xf numFmtId="0" fontId="0" fillId="23" borderId="26" xfId="0" applyFill="1" applyBorder="1" applyAlignment="1" applyProtection="1">
      <alignment horizontal="justify" vertical="top" wrapText="1"/>
      <protection locked="0"/>
    </xf>
    <xf numFmtId="0" fontId="0" fillId="23" borderId="28" xfId="0" applyFill="1" applyBorder="1" applyAlignment="1" applyProtection="1">
      <alignment horizontal="justify" vertical="top" wrapText="1"/>
      <protection locked="0"/>
    </xf>
    <xf numFmtId="0" fontId="0" fillId="23" borderId="0" xfId="0" applyFill="1" applyBorder="1" applyAlignment="1" applyProtection="1">
      <alignment horizontal="justify" vertical="top" wrapText="1"/>
      <protection locked="0"/>
    </xf>
    <xf numFmtId="0" fontId="0" fillId="23" borderId="29" xfId="0" applyFill="1" applyBorder="1" applyAlignment="1" applyProtection="1">
      <alignment horizontal="justify" vertical="top" wrapText="1"/>
      <protection locked="0"/>
    </xf>
    <xf numFmtId="0" fontId="0" fillId="23" borderId="30" xfId="0" applyFill="1" applyBorder="1" applyAlignment="1" applyProtection="1">
      <alignment horizontal="justify" vertical="top" wrapText="1"/>
      <protection locked="0"/>
    </xf>
    <xf numFmtId="0" fontId="0" fillId="23" borderId="11" xfId="0" applyFill="1" applyBorder="1" applyAlignment="1" applyProtection="1">
      <alignment horizontal="justify" vertical="top" wrapText="1"/>
      <protection locked="0"/>
    </xf>
    <xf numFmtId="0" fontId="0" fillId="23" borderId="31" xfId="0" applyFill="1" applyBorder="1" applyAlignment="1" applyProtection="1">
      <alignment horizontal="justify" vertical="top" wrapText="1"/>
      <protection locked="0"/>
    </xf>
    <xf numFmtId="0" fontId="3" fillId="16" borderId="0"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7" fillId="12" borderId="7" xfId="0" applyFont="1" applyFill="1" applyBorder="1" applyAlignment="1" applyProtection="1">
      <alignment horizontal="center" vertical="top" wrapText="1"/>
    </xf>
    <xf numFmtId="4" fontId="6" fillId="31" borderId="7" xfId="0" applyNumberFormat="1" applyFont="1" applyFill="1" applyBorder="1" applyAlignment="1" applyProtection="1">
      <alignment horizontal="center" vertical="top" wrapText="1"/>
      <protection locked="0"/>
    </xf>
    <xf numFmtId="0" fontId="8" fillId="18" borderId="150" xfId="10" applyFill="1" applyBorder="1" applyAlignment="1" applyProtection="1">
      <alignment horizontal="center"/>
    </xf>
    <xf numFmtId="0" fontId="4" fillId="12" borderId="47" xfId="0" applyFont="1" applyFill="1" applyBorder="1" applyAlignment="1" applyProtection="1">
      <alignment horizontal="left" wrapText="1"/>
    </xf>
    <xf numFmtId="0" fontId="4" fillId="12" borderId="114" xfId="0" applyFont="1" applyFill="1" applyBorder="1" applyAlignment="1" applyProtection="1">
      <alignment horizontal="left" wrapText="1"/>
    </xf>
    <xf numFmtId="0" fontId="8" fillId="18" borderId="126" xfId="10" applyFont="1" applyFill="1" applyBorder="1" applyAlignment="1" applyProtection="1">
      <alignment horizontal="center" vertical="top" wrapText="1"/>
    </xf>
    <xf numFmtId="0" fontId="10" fillId="20" borderId="49" xfId="0" applyNumberFormat="1" applyFont="1" applyFill="1" applyBorder="1" applyAlignment="1" applyProtection="1">
      <alignment horizontal="center" vertical="center"/>
    </xf>
    <xf numFmtId="0" fontId="10" fillId="20" borderId="66" xfId="0" applyNumberFormat="1" applyFont="1" applyFill="1" applyBorder="1" applyAlignment="1" applyProtection="1">
      <alignment horizontal="center" vertical="center"/>
    </xf>
    <xf numFmtId="164" fontId="10" fillId="20" borderId="15" xfId="0" applyNumberFormat="1" applyFont="1" applyFill="1" applyBorder="1" applyAlignment="1" applyProtection="1">
      <alignment horizontal="right" vertical="center"/>
    </xf>
    <xf numFmtId="164" fontId="10" fillId="20" borderId="16" xfId="0" applyNumberFormat="1" applyFont="1" applyFill="1" applyBorder="1" applyAlignment="1" applyProtection="1">
      <alignment horizontal="right" vertical="center"/>
    </xf>
    <xf numFmtId="0" fontId="2" fillId="20" borderId="23" xfId="0" applyNumberFormat="1" applyFont="1" applyFill="1" applyBorder="1" applyAlignment="1" applyProtection="1">
      <alignment horizontal="left" vertical="top" wrapText="1"/>
    </xf>
    <xf numFmtId="0" fontId="2" fillId="20" borderId="24" xfId="0" applyNumberFormat="1" applyFont="1" applyFill="1" applyBorder="1" applyAlignment="1" applyProtection="1">
      <alignment horizontal="left" vertical="top" wrapText="1"/>
    </xf>
    <xf numFmtId="0" fontId="3" fillId="16" borderId="0" xfId="0" applyFont="1" applyFill="1" applyBorder="1" applyAlignment="1" applyProtection="1">
      <alignment horizontal="center" vertical="center"/>
    </xf>
    <xf numFmtId="164" fontId="87" fillId="20" borderId="22" xfId="0" applyNumberFormat="1" applyFont="1" applyFill="1" applyBorder="1" applyAlignment="1" applyProtection="1">
      <alignment horizontal="right" vertical="center"/>
    </xf>
    <xf numFmtId="164" fontId="87" fillId="20" borderId="23" xfId="0" applyNumberFormat="1" applyFont="1" applyFill="1" applyBorder="1" applyAlignment="1" applyProtection="1">
      <alignment horizontal="right" vertical="center"/>
    </xf>
    <xf numFmtId="0" fontId="2" fillId="20" borderId="22" xfId="0" applyNumberFormat="1" applyFont="1" applyFill="1" applyBorder="1" applyAlignment="1" applyProtection="1">
      <alignment horizontal="left" vertical="top"/>
    </xf>
    <xf numFmtId="0" fontId="2" fillId="20" borderId="23" xfId="0" applyNumberFormat="1" applyFont="1" applyFill="1" applyBorder="1" applyAlignment="1" applyProtection="1">
      <alignment horizontal="left" vertical="top"/>
    </xf>
    <xf numFmtId="0" fontId="2" fillId="20" borderId="138" xfId="0" applyNumberFormat="1" applyFont="1" applyFill="1" applyBorder="1" applyAlignment="1" applyProtection="1">
      <alignment horizontal="left" vertical="top"/>
    </xf>
    <xf numFmtId="0" fontId="2" fillId="20" borderId="139" xfId="0" applyNumberFormat="1" applyFont="1" applyFill="1" applyBorder="1" applyAlignment="1" applyProtection="1">
      <alignment horizontal="left" vertical="top"/>
    </xf>
    <xf numFmtId="0" fontId="2" fillId="20" borderId="142" xfId="0" applyNumberFormat="1" applyFont="1" applyFill="1" applyBorder="1" applyAlignment="1" applyProtection="1">
      <alignment horizontal="left" vertical="top"/>
    </xf>
    <xf numFmtId="0" fontId="2" fillId="20" borderId="79" xfId="0" applyNumberFormat="1" applyFont="1" applyFill="1" applyBorder="1" applyAlignment="1" applyProtection="1">
      <alignment horizontal="left" vertical="top"/>
    </xf>
    <xf numFmtId="0" fontId="4" fillId="12" borderId="48" xfId="0" applyFont="1" applyFill="1" applyBorder="1" applyAlignment="1" applyProtection="1">
      <alignment horizontal="left" wrapText="1"/>
    </xf>
    <xf numFmtId="0" fontId="4" fillId="12" borderId="113" xfId="0" applyFont="1" applyFill="1" applyBorder="1" applyAlignment="1" applyProtection="1">
      <alignment horizontal="left" wrapText="1"/>
    </xf>
    <xf numFmtId="0" fontId="24" fillId="36" borderId="22" xfId="0" applyFont="1" applyFill="1" applyBorder="1" applyAlignment="1" applyProtection="1">
      <alignment horizontal="left"/>
    </xf>
    <xf numFmtId="0" fontId="24" fillId="36" borderId="24" xfId="0" applyFont="1" applyFill="1" applyBorder="1" applyAlignment="1" applyProtection="1">
      <alignment horizontal="left"/>
    </xf>
    <xf numFmtId="0" fontId="24" fillId="36" borderId="23" xfId="0" applyFont="1" applyFill="1" applyBorder="1" applyAlignment="1" applyProtection="1">
      <alignment horizontal="left"/>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 fillId="0" borderId="0" xfId="0" applyFont="1" applyAlignment="1" applyProtection="1">
      <alignment horizontal="center"/>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2" borderId="25" xfId="0" applyFont="1" applyFill="1" applyBorder="1" applyAlignment="1" applyProtection="1">
      <alignment horizontal="left" vertical="top" wrapText="1"/>
    </xf>
    <xf numFmtId="0" fontId="19" fillId="12" borderId="90" xfId="0" applyFont="1" applyFill="1" applyBorder="1" applyAlignment="1" applyProtection="1">
      <alignment horizontal="left" vertical="top" wrapText="1"/>
    </xf>
    <xf numFmtId="0" fontId="19" fillId="12" borderId="30" xfId="0" applyFont="1" applyFill="1" applyBorder="1" applyAlignment="1" applyProtection="1">
      <alignment horizontal="left" vertical="top" wrapText="1"/>
    </xf>
    <xf numFmtId="0" fontId="19" fillId="12" borderId="43" xfId="0" applyFont="1" applyFill="1" applyBorder="1" applyAlignment="1" applyProtection="1">
      <alignment horizontal="left" vertical="top" wrapText="1"/>
    </xf>
    <xf numFmtId="0" fontId="4" fillId="0" borderId="11" xfId="0" applyFont="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19" fillId="12" borderId="38" xfId="0" applyFont="1" applyFill="1" applyBorder="1" applyAlignment="1" applyProtection="1">
      <alignment horizontal="center"/>
    </xf>
    <xf numFmtId="0" fontId="19" fillId="12" borderId="124" xfId="0" applyFont="1" applyFill="1" applyBorder="1" applyAlignment="1" applyProtection="1">
      <alignment horizontal="center"/>
    </xf>
    <xf numFmtId="0" fontId="19" fillId="12" borderId="30" xfId="0" applyFont="1" applyFill="1" applyBorder="1" applyAlignment="1" applyProtection="1">
      <alignment horizontal="center" wrapText="1"/>
    </xf>
    <xf numFmtId="0" fontId="19" fillId="12" borderId="31" xfId="0" applyFont="1" applyFill="1" applyBorder="1" applyAlignment="1" applyProtection="1">
      <alignment horizontal="center" wrapText="1"/>
    </xf>
    <xf numFmtId="0" fontId="19" fillId="12" borderId="43" xfId="0" applyFont="1" applyFill="1" applyBorder="1" applyAlignment="1" applyProtection="1">
      <alignment horizontal="center" wrapText="1"/>
    </xf>
    <xf numFmtId="14" fontId="0" fillId="12" borderId="0" xfId="0" applyNumberFormat="1" applyFill="1" applyBorder="1" applyAlignment="1" applyProtection="1">
      <alignment vertical="center" wrapText="1"/>
    </xf>
  </cellXfs>
  <cellStyles count="17">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yperlink" xfId="10" builtinId="8"/>
    <cellStyle name="Linked Cell" xfId="11"/>
    <cellStyle name="Neutral" xfId="12"/>
    <cellStyle name="Normal" xfId="0" builtinId="0"/>
    <cellStyle name="Note" xfId="13"/>
    <cellStyle name="Standard 2" xfId="14"/>
    <cellStyle name="Standard_Outline NIMs template 10-09-30" xfId="15"/>
    <cellStyle name="Обычный_CRF2002 (1)" xfId="16"/>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giedrius.kirstukas@inbox.lt" TargetMode="External"/><Relationship Id="rId2" Type="http://schemas.openxmlformats.org/officeDocument/2006/relationships/hyperlink" Target="mailto:chemike@lietuvoscukrus.lt" TargetMode="External"/><Relationship Id="rId1" Type="http://schemas.openxmlformats.org/officeDocument/2006/relationships/hyperlink" Target="mailto:a.urbas@lietuvoscukrus.lt"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enableFormatConditionsCalculation="0">
    <tabColor indexed="9"/>
    <pageSetUpPr fitToPage="1"/>
  </sheetPr>
  <dimension ref="A1:J64"/>
  <sheetViews>
    <sheetView tabSelected="1" topLeftCell="A43" workbookViewId="0">
      <selection activeCell="K53" sqref="K53"/>
    </sheetView>
  </sheetViews>
  <sheetFormatPr defaultColWidth="11.42578125" defaultRowHeight="12.75" x14ac:dyDescent="0.2"/>
  <cols>
    <col min="1" max="2" width="5.7109375" style="28" customWidth="1"/>
    <col min="3" max="4" width="12.7109375" style="28" customWidth="1"/>
    <col min="5" max="5" width="15" style="28" customWidth="1"/>
    <col min="6" max="9" width="12.7109375" style="28" customWidth="1"/>
    <col min="10" max="16384" width="11.42578125" style="28"/>
  </cols>
  <sheetData>
    <row r="1" spans="1:10" ht="24.95" customHeight="1" x14ac:dyDescent="0.2">
      <c r="B1" s="155" t="str">
        <f>Translations!$B$490</f>
        <v>ŠILTNAMIO EFEKTĄ SUKELIANČIŲ DUJŲ STEBĖSENOS ATASKAITA</v>
      </c>
    </row>
    <row r="2" spans="1:10" ht="24.95" customHeight="1" x14ac:dyDescent="0.2">
      <c r="B2" s="156"/>
      <c r="C2" s="479"/>
    </row>
    <row r="3" spans="1:10" ht="24.95" customHeight="1" x14ac:dyDescent="0.2">
      <c r="A3" s="141"/>
      <c r="B3" s="143" t="str">
        <f>Translations!$B$24</f>
        <v>Turinys</v>
      </c>
      <c r="C3" s="141"/>
      <c r="D3" s="141"/>
      <c r="E3" s="141"/>
      <c r="F3" s="141"/>
      <c r="G3" s="141"/>
      <c r="H3" s="141"/>
      <c r="I3" s="141"/>
      <c r="J3" s="141"/>
    </row>
    <row r="4" spans="1:10" x14ac:dyDescent="0.2">
      <c r="A4" s="141"/>
      <c r="B4" s="141"/>
      <c r="C4" s="141"/>
      <c r="D4" s="141"/>
      <c r="E4" s="141"/>
      <c r="F4" s="141"/>
      <c r="G4" s="141"/>
      <c r="H4" s="141"/>
      <c r="I4" s="141"/>
      <c r="J4" s="141"/>
    </row>
    <row r="5" spans="1:10" x14ac:dyDescent="0.2">
      <c r="A5" s="141"/>
      <c r="B5" s="141" t="str">
        <f>Translations!$B$2</f>
        <v>Lapų pavadinimai yra pusjuodžiu, o skirsnių pavadinimai – įprastu šriftu.</v>
      </c>
      <c r="C5" s="141"/>
      <c r="D5" s="141"/>
      <c r="E5" s="141"/>
      <c r="F5" s="141"/>
      <c r="G5" s="141"/>
      <c r="H5" s="141"/>
      <c r="I5" s="141"/>
      <c r="J5" s="141"/>
    </row>
    <row r="6" spans="1:10" x14ac:dyDescent="0.2">
      <c r="A6" s="141"/>
      <c r="B6" s="995"/>
      <c r="C6" s="995"/>
      <c r="D6" s="995"/>
      <c r="E6" s="995"/>
      <c r="F6" s="995"/>
      <c r="G6" s="995"/>
      <c r="H6" s="995"/>
      <c r="I6" s="995"/>
      <c r="J6" s="141"/>
    </row>
    <row r="7" spans="1:10" x14ac:dyDescent="0.2">
      <c r="A7" s="141"/>
      <c r="B7" s="1342" t="str">
        <f>Translations!$B$3</f>
        <v>a_Turinys</v>
      </c>
      <c r="C7" s="1346"/>
      <c r="D7" s="1346"/>
      <c r="E7" s="1346"/>
      <c r="F7" s="1346"/>
      <c r="G7" s="1346"/>
      <c r="H7" s="1346"/>
      <c r="I7" s="1346"/>
      <c r="J7" s="141"/>
    </row>
    <row r="8" spans="1:10" x14ac:dyDescent="0.2">
      <c r="A8" s="141"/>
      <c r="B8" s="1342" t="str">
        <f>Translations!$B$4</f>
        <v>b_Gairės ir sąlygos</v>
      </c>
      <c r="C8" s="1343"/>
      <c r="D8" s="1343"/>
      <c r="E8" s="1343"/>
      <c r="F8" s="1343"/>
      <c r="G8" s="1343"/>
      <c r="H8" s="1343"/>
      <c r="I8" s="1343"/>
      <c r="J8" s="141"/>
    </row>
    <row r="9" spans="1:10" ht="5.0999999999999996" customHeight="1" x14ac:dyDescent="0.2">
      <c r="A9" s="141"/>
      <c r="B9" s="1342"/>
      <c r="C9" s="1343"/>
      <c r="D9" s="1343"/>
      <c r="E9" s="1343"/>
      <c r="F9" s="1343"/>
      <c r="G9" s="1343"/>
      <c r="H9" s="1343"/>
      <c r="I9" s="1343"/>
      <c r="J9" s="141"/>
    </row>
    <row r="10" spans="1:10" x14ac:dyDescent="0.2">
      <c r="A10" s="141"/>
      <c r="B10" s="1342" t="str">
        <f>Translations!$B$491</f>
        <v>A. Veiklos vykdytojų ir įrenginių tapatybė</v>
      </c>
      <c r="C10" s="1343"/>
      <c r="D10" s="1343"/>
      <c r="E10" s="1343"/>
      <c r="F10" s="1343"/>
      <c r="G10" s="1343"/>
      <c r="H10" s="1343"/>
      <c r="I10" s="1343"/>
      <c r="J10" s="141"/>
    </row>
    <row r="11" spans="1:10" ht="12.75" customHeight="1" x14ac:dyDescent="0.2">
      <c r="B11" s="996"/>
      <c r="C11" s="1344" t="str">
        <f>Translations!$B$492</f>
        <v>Ataskaitiniai metai</v>
      </c>
      <c r="D11" s="1344"/>
      <c r="E11" s="1344"/>
      <c r="F11" s="1344"/>
      <c r="G11" s="1344"/>
      <c r="H11" s="1344"/>
      <c r="I11" s="1344"/>
      <c r="J11" s="141"/>
    </row>
    <row r="12" spans="1:10" ht="12.75" customHeight="1" x14ac:dyDescent="0.2">
      <c r="B12" s="996"/>
      <c r="C12" s="1344" t="str">
        <f>Translations!$B$493</f>
        <v>Informacija apie veiklos vykdytoją</v>
      </c>
      <c r="D12" s="1344"/>
      <c r="E12" s="1344"/>
      <c r="F12" s="1344"/>
      <c r="G12" s="1344"/>
      <c r="H12" s="1344"/>
      <c r="I12" s="1344"/>
      <c r="J12" s="141"/>
    </row>
    <row r="13" spans="1:10" ht="12.75" customHeight="1" x14ac:dyDescent="0.2">
      <c r="B13" s="996"/>
      <c r="C13" s="1344" t="str">
        <f>Translations!$B$494</f>
        <v>Informacija apie įrenginį</v>
      </c>
      <c r="D13" s="1344"/>
      <c r="E13" s="1344"/>
      <c r="F13" s="1344"/>
      <c r="G13" s="1344"/>
      <c r="H13" s="1344"/>
      <c r="I13" s="1344"/>
      <c r="J13" s="141"/>
    </row>
    <row r="14" spans="1:10" ht="12.75" customHeight="1" x14ac:dyDescent="0.2">
      <c r="B14" s="996"/>
      <c r="C14" s="1344" t="str">
        <f>Translations!$B$6</f>
        <v xml:space="preserve">Kontaktiniai duomenys </v>
      </c>
      <c r="D14" s="1344"/>
      <c r="E14" s="1344"/>
      <c r="F14" s="1344"/>
      <c r="G14" s="1344"/>
      <c r="H14" s="1344"/>
      <c r="I14" s="1344"/>
      <c r="J14" s="141"/>
    </row>
    <row r="15" spans="1:10" ht="12.75" customHeight="1" x14ac:dyDescent="0.2">
      <c r="B15" s="996"/>
      <c r="C15" s="1344" t="str">
        <f>Translations!$B$495</f>
        <v>Vertintojo kontaktiniai duomenys</v>
      </c>
      <c r="D15" s="1344"/>
      <c r="E15" s="1344"/>
      <c r="F15" s="1344"/>
      <c r="G15" s="1344"/>
      <c r="H15" s="1344"/>
      <c r="I15" s="1344"/>
      <c r="J15" s="141"/>
    </row>
    <row r="16" spans="1:10" ht="5.0999999999999996" customHeight="1" x14ac:dyDescent="0.2">
      <c r="B16" s="996"/>
      <c r="C16" s="1344"/>
      <c r="D16" s="1344"/>
      <c r="E16" s="1344"/>
      <c r="F16" s="1344"/>
      <c r="G16" s="1344"/>
      <c r="H16" s="1344"/>
      <c r="I16" s="1344"/>
      <c r="J16" s="141"/>
    </row>
    <row r="17" spans="1:10" x14ac:dyDescent="0.2">
      <c r="A17" s="141"/>
      <c r="B17" s="1342" t="str">
        <f>Translations!$B$496</f>
        <v>B. Įrenginio aprašas</v>
      </c>
      <c r="C17" s="1343"/>
      <c r="D17" s="1343"/>
      <c r="E17" s="1343"/>
      <c r="F17" s="1343"/>
      <c r="G17" s="1343"/>
      <c r="H17" s="1343"/>
      <c r="I17" s="1343"/>
      <c r="J17" s="141"/>
    </row>
    <row r="18" spans="1:10" x14ac:dyDescent="0.2">
      <c r="B18" s="996"/>
      <c r="C18" s="1344" t="str">
        <f>Translations!$B$497</f>
        <v>I priede nurodyta veikla</v>
      </c>
      <c r="D18" s="1344"/>
      <c r="E18" s="1344"/>
      <c r="F18" s="1344"/>
      <c r="G18" s="1344"/>
      <c r="H18" s="1344"/>
      <c r="I18" s="1344"/>
      <c r="J18" s="141"/>
    </row>
    <row r="19" spans="1:10" x14ac:dyDescent="0.2">
      <c r="B19" s="997"/>
      <c r="C19" s="1344" t="str">
        <f>Translations!$B$96</f>
        <v>Stebėsenos metodai</v>
      </c>
      <c r="D19" s="1344"/>
      <c r="E19" s="1344"/>
      <c r="F19" s="1344"/>
      <c r="G19" s="1344"/>
      <c r="H19" s="1344"/>
      <c r="I19" s="1344"/>
      <c r="J19" s="141"/>
    </row>
    <row r="20" spans="1:10" x14ac:dyDescent="0.2">
      <c r="B20" s="996"/>
      <c r="C20" s="1344" t="str">
        <f>Translations!$B$98</f>
        <v>Sukėlikliai</v>
      </c>
      <c r="D20" s="1344"/>
      <c r="E20" s="1344"/>
      <c r="F20" s="1344"/>
      <c r="G20" s="1344"/>
      <c r="H20" s="1344"/>
      <c r="I20" s="1344"/>
      <c r="J20" s="141"/>
    </row>
    <row r="21" spans="1:10" x14ac:dyDescent="0.2">
      <c r="B21" s="996"/>
      <c r="C21" s="1344" t="str">
        <f>Translations!$B$97</f>
        <v>Matavimo taškai</v>
      </c>
      <c r="D21" s="1344"/>
      <c r="E21" s="1344"/>
      <c r="F21" s="1344"/>
      <c r="G21" s="1344"/>
      <c r="H21" s="1344"/>
      <c r="I21" s="1344"/>
      <c r="J21" s="141"/>
    </row>
    <row r="22" spans="1:10" ht="5.0999999999999996" customHeight="1" x14ac:dyDescent="0.2">
      <c r="B22" s="1058"/>
      <c r="C22" s="1345"/>
      <c r="D22" s="1345"/>
      <c r="E22" s="1345"/>
      <c r="F22" s="1345"/>
      <c r="G22" s="1345"/>
      <c r="H22" s="1345"/>
      <c r="I22" s="1345"/>
      <c r="J22" s="141"/>
    </row>
    <row r="23" spans="1:10" x14ac:dyDescent="0.2">
      <c r="A23" s="141"/>
      <c r="B23" s="1342" t="str">
        <f>Translations!$B$498</f>
        <v>C. Sukėlikliai</v>
      </c>
      <c r="C23" s="1343"/>
      <c r="D23" s="1343"/>
      <c r="E23" s="1343"/>
      <c r="F23" s="1343"/>
      <c r="G23" s="1343"/>
      <c r="H23" s="1343"/>
      <c r="I23" s="1343"/>
      <c r="J23" s="141"/>
    </row>
    <row r="24" spans="1:10" ht="5.0999999999999996" customHeight="1" x14ac:dyDescent="0.2">
      <c r="B24" s="1058"/>
      <c r="C24" s="1345"/>
      <c r="D24" s="1345"/>
      <c r="E24" s="1345"/>
      <c r="F24" s="1345"/>
      <c r="G24" s="1345"/>
      <c r="H24" s="1345"/>
      <c r="I24" s="1345"/>
      <c r="J24" s="141"/>
    </row>
    <row r="25" spans="1:10" x14ac:dyDescent="0.2">
      <c r="A25" s="141"/>
      <c r="B25" s="1342" t="str">
        <f>Translations!$B$499</f>
        <v>D. Matavimu grindžiami metodai</v>
      </c>
      <c r="C25" s="1343"/>
      <c r="D25" s="1343"/>
      <c r="E25" s="1343"/>
      <c r="F25" s="1343"/>
      <c r="G25" s="1343"/>
      <c r="H25" s="1343"/>
      <c r="I25" s="1343"/>
      <c r="J25" s="141"/>
    </row>
    <row r="26" spans="1:10" ht="5.0999999999999996" customHeight="1" x14ac:dyDescent="0.2">
      <c r="B26" s="1058"/>
      <c r="C26" s="1345"/>
      <c r="D26" s="1345"/>
      <c r="E26" s="1345"/>
      <c r="F26" s="1345"/>
      <c r="G26" s="1345"/>
      <c r="H26" s="1345"/>
      <c r="I26" s="1345"/>
      <c r="J26" s="141"/>
    </row>
    <row r="27" spans="1:10" x14ac:dyDescent="0.2">
      <c r="A27" s="141"/>
      <c r="B27" s="1342" t="str">
        <f>Translations!$B$500</f>
        <v>E. Alternatyvus metodas</v>
      </c>
      <c r="C27" s="1343"/>
      <c r="D27" s="1343"/>
      <c r="E27" s="1343"/>
      <c r="F27" s="1343"/>
      <c r="G27" s="1343"/>
      <c r="H27" s="1343"/>
      <c r="I27" s="1343"/>
      <c r="J27" s="141"/>
    </row>
    <row r="28" spans="1:10" ht="5.0999999999999996" customHeight="1" x14ac:dyDescent="0.2">
      <c r="B28" s="1058"/>
      <c r="C28" s="1345"/>
      <c r="D28" s="1345"/>
      <c r="E28" s="1345"/>
      <c r="F28" s="1345"/>
      <c r="G28" s="1345"/>
      <c r="H28" s="1345"/>
      <c r="I28" s="1345"/>
      <c r="J28" s="141"/>
    </row>
    <row r="29" spans="1:10" x14ac:dyDescent="0.2">
      <c r="A29" s="141"/>
      <c r="B29" s="1342" t="str">
        <f>Translations!$B$501</f>
        <v>F. Gaminant pirminį aliuminį išmetamo PFC kiekio nustatymas</v>
      </c>
      <c r="C29" s="1343"/>
      <c r="D29" s="1343"/>
      <c r="E29" s="1343"/>
      <c r="F29" s="1343"/>
      <c r="G29" s="1343"/>
      <c r="H29" s="1343"/>
      <c r="I29" s="1343"/>
      <c r="J29" s="141"/>
    </row>
    <row r="30" spans="1:10" ht="5.0999999999999996" customHeight="1" x14ac:dyDescent="0.2">
      <c r="B30" s="1058"/>
      <c r="C30" s="1345"/>
      <c r="D30" s="1345"/>
      <c r="E30" s="1345"/>
      <c r="F30" s="1345"/>
      <c r="G30" s="1345"/>
      <c r="H30" s="1345"/>
      <c r="I30" s="1345"/>
      <c r="J30" s="141"/>
    </row>
    <row r="31" spans="1:10" x14ac:dyDescent="0.2">
      <c r="A31" s="141"/>
      <c r="B31" s="1342" t="str">
        <f>Translations!$B$502</f>
        <v>G. Duomenų spragos</v>
      </c>
      <c r="C31" s="1343"/>
      <c r="D31" s="1343"/>
      <c r="E31" s="1343"/>
      <c r="F31" s="1343"/>
      <c r="G31" s="1343"/>
      <c r="H31" s="1343"/>
      <c r="I31" s="1343"/>
      <c r="J31" s="141"/>
    </row>
    <row r="32" spans="1:10" ht="5.0999999999999996" customHeight="1" x14ac:dyDescent="0.2">
      <c r="A32" s="142"/>
      <c r="B32" s="993"/>
      <c r="C32" s="993"/>
      <c r="D32" s="994"/>
      <c r="E32" s="994"/>
      <c r="F32" s="994"/>
      <c r="G32" s="994"/>
      <c r="H32" s="994"/>
      <c r="I32" s="994"/>
      <c r="J32" s="142"/>
    </row>
    <row r="33" spans="1:10" x14ac:dyDescent="0.2">
      <c r="A33" s="141"/>
      <c r="B33" s="1342" t="str">
        <f>Translations!$B$503</f>
        <v>H. Papildoma informacija</v>
      </c>
      <c r="C33" s="1343"/>
      <c r="D33" s="1343"/>
      <c r="E33" s="1343"/>
      <c r="F33" s="1343"/>
      <c r="G33" s="1343"/>
      <c r="H33" s="1343"/>
      <c r="I33" s="1343"/>
      <c r="J33" s="141"/>
    </row>
    <row r="34" spans="1:10" x14ac:dyDescent="0.2">
      <c r="A34" s="141"/>
      <c r="B34" s="1124"/>
      <c r="C34" s="1344" t="str">
        <f>Translations!$B$504</f>
        <v>Išsami informacija apie gamybą</v>
      </c>
      <c r="D34" s="1344"/>
      <c r="E34" s="1344"/>
      <c r="F34" s="1344"/>
      <c r="G34" s="1344"/>
      <c r="H34" s="1344"/>
      <c r="I34" s="1344"/>
      <c r="J34" s="141"/>
    </row>
    <row r="35" spans="1:10" x14ac:dyDescent="0.2">
      <c r="B35" s="996"/>
      <c r="C35" s="1344" t="str">
        <f>Translations!$B$505</f>
        <v>Apibrėžtys ir santrumpos</v>
      </c>
      <c r="D35" s="1344"/>
      <c r="E35" s="1344"/>
      <c r="F35" s="1344"/>
      <c r="G35" s="1344"/>
      <c r="H35" s="1344"/>
      <c r="I35" s="1344"/>
      <c r="J35" s="141"/>
    </row>
    <row r="36" spans="1:10" x14ac:dyDescent="0.2">
      <c r="B36" s="996"/>
      <c r="C36" s="1344" t="str">
        <f>Translations!$B$10</f>
        <v>Papildoma informacija</v>
      </c>
      <c r="D36" s="1344"/>
      <c r="E36" s="1344"/>
      <c r="F36" s="1344"/>
      <c r="G36" s="1344"/>
      <c r="H36" s="1344"/>
      <c r="I36" s="1344"/>
      <c r="J36" s="141"/>
    </row>
    <row r="37" spans="1:10" x14ac:dyDescent="0.2">
      <c r="B37" s="996"/>
      <c r="C37" s="1344" t="str">
        <f>Translations!$B$11</f>
        <v>Pastabos</v>
      </c>
      <c r="D37" s="1344"/>
      <c r="E37" s="1344"/>
      <c r="F37" s="1344"/>
      <c r="G37" s="1344"/>
      <c r="H37" s="1344"/>
      <c r="I37" s="1344"/>
      <c r="J37" s="141"/>
    </row>
    <row r="38" spans="1:10" ht="5.0999999999999996" customHeight="1" x14ac:dyDescent="0.2">
      <c r="A38" s="142"/>
      <c r="B38" s="993"/>
      <c r="C38" s="993"/>
      <c r="D38" s="994"/>
      <c r="E38" s="994"/>
      <c r="F38" s="994"/>
      <c r="G38" s="994"/>
      <c r="H38" s="994"/>
      <c r="I38" s="994"/>
      <c r="J38" s="142"/>
    </row>
    <row r="39" spans="1:10" x14ac:dyDescent="0.2">
      <c r="A39" s="141"/>
      <c r="B39" s="1342" t="str">
        <f>Translations!$B$506</f>
        <v>I. Santrauka</v>
      </c>
      <c r="C39" s="1343"/>
      <c r="D39" s="1343"/>
      <c r="E39" s="1343"/>
      <c r="F39" s="1343"/>
      <c r="G39" s="1343"/>
      <c r="H39" s="1343"/>
      <c r="I39" s="1343"/>
      <c r="J39" s="141"/>
    </row>
    <row r="40" spans="1:10" ht="5.0999999999999996" customHeight="1" x14ac:dyDescent="0.2">
      <c r="A40" s="142"/>
      <c r="B40" s="993"/>
      <c r="C40" s="993"/>
      <c r="D40" s="994"/>
      <c r="E40" s="994"/>
      <c r="F40" s="994"/>
      <c r="G40" s="994"/>
      <c r="H40" s="994"/>
      <c r="I40" s="994"/>
      <c r="J40" s="142"/>
    </row>
    <row r="41" spans="1:10" x14ac:dyDescent="0.2">
      <c r="A41" s="141"/>
      <c r="B41" s="1342" t="str">
        <f>Translations!$B$507</f>
        <v>J. Apskaita</v>
      </c>
      <c r="C41" s="1343"/>
      <c r="D41" s="1343"/>
      <c r="E41" s="1343"/>
      <c r="F41" s="1343"/>
      <c r="G41" s="1343"/>
      <c r="H41" s="1343"/>
      <c r="I41" s="1343"/>
      <c r="J41" s="141"/>
    </row>
    <row r="42" spans="1:10" x14ac:dyDescent="0.2">
      <c r="A42" s="142"/>
      <c r="B42" s="993"/>
      <c r="C42" s="993"/>
      <c r="D42" s="994"/>
      <c r="E42" s="994"/>
      <c r="F42" s="994"/>
      <c r="G42" s="994"/>
      <c r="H42" s="994"/>
      <c r="I42" s="994"/>
      <c r="J42" s="142"/>
    </row>
    <row r="43" spans="1:10" ht="13.5" thickBot="1" x14ac:dyDescent="0.25">
      <c r="B43" s="68" t="str">
        <f>Translations!$B$12</f>
        <v>Informacija apie šį failą</v>
      </c>
      <c r="J43" s="814"/>
    </row>
    <row r="44" spans="1:10" ht="12.75" customHeight="1" x14ac:dyDescent="0.2">
      <c r="B44" s="28" t="str">
        <f>Translations!$B$508</f>
        <v>Šią metinę išmetamųjų ŠESD kiekio ataskaitą pateikė:</v>
      </c>
      <c r="F44" s="180" t="str">
        <f>IF(ISBLANK('A_Operator&amp;Inst.ID'!$I$26),"",'A_Operator&amp;Inst.ID'!$I$26)</f>
        <v>UAB ,,Lietuvos cukrus"</v>
      </c>
      <c r="G44" s="181"/>
      <c r="H44" s="181"/>
      <c r="I44" s="182"/>
      <c r="J44" s="814"/>
    </row>
    <row r="45" spans="1:10" ht="12.75" customHeight="1" x14ac:dyDescent="0.2">
      <c r="B45" s="29" t="str">
        <f>Translations!$B$13</f>
        <v>Įrenginio pavadinimas</v>
      </c>
      <c r="F45" s="183" t="str">
        <f>IF(ISBLANK('A_Operator&amp;Inst.ID'!$I$43),"",'A_Operator&amp;Inst.ID'!$I$43)</f>
        <v>katilinė ir išspaudų džiovykla</v>
      </c>
      <c r="G45" s="184"/>
      <c r="H45" s="184"/>
      <c r="I45" s="185"/>
      <c r="J45" s="814"/>
    </row>
    <row r="46" spans="1:10" ht="13.5" thickBot="1" x14ac:dyDescent="0.25">
      <c r="B46" s="29" t="str">
        <f>Translations!$B$14</f>
        <v>Unikalus įrenginio kodas</v>
      </c>
      <c r="F46" s="921" t="str">
        <f>IF(ISBLANK('A_Operator&amp;Inst.ID'!$I$45),"",'A_Operator&amp;Inst.ID'!$I$45)</f>
        <v>LT0000000030</v>
      </c>
      <c r="G46" s="922"/>
      <c r="H46" s="922"/>
      <c r="I46" s="923"/>
    </row>
    <row r="48" spans="1:10" x14ac:dyDescent="0.2">
      <c r="B48" s="1346" t="str">
        <f>Translations!$B$509</f>
        <v>Jeigu Jūsų kompetentinga institucija reikalauja, kad Jūs pateiktumėte pasirašytą popierinę metinės išmetamųjų ŠESD kiekio ataskaitos kopiją, ją pasirašykite žemiau paliktoje vietoje:</v>
      </c>
      <c r="C48" s="1350"/>
      <c r="D48" s="1350"/>
      <c r="E48" s="1350"/>
      <c r="F48" s="1350"/>
      <c r="G48" s="1350"/>
      <c r="H48" s="1350"/>
      <c r="I48" s="1350"/>
    </row>
    <row r="49" spans="2:9" x14ac:dyDescent="0.2">
      <c r="B49" s="1350"/>
      <c r="C49" s="1350"/>
      <c r="D49" s="1350"/>
      <c r="E49" s="1350"/>
      <c r="F49" s="1350"/>
      <c r="G49" s="1350"/>
      <c r="H49" s="1350"/>
      <c r="I49" s="1350"/>
    </row>
    <row r="55" spans="2:9" ht="13.5" thickBot="1" x14ac:dyDescent="0.25">
      <c r="B55" s="1789">
        <v>43899</v>
      </c>
      <c r="C55" s="1358"/>
      <c r="D55" s="1358"/>
      <c r="F55" s="163" t="s">
        <v>1821</v>
      </c>
      <c r="G55" s="163"/>
      <c r="H55" s="163"/>
      <c r="I55" s="163"/>
    </row>
    <row r="56" spans="2:9" ht="25.5" customHeight="1" x14ac:dyDescent="0.2">
      <c r="B56" s="1351" t="str">
        <f>Translations!$B$15</f>
        <v>Data</v>
      </c>
      <c r="C56" s="1351"/>
      <c r="D56" s="1351"/>
      <c r="F56" s="1340" t="str">
        <f>Translations!$B$16</f>
        <v>Teisiškai atsakingo asmens vardas, pavardė ir parašas</v>
      </c>
      <c r="G56" s="1341"/>
      <c r="H56" s="1341"/>
      <c r="I56" s="1341"/>
    </row>
    <row r="57" spans="2:9" x14ac:dyDescent="0.2">
      <c r="D57" s="164"/>
      <c r="E57" s="164"/>
      <c r="F57" s="164"/>
      <c r="G57" s="164"/>
    </row>
    <row r="60" spans="2:9" ht="13.5" thickBot="1" x14ac:dyDescent="0.25">
      <c r="B60" s="68" t="str">
        <f>Translations!$B$17</f>
        <v>Informacija apie šablono versiją</v>
      </c>
    </row>
    <row r="61" spans="2:9" x14ac:dyDescent="0.2">
      <c r="B61" s="1352" t="str">
        <f>Translations!$B$18</f>
        <v>Šabloną pateikė</v>
      </c>
      <c r="C61" s="1353"/>
      <c r="D61" s="1353"/>
      <c r="E61" s="1354"/>
      <c r="F61" s="165" t="str">
        <f>VersionDocumentation!B4</f>
        <v>Lithuania</v>
      </c>
      <c r="G61" s="157"/>
      <c r="H61" s="157"/>
      <c r="I61" s="158"/>
    </row>
    <row r="62" spans="2:9" x14ac:dyDescent="0.2">
      <c r="B62" s="1355" t="str">
        <f>Translations!$B$19</f>
        <v>Paskelbimo data</v>
      </c>
      <c r="C62" s="1356"/>
      <c r="D62" s="1356"/>
      <c r="E62" s="1357"/>
      <c r="F62" s="815">
        <f>VersionDocumentation!B3</f>
        <v>42356</v>
      </c>
      <c r="G62" s="159"/>
      <c r="H62" s="159"/>
      <c r="I62" s="160"/>
    </row>
    <row r="63" spans="2:9" x14ac:dyDescent="0.2">
      <c r="B63" s="1355" t="str">
        <f>Translations!$B$20</f>
        <v>Kalba</v>
      </c>
      <c r="C63" s="1356"/>
      <c r="D63" s="1356"/>
      <c r="E63" s="1357"/>
      <c r="F63" s="166" t="str">
        <f>VersionDocumentation!B5</f>
        <v>Lithuanian</v>
      </c>
      <c r="G63" s="159"/>
      <c r="H63" s="159"/>
      <c r="I63" s="160"/>
    </row>
    <row r="64" spans="2:9" ht="13.5" thickBot="1" x14ac:dyDescent="0.25">
      <c r="B64" s="1347" t="str">
        <f>Translations!$B$21</f>
        <v>Failo pavadinimas</v>
      </c>
      <c r="C64" s="1348"/>
      <c r="D64" s="1348"/>
      <c r="E64" s="1349"/>
      <c r="F64" s="167" t="str">
        <f>VersionDocumentation!C3</f>
        <v>P3 Inst AER_LT_lt_181215.xls</v>
      </c>
      <c r="G64" s="161"/>
      <c r="H64" s="161"/>
      <c r="I64" s="162"/>
    </row>
  </sheetData>
  <sheetProtection formatCells="0" formatColumns="0" formatRows="0"/>
  <mergeCells count="40">
    <mergeCell ref="C34:I34"/>
    <mergeCell ref="B7:I7"/>
    <mergeCell ref="B8:I8"/>
    <mergeCell ref="B64:E64"/>
    <mergeCell ref="B48:I49"/>
    <mergeCell ref="B56:D56"/>
    <mergeCell ref="B61:E61"/>
    <mergeCell ref="B62:E62"/>
    <mergeCell ref="B63:E63"/>
    <mergeCell ref="B55:D55"/>
    <mergeCell ref="B9:I9"/>
    <mergeCell ref="B10:I10"/>
    <mergeCell ref="B23:I23"/>
    <mergeCell ref="B25:I25"/>
    <mergeCell ref="C11:I11"/>
    <mergeCell ref="C12:I12"/>
    <mergeCell ref="C22:I22"/>
    <mergeCell ref="C24:I24"/>
    <mergeCell ref="C13:I13"/>
    <mergeCell ref="C16:I16"/>
    <mergeCell ref="C18:I18"/>
    <mergeCell ref="C19:I19"/>
    <mergeCell ref="C21:I21"/>
    <mergeCell ref="B17:I17"/>
    <mergeCell ref="F56:I56"/>
    <mergeCell ref="B41:I41"/>
    <mergeCell ref="B31:I31"/>
    <mergeCell ref="C14:I14"/>
    <mergeCell ref="C15:I15"/>
    <mergeCell ref="B33:I33"/>
    <mergeCell ref="C30:I30"/>
    <mergeCell ref="B39:I39"/>
    <mergeCell ref="C36:I36"/>
    <mergeCell ref="C37:I37"/>
    <mergeCell ref="C20:I20"/>
    <mergeCell ref="C35:I35"/>
    <mergeCell ref="C28:I28"/>
    <mergeCell ref="C26:I26"/>
    <mergeCell ref="B27:I27"/>
    <mergeCell ref="B29:I29"/>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63" fitToHeight="0"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enableFormatConditionsCalculation="0">
    <tabColor indexed="9"/>
    <pageSetUpPr fitToPage="1"/>
  </sheetPr>
  <dimension ref="A1:S92"/>
  <sheetViews>
    <sheetView topLeftCell="B1" zoomScaleNormal="100" workbookViewId="0">
      <pane ySplit="4" topLeftCell="A65" activePane="bottomLeft" state="frozen"/>
      <selection pane="bottomLeft" activeCell="A6" sqref="A6"/>
    </sheetView>
  </sheetViews>
  <sheetFormatPr defaultColWidth="11.42578125" defaultRowHeight="12.75" x14ac:dyDescent="0.2"/>
  <cols>
    <col min="1" max="1" width="3.140625" style="1" hidden="1" customWidth="1"/>
    <col min="2" max="2" width="4.140625" style="1" customWidth="1"/>
    <col min="3" max="13" width="12.7109375" style="1" customWidth="1"/>
    <col min="14" max="14" width="7.7109375" style="200" customWidth="1"/>
    <col min="15" max="15" width="11.42578125" style="1" hidden="1" customWidth="1"/>
    <col min="16" max="18" width="11.42578125" style="1047" hidden="1" customWidth="1"/>
    <col min="19" max="16384" width="11.42578125" style="1"/>
  </cols>
  <sheetData>
    <row r="1" spans="1:19" ht="13.5" hidden="1" thickBot="1" x14ac:dyDescent="0.25">
      <c r="A1" s="55" t="s">
        <v>85</v>
      </c>
      <c r="B1" s="772"/>
      <c r="C1" s="773"/>
      <c r="D1" s="774"/>
      <c r="E1" s="773"/>
      <c r="F1" s="772"/>
      <c r="G1" s="772"/>
      <c r="H1" s="772"/>
      <c r="I1" s="772"/>
      <c r="J1" s="772"/>
      <c r="K1" s="772"/>
      <c r="L1" s="772"/>
      <c r="M1" s="772"/>
      <c r="N1" s="772"/>
      <c r="O1" s="55" t="s">
        <v>85</v>
      </c>
      <c r="P1" s="1119" t="s">
        <v>85</v>
      </c>
      <c r="Q1" s="1119" t="s">
        <v>85</v>
      </c>
      <c r="R1" s="1119" t="s">
        <v>85</v>
      </c>
    </row>
    <row r="2" spans="1:19" ht="24.95" customHeight="1" thickBot="1" x14ac:dyDescent="0.25">
      <c r="A2" s="1476" t="s">
        <v>564</v>
      </c>
      <c r="B2" s="1637"/>
      <c r="C2" s="1638"/>
      <c r="D2" s="1488" t="str">
        <f>Translations!$B$23</f>
        <v>Naršymo laukas</v>
      </c>
      <c r="E2" s="1444"/>
      <c r="F2" s="1426" t="str">
        <f>Translations!$B$24</f>
        <v>Turinys</v>
      </c>
      <c r="G2" s="1427"/>
      <c r="H2" s="1426" t="str">
        <f>Translations!$B$25</f>
        <v>Ankstesnis lapas</v>
      </c>
      <c r="I2" s="1427"/>
      <c r="J2" s="1426" t="str">
        <f>Translations!$B$26</f>
        <v>Kitas lapas</v>
      </c>
      <c r="K2" s="1427"/>
      <c r="L2" s="1426"/>
      <c r="M2" s="1427"/>
      <c r="N2" s="982"/>
    </row>
    <row r="3" spans="1:19" ht="24.95" customHeight="1" x14ac:dyDescent="0.2">
      <c r="A3" s="1639"/>
      <c r="B3" s="1640"/>
      <c r="C3" s="1641"/>
      <c r="D3" s="1431" t="str">
        <f>Translations!$B$27</f>
        <v>Lapo viršus</v>
      </c>
      <c r="E3" s="1431"/>
      <c r="F3" s="1745" t="str">
        <f>Translations!$B$767</f>
        <v>Išsami informacija apie gamybą</v>
      </c>
      <c r="G3" s="1728"/>
      <c r="H3" s="1728" t="str">
        <f>Translations!$B$505</f>
        <v>Apibrėžtys ir santrumpos</v>
      </c>
      <c r="I3" s="1728"/>
      <c r="J3" s="1731" t="str">
        <f>Translations!$B$768</f>
        <v>Papildoma informacija</v>
      </c>
      <c r="K3" s="1731"/>
      <c r="L3" s="1702" t="str">
        <f>Translations!$B$11</f>
        <v>Pastabos</v>
      </c>
      <c r="M3" s="1703"/>
      <c r="N3" s="723"/>
    </row>
    <row r="4" spans="1:19" ht="24.95" customHeight="1" thickBot="1" x14ac:dyDescent="0.25">
      <c r="A4" s="1721"/>
      <c r="B4" s="1722"/>
      <c r="C4" s="1723"/>
      <c r="D4" s="1431"/>
      <c r="E4" s="1431"/>
      <c r="F4" s="1729"/>
      <c r="G4" s="1730"/>
      <c r="H4" s="1730"/>
      <c r="I4" s="1730"/>
      <c r="J4" s="1730"/>
      <c r="K4" s="1730"/>
      <c r="L4" s="1431"/>
      <c r="M4" s="1431"/>
      <c r="N4" s="723"/>
    </row>
    <row r="5" spans="1:19" x14ac:dyDescent="0.2">
      <c r="A5" s="983"/>
      <c r="B5" s="195"/>
      <c r="C5" s="260"/>
      <c r="D5" s="260"/>
      <c r="E5" s="267"/>
      <c r="F5" s="267"/>
      <c r="G5" s="260"/>
      <c r="H5" s="260"/>
      <c r="I5" s="260"/>
      <c r="J5" s="260"/>
      <c r="K5" s="260"/>
      <c r="L5" s="260"/>
      <c r="M5" s="260"/>
      <c r="N5" s="723"/>
    </row>
    <row r="6" spans="1:19" ht="18" customHeight="1" x14ac:dyDescent="0.2">
      <c r="A6" s="983"/>
      <c r="B6" s="1724" t="str">
        <f>Translations!$B$769</f>
        <v>H. Further Information on this report (Papildoma informacija apie šią ataskaitą)</v>
      </c>
      <c r="C6" s="1724"/>
      <c r="D6" s="1724"/>
      <c r="E6" s="1724"/>
      <c r="F6" s="1724"/>
      <c r="G6" s="1724"/>
      <c r="H6" s="1724"/>
      <c r="I6" s="1724"/>
      <c r="J6" s="1724"/>
      <c r="K6" s="260"/>
      <c r="L6" s="260"/>
      <c r="M6" s="260"/>
      <c r="N6" s="723"/>
    </row>
    <row r="7" spans="1:19" ht="12.75" customHeight="1" x14ac:dyDescent="0.2">
      <c r="A7" s="983"/>
      <c r="B7" s="260"/>
      <c r="C7" s="260"/>
      <c r="D7" s="260"/>
      <c r="E7" s="260"/>
      <c r="F7" s="260"/>
      <c r="G7" s="260"/>
      <c r="H7" s="260"/>
      <c r="I7" s="260"/>
      <c r="J7" s="260"/>
      <c r="K7" s="260"/>
      <c r="L7" s="260"/>
      <c r="M7" s="260"/>
      <c r="N7" s="723"/>
    </row>
    <row r="8" spans="1:19" s="28" customFormat="1" ht="18.75" customHeight="1" x14ac:dyDescent="0.2">
      <c r="A8" s="805"/>
      <c r="B8" s="35">
        <v>14</v>
      </c>
      <c r="C8" s="1592" t="str">
        <f>Translations!$B$767</f>
        <v>Išsami informacija apie gamybą</v>
      </c>
      <c r="D8" s="1592"/>
      <c r="E8" s="1592"/>
      <c r="F8" s="1592"/>
      <c r="G8" s="1592"/>
      <c r="H8" s="1592"/>
      <c r="I8" s="1592"/>
      <c r="J8" s="1592"/>
      <c r="K8" s="1592"/>
      <c r="L8" s="1592"/>
      <c r="M8" s="1592"/>
      <c r="N8" s="730"/>
      <c r="P8" s="1051"/>
      <c r="Q8" s="1051"/>
      <c r="R8" s="1051"/>
    </row>
    <row r="9" spans="1:19" ht="5.0999999999999996" customHeight="1" x14ac:dyDescent="0.2">
      <c r="A9" s="801"/>
      <c r="B9" s="262"/>
      <c r="C9" s="984"/>
      <c r="D9" s="984"/>
      <c r="E9" s="984"/>
      <c r="F9" s="984"/>
      <c r="G9" s="984"/>
      <c r="H9" s="984"/>
      <c r="I9" s="984"/>
      <c r="J9" s="984"/>
      <c r="K9" s="260"/>
      <c r="L9" s="260"/>
      <c r="M9" s="260"/>
      <c r="N9" s="723"/>
    </row>
    <row r="10" spans="1:19" ht="12.75" customHeight="1" x14ac:dyDescent="0.2">
      <c r="A10" s="716"/>
      <c r="B10" s="720"/>
      <c r="C10" s="1568" t="str">
        <f>Translations!$B$770</f>
        <v>Čia pateikite informaciją apie produktus, įskaitant (centrinį) šildymą arba elektros energijos gamybą, kurie gaminami įrenginyje.</v>
      </c>
      <c r="D10" s="1569"/>
      <c r="E10" s="1569"/>
      <c r="F10" s="1569"/>
      <c r="G10" s="1569"/>
      <c r="H10" s="1569"/>
      <c r="I10" s="1569"/>
      <c r="J10" s="1569"/>
      <c r="K10" s="1569"/>
      <c r="L10" s="1569"/>
      <c r="N10" s="733"/>
    </row>
    <row r="11" spans="1:19" s="196" customFormat="1" ht="25.5" customHeight="1" x14ac:dyDescent="0.2">
      <c r="A11" s="716"/>
      <c r="C11" s="1602" t="str">
        <f>Translations!$B$771</f>
        <v>Pateikite su konkrečia valstybe nare susijusias rekomendacijas, ypač apie šios informacijos būklę, kiek tai susiję su įvertinimu.</v>
      </c>
      <c r="D11" s="1602"/>
      <c r="E11" s="1602"/>
      <c r="F11" s="1602"/>
      <c r="G11" s="1602"/>
      <c r="H11" s="1602"/>
      <c r="I11" s="1602"/>
      <c r="J11" s="1602"/>
      <c r="K11" s="1602"/>
      <c r="L11" s="1602"/>
      <c r="N11" s="725"/>
      <c r="O11" s="1"/>
      <c r="P11" s="1047"/>
      <c r="Q11" s="1047"/>
      <c r="R11" s="1047"/>
      <c r="S11" s="1"/>
    </row>
    <row r="12" spans="1:19" ht="12.75" customHeight="1" x14ac:dyDescent="0.2">
      <c r="A12" s="983"/>
      <c r="B12" s="260"/>
      <c r="C12" s="260"/>
      <c r="D12" s="260"/>
      <c r="E12" s="260"/>
      <c r="F12" s="260"/>
      <c r="G12" s="260"/>
      <c r="H12" s="260"/>
      <c r="I12" s="260"/>
      <c r="J12" s="260"/>
      <c r="K12" s="260"/>
      <c r="L12" s="260"/>
      <c r="M12" s="260"/>
      <c r="N12" s="723"/>
    </row>
    <row r="13" spans="1:19" ht="12.75" customHeight="1" x14ac:dyDescent="0.2">
      <c r="A13" s="983"/>
      <c r="B13" s="260"/>
      <c r="C13" s="1601" t="str">
        <f>Translations!$B$772</f>
        <v>Produkto identifikatorius (pavadinimas)</v>
      </c>
      <c r="D13" s="1601"/>
      <c r="E13" s="1601"/>
      <c r="F13" s="1601"/>
      <c r="G13" s="1601" t="str">
        <f>Translations!$B$773</f>
        <v>PRODCOM kodas</v>
      </c>
      <c r="H13" s="1601"/>
      <c r="I13" s="1601"/>
      <c r="J13" s="205" t="str">
        <f>Translations!$B$158</f>
        <v>Vienetas</v>
      </c>
      <c r="K13" s="1743" t="str">
        <f>Translations!$B$774</f>
        <v>Veiklos lygis</v>
      </c>
      <c r="L13" s="1743"/>
      <c r="M13" s="260"/>
      <c r="N13" s="723"/>
      <c r="R13" s="1119" t="s">
        <v>598</v>
      </c>
    </row>
    <row r="14" spans="1:19" ht="12.75" customHeight="1" x14ac:dyDescent="0.2">
      <c r="A14" s="983"/>
      <c r="B14" s="1117">
        <v>1</v>
      </c>
      <c r="C14" s="1725"/>
      <c r="D14" s="1725"/>
      <c r="E14" s="1725"/>
      <c r="F14" s="1725"/>
      <c r="G14" s="1726"/>
      <c r="H14" s="1726"/>
      <c r="I14" s="1726"/>
      <c r="J14" s="1118"/>
      <c r="K14" s="1744"/>
      <c r="L14" s="1744"/>
      <c r="M14" s="260"/>
      <c r="N14" s="723"/>
      <c r="R14" s="1120" t="b">
        <f>MSPara_ProductionMandatory</f>
        <v>0</v>
      </c>
    </row>
    <row r="15" spans="1:19" ht="12.75" customHeight="1" x14ac:dyDescent="0.2">
      <c r="A15" s="983"/>
      <c r="B15" s="1117">
        <v>2</v>
      </c>
      <c r="C15" s="1725"/>
      <c r="D15" s="1725"/>
      <c r="E15" s="1725"/>
      <c r="F15" s="1725"/>
      <c r="G15" s="1726"/>
      <c r="H15" s="1726"/>
      <c r="I15" s="1726"/>
      <c r="J15" s="1118"/>
      <c r="K15" s="1744"/>
      <c r="L15" s="1744"/>
      <c r="M15" s="260"/>
      <c r="N15" s="723"/>
      <c r="R15" s="1120" t="b">
        <f>R14</f>
        <v>0</v>
      </c>
    </row>
    <row r="16" spans="1:19" ht="12.75" customHeight="1" x14ac:dyDescent="0.2">
      <c r="A16" s="983"/>
      <c r="B16" s="1117">
        <v>3</v>
      </c>
      <c r="C16" s="1725"/>
      <c r="D16" s="1725"/>
      <c r="E16" s="1725"/>
      <c r="F16" s="1725"/>
      <c r="G16" s="1726"/>
      <c r="H16" s="1726"/>
      <c r="I16" s="1726"/>
      <c r="J16" s="1118"/>
      <c r="K16" s="1744"/>
      <c r="L16" s="1744"/>
      <c r="M16" s="260"/>
      <c r="N16" s="723"/>
      <c r="R16" s="1120" t="b">
        <f t="shared" ref="R16:R23" si="0">R15</f>
        <v>0</v>
      </c>
    </row>
    <row r="17" spans="1:18" ht="12.75" customHeight="1" x14ac:dyDescent="0.2">
      <c r="A17" s="983"/>
      <c r="B17" s="1117">
        <v>4</v>
      </c>
      <c r="C17" s="1725"/>
      <c r="D17" s="1725"/>
      <c r="E17" s="1725"/>
      <c r="F17" s="1725"/>
      <c r="G17" s="1726"/>
      <c r="H17" s="1726"/>
      <c r="I17" s="1726"/>
      <c r="J17" s="1118"/>
      <c r="K17" s="1744"/>
      <c r="L17" s="1744"/>
      <c r="M17" s="260"/>
      <c r="N17" s="723"/>
      <c r="R17" s="1120" t="b">
        <f t="shared" si="0"/>
        <v>0</v>
      </c>
    </row>
    <row r="18" spans="1:18" ht="12.75" customHeight="1" x14ac:dyDescent="0.2">
      <c r="A18" s="983"/>
      <c r="B18" s="1117">
        <v>5</v>
      </c>
      <c r="C18" s="1725"/>
      <c r="D18" s="1725"/>
      <c r="E18" s="1725"/>
      <c r="F18" s="1725"/>
      <c r="G18" s="1726"/>
      <c r="H18" s="1726"/>
      <c r="I18" s="1726"/>
      <c r="J18" s="1118"/>
      <c r="K18" s="1744"/>
      <c r="L18" s="1744"/>
      <c r="M18" s="260"/>
      <c r="N18" s="723"/>
      <c r="R18" s="1120" t="b">
        <f t="shared" si="0"/>
        <v>0</v>
      </c>
    </row>
    <row r="19" spans="1:18" ht="12.75" customHeight="1" x14ac:dyDescent="0.2">
      <c r="A19" s="983"/>
      <c r="B19" s="1117">
        <v>6</v>
      </c>
      <c r="C19" s="1725"/>
      <c r="D19" s="1725"/>
      <c r="E19" s="1725"/>
      <c r="F19" s="1725"/>
      <c r="G19" s="1726"/>
      <c r="H19" s="1726"/>
      <c r="I19" s="1726"/>
      <c r="J19" s="1118"/>
      <c r="K19" s="1744"/>
      <c r="L19" s="1744"/>
      <c r="M19" s="260"/>
      <c r="N19" s="723"/>
      <c r="R19" s="1120" t="b">
        <f t="shared" si="0"/>
        <v>0</v>
      </c>
    </row>
    <row r="20" spans="1:18" ht="12.75" customHeight="1" x14ac:dyDescent="0.2">
      <c r="A20" s="983"/>
      <c r="B20" s="1117">
        <v>7</v>
      </c>
      <c r="C20" s="1725"/>
      <c r="D20" s="1725"/>
      <c r="E20" s="1725"/>
      <c r="F20" s="1725"/>
      <c r="G20" s="1726"/>
      <c r="H20" s="1726"/>
      <c r="I20" s="1726"/>
      <c r="J20" s="1118"/>
      <c r="K20" s="1744"/>
      <c r="L20" s="1744"/>
      <c r="M20" s="260"/>
      <c r="N20" s="723"/>
      <c r="R20" s="1120" t="b">
        <f t="shared" si="0"/>
        <v>0</v>
      </c>
    </row>
    <row r="21" spans="1:18" ht="12.75" customHeight="1" x14ac:dyDescent="0.2">
      <c r="A21" s="983"/>
      <c r="B21" s="1117">
        <v>8</v>
      </c>
      <c r="C21" s="1725"/>
      <c r="D21" s="1725"/>
      <c r="E21" s="1725"/>
      <c r="F21" s="1725"/>
      <c r="G21" s="1726"/>
      <c r="H21" s="1726"/>
      <c r="I21" s="1726"/>
      <c r="J21" s="1118"/>
      <c r="K21" s="1744"/>
      <c r="L21" s="1744"/>
      <c r="M21" s="260"/>
      <c r="N21" s="723"/>
      <c r="R21" s="1120" t="b">
        <f t="shared" si="0"/>
        <v>0</v>
      </c>
    </row>
    <row r="22" spans="1:18" ht="12.75" customHeight="1" x14ac:dyDescent="0.2">
      <c r="A22" s="983"/>
      <c r="B22" s="1117">
        <v>9</v>
      </c>
      <c r="C22" s="1725"/>
      <c r="D22" s="1725"/>
      <c r="E22" s="1725"/>
      <c r="F22" s="1725"/>
      <c r="G22" s="1726"/>
      <c r="H22" s="1726"/>
      <c r="I22" s="1726"/>
      <c r="J22" s="1118"/>
      <c r="K22" s="1744"/>
      <c r="L22" s="1744"/>
      <c r="M22" s="260"/>
      <c r="N22" s="723"/>
      <c r="R22" s="1120" t="b">
        <f t="shared" si="0"/>
        <v>0</v>
      </c>
    </row>
    <row r="23" spans="1:18" ht="12.75" customHeight="1" x14ac:dyDescent="0.2">
      <c r="A23" s="983"/>
      <c r="B23" s="1117">
        <v>10</v>
      </c>
      <c r="C23" s="1725"/>
      <c r="D23" s="1725"/>
      <c r="E23" s="1725"/>
      <c r="F23" s="1725"/>
      <c r="G23" s="1726"/>
      <c r="H23" s="1726"/>
      <c r="I23" s="1726"/>
      <c r="J23" s="1118"/>
      <c r="K23" s="1744"/>
      <c r="L23" s="1744"/>
      <c r="M23" s="260"/>
      <c r="N23" s="723"/>
      <c r="R23" s="1120" t="b">
        <f t="shared" si="0"/>
        <v>0</v>
      </c>
    </row>
    <row r="24" spans="1:18" ht="12.75" customHeight="1" x14ac:dyDescent="0.2">
      <c r="A24" s="983"/>
      <c r="B24" s="260"/>
      <c r="C24" s="260"/>
      <c r="D24" s="260"/>
      <c r="E24" s="260"/>
      <c r="F24" s="260"/>
      <c r="G24" s="260"/>
      <c r="H24" s="260"/>
      <c r="I24" s="260"/>
      <c r="J24" s="260"/>
      <c r="K24" s="260"/>
      <c r="L24" s="260"/>
      <c r="M24" s="260"/>
      <c r="N24" s="723"/>
    </row>
    <row r="25" spans="1:18" s="28" customFormat="1" ht="18.75" customHeight="1" x14ac:dyDescent="0.2">
      <c r="A25" s="805"/>
      <c r="B25" s="35">
        <v>15</v>
      </c>
      <c r="C25" s="1592" t="str">
        <f>Translations!$B$9</f>
        <v>Vartojamų sąvokų ir santrumpų sąrašas</v>
      </c>
      <c r="D25" s="1592"/>
      <c r="E25" s="1592"/>
      <c r="F25" s="1592"/>
      <c r="G25" s="1592"/>
      <c r="H25" s="1592"/>
      <c r="I25" s="1592"/>
      <c r="J25" s="1592"/>
      <c r="K25" s="1592"/>
      <c r="L25" s="1592"/>
      <c r="M25" s="1592"/>
      <c r="N25" s="730"/>
      <c r="P25" s="1051"/>
      <c r="Q25" s="1051"/>
      <c r="R25" s="1051"/>
    </row>
    <row r="26" spans="1:18" ht="5.0999999999999996" customHeight="1" x14ac:dyDescent="0.2">
      <c r="A26" s="801"/>
      <c r="B26" s="262"/>
      <c r="C26" s="984"/>
      <c r="D26" s="984"/>
      <c r="E26" s="984"/>
      <c r="F26" s="984"/>
      <c r="G26" s="984"/>
      <c r="H26" s="984"/>
      <c r="I26" s="984"/>
      <c r="J26" s="984"/>
      <c r="K26" s="260"/>
      <c r="L26" s="260"/>
      <c r="M26" s="260"/>
      <c r="N26" s="723"/>
    </row>
    <row r="27" spans="1:18" ht="12.75" customHeight="1" x14ac:dyDescent="0.2">
      <c r="A27" s="801"/>
      <c r="B27" s="261"/>
      <c r="C27" s="1395" t="str">
        <f>Translations!$B$775</f>
        <v>Pateikite santrumpų, akronimų arba apibrėžčių, kuriuos naudojote rengdami šią metinę išmetamųjų ŠESD kiekio ataskaitą, sąrašą.</v>
      </c>
      <c r="D27" s="1395"/>
      <c r="E27" s="1395"/>
      <c r="F27" s="1395"/>
      <c r="G27" s="1395"/>
      <c r="H27" s="1395"/>
      <c r="I27" s="1395"/>
      <c r="J27" s="1395"/>
      <c r="K27" s="1395"/>
      <c r="L27" s="1395"/>
      <c r="M27" s="260"/>
      <c r="N27" s="723"/>
    </row>
    <row r="28" spans="1:18" ht="5.0999999999999996" customHeight="1" x14ac:dyDescent="0.2">
      <c r="A28" s="801"/>
      <c r="B28" s="262"/>
      <c r="C28" s="984"/>
      <c r="D28" s="984"/>
      <c r="E28" s="984"/>
      <c r="F28" s="984"/>
      <c r="G28" s="984"/>
      <c r="H28" s="984"/>
      <c r="I28" s="984"/>
      <c r="J28" s="984"/>
      <c r="K28" s="260"/>
      <c r="L28" s="260"/>
      <c r="M28" s="260"/>
      <c r="N28" s="723"/>
    </row>
    <row r="29" spans="1:18" x14ac:dyDescent="0.2">
      <c r="A29" s="801"/>
      <c r="B29" s="985"/>
      <c r="C29" s="1601" t="str">
        <f>Translations!$B$172</f>
        <v>Santrumpa</v>
      </c>
      <c r="D29" s="1701"/>
      <c r="E29" s="1601" t="str">
        <f>Translations!$B$173</f>
        <v>Apibrėžtis</v>
      </c>
      <c r="F29" s="1701"/>
      <c r="G29" s="1701"/>
      <c r="H29" s="1701"/>
      <c r="I29" s="1701"/>
      <c r="J29" s="1701"/>
      <c r="K29" s="1701"/>
      <c r="L29" s="1701"/>
      <c r="M29" s="260"/>
      <c r="N29" s="723"/>
    </row>
    <row r="30" spans="1:18" x14ac:dyDescent="0.2">
      <c r="A30" s="801"/>
      <c r="B30" s="985"/>
      <c r="C30" s="1725"/>
      <c r="D30" s="1725"/>
      <c r="E30" s="1726"/>
      <c r="F30" s="1726"/>
      <c r="G30" s="1726"/>
      <c r="H30" s="1726"/>
      <c r="I30" s="1726"/>
      <c r="J30" s="1726"/>
      <c r="K30" s="1726"/>
      <c r="L30" s="1726"/>
      <c r="M30" s="260"/>
      <c r="N30" s="723"/>
    </row>
    <row r="31" spans="1:18" x14ac:dyDescent="0.2">
      <c r="A31" s="801"/>
      <c r="B31" s="985"/>
      <c r="C31" s="1725"/>
      <c r="D31" s="1725"/>
      <c r="E31" s="1726"/>
      <c r="F31" s="1726"/>
      <c r="G31" s="1726"/>
      <c r="H31" s="1726"/>
      <c r="I31" s="1726"/>
      <c r="J31" s="1726"/>
      <c r="K31" s="1726"/>
      <c r="L31" s="1726"/>
      <c r="M31" s="260"/>
      <c r="N31" s="723"/>
    </row>
    <row r="32" spans="1:18" x14ac:dyDescent="0.2">
      <c r="A32" s="801"/>
      <c r="B32" s="985"/>
      <c r="C32" s="1725"/>
      <c r="D32" s="1725"/>
      <c r="E32" s="1726"/>
      <c r="F32" s="1726"/>
      <c r="G32" s="1726"/>
      <c r="H32" s="1726"/>
      <c r="I32" s="1726"/>
      <c r="J32" s="1726"/>
      <c r="K32" s="1726"/>
      <c r="L32" s="1726"/>
      <c r="M32" s="260"/>
      <c r="N32" s="723"/>
    </row>
    <row r="33" spans="1:18" x14ac:dyDescent="0.2">
      <c r="A33" s="801"/>
      <c r="B33" s="985"/>
      <c r="C33" s="1725"/>
      <c r="D33" s="1725"/>
      <c r="E33" s="1726"/>
      <c r="F33" s="1726"/>
      <c r="G33" s="1726"/>
      <c r="H33" s="1726"/>
      <c r="I33" s="1726"/>
      <c r="J33" s="1726"/>
      <c r="K33" s="1726"/>
      <c r="L33" s="1726"/>
      <c r="M33" s="260"/>
      <c r="N33" s="723"/>
    </row>
    <row r="34" spans="1:18" x14ac:dyDescent="0.2">
      <c r="A34" s="801"/>
      <c r="B34" s="985"/>
      <c r="C34" s="1725"/>
      <c r="D34" s="1725"/>
      <c r="E34" s="1726"/>
      <c r="F34" s="1726"/>
      <c r="G34" s="1726"/>
      <c r="H34" s="1726"/>
      <c r="I34" s="1726"/>
      <c r="J34" s="1726"/>
      <c r="K34" s="1726"/>
      <c r="L34" s="1726"/>
      <c r="M34" s="260"/>
      <c r="N34" s="723"/>
    </row>
    <row r="35" spans="1:18" x14ac:dyDescent="0.2">
      <c r="A35" s="801"/>
      <c r="B35" s="985"/>
      <c r="C35" s="1725"/>
      <c r="D35" s="1725"/>
      <c r="E35" s="1726"/>
      <c r="F35" s="1726"/>
      <c r="G35" s="1726"/>
      <c r="H35" s="1726"/>
      <c r="I35" s="1726"/>
      <c r="J35" s="1726"/>
      <c r="K35" s="1726"/>
      <c r="L35" s="1726"/>
      <c r="M35" s="260"/>
      <c r="N35" s="723"/>
    </row>
    <row r="36" spans="1:18" x14ac:dyDescent="0.2">
      <c r="A36" s="801"/>
      <c r="B36" s="985"/>
      <c r="C36" s="1725"/>
      <c r="D36" s="1725"/>
      <c r="E36" s="1726"/>
      <c r="F36" s="1726"/>
      <c r="G36" s="1726"/>
      <c r="H36" s="1726"/>
      <c r="I36" s="1726"/>
      <c r="J36" s="1726"/>
      <c r="K36" s="1726"/>
      <c r="L36" s="1726"/>
      <c r="M36" s="260"/>
      <c r="N36" s="723"/>
    </row>
    <row r="37" spans="1:18" x14ac:dyDescent="0.2">
      <c r="A37" s="801"/>
      <c r="B37" s="985"/>
      <c r="C37" s="1725"/>
      <c r="D37" s="1725"/>
      <c r="E37" s="1726"/>
      <c r="F37" s="1726"/>
      <c r="G37" s="1726"/>
      <c r="H37" s="1726"/>
      <c r="I37" s="1726"/>
      <c r="J37" s="1726"/>
      <c r="K37" s="1726"/>
      <c r="L37" s="1726"/>
      <c r="M37" s="260"/>
      <c r="N37" s="723"/>
    </row>
    <row r="38" spans="1:18" x14ac:dyDescent="0.2">
      <c r="A38" s="801"/>
      <c r="B38" s="985"/>
      <c r="C38" s="1725"/>
      <c r="D38" s="1725"/>
      <c r="E38" s="1726"/>
      <c r="F38" s="1726"/>
      <c r="G38" s="1726"/>
      <c r="H38" s="1726"/>
      <c r="I38" s="1726"/>
      <c r="J38" s="1726"/>
      <c r="K38" s="1726"/>
      <c r="L38" s="1726"/>
      <c r="M38" s="260"/>
      <c r="N38" s="723"/>
    </row>
    <row r="39" spans="1:18" x14ac:dyDescent="0.2">
      <c r="A39" s="801"/>
      <c r="B39" s="985"/>
      <c r="C39" s="1725"/>
      <c r="D39" s="1725"/>
      <c r="E39" s="1726"/>
      <c r="F39" s="1726"/>
      <c r="G39" s="1726"/>
      <c r="H39" s="1726"/>
      <c r="I39" s="1726"/>
      <c r="J39" s="1726"/>
      <c r="K39" s="1726"/>
      <c r="L39" s="1726"/>
      <c r="M39" s="260"/>
      <c r="N39" s="723"/>
    </row>
    <row r="40" spans="1:18" x14ac:dyDescent="0.2">
      <c r="A40" s="801"/>
      <c r="B40" s="260"/>
      <c r="C40" s="265"/>
      <c r="D40" s="266"/>
      <c r="E40" s="266"/>
      <c r="F40" s="266"/>
      <c r="G40" s="266"/>
      <c r="H40" s="266"/>
      <c r="I40" s="266"/>
      <c r="J40" s="266"/>
      <c r="K40" s="266"/>
      <c r="L40" s="260"/>
      <c r="M40" s="260"/>
      <c r="N40" s="723"/>
    </row>
    <row r="41" spans="1:18" s="28" customFormat="1" ht="18.75" customHeight="1" x14ac:dyDescent="0.2">
      <c r="A41" s="805"/>
      <c r="B41" s="35">
        <v>16</v>
      </c>
      <c r="C41" s="1592" t="str">
        <f>Translations!$B$10</f>
        <v>Papildoma informacija</v>
      </c>
      <c r="D41" s="1592"/>
      <c r="E41" s="1592"/>
      <c r="F41" s="1592"/>
      <c r="G41" s="1592"/>
      <c r="H41" s="1592"/>
      <c r="I41" s="1592"/>
      <c r="J41" s="1592"/>
      <c r="K41" s="1592"/>
      <c r="L41" s="1592"/>
      <c r="M41" s="1592"/>
      <c r="N41" s="730"/>
      <c r="P41" s="1051"/>
      <c r="Q41" s="1051"/>
      <c r="R41" s="1051"/>
    </row>
    <row r="42" spans="1:18" ht="5.0999999999999996" customHeight="1" x14ac:dyDescent="0.2">
      <c r="A42" s="801"/>
      <c r="B42" s="262"/>
      <c r="C42" s="984"/>
      <c r="D42" s="984"/>
      <c r="E42" s="984"/>
      <c r="F42" s="984"/>
      <c r="G42" s="984"/>
      <c r="H42" s="984"/>
      <c r="I42" s="984"/>
      <c r="J42" s="984"/>
      <c r="K42" s="260"/>
      <c r="L42" s="260"/>
      <c r="M42" s="260"/>
      <c r="N42" s="723"/>
    </row>
    <row r="43" spans="1:18" ht="25.5" customHeight="1" x14ac:dyDescent="0.2">
      <c r="A43" s="801"/>
      <c r="B43" s="261"/>
      <c r="C43" s="1395"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95"/>
      <c r="E43" s="1395"/>
      <c r="F43" s="1395"/>
      <c r="G43" s="1395"/>
      <c r="H43" s="1395"/>
      <c r="I43" s="1395"/>
      <c r="J43" s="1395"/>
      <c r="K43" s="1395"/>
      <c r="L43" s="1395"/>
      <c r="M43" s="260"/>
      <c r="N43" s="723"/>
    </row>
    <row r="44" spans="1:18" ht="25.5" customHeight="1" x14ac:dyDescent="0.2">
      <c r="A44" s="801"/>
      <c r="B44" s="986"/>
      <c r="C44" s="1727"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27"/>
      <c r="E44" s="1727"/>
      <c r="F44" s="1727"/>
      <c r="G44" s="1727"/>
      <c r="H44" s="1727"/>
      <c r="I44" s="1727"/>
      <c r="J44" s="1727"/>
      <c r="K44" s="1727"/>
      <c r="L44" s="1727"/>
      <c r="M44" s="260"/>
      <c r="N44" s="723"/>
    </row>
    <row r="45" spans="1:18" ht="5.0999999999999996" customHeight="1" x14ac:dyDescent="0.2">
      <c r="A45" s="801"/>
      <c r="B45" s="262"/>
      <c r="C45" s="984"/>
      <c r="D45" s="984"/>
      <c r="E45" s="984"/>
      <c r="F45" s="984"/>
      <c r="G45" s="984"/>
      <c r="H45" s="984"/>
      <c r="I45" s="984"/>
      <c r="J45" s="984"/>
      <c r="K45" s="260"/>
      <c r="L45" s="260"/>
      <c r="M45" s="260"/>
      <c r="N45" s="723"/>
    </row>
    <row r="46" spans="1:18" ht="12.75" customHeight="1" x14ac:dyDescent="0.2">
      <c r="A46" s="801"/>
      <c r="B46" s="985"/>
      <c r="C46" s="1601" t="str">
        <f>Translations!$B$174</f>
        <v>Rinkmenos pavadinimas / nuoroda</v>
      </c>
      <c r="D46" s="1701"/>
      <c r="E46" s="1601" t="str">
        <f>Translations!$B$175</f>
        <v>Dokumento aprašymas</v>
      </c>
      <c r="F46" s="1701"/>
      <c r="G46" s="1701"/>
      <c r="H46" s="1701"/>
      <c r="I46" s="1701"/>
      <c r="J46" s="1701"/>
      <c r="K46" s="1701"/>
      <c r="L46" s="1701"/>
      <c r="M46" s="260"/>
      <c r="N46" s="723"/>
    </row>
    <row r="47" spans="1:18" x14ac:dyDescent="0.2">
      <c r="A47" s="801"/>
      <c r="B47" s="985"/>
      <c r="C47" s="1725"/>
      <c r="D47" s="1725"/>
      <c r="E47" s="1726"/>
      <c r="F47" s="1726"/>
      <c r="G47" s="1726"/>
      <c r="H47" s="1726"/>
      <c r="I47" s="1726"/>
      <c r="J47" s="1726"/>
      <c r="K47" s="1726"/>
      <c r="L47" s="1726"/>
      <c r="M47" s="260"/>
      <c r="N47" s="723"/>
    </row>
    <row r="48" spans="1:18" x14ac:dyDescent="0.2">
      <c r="A48" s="801"/>
      <c r="B48" s="985"/>
      <c r="C48" s="1725"/>
      <c r="D48" s="1725"/>
      <c r="E48" s="1726"/>
      <c r="F48" s="1726"/>
      <c r="G48" s="1726"/>
      <c r="H48" s="1726"/>
      <c r="I48" s="1726"/>
      <c r="J48" s="1726"/>
      <c r="K48" s="1726"/>
      <c r="L48" s="1726"/>
      <c r="M48" s="260"/>
      <c r="N48" s="723"/>
    </row>
    <row r="49" spans="1:14" x14ac:dyDescent="0.2">
      <c r="A49" s="801"/>
      <c r="B49" s="985"/>
      <c r="C49" s="1725"/>
      <c r="D49" s="1725"/>
      <c r="E49" s="1726"/>
      <c r="F49" s="1726"/>
      <c r="G49" s="1726"/>
      <c r="H49" s="1726"/>
      <c r="I49" s="1726"/>
      <c r="J49" s="1726"/>
      <c r="K49" s="1726"/>
      <c r="L49" s="1726"/>
      <c r="M49" s="260"/>
      <c r="N49" s="723"/>
    </row>
    <row r="50" spans="1:14" x14ac:dyDescent="0.2">
      <c r="A50" s="801"/>
      <c r="B50" s="985"/>
      <c r="C50" s="1725"/>
      <c r="D50" s="1725"/>
      <c r="E50" s="1726"/>
      <c r="F50" s="1726"/>
      <c r="G50" s="1726"/>
      <c r="H50" s="1726"/>
      <c r="I50" s="1726"/>
      <c r="J50" s="1726"/>
      <c r="K50" s="1726"/>
      <c r="L50" s="1726"/>
      <c r="M50" s="260"/>
      <c r="N50" s="723"/>
    </row>
    <row r="51" spans="1:14" x14ac:dyDescent="0.2">
      <c r="A51" s="801"/>
      <c r="B51" s="985"/>
      <c r="C51" s="1725"/>
      <c r="D51" s="1725"/>
      <c r="E51" s="1726"/>
      <c r="F51" s="1726"/>
      <c r="G51" s="1726"/>
      <c r="H51" s="1726"/>
      <c r="I51" s="1726"/>
      <c r="J51" s="1726"/>
      <c r="K51" s="1726"/>
      <c r="L51" s="1726"/>
      <c r="M51" s="260"/>
      <c r="N51" s="723"/>
    </row>
    <row r="52" spans="1:14" x14ac:dyDescent="0.2">
      <c r="A52" s="801"/>
      <c r="B52" s="985"/>
      <c r="C52" s="1725"/>
      <c r="D52" s="1725"/>
      <c r="E52" s="1726"/>
      <c r="F52" s="1726"/>
      <c r="G52" s="1726"/>
      <c r="H52" s="1726"/>
      <c r="I52" s="1726"/>
      <c r="J52" s="1726"/>
      <c r="K52" s="1726"/>
      <c r="L52" s="1726"/>
      <c r="M52" s="260"/>
      <c r="N52" s="723"/>
    </row>
    <row r="53" spans="1:14" x14ac:dyDescent="0.2">
      <c r="A53" s="801"/>
      <c r="B53" s="985"/>
      <c r="C53" s="1725"/>
      <c r="D53" s="1725"/>
      <c r="E53" s="1726"/>
      <c r="F53" s="1726"/>
      <c r="G53" s="1726"/>
      <c r="H53" s="1726"/>
      <c r="I53" s="1726"/>
      <c r="J53" s="1726"/>
      <c r="K53" s="1726"/>
      <c r="L53" s="1726"/>
      <c r="M53" s="260"/>
      <c r="N53" s="723"/>
    </row>
    <row r="54" spans="1:14" x14ac:dyDescent="0.2">
      <c r="A54" s="801"/>
      <c r="B54" s="985"/>
      <c r="C54" s="1725"/>
      <c r="D54" s="1725"/>
      <c r="E54" s="1726"/>
      <c r="F54" s="1726"/>
      <c r="G54" s="1726"/>
      <c r="H54" s="1726"/>
      <c r="I54" s="1726"/>
      <c r="J54" s="1726"/>
      <c r="K54" s="1726"/>
      <c r="L54" s="1726"/>
      <c r="M54" s="260"/>
      <c r="N54" s="723"/>
    </row>
    <row r="55" spans="1:14" x14ac:dyDescent="0.2">
      <c r="A55" s="801"/>
      <c r="B55" s="985"/>
      <c r="C55" s="1725"/>
      <c r="D55" s="1725"/>
      <c r="E55" s="1726"/>
      <c r="F55" s="1726"/>
      <c r="G55" s="1726"/>
      <c r="H55" s="1726"/>
      <c r="I55" s="1726"/>
      <c r="J55" s="1726"/>
      <c r="K55" s="1726"/>
      <c r="L55" s="1726"/>
      <c r="M55" s="260"/>
      <c r="N55" s="723"/>
    </row>
    <row r="56" spans="1:14" x14ac:dyDescent="0.2">
      <c r="A56" s="801"/>
      <c r="B56" s="985"/>
      <c r="C56" s="1725"/>
      <c r="D56" s="1725"/>
      <c r="E56" s="1726"/>
      <c r="F56" s="1726"/>
      <c r="G56" s="1726"/>
      <c r="H56" s="1726"/>
      <c r="I56" s="1726"/>
      <c r="J56" s="1726"/>
      <c r="K56" s="1726"/>
      <c r="L56" s="1726"/>
      <c r="M56" s="260"/>
      <c r="N56" s="723"/>
    </row>
    <row r="57" spans="1:14" ht="12.75" customHeight="1" x14ac:dyDescent="0.2">
      <c r="A57" s="801"/>
      <c r="B57" s="260"/>
      <c r="C57" s="985"/>
      <c r="D57" s="260"/>
      <c r="E57" s="260"/>
      <c r="F57" s="260"/>
      <c r="G57" s="260"/>
      <c r="H57" s="260"/>
      <c r="I57" s="260"/>
      <c r="J57" s="260"/>
      <c r="K57" s="260"/>
      <c r="L57" s="260"/>
      <c r="M57" s="260"/>
      <c r="N57" s="723"/>
    </row>
    <row r="58" spans="1:14" ht="18" customHeight="1" x14ac:dyDescent="0.2">
      <c r="A58" s="983"/>
      <c r="B58" s="1724" t="str">
        <f>Translations!$B$778</f>
        <v>Su konkrečia valstybe nare susijusi papildoma informacija</v>
      </c>
      <c r="C58" s="1724"/>
      <c r="D58" s="1724"/>
      <c r="E58" s="1724"/>
      <c r="F58" s="1724"/>
      <c r="G58" s="1724"/>
      <c r="H58" s="1724"/>
      <c r="I58" s="1724"/>
      <c r="J58" s="1724"/>
      <c r="K58" s="260"/>
      <c r="L58" s="260"/>
      <c r="M58" s="260"/>
      <c r="N58" s="723"/>
    </row>
    <row r="59" spans="1:14" x14ac:dyDescent="0.2">
      <c r="A59" s="983"/>
      <c r="B59" s="260"/>
      <c r="C59" s="260"/>
      <c r="D59" s="260"/>
      <c r="E59" s="260"/>
      <c r="F59" s="260"/>
      <c r="G59" s="260"/>
      <c r="H59" s="260"/>
      <c r="I59" s="260"/>
      <c r="J59" s="260"/>
      <c r="K59" s="260"/>
      <c r="L59" s="260"/>
      <c r="M59" s="260"/>
      <c r="N59" s="723"/>
    </row>
    <row r="60" spans="1:14" ht="15.75" x14ac:dyDescent="0.2">
      <c r="A60" s="983"/>
      <c r="B60" s="35">
        <v>17</v>
      </c>
      <c r="C60" s="1741" t="str">
        <f>Translations!$B$11</f>
        <v>Pastabos</v>
      </c>
      <c r="D60" s="1742"/>
      <c r="E60" s="1742"/>
      <c r="F60" s="1742"/>
      <c r="G60" s="1742"/>
      <c r="H60" s="1742"/>
      <c r="I60" s="1742"/>
      <c r="J60" s="1742"/>
      <c r="K60" s="1742"/>
      <c r="L60" s="1742"/>
      <c r="M60" s="1742"/>
      <c r="N60" s="723"/>
    </row>
    <row r="61" spans="1:14" ht="5.0999999999999996" customHeight="1" x14ac:dyDescent="0.2">
      <c r="A61" s="983"/>
      <c r="B61" s="260"/>
      <c r="C61" s="260"/>
      <c r="D61" s="260"/>
      <c r="E61" s="260"/>
      <c r="F61" s="260"/>
      <c r="G61" s="260"/>
      <c r="H61" s="260"/>
      <c r="I61" s="260"/>
      <c r="J61" s="260"/>
      <c r="K61" s="260"/>
      <c r="L61" s="260"/>
      <c r="M61" s="260"/>
      <c r="N61" s="723"/>
    </row>
    <row r="62" spans="1:14" x14ac:dyDescent="0.2">
      <c r="A62" s="983"/>
      <c r="B62" s="1391" t="str">
        <f>Translations!$B$176</f>
        <v>Vieta tolesnėms pastaboms:</v>
      </c>
      <c r="C62" s="1392"/>
      <c r="D62" s="1392"/>
      <c r="E62" s="1392"/>
      <c r="F62" s="1392"/>
      <c r="G62" s="1392"/>
      <c r="H62" s="1392"/>
      <c r="I62" s="1392"/>
      <c r="J62" s="1392"/>
      <c r="K62" s="1392"/>
      <c r="L62" s="1392"/>
      <c r="M62" s="1392"/>
      <c r="N62" s="723"/>
    </row>
    <row r="63" spans="1:14" x14ac:dyDescent="0.2">
      <c r="A63" s="983"/>
      <c r="B63" s="1732"/>
      <c r="C63" s="1733"/>
      <c r="D63" s="1733"/>
      <c r="E63" s="1733"/>
      <c r="F63" s="1733"/>
      <c r="G63" s="1733"/>
      <c r="H63" s="1733"/>
      <c r="I63" s="1733"/>
      <c r="J63" s="1733"/>
      <c r="K63" s="1733"/>
      <c r="L63" s="1733"/>
      <c r="M63" s="1734"/>
      <c r="N63" s="723"/>
    </row>
    <row r="64" spans="1:14" x14ac:dyDescent="0.2">
      <c r="A64" s="983"/>
      <c r="B64" s="1735"/>
      <c r="C64" s="1736"/>
      <c r="D64" s="1736"/>
      <c r="E64" s="1736"/>
      <c r="F64" s="1736"/>
      <c r="G64" s="1736"/>
      <c r="H64" s="1736"/>
      <c r="I64" s="1736"/>
      <c r="J64" s="1736"/>
      <c r="K64" s="1736"/>
      <c r="L64" s="1736"/>
      <c r="M64" s="1737"/>
      <c r="N64" s="723"/>
    </row>
    <row r="65" spans="1:14" x14ac:dyDescent="0.2">
      <c r="A65" s="983"/>
      <c r="B65" s="1735"/>
      <c r="C65" s="1736"/>
      <c r="D65" s="1736"/>
      <c r="E65" s="1736"/>
      <c r="F65" s="1736"/>
      <c r="G65" s="1736"/>
      <c r="H65" s="1736"/>
      <c r="I65" s="1736"/>
      <c r="J65" s="1736"/>
      <c r="K65" s="1736"/>
      <c r="L65" s="1736"/>
      <c r="M65" s="1737"/>
      <c r="N65" s="723"/>
    </row>
    <row r="66" spans="1:14" x14ac:dyDescent="0.2">
      <c r="A66" s="983"/>
      <c r="B66" s="1735"/>
      <c r="C66" s="1736"/>
      <c r="D66" s="1736"/>
      <c r="E66" s="1736"/>
      <c r="F66" s="1736"/>
      <c r="G66" s="1736"/>
      <c r="H66" s="1736"/>
      <c r="I66" s="1736"/>
      <c r="J66" s="1736"/>
      <c r="K66" s="1736"/>
      <c r="L66" s="1736"/>
      <c r="M66" s="1737"/>
      <c r="N66" s="723"/>
    </row>
    <row r="67" spans="1:14" x14ac:dyDescent="0.2">
      <c r="A67" s="983"/>
      <c r="B67" s="1735"/>
      <c r="C67" s="1736"/>
      <c r="D67" s="1736"/>
      <c r="E67" s="1736"/>
      <c r="F67" s="1736"/>
      <c r="G67" s="1736"/>
      <c r="H67" s="1736"/>
      <c r="I67" s="1736"/>
      <c r="J67" s="1736"/>
      <c r="K67" s="1736"/>
      <c r="L67" s="1736"/>
      <c r="M67" s="1737"/>
      <c r="N67" s="723"/>
    </row>
    <row r="68" spans="1:14" x14ac:dyDescent="0.2">
      <c r="A68" s="983"/>
      <c r="B68" s="1735"/>
      <c r="C68" s="1736"/>
      <c r="D68" s="1736"/>
      <c r="E68" s="1736"/>
      <c r="F68" s="1736"/>
      <c r="G68" s="1736"/>
      <c r="H68" s="1736"/>
      <c r="I68" s="1736"/>
      <c r="J68" s="1736"/>
      <c r="K68" s="1736"/>
      <c r="L68" s="1736"/>
      <c r="M68" s="1737"/>
      <c r="N68" s="723"/>
    </row>
    <row r="69" spans="1:14" x14ac:dyDescent="0.2">
      <c r="A69" s="983"/>
      <c r="B69" s="1735"/>
      <c r="C69" s="1736"/>
      <c r="D69" s="1736"/>
      <c r="E69" s="1736"/>
      <c r="F69" s="1736"/>
      <c r="G69" s="1736"/>
      <c r="H69" s="1736"/>
      <c r="I69" s="1736"/>
      <c r="J69" s="1736"/>
      <c r="K69" s="1736"/>
      <c r="L69" s="1736"/>
      <c r="M69" s="1737"/>
      <c r="N69" s="723"/>
    </row>
    <row r="70" spans="1:14" x14ac:dyDescent="0.2">
      <c r="A70" s="983"/>
      <c r="B70" s="1735"/>
      <c r="C70" s="1736"/>
      <c r="D70" s="1736"/>
      <c r="E70" s="1736"/>
      <c r="F70" s="1736"/>
      <c r="G70" s="1736"/>
      <c r="H70" s="1736"/>
      <c r="I70" s="1736"/>
      <c r="J70" s="1736"/>
      <c r="K70" s="1736"/>
      <c r="L70" s="1736"/>
      <c r="M70" s="1737"/>
      <c r="N70" s="723"/>
    </row>
    <row r="71" spans="1:14" x14ac:dyDescent="0.2">
      <c r="A71" s="801"/>
      <c r="B71" s="1735"/>
      <c r="C71" s="1736"/>
      <c r="D71" s="1736"/>
      <c r="E71" s="1736"/>
      <c r="F71" s="1736"/>
      <c r="G71" s="1736"/>
      <c r="H71" s="1736"/>
      <c r="I71" s="1736"/>
      <c r="J71" s="1736"/>
      <c r="K71" s="1736"/>
      <c r="L71" s="1736"/>
      <c r="M71" s="1737"/>
      <c r="N71" s="723"/>
    </row>
    <row r="72" spans="1:14" x14ac:dyDescent="0.2">
      <c r="A72" s="801"/>
      <c r="B72" s="1735"/>
      <c r="C72" s="1736"/>
      <c r="D72" s="1736"/>
      <c r="E72" s="1736"/>
      <c r="F72" s="1736"/>
      <c r="G72" s="1736"/>
      <c r="H72" s="1736"/>
      <c r="I72" s="1736"/>
      <c r="J72" s="1736"/>
      <c r="K72" s="1736"/>
      <c r="L72" s="1736"/>
      <c r="M72" s="1737"/>
      <c r="N72" s="723"/>
    </row>
    <row r="73" spans="1:14" x14ac:dyDescent="0.2">
      <c r="A73" s="801"/>
      <c r="B73" s="1735"/>
      <c r="C73" s="1736"/>
      <c r="D73" s="1736"/>
      <c r="E73" s="1736"/>
      <c r="F73" s="1736"/>
      <c r="G73" s="1736"/>
      <c r="H73" s="1736"/>
      <c r="I73" s="1736"/>
      <c r="J73" s="1736"/>
      <c r="K73" s="1736"/>
      <c r="L73" s="1736"/>
      <c r="M73" s="1737"/>
      <c r="N73" s="723"/>
    </row>
    <row r="74" spans="1:14" x14ac:dyDescent="0.2">
      <c r="A74" s="801"/>
      <c r="B74" s="1735"/>
      <c r="C74" s="1736"/>
      <c r="D74" s="1736"/>
      <c r="E74" s="1736"/>
      <c r="F74" s="1736"/>
      <c r="G74" s="1736"/>
      <c r="H74" s="1736"/>
      <c r="I74" s="1736"/>
      <c r="J74" s="1736"/>
      <c r="K74" s="1736"/>
      <c r="L74" s="1736"/>
      <c r="M74" s="1737"/>
      <c r="N74" s="723"/>
    </row>
    <row r="75" spans="1:14" x14ac:dyDescent="0.2">
      <c r="A75" s="801"/>
      <c r="B75" s="1735"/>
      <c r="C75" s="1736"/>
      <c r="D75" s="1736"/>
      <c r="E75" s="1736"/>
      <c r="F75" s="1736"/>
      <c r="G75" s="1736"/>
      <c r="H75" s="1736"/>
      <c r="I75" s="1736"/>
      <c r="J75" s="1736"/>
      <c r="K75" s="1736"/>
      <c r="L75" s="1736"/>
      <c r="M75" s="1737"/>
      <c r="N75" s="723"/>
    </row>
    <row r="76" spans="1:14" x14ac:dyDescent="0.2">
      <c r="A76" s="801"/>
      <c r="B76" s="1735"/>
      <c r="C76" s="1736"/>
      <c r="D76" s="1736"/>
      <c r="E76" s="1736"/>
      <c r="F76" s="1736"/>
      <c r="G76" s="1736"/>
      <c r="H76" s="1736"/>
      <c r="I76" s="1736"/>
      <c r="J76" s="1736"/>
      <c r="K76" s="1736"/>
      <c r="L76" s="1736"/>
      <c r="M76" s="1737"/>
      <c r="N76" s="723"/>
    </row>
    <row r="77" spans="1:14" x14ac:dyDescent="0.2">
      <c r="A77" s="801"/>
      <c r="B77" s="1735"/>
      <c r="C77" s="1736"/>
      <c r="D77" s="1736"/>
      <c r="E77" s="1736"/>
      <c r="F77" s="1736"/>
      <c r="G77" s="1736"/>
      <c r="H77" s="1736"/>
      <c r="I77" s="1736"/>
      <c r="J77" s="1736"/>
      <c r="K77" s="1736"/>
      <c r="L77" s="1736"/>
      <c r="M77" s="1737"/>
      <c r="N77" s="723"/>
    </row>
    <row r="78" spans="1:14" x14ac:dyDescent="0.2">
      <c r="A78" s="801"/>
      <c r="B78" s="1735"/>
      <c r="C78" s="1736"/>
      <c r="D78" s="1736"/>
      <c r="E78" s="1736"/>
      <c r="F78" s="1736"/>
      <c r="G78" s="1736"/>
      <c r="H78" s="1736"/>
      <c r="I78" s="1736"/>
      <c r="J78" s="1736"/>
      <c r="K78" s="1736"/>
      <c r="L78" s="1736"/>
      <c r="M78" s="1737"/>
      <c r="N78" s="723"/>
    </row>
    <row r="79" spans="1:14" x14ac:dyDescent="0.2">
      <c r="A79" s="801"/>
      <c r="B79" s="1735"/>
      <c r="C79" s="1736"/>
      <c r="D79" s="1736"/>
      <c r="E79" s="1736"/>
      <c r="F79" s="1736"/>
      <c r="G79" s="1736"/>
      <c r="H79" s="1736"/>
      <c r="I79" s="1736"/>
      <c r="J79" s="1736"/>
      <c r="K79" s="1736"/>
      <c r="L79" s="1736"/>
      <c r="M79" s="1737"/>
      <c r="N79" s="723"/>
    </row>
    <row r="80" spans="1:14" x14ac:dyDescent="0.2">
      <c r="A80" s="801"/>
      <c r="B80" s="1735"/>
      <c r="C80" s="1736"/>
      <c r="D80" s="1736"/>
      <c r="E80" s="1736"/>
      <c r="F80" s="1736"/>
      <c r="G80" s="1736"/>
      <c r="H80" s="1736"/>
      <c r="I80" s="1736"/>
      <c r="J80" s="1736"/>
      <c r="K80" s="1736"/>
      <c r="L80" s="1736"/>
      <c r="M80" s="1737"/>
      <c r="N80" s="723"/>
    </row>
    <row r="81" spans="1:14" x14ac:dyDescent="0.2">
      <c r="A81" s="801"/>
      <c r="B81" s="1735"/>
      <c r="C81" s="1736"/>
      <c r="D81" s="1736"/>
      <c r="E81" s="1736"/>
      <c r="F81" s="1736"/>
      <c r="G81" s="1736"/>
      <c r="H81" s="1736"/>
      <c r="I81" s="1736"/>
      <c r="J81" s="1736"/>
      <c r="K81" s="1736"/>
      <c r="L81" s="1736"/>
      <c r="M81" s="1737"/>
      <c r="N81" s="723"/>
    </row>
    <row r="82" spans="1:14" x14ac:dyDescent="0.2">
      <c r="A82" s="801"/>
      <c r="B82" s="1735"/>
      <c r="C82" s="1736"/>
      <c r="D82" s="1736"/>
      <c r="E82" s="1736"/>
      <c r="F82" s="1736"/>
      <c r="G82" s="1736"/>
      <c r="H82" s="1736"/>
      <c r="I82" s="1736"/>
      <c r="J82" s="1736"/>
      <c r="K82" s="1736"/>
      <c r="L82" s="1736"/>
      <c r="M82" s="1737"/>
      <c r="N82" s="723"/>
    </row>
    <row r="83" spans="1:14" x14ac:dyDescent="0.2">
      <c r="A83" s="801"/>
      <c r="B83" s="1735"/>
      <c r="C83" s="1736"/>
      <c r="D83" s="1736"/>
      <c r="E83" s="1736"/>
      <c r="F83" s="1736"/>
      <c r="G83" s="1736"/>
      <c r="H83" s="1736"/>
      <c r="I83" s="1736"/>
      <c r="J83" s="1736"/>
      <c r="K83" s="1736"/>
      <c r="L83" s="1736"/>
      <c r="M83" s="1737"/>
      <c r="N83" s="723"/>
    </row>
    <row r="84" spans="1:14" x14ac:dyDescent="0.2">
      <c r="A84" s="801"/>
      <c r="B84" s="1735"/>
      <c r="C84" s="1736"/>
      <c r="D84" s="1736"/>
      <c r="E84" s="1736"/>
      <c r="F84" s="1736"/>
      <c r="G84" s="1736"/>
      <c r="H84" s="1736"/>
      <c r="I84" s="1736"/>
      <c r="J84" s="1736"/>
      <c r="K84" s="1736"/>
      <c r="L84" s="1736"/>
      <c r="M84" s="1737"/>
      <c r="N84" s="723"/>
    </row>
    <row r="85" spans="1:14" x14ac:dyDescent="0.2">
      <c r="A85" s="801"/>
      <c r="B85" s="1735"/>
      <c r="C85" s="1736"/>
      <c r="D85" s="1736"/>
      <c r="E85" s="1736"/>
      <c r="F85" s="1736"/>
      <c r="G85" s="1736"/>
      <c r="H85" s="1736"/>
      <c r="I85" s="1736"/>
      <c r="J85" s="1736"/>
      <c r="K85" s="1736"/>
      <c r="L85" s="1736"/>
      <c r="M85" s="1737"/>
      <c r="N85" s="723"/>
    </row>
    <row r="86" spans="1:14" x14ac:dyDescent="0.2">
      <c r="A86" s="801"/>
      <c r="B86" s="1735"/>
      <c r="C86" s="1736"/>
      <c r="D86" s="1736"/>
      <c r="E86" s="1736"/>
      <c r="F86" s="1736"/>
      <c r="G86" s="1736"/>
      <c r="H86" s="1736"/>
      <c r="I86" s="1736"/>
      <c r="J86" s="1736"/>
      <c r="K86" s="1736"/>
      <c r="L86" s="1736"/>
      <c r="M86" s="1737"/>
      <c r="N86" s="723"/>
    </row>
    <row r="87" spans="1:14" x14ac:dyDescent="0.2">
      <c r="A87" s="801"/>
      <c r="B87" s="1735"/>
      <c r="C87" s="1736"/>
      <c r="D87" s="1736"/>
      <c r="E87" s="1736"/>
      <c r="F87" s="1736"/>
      <c r="G87" s="1736"/>
      <c r="H87" s="1736"/>
      <c r="I87" s="1736"/>
      <c r="J87" s="1736"/>
      <c r="K87" s="1736"/>
      <c r="L87" s="1736"/>
      <c r="M87" s="1737"/>
      <c r="N87" s="723"/>
    </row>
    <row r="88" spans="1:14" x14ac:dyDescent="0.2">
      <c r="A88" s="801"/>
      <c r="B88" s="1738"/>
      <c r="C88" s="1739"/>
      <c r="D88" s="1739"/>
      <c r="E88" s="1739"/>
      <c r="F88" s="1739"/>
      <c r="G88" s="1739"/>
      <c r="H88" s="1739"/>
      <c r="I88" s="1739"/>
      <c r="J88" s="1739"/>
      <c r="K88" s="1739"/>
      <c r="L88" s="1739"/>
      <c r="M88" s="1740"/>
      <c r="N88" s="723"/>
    </row>
    <row r="89" spans="1:14" ht="13.5" thickBot="1" x14ac:dyDescent="0.25">
      <c r="A89" s="804"/>
      <c r="B89" s="796"/>
      <c r="C89" s="796"/>
      <c r="D89" s="796"/>
      <c r="E89" s="796"/>
      <c r="F89" s="796"/>
      <c r="G89" s="796"/>
      <c r="H89" s="796"/>
      <c r="I89" s="796"/>
      <c r="J89" s="796"/>
      <c r="K89" s="796"/>
      <c r="L89" s="796"/>
      <c r="M89" s="796"/>
      <c r="N89" s="800"/>
    </row>
    <row r="90" spans="1:14" x14ac:dyDescent="0.2">
      <c r="A90" s="243"/>
      <c r="B90" s="243"/>
      <c r="C90" s="243"/>
      <c r="D90" s="243"/>
      <c r="E90" s="243"/>
      <c r="F90" s="243"/>
      <c r="G90" s="243"/>
      <c r="H90" s="243"/>
      <c r="I90" s="243"/>
      <c r="J90" s="243"/>
      <c r="K90" s="243"/>
      <c r="L90" s="243"/>
      <c r="M90" s="243"/>
    </row>
    <row r="91" spans="1:14" x14ac:dyDescent="0.2">
      <c r="A91" s="243"/>
      <c r="B91" s="243"/>
      <c r="C91" s="243"/>
      <c r="D91" s="243"/>
      <c r="E91" s="243"/>
      <c r="F91" s="243"/>
      <c r="G91" s="243"/>
      <c r="H91" s="243"/>
      <c r="I91" s="243"/>
      <c r="J91" s="243"/>
      <c r="K91" s="243"/>
      <c r="L91" s="243"/>
      <c r="M91" s="243"/>
    </row>
    <row r="92" spans="1:14" x14ac:dyDescent="0.2">
      <c r="A92" s="243"/>
      <c r="B92" s="243"/>
      <c r="C92" s="243"/>
      <c r="D92" s="243"/>
      <c r="E92" s="243"/>
      <c r="F92" s="243"/>
      <c r="G92" s="243"/>
      <c r="H92" s="243"/>
      <c r="J92" s="243"/>
      <c r="K92" s="243"/>
      <c r="L92" s="243"/>
      <c r="M92" s="243"/>
    </row>
  </sheetData>
  <sheetProtection formatCells="0" formatColumns="0" formatRows="0"/>
  <mergeCells count="106">
    <mergeCell ref="C23:F23"/>
    <mergeCell ref="G23:I23"/>
    <mergeCell ref="K23:L23"/>
    <mergeCell ref="C8:M8"/>
    <mergeCell ref="C10:L10"/>
    <mergeCell ref="C11:L11"/>
    <mergeCell ref="C21:F21"/>
    <mergeCell ref="G21:I21"/>
    <mergeCell ref="G18:I18"/>
    <mergeCell ref="K18:L18"/>
    <mergeCell ref="K21:L21"/>
    <mergeCell ref="C22:F22"/>
    <mergeCell ref="G22:I22"/>
    <mergeCell ref="K22:L22"/>
    <mergeCell ref="C19:F19"/>
    <mergeCell ref="G19:I19"/>
    <mergeCell ref="K19:L19"/>
    <mergeCell ref="C20:F20"/>
    <mergeCell ref="G20:I20"/>
    <mergeCell ref="K20:L20"/>
    <mergeCell ref="B63:M88"/>
    <mergeCell ref="H4:I4"/>
    <mergeCell ref="B58:J58"/>
    <mergeCell ref="C60:M60"/>
    <mergeCell ref="B62:M62"/>
    <mergeCell ref="J4:K4"/>
    <mergeCell ref="A2:C4"/>
    <mergeCell ref="D2:E2"/>
    <mergeCell ref="G13:I13"/>
    <mergeCell ref="C13:F13"/>
    <mergeCell ref="K13:L13"/>
    <mergeCell ref="K14:L14"/>
    <mergeCell ref="G14:I14"/>
    <mergeCell ref="C14:F14"/>
    <mergeCell ref="C15:F15"/>
    <mergeCell ref="G15:I15"/>
    <mergeCell ref="K15:L15"/>
    <mergeCell ref="C16:F16"/>
    <mergeCell ref="G16:I16"/>
    <mergeCell ref="K16:L16"/>
    <mergeCell ref="C17:F17"/>
    <mergeCell ref="G17:I17"/>
    <mergeCell ref="K17:L17"/>
    <mergeCell ref="C18:F18"/>
    <mergeCell ref="F2:G2"/>
    <mergeCell ref="H2:I2"/>
    <mergeCell ref="J2:K2"/>
    <mergeCell ref="D3:E3"/>
    <mergeCell ref="H3:I3"/>
    <mergeCell ref="D4:E4"/>
    <mergeCell ref="F4:G4"/>
    <mergeCell ref="J3:K3"/>
    <mergeCell ref="L2:M2"/>
    <mergeCell ref="L4:M4"/>
    <mergeCell ref="L3:M3"/>
    <mergeCell ref="F3:G3"/>
    <mergeCell ref="E36:L36"/>
    <mergeCell ref="C31:D31"/>
    <mergeCell ref="E31:L31"/>
    <mergeCell ref="C32:D32"/>
    <mergeCell ref="E32:L32"/>
    <mergeCell ref="C33:D33"/>
    <mergeCell ref="E33:L33"/>
    <mergeCell ref="C25:M25"/>
    <mergeCell ref="C27:L27"/>
    <mergeCell ref="C29:D29"/>
    <mergeCell ref="E29:L29"/>
    <mergeCell ref="C30:D30"/>
    <mergeCell ref="E30:L30"/>
    <mergeCell ref="C56:D56"/>
    <mergeCell ref="E56:L56"/>
    <mergeCell ref="C55:D55"/>
    <mergeCell ref="E55:L55"/>
    <mergeCell ref="C44:L44"/>
    <mergeCell ref="C46:D46"/>
    <mergeCell ref="E46:L46"/>
    <mergeCell ref="E50:L50"/>
    <mergeCell ref="C51:D51"/>
    <mergeCell ref="E51:L51"/>
    <mergeCell ref="C47:D47"/>
    <mergeCell ref="E47:L47"/>
    <mergeCell ref="C48:D48"/>
    <mergeCell ref="B6:J6"/>
    <mergeCell ref="C53:D53"/>
    <mergeCell ref="E53:L53"/>
    <mergeCell ref="C54:D54"/>
    <mergeCell ref="E54:L54"/>
    <mergeCell ref="C50:D50"/>
    <mergeCell ref="E48:L48"/>
    <mergeCell ref="C49:D49"/>
    <mergeCell ref="E49:L49"/>
    <mergeCell ref="C41:M41"/>
    <mergeCell ref="C52:D52"/>
    <mergeCell ref="E52:L52"/>
    <mergeCell ref="C37:D37"/>
    <mergeCell ref="E37:L37"/>
    <mergeCell ref="C38:D38"/>
    <mergeCell ref="E38:L38"/>
    <mergeCell ref="C39:D39"/>
    <mergeCell ref="E39:L39"/>
    <mergeCell ref="C43:L43"/>
    <mergeCell ref="C34:D34"/>
    <mergeCell ref="E34:L34"/>
    <mergeCell ref="C35:D35"/>
    <mergeCell ref="E35:L35"/>
    <mergeCell ref="C36:D36"/>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topLeftCell="B1" zoomScaleNormal="100" workbookViewId="0">
      <pane ySplit="4" topLeftCell="A77" activePane="bottomLeft" state="frozen"/>
      <selection activeCell="B2" sqref="B2"/>
      <selection pane="bottomLeft" activeCell="G2" sqref="G2:H2"/>
    </sheetView>
  </sheetViews>
  <sheetFormatPr defaultColWidth="11.42578125" defaultRowHeight="12.75" x14ac:dyDescent="0.2"/>
  <cols>
    <col min="1" max="1" width="3.42578125" style="56" hidden="1" customWidth="1"/>
    <col min="2" max="4" width="5.7109375" style="1" customWidth="1"/>
    <col min="5" max="6" width="10.7109375" style="1" customWidth="1"/>
    <col min="7" max="7" width="19.85546875" style="1" customWidth="1"/>
    <col min="8" max="8" width="15.7109375" style="1" customWidth="1"/>
    <col min="9" max="9" width="27.140625" style="1" customWidth="1"/>
    <col min="10" max="12" width="15.7109375" style="1" customWidth="1"/>
    <col min="13" max="13" width="7.7109375" style="200" customWidth="1"/>
    <col min="14" max="14" width="15.7109375" style="56" hidden="1" customWidth="1"/>
    <col min="15" max="29" width="12.7109375" style="56" hidden="1" customWidth="1"/>
    <col min="30" max="16384" width="11.42578125" style="1"/>
  </cols>
  <sheetData>
    <row r="1" spans="1:29" ht="13.5" hidden="1" thickBot="1" x14ac:dyDescent="0.25">
      <c r="A1" s="771" t="s">
        <v>85</v>
      </c>
      <c r="B1" s="735"/>
      <c r="C1" s="735"/>
      <c r="D1" s="738"/>
      <c r="E1" s="735"/>
      <c r="F1" s="735"/>
      <c r="G1" s="735"/>
      <c r="H1" s="735"/>
      <c r="I1" s="735"/>
      <c r="J1" s="735"/>
      <c r="K1" s="735"/>
      <c r="L1" s="735"/>
      <c r="M1" s="739"/>
      <c r="N1" s="56" t="s">
        <v>85</v>
      </c>
      <c r="O1" s="56" t="s">
        <v>85</v>
      </c>
      <c r="P1" s="56" t="s">
        <v>85</v>
      </c>
      <c r="Q1" s="56" t="s">
        <v>85</v>
      </c>
      <c r="R1" s="56" t="s">
        <v>85</v>
      </c>
      <c r="S1" s="56" t="s">
        <v>85</v>
      </c>
      <c r="T1" s="56" t="s">
        <v>85</v>
      </c>
      <c r="U1" s="56" t="s">
        <v>85</v>
      </c>
      <c r="V1" s="56" t="s">
        <v>85</v>
      </c>
      <c r="W1" s="56" t="s">
        <v>85</v>
      </c>
      <c r="X1" s="56" t="s">
        <v>85</v>
      </c>
      <c r="Y1" s="56" t="s">
        <v>85</v>
      </c>
      <c r="Z1" s="56" t="s">
        <v>85</v>
      </c>
      <c r="AA1" s="56" t="s">
        <v>85</v>
      </c>
      <c r="AB1" s="56" t="s">
        <v>85</v>
      </c>
      <c r="AC1" s="56" t="s">
        <v>85</v>
      </c>
    </row>
    <row r="2" spans="1:29" ht="24.95" customHeight="1" thickBot="1" x14ac:dyDescent="0.25">
      <c r="A2" s="776"/>
      <c r="B2" s="1476" t="str">
        <f>Translations!$B$506</f>
        <v>I. Santrauka</v>
      </c>
      <c r="C2" s="1637"/>
      <c r="D2" s="1638"/>
      <c r="E2" s="1488" t="str">
        <f>Translations!$B$23</f>
        <v>Naršymo laukas</v>
      </c>
      <c r="F2" s="1444"/>
      <c r="G2" s="1426" t="str">
        <f>Translations!$B$24</f>
        <v>Turinys</v>
      </c>
      <c r="H2" s="1427"/>
      <c r="I2" s="1426" t="str">
        <f>Translations!$B$25</f>
        <v>Ankstesnis lapas</v>
      </c>
      <c r="J2" s="1427"/>
      <c r="K2" s="1426"/>
      <c r="L2" s="1427"/>
      <c r="M2" s="827"/>
    </row>
    <row r="3" spans="1:29" ht="24.95" customHeight="1" x14ac:dyDescent="0.2">
      <c r="A3" s="776"/>
      <c r="B3" s="1639"/>
      <c r="C3" s="1640"/>
      <c r="D3" s="1641"/>
      <c r="E3" s="1431"/>
      <c r="F3" s="1431"/>
      <c r="G3" s="1431"/>
      <c r="H3" s="1431"/>
      <c r="I3" s="1431"/>
      <c r="J3" s="1431"/>
      <c r="K3" s="1431"/>
      <c r="L3" s="1431"/>
      <c r="M3" s="721"/>
    </row>
    <row r="4" spans="1:29" ht="24.95" customHeight="1" thickBot="1" x14ac:dyDescent="0.25">
      <c r="A4" s="776"/>
      <c r="B4" s="1721"/>
      <c r="C4" s="1722"/>
      <c r="D4" s="1723"/>
      <c r="E4" s="1431"/>
      <c r="F4" s="1431"/>
      <c r="G4" s="1748"/>
      <c r="H4" s="1431"/>
      <c r="I4" s="1431"/>
      <c r="J4" s="1431"/>
      <c r="K4" s="1431"/>
      <c r="L4" s="1431"/>
      <c r="M4" s="721"/>
    </row>
    <row r="5" spans="1:29" x14ac:dyDescent="0.2">
      <c r="B5" s="763"/>
      <c r="C5" s="200"/>
      <c r="D5" s="200"/>
      <c r="E5" s="200"/>
      <c r="F5" s="200"/>
      <c r="G5" s="200"/>
      <c r="H5" s="200"/>
      <c r="I5" s="200"/>
      <c r="J5" s="200"/>
      <c r="K5" s="200"/>
      <c r="L5" s="200"/>
      <c r="M5" s="723"/>
    </row>
    <row r="6" spans="1:29" s="28" customFormat="1" ht="18.75" customHeight="1" x14ac:dyDescent="0.2">
      <c r="A6" s="777"/>
      <c r="B6" s="805"/>
      <c r="C6" s="1755" t="str">
        <f>Translations!$B$779</f>
        <v xml:space="preserve">Pagal Direktyvą 2003/87/EB teikiamos metinės išmetamųjų šiltnamio efektą sukeliančių dujų kiekio ataskaitos santrauka </v>
      </c>
      <c r="D6" s="1755"/>
      <c r="E6" s="1755"/>
      <c r="F6" s="1755"/>
      <c r="G6" s="1755"/>
      <c r="H6" s="1755"/>
      <c r="I6" s="1755"/>
      <c r="J6" s="1755"/>
      <c r="K6" s="1755"/>
      <c r="L6" s="1755"/>
      <c r="M6" s="724"/>
      <c r="N6" s="383"/>
      <c r="O6" s="56"/>
      <c r="P6" s="56"/>
      <c r="Q6" s="58"/>
      <c r="R6" s="58"/>
      <c r="S6" s="58"/>
      <c r="T6" s="58"/>
      <c r="U6" s="58"/>
      <c r="V6" s="58"/>
      <c r="W6" s="58"/>
      <c r="X6" s="58"/>
      <c r="Y6" s="58"/>
      <c r="Z6" s="58"/>
      <c r="AA6" s="58"/>
      <c r="AB6" s="58"/>
      <c r="AC6" s="58"/>
    </row>
    <row r="7" spans="1:29" ht="5.0999999999999996" customHeight="1" thickBot="1" x14ac:dyDescent="0.25">
      <c r="B7" s="763"/>
      <c r="C7" s="200"/>
      <c r="D7" s="200"/>
      <c r="E7" s="200"/>
      <c r="F7" s="200"/>
      <c r="G7" s="200"/>
      <c r="H7" s="200"/>
      <c r="I7" s="200"/>
      <c r="J7" s="200"/>
      <c r="K7" s="200"/>
      <c r="L7" s="200"/>
      <c r="M7" s="723"/>
    </row>
    <row r="8" spans="1:29" ht="18.75" thickBot="1" x14ac:dyDescent="0.25">
      <c r="B8" s="763"/>
      <c r="C8" s="200"/>
      <c r="D8" s="200"/>
      <c r="E8" s="200"/>
      <c r="F8" s="200"/>
      <c r="G8" s="200"/>
      <c r="H8" s="200"/>
      <c r="I8" s="200"/>
      <c r="J8" s="831" t="str">
        <f>Translations!$B$780</f>
        <v>Ataskaitiniai metai:</v>
      </c>
      <c r="K8" s="1749">
        <f>IF(ISBLANK('A_Operator&amp;Inst.ID'!$J$9),"",'A_Operator&amp;Inst.ID'!$J$9)</f>
        <v>2019</v>
      </c>
      <c r="L8" s="1750"/>
      <c r="M8" s="723"/>
    </row>
    <row r="9" spans="1:29" ht="5.0999999999999996" customHeight="1" x14ac:dyDescent="0.2">
      <c r="B9" s="763"/>
      <c r="C9" s="200"/>
      <c r="D9" s="200"/>
      <c r="E9" s="200"/>
      <c r="F9" s="200"/>
      <c r="G9" s="200"/>
      <c r="H9" s="200"/>
      <c r="I9" s="200"/>
      <c r="J9" s="200"/>
      <c r="K9" s="200"/>
      <c r="L9" s="200"/>
      <c r="M9" s="723"/>
    </row>
    <row r="10" spans="1:29" s="7" customFormat="1" ht="12.75" customHeight="1" x14ac:dyDescent="0.2">
      <c r="A10" s="824"/>
      <c r="B10" s="765"/>
      <c r="C10" s="710"/>
      <c r="D10" s="606"/>
      <c r="E10" s="1746" t="str">
        <f>Translations!$B$541</f>
        <v>Veiklos vykdytojo pavadinimas:</v>
      </c>
      <c r="F10" s="1746"/>
      <c r="G10" s="1746"/>
      <c r="H10" s="1747"/>
      <c r="I10" s="1758" t="str">
        <f>IF(ISBLANK('A_Operator&amp;Inst.ID'!$I$26),"",'A_Operator&amp;Inst.ID'!$I$26)</f>
        <v>UAB ,,Lietuvos cukrus"</v>
      </c>
      <c r="J10" s="1759"/>
      <c r="K10" s="1759"/>
      <c r="L10" s="1759"/>
      <c r="M10" s="731"/>
      <c r="N10" s="383"/>
      <c r="O10" s="383"/>
      <c r="P10" s="383"/>
      <c r="Q10" s="383"/>
      <c r="R10" s="383"/>
      <c r="S10" s="383"/>
      <c r="T10" s="383"/>
      <c r="U10" s="383"/>
      <c r="V10" s="383"/>
      <c r="W10" s="383"/>
      <c r="X10" s="383"/>
      <c r="Y10" s="383"/>
      <c r="Z10" s="383"/>
      <c r="AA10" s="383"/>
      <c r="AB10" s="383"/>
      <c r="AC10" s="383"/>
    </row>
    <row r="11" spans="1:29" ht="5.0999999999999996" customHeight="1" x14ac:dyDescent="0.2">
      <c r="B11" s="763"/>
      <c r="C11" s="200"/>
      <c r="D11" s="200"/>
      <c r="E11" s="910"/>
      <c r="F11" s="910"/>
      <c r="G11" s="910"/>
      <c r="H11" s="910"/>
      <c r="I11" s="200"/>
      <c r="J11" s="200"/>
      <c r="K11" s="200"/>
      <c r="L11" s="200"/>
      <c r="M11" s="723"/>
    </row>
    <row r="12" spans="1:29" s="196" customFormat="1" ht="12.75" customHeight="1" x14ac:dyDescent="0.2">
      <c r="A12" s="757"/>
      <c r="B12" s="765"/>
      <c r="C12" s="716"/>
      <c r="D12" s="753"/>
      <c r="E12" s="1764" t="str">
        <f>Translations!$B$13</f>
        <v>Įrenginio pavadinimas</v>
      </c>
      <c r="F12" s="1764"/>
      <c r="G12" s="1764"/>
      <c r="H12" s="1765"/>
      <c r="I12" s="1760" t="str">
        <f>IF(ISBLANK('A_Operator&amp;Inst.ID'!I43),"",'A_Operator&amp;Inst.ID'!I43)</f>
        <v>katilinė ir išspaudų džiovykla</v>
      </c>
      <c r="J12" s="1761"/>
      <c r="K12" s="1761"/>
      <c r="L12" s="1761"/>
      <c r="M12" s="731"/>
      <c r="N12" s="822"/>
      <c r="O12" s="822"/>
      <c r="P12" s="822"/>
      <c r="Q12" s="822"/>
      <c r="R12" s="822"/>
      <c r="S12" s="822"/>
      <c r="T12" s="822"/>
      <c r="U12" s="822"/>
      <c r="V12" s="822"/>
      <c r="W12" s="822"/>
      <c r="X12" s="822"/>
      <c r="Y12" s="822"/>
      <c r="Z12" s="822"/>
      <c r="AA12" s="822"/>
      <c r="AB12" s="822"/>
      <c r="AC12" s="822"/>
    </row>
    <row r="13" spans="1:29" s="196" customFormat="1" ht="12.75" customHeight="1" x14ac:dyDescent="0.2">
      <c r="A13" s="757"/>
      <c r="B13" s="765"/>
      <c r="C13" s="716"/>
      <c r="D13" s="753"/>
      <c r="E13" s="1746" t="str">
        <f>Translations!$B$549</f>
        <v>Unikalus įrenginio identifikatorius:</v>
      </c>
      <c r="F13" s="1746"/>
      <c r="G13" s="1746"/>
      <c r="H13" s="1747"/>
      <c r="I13" s="1762" t="str">
        <f>IF(ISBLANK('A_Operator&amp;Inst.ID'!I45),"",'A_Operator&amp;Inst.ID'!I45)</f>
        <v>LT0000000030</v>
      </c>
      <c r="J13" s="1763"/>
      <c r="K13" s="1763"/>
      <c r="L13" s="1763"/>
      <c r="M13" s="731"/>
      <c r="N13" s="822"/>
      <c r="O13" s="822"/>
      <c r="P13" s="822"/>
      <c r="Q13" s="822"/>
      <c r="R13" s="822"/>
      <c r="S13" s="822"/>
      <c r="T13" s="822"/>
      <c r="U13" s="822"/>
      <c r="V13" s="822"/>
      <c r="W13" s="822"/>
      <c r="X13" s="822"/>
      <c r="Y13" s="822"/>
      <c r="Z13" s="822"/>
      <c r="AA13" s="822"/>
      <c r="AB13" s="822"/>
      <c r="AC13" s="822"/>
    </row>
    <row r="14" spans="1:29" ht="5.0999999999999996" customHeight="1" x14ac:dyDescent="0.2">
      <c r="B14" s="763"/>
      <c r="C14" s="200"/>
      <c r="D14" s="200"/>
      <c r="E14" s="200"/>
      <c r="F14" s="200"/>
      <c r="G14" s="200"/>
      <c r="H14" s="200"/>
      <c r="I14" s="200"/>
      <c r="J14" s="200"/>
      <c r="K14" s="200"/>
      <c r="L14" s="200"/>
      <c r="M14" s="723"/>
    </row>
    <row r="15" spans="1:29" ht="25.5" x14ac:dyDescent="0.2">
      <c r="B15" s="763"/>
      <c r="C15" s="200"/>
      <c r="D15" s="200"/>
      <c r="E15" s="1719" t="str">
        <f>Translations!$B$107</f>
        <v>I priedo veikla</v>
      </c>
      <c r="F15" s="1719"/>
      <c r="G15" s="1719"/>
      <c r="H15" s="1719"/>
      <c r="I15" s="1719"/>
      <c r="J15" s="851" t="str">
        <f>Translations!$B$108</f>
        <v xml:space="preserve">Bendras veiklos pajėgumas </v>
      </c>
      <c r="K15" s="851" t="str">
        <f>Translations!$B$109</f>
        <v>Pajėgumo vienetai</v>
      </c>
      <c r="L15" s="852" t="str">
        <f>Translations!$B$110</f>
        <v>Išmestos ŠESD</v>
      </c>
      <c r="M15" s="723"/>
    </row>
    <row r="16" spans="1:29" ht="12.75" customHeight="1" x14ac:dyDescent="0.2">
      <c r="B16" s="763"/>
      <c r="C16" s="716"/>
      <c r="D16" s="821" t="s">
        <v>95</v>
      </c>
      <c r="E16" s="1697" t="str">
        <f>IF(ISBLANK(B_InstallationDescription!E26),"",B_InstallationDescription!E26)</f>
        <v>Kuro deginimas</v>
      </c>
      <c r="F16" s="1753"/>
      <c r="G16" s="1753"/>
      <c r="H16" s="1753"/>
      <c r="I16" s="1754"/>
      <c r="J16" s="849">
        <f>IF(ISBLANK(B_InstallationDescription!L26),"",B_InstallationDescription!L26)</f>
        <v>78</v>
      </c>
      <c r="K16" s="849" t="str">
        <f>IF(ISBLANK(B_InstallationDescription!M26),"",B_InstallationDescription!M26)</f>
        <v>MW(šil)</v>
      </c>
      <c r="L16" s="849" t="str">
        <f>IF(ISBLANK(B_InstallationDescription!N26),"",B_InstallationDescription!N26)</f>
        <v>CO2</v>
      </c>
      <c r="M16" s="732"/>
    </row>
    <row r="17" spans="1:29" ht="12.75" customHeight="1" x14ac:dyDescent="0.2">
      <c r="B17" s="763"/>
      <c r="C17" s="716"/>
      <c r="D17" s="821" t="s">
        <v>96</v>
      </c>
      <c r="E17" s="1697" t="str">
        <f>IF(ISBLANK(B_InstallationDescription!E27),"",B_InstallationDescription!E27)</f>
        <v/>
      </c>
      <c r="F17" s="1753"/>
      <c r="G17" s="1753"/>
      <c r="H17" s="1753"/>
      <c r="I17" s="1754"/>
      <c r="J17" s="849" t="str">
        <f>IF(ISBLANK(B_InstallationDescription!L27),"",B_InstallationDescription!L27)</f>
        <v/>
      </c>
      <c r="K17" s="849" t="str">
        <f>IF(ISBLANK(B_InstallationDescription!M27),"",B_InstallationDescription!M27)</f>
        <v/>
      </c>
      <c r="L17" s="849" t="str">
        <f>IF(ISBLANK(B_InstallationDescription!N27),"",B_InstallationDescription!N27)</f>
        <v/>
      </c>
      <c r="M17" s="732"/>
    </row>
    <row r="18" spans="1:29" ht="12.75" customHeight="1" x14ac:dyDescent="0.2">
      <c r="B18" s="763"/>
      <c r="C18" s="716"/>
      <c r="D18" s="821" t="s">
        <v>97</v>
      </c>
      <c r="E18" s="1697" t="str">
        <f>IF(ISBLANK(B_InstallationDescription!E28),"",B_InstallationDescription!E28)</f>
        <v/>
      </c>
      <c r="F18" s="1753"/>
      <c r="G18" s="1753"/>
      <c r="H18" s="1753"/>
      <c r="I18" s="1754"/>
      <c r="J18" s="849" t="str">
        <f>IF(ISBLANK(B_InstallationDescription!L28),"",B_InstallationDescription!L28)</f>
        <v/>
      </c>
      <c r="K18" s="849" t="str">
        <f>IF(ISBLANK(B_InstallationDescription!M28),"",B_InstallationDescription!M28)</f>
        <v/>
      </c>
      <c r="L18" s="849" t="str">
        <f>IF(ISBLANK(B_InstallationDescription!N28),"",B_InstallationDescription!N28)</f>
        <v/>
      </c>
      <c r="M18" s="732"/>
    </row>
    <row r="19" spans="1:29" ht="12.75" customHeight="1" x14ac:dyDescent="0.2">
      <c r="B19" s="763"/>
      <c r="C19" s="716"/>
      <c r="D19" s="821" t="s">
        <v>98</v>
      </c>
      <c r="E19" s="1697" t="str">
        <f>IF(ISBLANK(B_InstallationDescription!E29),"",B_InstallationDescription!E29)</f>
        <v/>
      </c>
      <c r="F19" s="1753"/>
      <c r="G19" s="1753"/>
      <c r="H19" s="1753"/>
      <c r="I19" s="1754"/>
      <c r="J19" s="849" t="str">
        <f>IF(ISBLANK(B_InstallationDescription!L29),"",B_InstallationDescription!L29)</f>
        <v/>
      </c>
      <c r="K19" s="849" t="str">
        <f>IF(ISBLANK(B_InstallationDescription!M29),"",B_InstallationDescription!M29)</f>
        <v/>
      </c>
      <c r="L19" s="849" t="str">
        <f>IF(ISBLANK(B_InstallationDescription!N29),"",B_InstallationDescription!N29)</f>
        <v/>
      </c>
      <c r="M19" s="732"/>
    </row>
    <row r="20" spans="1:29" ht="12.75" customHeight="1" x14ac:dyDescent="0.2">
      <c r="B20" s="763"/>
      <c r="C20" s="716"/>
      <c r="D20" s="821" t="s">
        <v>99</v>
      </c>
      <c r="E20" s="1697" t="str">
        <f>IF(ISBLANK(B_InstallationDescription!E30),"",B_InstallationDescription!E30)</f>
        <v/>
      </c>
      <c r="F20" s="1753"/>
      <c r="G20" s="1753"/>
      <c r="H20" s="1753"/>
      <c r="I20" s="1754"/>
      <c r="J20" s="849" t="str">
        <f>IF(ISBLANK(B_InstallationDescription!L30),"",B_InstallationDescription!L30)</f>
        <v/>
      </c>
      <c r="K20" s="849" t="str">
        <f>IF(ISBLANK(B_InstallationDescription!M30),"",B_InstallationDescription!M30)</f>
        <v/>
      </c>
      <c r="L20" s="849" t="str">
        <f>IF(ISBLANK(B_InstallationDescription!N30),"",B_InstallationDescription!N30)</f>
        <v/>
      </c>
      <c r="M20" s="732"/>
    </row>
    <row r="21" spans="1:29" x14ac:dyDescent="0.2">
      <c r="B21" s="763"/>
      <c r="C21" s="200"/>
      <c r="D21" s="200"/>
      <c r="E21" s="200"/>
      <c r="F21" s="200"/>
      <c r="G21" s="200"/>
      <c r="H21" s="200"/>
      <c r="I21" s="200"/>
      <c r="J21" s="200"/>
      <c r="K21" s="200"/>
      <c r="L21" s="200"/>
      <c r="M21" s="723"/>
    </row>
    <row r="22" spans="1:29" x14ac:dyDescent="0.2">
      <c r="B22" s="763"/>
      <c r="C22" s="200"/>
      <c r="D22" s="200"/>
      <c r="E22" s="200"/>
      <c r="F22" s="200"/>
      <c r="G22" s="200"/>
      <c r="H22" s="200"/>
      <c r="I22" s="200"/>
      <c r="J22" s="869" t="str">
        <f>Translations!$B$781</f>
        <v>Papildoma informacija:</v>
      </c>
      <c r="K22" s="200"/>
      <c r="L22" s="200"/>
      <c r="M22" s="723"/>
    </row>
    <row r="23" spans="1:29" ht="51" x14ac:dyDescent="0.2">
      <c r="B23" s="763"/>
      <c r="C23" s="200"/>
      <c r="D23" s="200"/>
      <c r="E23" s="200"/>
      <c r="F23" s="200"/>
      <c r="G23" s="200"/>
      <c r="H23" s="830" t="str">
        <f>Translations!$B$782</f>
        <v>Išmetamųjų ŠESD kiekis (iškastinis kuras)</v>
      </c>
      <c r="I23" s="830" t="str">
        <f>Translations!$B$783</f>
        <v>Energetinė vertė (iškastinis kuras)</v>
      </c>
      <c r="J23" s="870" t="str">
        <f>Translations!$B$784</f>
        <v>Išmetamųjų ŠESD kiekis (biomasė)</v>
      </c>
      <c r="K23" s="828" t="str">
        <f>Translations!$B$785</f>
        <v>Energetinė vertė (biomasė)</v>
      </c>
      <c r="L23" s="828" t="str">
        <f>Translations!$B$786</f>
        <v>Išmetamųjų ŠESD kiekis (netvari biomasė)</v>
      </c>
      <c r="M23" s="723"/>
    </row>
    <row r="24" spans="1:29" x14ac:dyDescent="0.2">
      <c r="B24" s="763"/>
      <c r="C24" s="200"/>
      <c r="D24" s="200"/>
      <c r="E24" s="200"/>
      <c r="F24" s="200"/>
      <c r="G24" s="200"/>
      <c r="H24" s="830" t="s">
        <v>257</v>
      </c>
      <c r="I24" s="830" t="s">
        <v>279</v>
      </c>
      <c r="J24" s="872" t="s">
        <v>483</v>
      </c>
      <c r="K24" s="829" t="s">
        <v>279</v>
      </c>
      <c r="L24" s="829" t="s">
        <v>483</v>
      </c>
      <c r="M24" s="723"/>
      <c r="T24" s="56" t="s">
        <v>472</v>
      </c>
      <c r="U24" s="56" t="s">
        <v>473</v>
      </c>
      <c r="V24" s="56" t="s">
        <v>474</v>
      </c>
      <c r="W24" s="56" t="s">
        <v>475</v>
      </c>
      <c r="X24" s="56" t="s">
        <v>476</v>
      </c>
    </row>
    <row r="25" spans="1:29" s="28" customFormat="1" ht="18" customHeight="1" x14ac:dyDescent="0.2">
      <c r="A25" s="58"/>
      <c r="B25" s="762"/>
      <c r="C25" s="164"/>
      <c r="D25" s="164"/>
      <c r="E25" s="825" t="str">
        <f>Translations!$B$580</f>
        <v>Sukėlikliai</v>
      </c>
      <c r="F25" s="826"/>
      <c r="G25" s="826"/>
      <c r="H25" s="1200">
        <f>IF(COUNT(H26:H29)&gt;0,SUM(H26:H29),"")</f>
        <v>14045.86180681632</v>
      </c>
      <c r="I25" s="1219">
        <f>IF(COUNT(I26:I29)&gt;0,SUM(I26:I29),"")</f>
        <v>252.75979497599997</v>
      </c>
      <c r="J25" s="1205">
        <f>IF(COUNT(J26:J29)&gt;0,SUM(J26:J29),"")</f>
        <v>0</v>
      </c>
      <c r="K25" s="1215">
        <f>IF(COUNT(K26:K29)&gt;0,SUM(K26:K29),"")</f>
        <v>0</v>
      </c>
      <c r="L25" s="1211">
        <f>IF(COUNT(L26:L29)&gt;0,SUM(L26:L29),"")</f>
        <v>0</v>
      </c>
      <c r="M25" s="730"/>
      <c r="N25" s="58"/>
      <c r="O25" s="58"/>
      <c r="P25" s="58"/>
      <c r="Q25" s="58"/>
      <c r="R25" s="832"/>
      <c r="S25" s="832"/>
      <c r="T25" s="853">
        <f>IF(COUNT(T26:T29)&gt;0,SUM(T26:T29),"")</f>
        <v>14045.86180681632</v>
      </c>
      <c r="U25" s="854">
        <f>IF(COUNT(U26:U29)&gt;0,SUM(U26:U29),"")</f>
        <v>252.75979497599997</v>
      </c>
      <c r="V25" s="855">
        <f>IF(COUNT(V26:V29)&gt;0,SUM(V26:V29),"")</f>
        <v>0</v>
      </c>
      <c r="W25" s="856">
        <f>IF(COUNT(W26:W29)&gt;0,SUM(W26:W29),"")</f>
        <v>0</v>
      </c>
      <c r="X25" s="855">
        <f>IF(COUNT(X26:X29)&gt;0,SUM(X26:X29),"")</f>
        <v>0</v>
      </c>
      <c r="Y25" s="58"/>
      <c r="Z25" s="58"/>
      <c r="AA25" s="58"/>
      <c r="AB25" s="58"/>
      <c r="AC25" s="58"/>
    </row>
    <row r="26" spans="1:29" s="28" customFormat="1" x14ac:dyDescent="0.2">
      <c r="A26" s="58"/>
      <c r="B26" s="762"/>
      <c r="C26" s="164"/>
      <c r="D26" s="164"/>
      <c r="E26" s="164"/>
      <c r="F26" s="141" t="str">
        <f>EUconst_Fuel</f>
        <v>Degimas</v>
      </c>
      <c r="G26" s="141"/>
      <c r="H26" s="1201">
        <f t="shared" ref="H26:L28" si="0">IF(SUM($T26:$X26)=0,"",T26)</f>
        <v>14045.86180681632</v>
      </c>
      <c r="I26" s="1220">
        <f t="shared" si="0"/>
        <v>252.75979497599997</v>
      </c>
      <c r="J26" s="1206">
        <f t="shared" si="0"/>
        <v>0</v>
      </c>
      <c r="K26" s="1216">
        <f t="shared" si="0"/>
        <v>0</v>
      </c>
      <c r="L26" s="1212">
        <f t="shared" si="0"/>
        <v>0</v>
      </c>
      <c r="M26" s="730"/>
      <c r="N26" s="58"/>
      <c r="O26" s="58"/>
      <c r="P26" s="58"/>
      <c r="Q26" s="58"/>
      <c r="R26" s="403" t="str">
        <f>EUconst_Fuel</f>
        <v>Degimas</v>
      </c>
      <c r="S26" s="403"/>
      <c r="T26" s="857">
        <f>SUMIF(J_Accounting!$D:$D,$R26,J_Accounting!AU:AU)</f>
        <v>14045.86180681632</v>
      </c>
      <c r="U26" s="858">
        <f>SUMIF(J_Accounting!$D:$D,$R26,J_Accounting!AX:AX)</f>
        <v>252.75979497599997</v>
      </c>
      <c r="V26" s="859">
        <f>SUMIF(J_Accounting!$D:$D,$R26,J_Accounting!AV:AV)</f>
        <v>0</v>
      </c>
      <c r="W26" s="860">
        <f>SUMIF(J_Accounting!$D:$D,$R26,J_Accounting!AY:AY)</f>
        <v>0</v>
      </c>
      <c r="X26" s="859">
        <f>SUMIF(J_Accounting!$D:$D,$R26,J_Accounting!AW:AW)</f>
        <v>0</v>
      </c>
      <c r="Y26" s="58"/>
      <c r="Z26" s="58"/>
      <c r="AA26" s="58"/>
      <c r="AB26" s="58"/>
      <c r="AC26" s="58"/>
    </row>
    <row r="27" spans="1:29" s="28" customFormat="1" x14ac:dyDescent="0.2">
      <c r="A27" s="58"/>
      <c r="B27" s="762"/>
      <c r="C27" s="164"/>
      <c r="D27" s="164"/>
      <c r="E27" s="164"/>
      <c r="F27" s="141" t="str">
        <f>EUconst_ProcessCarbonate</f>
        <v>Proceso metu išsiskiriančios ŠESD</v>
      </c>
      <c r="G27" s="141"/>
      <c r="H27" s="1202" t="str">
        <f t="shared" si="0"/>
        <v/>
      </c>
      <c r="I27" s="1221" t="str">
        <f t="shared" si="0"/>
        <v/>
      </c>
      <c r="J27" s="1207" t="str">
        <f t="shared" si="0"/>
        <v/>
      </c>
      <c r="K27" s="1217" t="str">
        <f t="shared" si="0"/>
        <v/>
      </c>
      <c r="L27" s="1213" t="str">
        <f t="shared" si="0"/>
        <v/>
      </c>
      <c r="M27" s="730"/>
      <c r="N27" s="58"/>
      <c r="O27" s="58"/>
      <c r="P27" s="58"/>
      <c r="Q27" s="58"/>
      <c r="R27" s="403" t="str">
        <f>EUconst_ProcessCarbonate</f>
        <v>Proceso metu išsiskiriančios ŠESD</v>
      </c>
      <c r="S27" s="403"/>
      <c r="T27" s="857">
        <f>SUMIF(J_Accounting!$D:$D,$R27,J_Accounting!AU:AU)</f>
        <v>0</v>
      </c>
      <c r="U27" s="858">
        <f>SUMIF(J_Accounting!$D:$D,$R27,J_Accounting!AX:AX)</f>
        <v>0</v>
      </c>
      <c r="V27" s="859">
        <f>SUMIF(J_Accounting!$D:$D,$R27,J_Accounting!AV:AV)</f>
        <v>0</v>
      </c>
      <c r="W27" s="860">
        <f>SUMIF(J_Accounting!$D:$D,$R27,J_Accounting!AY:AY)</f>
        <v>0</v>
      </c>
      <c r="X27" s="859">
        <f>SUMIF(J_Accounting!$D:$D,$R27,J_Accounting!AW:AW)</f>
        <v>0</v>
      </c>
      <c r="Y27" s="58"/>
      <c r="Z27" s="58"/>
      <c r="AA27" s="58"/>
      <c r="AB27" s="58"/>
      <c r="AC27" s="58"/>
    </row>
    <row r="28" spans="1:29" s="28" customFormat="1" x14ac:dyDescent="0.2">
      <c r="A28" s="58"/>
      <c r="B28" s="762"/>
      <c r="C28" s="164"/>
      <c r="D28" s="164"/>
      <c r="E28" s="164"/>
      <c r="F28" s="141" t="str">
        <f>EUconst_MassBalance</f>
        <v>Masės balansas</v>
      </c>
      <c r="G28" s="141"/>
      <c r="H28" s="1202" t="str">
        <f t="shared" si="0"/>
        <v/>
      </c>
      <c r="I28" s="1221" t="str">
        <f t="shared" si="0"/>
        <v/>
      </c>
      <c r="J28" s="1207" t="str">
        <f t="shared" si="0"/>
        <v/>
      </c>
      <c r="K28" s="1217" t="str">
        <f t="shared" si="0"/>
        <v/>
      </c>
      <c r="L28" s="1213" t="str">
        <f t="shared" si="0"/>
        <v/>
      </c>
      <c r="M28" s="730"/>
      <c r="N28" s="58"/>
      <c r="O28" s="58"/>
      <c r="P28" s="58"/>
      <c r="Q28" s="58"/>
      <c r="R28" s="403" t="str">
        <f>EUconst_MassBalance</f>
        <v>Masės balansas</v>
      </c>
      <c r="S28" s="403"/>
      <c r="T28" s="857">
        <f>SUMIF(J_Accounting!$D:$D,$R28,J_Accounting!AU:AU)</f>
        <v>0</v>
      </c>
      <c r="U28" s="858">
        <f>SUMIF(J_Accounting!$D:$D,$R28,J_Accounting!AX:AX)</f>
        <v>0</v>
      </c>
      <c r="V28" s="859">
        <f>SUMIF(J_Accounting!$D:$D,$R28,J_Accounting!AV:AV)</f>
        <v>0</v>
      </c>
      <c r="W28" s="860">
        <f>SUMIF(J_Accounting!$D:$D,$R28,J_Accounting!AY:AY)</f>
        <v>0</v>
      </c>
      <c r="X28" s="859">
        <f>SUMIF(J_Accounting!$D:$D,$R28,J_Accounting!AW:AW)</f>
        <v>0</v>
      </c>
      <c r="Y28" s="58"/>
      <c r="Z28" s="58"/>
      <c r="AA28" s="58"/>
      <c r="AB28" s="58"/>
      <c r="AC28" s="58"/>
    </row>
    <row r="29" spans="1:29" s="28" customFormat="1" x14ac:dyDescent="0.2">
      <c r="A29" s="58"/>
      <c r="B29" s="762"/>
      <c r="C29" s="164"/>
      <c r="D29" s="164"/>
      <c r="E29" s="164"/>
      <c r="F29" s="141" t="str">
        <f>EUconst_ProcessPFC</f>
        <v>Išmetamas PFC kiekis</v>
      </c>
      <c r="G29" s="141"/>
      <c r="H29" s="1203" t="str">
        <f>IF(SUM($T29:$X29)=0,"",T29)</f>
        <v/>
      </c>
      <c r="I29" s="1222" t="str">
        <f>IF(SUM($T29:$X29)=0,"",U29)</f>
        <v/>
      </c>
      <c r="J29" s="1208"/>
      <c r="K29" s="1218"/>
      <c r="L29" s="1214"/>
      <c r="M29" s="730"/>
      <c r="N29" s="871"/>
      <c r="O29" s="58"/>
      <c r="P29" s="58"/>
      <c r="Q29" s="58"/>
      <c r="R29" s="403" t="str">
        <f>EUconst_ProcessPFC</f>
        <v>Išmetamas PFC kiekis</v>
      </c>
      <c r="S29" s="403"/>
      <c r="T29" s="857">
        <f>SUMIF(J_Accounting!$D:$D,$R29,J_Accounting!AU:AU)</f>
        <v>0</v>
      </c>
      <c r="U29" s="858"/>
      <c r="V29" s="859"/>
      <c r="W29" s="860"/>
      <c r="X29" s="859"/>
      <c r="Y29" s="58"/>
      <c r="Z29" s="58"/>
      <c r="AA29" s="58"/>
      <c r="AB29" s="58"/>
      <c r="AC29" s="58"/>
    </row>
    <row r="30" spans="1:29" s="28" customFormat="1" ht="5.0999999999999996" customHeight="1" x14ac:dyDescent="0.2">
      <c r="A30" s="58"/>
      <c r="B30" s="762"/>
      <c r="C30" s="164"/>
      <c r="D30" s="164"/>
      <c r="E30" s="164"/>
      <c r="F30" s="164"/>
      <c r="G30" s="164"/>
      <c r="H30" s="164"/>
      <c r="I30" s="164"/>
      <c r="J30" s="164"/>
      <c r="K30" s="164"/>
      <c r="L30" s="164"/>
      <c r="M30" s="730"/>
      <c r="N30" s="871"/>
      <c r="O30" s="58"/>
      <c r="P30" s="58"/>
      <c r="Q30" s="58"/>
      <c r="R30" s="403"/>
      <c r="S30" s="403"/>
      <c r="T30" s="857"/>
      <c r="U30" s="858"/>
      <c r="V30" s="859"/>
      <c r="W30" s="860"/>
      <c r="X30" s="859"/>
      <c r="Y30" s="58"/>
      <c r="Z30" s="58"/>
      <c r="AA30" s="58"/>
      <c r="AB30" s="58"/>
      <c r="AC30" s="58"/>
    </row>
    <row r="31" spans="1:29" s="28" customFormat="1" ht="18" customHeight="1" x14ac:dyDescent="0.2">
      <c r="A31" s="58"/>
      <c r="B31" s="762"/>
      <c r="C31" s="164"/>
      <c r="D31" s="164"/>
      <c r="E31" s="825" t="str">
        <f>Translations!$B$487</f>
        <v>Matavimas</v>
      </c>
      <c r="F31" s="826"/>
      <c r="G31" s="826"/>
      <c r="H31" s="1200" t="str">
        <f>IF(COUNT(H32:H34)&gt;0,SUM(H32:H34),"")</f>
        <v/>
      </c>
      <c r="I31" s="1219" t="str">
        <f>IF(COUNT(I32:I34)&gt;0,SUM(I32:I34),"")</f>
        <v/>
      </c>
      <c r="J31" s="1205" t="str">
        <f>IF(COUNT(J32:J34)&gt;0,SUM(J32:J34),"")</f>
        <v/>
      </c>
      <c r="K31" s="1215" t="str">
        <f>IF(COUNT(K32:K34)&gt;0,SUM(K32:K34),"")</f>
        <v/>
      </c>
      <c r="L31" s="1211" t="str">
        <f>IF(COUNT(L32:L34)&gt;0,SUM(L32:L34),"")</f>
        <v/>
      </c>
      <c r="M31" s="730"/>
      <c r="N31" s="58"/>
      <c r="O31" s="58"/>
      <c r="P31" s="58"/>
      <c r="Q31" s="58"/>
      <c r="R31" s="832"/>
      <c r="S31" s="832"/>
      <c r="T31" s="853">
        <f>IF(COUNT(T32:T34)&gt;0,SUM(T32:T34),"")</f>
        <v>0</v>
      </c>
      <c r="U31" s="854">
        <f>IF(COUNT(U32:U34)&gt;0,SUM(U32:U34),"")</f>
        <v>0</v>
      </c>
      <c r="V31" s="855">
        <f>IF(COUNT(V32:V34)&gt;0,SUM(V32:V34),"")</f>
        <v>0</v>
      </c>
      <c r="W31" s="856">
        <f>IF(COUNT(W32:W34)&gt;0,SUM(W32:W34),"")</f>
        <v>0</v>
      </c>
      <c r="X31" s="855">
        <f>IF(COUNT(X32:X34)&gt;0,SUM(X32:X34),"")</f>
        <v>0</v>
      </c>
      <c r="Y31" s="58"/>
      <c r="Z31" s="58"/>
      <c r="AA31" s="58"/>
      <c r="AB31" s="58"/>
      <c r="AC31" s="58"/>
    </row>
    <row r="32" spans="1:29" s="28" customFormat="1" x14ac:dyDescent="0.2">
      <c r="A32" s="58"/>
      <c r="B32" s="762"/>
      <c r="C32" s="164"/>
      <c r="D32" s="164"/>
      <c r="E32" s="164"/>
      <c r="F32" s="141" t="str">
        <f>INDEX(EUconst_CEMSType,1)</f>
        <v>CO2</v>
      </c>
      <c r="G32" s="141"/>
      <c r="H32" s="1201" t="str">
        <f t="shared" ref="H32:L36" si="1">IF(SUM($T32:$X32)=0,"",T32)</f>
        <v/>
      </c>
      <c r="I32" s="1220" t="str">
        <f t="shared" si="1"/>
        <v/>
      </c>
      <c r="J32" s="1206" t="str">
        <f t="shared" si="1"/>
        <v/>
      </c>
      <c r="K32" s="1216" t="str">
        <f t="shared" si="1"/>
        <v/>
      </c>
      <c r="L32" s="1212" t="str">
        <f t="shared" si="1"/>
        <v/>
      </c>
      <c r="M32" s="730"/>
      <c r="N32" s="58"/>
      <c r="O32" s="58"/>
      <c r="P32" s="58"/>
      <c r="Q32" s="58"/>
      <c r="R32" s="403" t="str">
        <f>INDEX(EUconst_CEMSType,1)</f>
        <v>CO2</v>
      </c>
      <c r="S32" s="403"/>
      <c r="T32" s="857">
        <f>SUMIF(J_Accounting!$D:$D,$R32,J_Accounting!AU:AU)</f>
        <v>0</v>
      </c>
      <c r="U32" s="858">
        <f>SUMIF(J_Accounting!$D:$D,$R32,J_Accounting!AX:AX)</f>
        <v>0</v>
      </c>
      <c r="V32" s="859">
        <f>SUMIF(J_Accounting!$D:$D,$R32,J_Accounting!AV:AV)</f>
        <v>0</v>
      </c>
      <c r="W32" s="860">
        <f>SUMIF(J_Accounting!$D:$D,$R32,J_Accounting!AY:AY)</f>
        <v>0</v>
      </c>
      <c r="X32" s="859">
        <f>SUMIF(J_Accounting!$D:$D,$R32,J_Accounting!AW:AW)</f>
        <v>0</v>
      </c>
      <c r="Y32" s="58"/>
      <c r="Z32" s="58"/>
      <c r="AA32" s="58"/>
      <c r="AB32" s="58"/>
      <c r="AC32" s="58"/>
    </row>
    <row r="33" spans="1:29" s="28" customFormat="1" x14ac:dyDescent="0.2">
      <c r="A33" s="58"/>
      <c r="B33" s="762"/>
      <c r="C33" s="164"/>
      <c r="D33" s="164"/>
      <c r="E33" s="164"/>
      <c r="F33" s="141" t="str">
        <f>INDEX(EUconst_CEMSType,2)</f>
        <v>N2O</v>
      </c>
      <c r="G33" s="141"/>
      <c r="H33" s="1202" t="str">
        <f t="shared" si="1"/>
        <v/>
      </c>
      <c r="I33" s="1221" t="str">
        <f t="shared" si="1"/>
        <v/>
      </c>
      <c r="J33" s="1207"/>
      <c r="K33" s="1217"/>
      <c r="L33" s="1213"/>
      <c r="M33" s="730"/>
      <c r="N33" s="58"/>
      <c r="O33" s="58"/>
      <c r="P33" s="58"/>
      <c r="Q33" s="58"/>
      <c r="R33" s="403" t="str">
        <f>INDEX(EUconst_CEMSType,2)</f>
        <v>N2O</v>
      </c>
      <c r="S33" s="403"/>
      <c r="T33" s="857">
        <f>SUMIF(J_Accounting!$D:$D,$R33,J_Accounting!AU:AU)</f>
        <v>0</v>
      </c>
      <c r="U33" s="858">
        <f>SUMIF(J_Accounting!$D:$D,$R33,J_Accounting!AX:AX)</f>
        <v>0</v>
      </c>
      <c r="V33" s="859">
        <f>SUMIF(J_Accounting!$D:$D,$R33,J_Accounting!AV:AV)</f>
        <v>0</v>
      </c>
      <c r="W33" s="860">
        <f>SUMIF(J_Accounting!$D:$D,$R33,J_Accounting!AY:AY)</f>
        <v>0</v>
      </c>
      <c r="X33" s="859">
        <f>SUMIF(J_Accounting!$D:$D,$R33,J_Accounting!AW:AW)</f>
        <v>0</v>
      </c>
      <c r="Y33" s="58"/>
      <c r="Z33" s="58"/>
      <c r="AA33" s="58"/>
      <c r="AB33" s="58"/>
      <c r="AC33" s="58"/>
    </row>
    <row r="34" spans="1:29" s="28" customFormat="1" x14ac:dyDescent="0.2">
      <c r="A34" s="58"/>
      <c r="B34" s="762"/>
      <c r="C34" s="164"/>
      <c r="D34" s="164"/>
      <c r="E34" s="164"/>
      <c r="F34" s="141" t="str">
        <f>INDEX(EUconst_CEMSType,3)</f>
        <v>CO2 perdavimas</v>
      </c>
      <c r="G34" s="141"/>
      <c r="H34" s="1203" t="str">
        <f>IF(SUM($T34:$X34)=0,"",T34)</f>
        <v/>
      </c>
      <c r="I34" s="1222" t="str">
        <f t="shared" si="1"/>
        <v/>
      </c>
      <c r="J34" s="1208" t="str">
        <f t="shared" si="1"/>
        <v/>
      </c>
      <c r="K34" s="1218" t="str">
        <f t="shared" si="1"/>
        <v/>
      </c>
      <c r="L34" s="1214" t="str">
        <f t="shared" si="1"/>
        <v/>
      </c>
      <c r="M34" s="730"/>
      <c r="N34" s="58"/>
      <c r="O34" s="58"/>
      <c r="P34" s="58"/>
      <c r="Q34" s="58"/>
      <c r="R34" s="403" t="str">
        <f>INDEX(EUconst_CEMSType,3)</f>
        <v>CO2 perdavimas</v>
      </c>
      <c r="S34" s="403"/>
      <c r="T34" s="857">
        <f>SUMIF(J_Accounting!$D:$D,$R34,J_Accounting!AU:AU)</f>
        <v>0</v>
      </c>
      <c r="U34" s="858">
        <f>SUMIF(J_Accounting!$D:$D,$R34,J_Accounting!AX:AX)</f>
        <v>0</v>
      </c>
      <c r="V34" s="859">
        <f>SUMIF(J_Accounting!$D:$D,$R34,J_Accounting!AV:AV)</f>
        <v>0</v>
      </c>
      <c r="W34" s="860">
        <f>SUMIF(J_Accounting!$D:$D,$R34,J_Accounting!AY:AY)</f>
        <v>0</v>
      </c>
      <c r="X34" s="859">
        <f>SUMIF(J_Accounting!$D:$D,$R34,J_Accounting!AW:AW)</f>
        <v>0</v>
      </c>
      <c r="Y34" s="58"/>
      <c r="Z34" s="58"/>
      <c r="AA34" s="58"/>
      <c r="AB34" s="58"/>
      <c r="AC34" s="58"/>
    </row>
    <row r="35" spans="1:29" s="28" customFormat="1" ht="5.0999999999999996" customHeight="1" x14ac:dyDescent="0.2">
      <c r="A35" s="58"/>
      <c r="B35" s="762"/>
      <c r="C35" s="164"/>
      <c r="D35" s="164"/>
      <c r="E35" s="164"/>
      <c r="F35" s="164"/>
      <c r="G35" s="164"/>
      <c r="H35" s="164"/>
      <c r="I35" s="164"/>
      <c r="J35" s="164"/>
      <c r="K35" s="164"/>
      <c r="L35" s="164"/>
      <c r="M35" s="730"/>
      <c r="N35" s="58"/>
      <c r="O35" s="58"/>
      <c r="P35" s="58"/>
      <c r="Q35" s="58"/>
      <c r="R35" s="403"/>
      <c r="S35" s="403"/>
      <c r="T35" s="857"/>
      <c r="U35" s="858"/>
      <c r="V35" s="859"/>
      <c r="W35" s="860"/>
      <c r="X35" s="859"/>
      <c r="Y35" s="58"/>
      <c r="Z35" s="58"/>
      <c r="AA35" s="58"/>
      <c r="AB35" s="58"/>
      <c r="AC35" s="58"/>
    </row>
    <row r="36" spans="1:29" s="28" customFormat="1" ht="18" customHeight="1" x14ac:dyDescent="0.2">
      <c r="A36" s="58"/>
      <c r="B36" s="762"/>
      <c r="C36" s="164"/>
      <c r="D36" s="164"/>
      <c r="E36" s="825" t="str">
        <f>EUconst_FallBack</f>
        <v>Alternatyvus metodas</v>
      </c>
      <c r="F36" s="826"/>
      <c r="G36" s="826"/>
      <c r="H36" s="1200" t="str">
        <f>IF(SUM($T36:$X36)=0,"",T36)</f>
        <v/>
      </c>
      <c r="I36" s="1219" t="str">
        <f t="shared" si="1"/>
        <v/>
      </c>
      <c r="J36" s="1205" t="str">
        <f t="shared" si="1"/>
        <v/>
      </c>
      <c r="K36" s="1215" t="str">
        <f t="shared" si="1"/>
        <v/>
      </c>
      <c r="L36" s="1211" t="str">
        <f t="shared" si="1"/>
        <v/>
      </c>
      <c r="M36" s="730"/>
      <c r="N36" s="58"/>
      <c r="O36" s="58"/>
      <c r="P36" s="58"/>
      <c r="Q36" s="58"/>
      <c r="R36" s="832"/>
      <c r="S36" s="832"/>
      <c r="T36" s="861">
        <f>SUMIF(J_Accounting!$D:$D,$E36,J_Accounting!AU:AU)</f>
        <v>0</v>
      </c>
      <c r="U36" s="854">
        <f>SUMIF(J_Accounting!$D:$D,$E36,J_Accounting!AX:AX)</f>
        <v>0</v>
      </c>
      <c r="V36" s="855">
        <f>SUMIF(J_Accounting!$D:$D,$E36,J_Accounting!AV:AV)</f>
        <v>0</v>
      </c>
      <c r="W36" s="856">
        <f>SUMIF(J_Accounting!$D:$D,$E36,J_Accounting!AY:AY)</f>
        <v>0</v>
      </c>
      <c r="X36" s="855">
        <f>SUMIF(J_Accounting!$D:$D,$E36,J_Accounting!AW:AW)</f>
        <v>0</v>
      </c>
      <c r="Y36" s="58"/>
      <c r="Z36" s="58"/>
      <c r="AA36" s="58"/>
      <c r="AB36" s="58"/>
      <c r="AC36" s="58"/>
    </row>
    <row r="37" spans="1:29" s="28" customFormat="1" ht="5.0999999999999996" customHeight="1" thickBot="1" x14ac:dyDescent="0.25">
      <c r="A37" s="58"/>
      <c r="B37" s="762"/>
      <c r="C37" s="164"/>
      <c r="D37" s="164"/>
      <c r="E37" s="164"/>
      <c r="F37" s="164"/>
      <c r="G37" s="164"/>
      <c r="H37" s="164"/>
      <c r="I37" s="164"/>
      <c r="J37" s="164"/>
      <c r="K37" s="164"/>
      <c r="L37" s="164"/>
      <c r="M37" s="730"/>
      <c r="N37" s="58"/>
      <c r="O37" s="58"/>
      <c r="P37" s="58"/>
      <c r="Q37" s="58"/>
      <c r="R37" s="403"/>
      <c r="S37" s="403"/>
      <c r="T37" s="857"/>
      <c r="U37" s="858"/>
      <c r="V37" s="859"/>
      <c r="W37" s="860"/>
      <c r="X37" s="859"/>
      <c r="Y37" s="58"/>
      <c r="Z37" s="58"/>
      <c r="AA37" s="58"/>
      <c r="AB37" s="58"/>
      <c r="AC37" s="58"/>
    </row>
    <row r="38" spans="1:29" s="28" customFormat="1" ht="20.100000000000001" customHeight="1" thickBot="1" x14ac:dyDescent="0.25">
      <c r="A38" s="58"/>
      <c r="B38" s="762"/>
      <c r="C38" s="164"/>
      <c r="D38" s="164"/>
      <c r="E38" s="873" t="str">
        <f>Translations!$B$787</f>
        <v>Suma</v>
      </c>
      <c r="F38" s="874"/>
      <c r="G38" s="874"/>
      <c r="H38" s="1204">
        <f>IF(COUNT(H25:H36)&gt;0,SUM(H25,H31,H36),"")</f>
        <v>14045.86180681632</v>
      </c>
      <c r="I38" s="1224">
        <f>IF(COUNT(I25:I36)&gt;0,SUM(I25,I31,I36),"")</f>
        <v>252.75979497599997</v>
      </c>
      <c r="J38" s="1209">
        <f>IF(COUNT(J25:J36)&gt;0,SUM(J25,J31,J36),"")</f>
        <v>0</v>
      </c>
      <c r="K38" s="1223">
        <f>IF(COUNT(K25:K36)&gt;0,SUM(K25,K31,K36),"")</f>
        <v>0</v>
      </c>
      <c r="L38" s="1210">
        <f>IF(COUNT(L25:L36)&gt;0,SUM(L25,L31,L36),"")</f>
        <v>0</v>
      </c>
      <c r="M38" s="730"/>
      <c r="N38" s="58"/>
      <c r="O38" s="58"/>
      <c r="P38" s="58"/>
      <c r="Q38" s="58"/>
      <c r="R38" s="58"/>
      <c r="S38" s="58"/>
      <c r="T38" s="58"/>
      <c r="U38" s="58"/>
      <c r="V38" s="58"/>
      <c r="W38" s="58"/>
      <c r="X38" s="58"/>
      <c r="Y38" s="58"/>
      <c r="Z38" s="58"/>
      <c r="AA38" s="58"/>
      <c r="AB38" s="58"/>
      <c r="AC38" s="58"/>
    </row>
    <row r="39" spans="1:29" ht="25.5" customHeight="1" thickBot="1" x14ac:dyDescent="0.25">
      <c r="B39" s="763"/>
      <c r="C39" s="200"/>
      <c r="D39" s="200"/>
      <c r="E39" s="200"/>
      <c r="F39" s="200"/>
      <c r="G39" s="200"/>
      <c r="H39" s="200"/>
      <c r="I39" s="200"/>
      <c r="J39" s="200"/>
      <c r="K39" s="200"/>
      <c r="L39" s="200"/>
      <c r="M39" s="723"/>
    </row>
    <row r="40" spans="1:29" ht="25.5" customHeight="1" thickBot="1" x14ac:dyDescent="0.25">
      <c r="B40" s="763"/>
      <c r="C40" s="200"/>
      <c r="D40" s="200"/>
      <c r="E40" s="933" t="str">
        <f>Translations!$B$788</f>
        <v>Bendras įrenginio išmetamųjų ŠESD kiekis:</v>
      </c>
      <c r="F40" s="200"/>
      <c r="G40" s="200"/>
      <c r="H40" s="200"/>
      <c r="I40" s="200"/>
      <c r="J40" s="1751">
        <f>ROUND(SUM(H25,H31,H36),0)</f>
        <v>14046</v>
      </c>
      <c r="K40" s="1752"/>
      <c r="L40" s="934" t="s">
        <v>477</v>
      </c>
      <c r="M40" s="723"/>
    </row>
    <row r="41" spans="1:29" ht="12.75" customHeight="1" x14ac:dyDescent="0.2">
      <c r="B41" s="763"/>
      <c r="C41" s="200"/>
      <c r="D41" s="200"/>
      <c r="E41" s="200"/>
      <c r="F41" s="200"/>
      <c r="G41" s="200"/>
      <c r="H41" s="200"/>
      <c r="I41" s="200"/>
      <c r="J41" s="200"/>
      <c r="K41" s="200"/>
      <c r="L41" s="850" t="str">
        <f>Translations!$B$789</f>
        <v>Tai veiklos vykdytojo atsisakytinų apyvartinių taršos leidimų kiekis.</v>
      </c>
      <c r="M41" s="723"/>
      <c r="N41" s="55"/>
    </row>
    <row r="42" spans="1:29" x14ac:dyDescent="0.2">
      <c r="B42" s="763"/>
      <c r="C42" s="200"/>
      <c r="D42" s="200"/>
      <c r="E42" s="200"/>
      <c r="F42" s="200"/>
      <c r="G42" s="200"/>
      <c r="H42" s="200"/>
      <c r="I42" s="200"/>
      <c r="J42" s="200"/>
      <c r="K42" s="200"/>
      <c r="L42" s="200"/>
      <c r="M42" s="723"/>
    </row>
    <row r="43" spans="1:29" ht="15" x14ac:dyDescent="0.2">
      <c r="B43" s="763"/>
      <c r="C43" s="200"/>
      <c r="D43" s="200"/>
      <c r="E43" s="935" t="str">
        <f>Translations!$B$790</f>
        <v>Papildoma informacija: bendras deginant (tvarią) biomasę išmestas ŠESD kiekis</v>
      </c>
      <c r="F43" s="200"/>
      <c r="G43" s="200"/>
      <c r="H43" s="200"/>
      <c r="I43" s="200"/>
      <c r="J43" s="1756">
        <f>ROUND(SUM(J25,J31,J36),0)</f>
        <v>0</v>
      </c>
      <c r="K43" s="1757"/>
      <c r="L43" s="936" t="s">
        <v>477</v>
      </c>
      <c r="M43" s="723"/>
    </row>
    <row r="44" spans="1:29" ht="5.0999999999999996" customHeight="1" x14ac:dyDescent="0.2">
      <c r="B44" s="763"/>
      <c r="C44" s="200"/>
      <c r="D44" s="200"/>
      <c r="E44" s="200"/>
      <c r="F44" s="200"/>
      <c r="G44" s="200"/>
      <c r="H44" s="200"/>
      <c r="I44" s="200"/>
      <c r="J44" s="200"/>
      <c r="K44" s="200"/>
      <c r="L44" s="200"/>
      <c r="M44" s="723"/>
    </row>
    <row r="45" spans="1:29" ht="15" x14ac:dyDescent="0.2">
      <c r="B45" s="763"/>
      <c r="C45" s="200"/>
      <c r="D45" s="200"/>
      <c r="E45" s="935" t="str">
        <f>Translations!$B$791</f>
        <v>Papildoma informacija: bendras deginant netvarią biomasę išmestas ŠESD kiekis</v>
      </c>
      <c r="F45" s="200"/>
      <c r="G45" s="200"/>
      <c r="H45" s="200"/>
      <c r="I45" s="200"/>
      <c r="J45" s="1756">
        <f>ROUND(SUM(L25,L31,L36),0)</f>
        <v>0</v>
      </c>
      <c r="K45" s="1757"/>
      <c r="L45" s="936" t="s">
        <v>477</v>
      </c>
      <c r="M45" s="723"/>
    </row>
    <row r="46" spans="1:29" ht="5.0999999999999996" customHeight="1" x14ac:dyDescent="0.2">
      <c r="B46" s="763"/>
      <c r="C46" s="200"/>
      <c r="D46" s="200"/>
      <c r="E46" s="200"/>
      <c r="F46" s="200"/>
      <c r="G46" s="200"/>
      <c r="H46" s="200"/>
      <c r="I46" s="200"/>
      <c r="J46" s="200"/>
      <c r="K46" s="200"/>
      <c r="L46" s="200"/>
      <c r="M46" s="723"/>
    </row>
    <row r="47" spans="1:29" ht="15" x14ac:dyDescent="0.2">
      <c r="B47" s="763"/>
      <c r="C47" s="200"/>
      <c r="D47" s="200"/>
      <c r="E47" s="935" t="str">
        <f>Translations!$B$792</f>
        <v>Papildoma informacija: perduotas CO2 kiekis</v>
      </c>
      <c r="F47" s="200"/>
      <c r="G47" s="200"/>
      <c r="H47" s="200"/>
      <c r="I47" s="200"/>
      <c r="J47" s="200"/>
      <c r="K47" s="200"/>
      <c r="L47" s="200"/>
      <c r="M47" s="1054"/>
    </row>
    <row r="48" spans="1:29" ht="5.0999999999999996" customHeight="1" x14ac:dyDescent="0.2">
      <c r="B48" s="763"/>
      <c r="C48" s="200"/>
      <c r="D48" s="200"/>
      <c r="E48" s="200"/>
      <c r="F48" s="200"/>
      <c r="G48" s="200"/>
      <c r="H48" s="200"/>
      <c r="I48" s="200"/>
      <c r="J48" s="200"/>
      <c r="K48" s="200"/>
      <c r="L48" s="200"/>
      <c r="M48" s="723"/>
    </row>
    <row r="49" spans="2:25" x14ac:dyDescent="0.2">
      <c r="B49" s="763"/>
      <c r="C49" s="200"/>
      <c r="D49" s="200"/>
      <c r="E49" s="1055" t="str">
        <f>Translations!$B$793</f>
        <v>Įrenginių perduotas CO2 gautas iš</v>
      </c>
      <c r="F49" s="1056"/>
      <c r="G49" s="1056"/>
      <c r="H49" s="1056"/>
      <c r="I49" s="1056"/>
      <c r="J49" s="1056"/>
      <c r="K49" s="1056"/>
      <c r="L49" s="1056"/>
      <c r="M49" s="723"/>
    </row>
    <row r="50" spans="2:25" x14ac:dyDescent="0.2">
      <c r="B50" s="763"/>
      <c r="C50" s="200"/>
      <c r="D50" s="200"/>
      <c r="E50" s="1056" t="str">
        <f>Translations!$B$794</f>
        <v>Įrenginio identifikatorius</v>
      </c>
      <c r="F50" s="1056"/>
      <c r="G50" s="1057"/>
      <c r="H50" s="1056" t="str">
        <f>Translations!$B$168</f>
        <v>Įrenginio pavadinimas</v>
      </c>
      <c r="I50" s="1057"/>
      <c r="J50" s="1056"/>
      <c r="K50" s="1056" t="str">
        <f>Translations!$B$795</f>
        <v>Veiklos vykdytojo pavadinimas</v>
      </c>
      <c r="L50" s="1056"/>
      <c r="M50" s="723"/>
      <c r="R50" s="1047"/>
      <c r="S50" s="1047"/>
      <c r="T50" s="1047"/>
      <c r="U50" s="1047"/>
      <c r="V50" s="1047"/>
      <c r="W50" s="1047"/>
      <c r="X50" s="1047"/>
      <c r="Y50" s="1047"/>
    </row>
    <row r="51" spans="2:25" x14ac:dyDescent="0.2">
      <c r="B51" s="763"/>
      <c r="C51" s="200"/>
      <c r="D51" s="200"/>
      <c r="E51" s="1766" t="str">
        <f>IF(R51=0,"",R51)</f>
        <v/>
      </c>
      <c r="F51" s="1768"/>
      <c r="G51" s="1767"/>
      <c r="H51" s="1766" t="str">
        <f t="shared" ref="H51:H60" si="2">IF(U51=0,"",U51)</f>
        <v/>
      </c>
      <c r="I51" s="1768"/>
      <c r="J51" s="1767"/>
      <c r="K51" s="1766" t="str">
        <f t="shared" ref="K51:K60" si="3">IF(X51=0,"",X51)</f>
        <v/>
      </c>
      <c r="L51" s="1767"/>
      <c r="M51" s="723"/>
      <c r="R51" s="1769"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70"/>
      <c r="T51" s="1771"/>
      <c r="U51" s="1769"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70"/>
      <c r="W51" s="1771"/>
      <c r="X51" s="1769"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71"/>
    </row>
    <row r="52" spans="2:25" x14ac:dyDescent="0.2">
      <c r="B52" s="763"/>
      <c r="C52" s="200"/>
      <c r="D52" s="200"/>
      <c r="E52" s="1766" t="str">
        <f t="shared" ref="E52:E60" si="4">IF(R52=0,"",R52)</f>
        <v/>
      </c>
      <c r="F52" s="1768"/>
      <c r="G52" s="1767"/>
      <c r="H52" s="1766" t="str">
        <f t="shared" si="2"/>
        <v/>
      </c>
      <c r="I52" s="1768"/>
      <c r="J52" s="1767"/>
      <c r="K52" s="1766" t="str">
        <f t="shared" si="3"/>
        <v/>
      </c>
      <c r="L52" s="1767"/>
      <c r="M52" s="723"/>
      <c r="R52" s="1769"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70"/>
      <c r="T52" s="1771"/>
      <c r="U52" s="1769"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70"/>
      <c r="W52" s="1771"/>
      <c r="X52" s="1769"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71"/>
    </row>
    <row r="53" spans="2:25" x14ac:dyDescent="0.2">
      <c r="B53" s="763"/>
      <c r="C53" s="200"/>
      <c r="D53" s="200"/>
      <c r="E53" s="1766" t="str">
        <f t="shared" si="4"/>
        <v/>
      </c>
      <c r="F53" s="1768"/>
      <c r="G53" s="1767"/>
      <c r="H53" s="1766" t="str">
        <f t="shared" si="2"/>
        <v/>
      </c>
      <c r="I53" s="1768"/>
      <c r="J53" s="1767"/>
      <c r="K53" s="1766" t="str">
        <f t="shared" si="3"/>
        <v/>
      </c>
      <c r="L53" s="1767"/>
      <c r="M53" s="723"/>
      <c r="R53" s="1769"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70"/>
      <c r="T53" s="1771"/>
      <c r="U53" s="1769"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70"/>
      <c r="W53" s="1771"/>
      <c r="X53" s="1769"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71"/>
    </row>
    <row r="54" spans="2:25" x14ac:dyDescent="0.2">
      <c r="B54" s="763"/>
      <c r="C54" s="200"/>
      <c r="D54" s="200"/>
      <c r="E54" s="1766" t="str">
        <f t="shared" si="4"/>
        <v/>
      </c>
      <c r="F54" s="1768"/>
      <c r="G54" s="1767"/>
      <c r="H54" s="1766" t="str">
        <f t="shared" si="2"/>
        <v/>
      </c>
      <c r="I54" s="1768"/>
      <c r="J54" s="1767"/>
      <c r="K54" s="1766" t="str">
        <f t="shared" si="3"/>
        <v/>
      </c>
      <c r="L54" s="1767"/>
      <c r="M54" s="723"/>
      <c r="R54" s="1769"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70"/>
      <c r="T54" s="1771"/>
      <c r="U54" s="1769"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70"/>
      <c r="W54" s="1771"/>
      <c r="X54" s="1769"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71"/>
    </row>
    <row r="55" spans="2:25" x14ac:dyDescent="0.2">
      <c r="B55" s="763"/>
      <c r="C55" s="200"/>
      <c r="D55" s="200"/>
      <c r="E55" s="1766" t="str">
        <f t="shared" si="4"/>
        <v/>
      </c>
      <c r="F55" s="1768"/>
      <c r="G55" s="1767"/>
      <c r="H55" s="1766" t="str">
        <f t="shared" si="2"/>
        <v/>
      </c>
      <c r="I55" s="1768"/>
      <c r="J55" s="1767"/>
      <c r="K55" s="1766" t="str">
        <f t="shared" si="3"/>
        <v/>
      </c>
      <c r="L55" s="1767"/>
      <c r="M55" s="723"/>
      <c r="R55" s="1769"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70"/>
      <c r="T55" s="1771"/>
      <c r="U55" s="1769"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70"/>
      <c r="W55" s="1771"/>
      <c r="X55" s="1769"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71"/>
    </row>
    <row r="56" spans="2:25" x14ac:dyDescent="0.2">
      <c r="B56" s="763"/>
      <c r="C56" s="200"/>
      <c r="D56" s="200"/>
      <c r="E56" s="1766" t="str">
        <f t="shared" si="4"/>
        <v/>
      </c>
      <c r="F56" s="1768"/>
      <c r="G56" s="1767"/>
      <c r="H56" s="1766" t="str">
        <f t="shared" si="2"/>
        <v/>
      </c>
      <c r="I56" s="1768"/>
      <c r="J56" s="1767"/>
      <c r="K56" s="1766" t="str">
        <f t="shared" si="3"/>
        <v/>
      </c>
      <c r="L56" s="1767"/>
      <c r="M56" s="723"/>
      <c r="R56" s="1769"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70"/>
      <c r="T56" s="1771"/>
      <c r="U56" s="1769"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70"/>
      <c r="W56" s="1771"/>
      <c r="X56" s="1769"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71"/>
    </row>
    <row r="57" spans="2:25" x14ac:dyDescent="0.2">
      <c r="B57" s="763"/>
      <c r="C57" s="200"/>
      <c r="D57" s="200"/>
      <c r="E57" s="1766" t="str">
        <f t="shared" si="4"/>
        <v/>
      </c>
      <c r="F57" s="1768"/>
      <c r="G57" s="1767"/>
      <c r="H57" s="1766" t="str">
        <f t="shared" si="2"/>
        <v/>
      </c>
      <c r="I57" s="1768"/>
      <c r="J57" s="1767"/>
      <c r="K57" s="1766" t="str">
        <f t="shared" si="3"/>
        <v/>
      </c>
      <c r="L57" s="1767"/>
      <c r="M57" s="723"/>
      <c r="R57" s="1769"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70"/>
      <c r="T57" s="1771"/>
      <c r="U57" s="1769"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70"/>
      <c r="W57" s="1771"/>
      <c r="X57" s="1769"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71"/>
    </row>
    <row r="58" spans="2:25" x14ac:dyDescent="0.2">
      <c r="B58" s="763"/>
      <c r="C58" s="200"/>
      <c r="D58" s="200"/>
      <c r="E58" s="1766" t="str">
        <f t="shared" si="4"/>
        <v/>
      </c>
      <c r="F58" s="1768"/>
      <c r="G58" s="1767"/>
      <c r="H58" s="1766" t="str">
        <f t="shared" si="2"/>
        <v/>
      </c>
      <c r="I58" s="1768"/>
      <c r="J58" s="1767"/>
      <c r="K58" s="1766" t="str">
        <f t="shared" si="3"/>
        <v/>
      </c>
      <c r="L58" s="1767"/>
      <c r="M58" s="723"/>
      <c r="R58" s="1769"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70"/>
      <c r="T58" s="1771"/>
      <c r="U58" s="1769"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70"/>
      <c r="W58" s="1771"/>
      <c r="X58" s="1769"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71"/>
    </row>
    <row r="59" spans="2:25" x14ac:dyDescent="0.2">
      <c r="B59" s="763"/>
      <c r="C59" s="200"/>
      <c r="D59" s="200"/>
      <c r="E59" s="1766" t="str">
        <f t="shared" si="4"/>
        <v/>
      </c>
      <c r="F59" s="1768"/>
      <c r="G59" s="1767"/>
      <c r="H59" s="1766" t="str">
        <f t="shared" si="2"/>
        <v/>
      </c>
      <c r="I59" s="1768"/>
      <c r="J59" s="1767"/>
      <c r="K59" s="1766" t="str">
        <f t="shared" si="3"/>
        <v/>
      </c>
      <c r="L59" s="1767"/>
      <c r="M59" s="723"/>
      <c r="R59" s="1769"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70"/>
      <c r="T59" s="1771"/>
      <c r="U59" s="1769"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70"/>
      <c r="W59" s="1771"/>
      <c r="X59" s="1769"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71"/>
    </row>
    <row r="60" spans="2:25" x14ac:dyDescent="0.2">
      <c r="B60" s="763"/>
      <c r="C60" s="200"/>
      <c r="D60" s="200"/>
      <c r="E60" s="1766" t="str">
        <f t="shared" si="4"/>
        <v/>
      </c>
      <c r="F60" s="1768"/>
      <c r="G60" s="1767"/>
      <c r="H60" s="1766" t="str">
        <f t="shared" si="2"/>
        <v/>
      </c>
      <c r="I60" s="1768"/>
      <c r="J60" s="1767"/>
      <c r="K60" s="1766" t="str">
        <f t="shared" si="3"/>
        <v/>
      </c>
      <c r="L60" s="1767"/>
      <c r="M60" s="723"/>
      <c r="R60" s="1769"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70"/>
      <c r="T60" s="1771"/>
      <c r="U60" s="1769"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70"/>
      <c r="W60" s="1771"/>
      <c r="X60" s="1769"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71"/>
    </row>
    <row r="61" spans="2:25" ht="5.0999999999999996" customHeight="1" x14ac:dyDescent="0.2">
      <c r="B61" s="763"/>
      <c r="C61" s="200"/>
      <c r="D61" s="200"/>
      <c r="E61" s="1056"/>
      <c r="F61" s="1056"/>
      <c r="G61" s="1056"/>
      <c r="H61" s="1056"/>
      <c r="I61" s="1056"/>
      <c r="J61" s="1056"/>
      <c r="K61" s="1056"/>
      <c r="L61" s="1056"/>
      <c r="M61" s="723"/>
      <c r="R61" s="1047"/>
      <c r="S61" s="1047"/>
      <c r="T61" s="1047"/>
      <c r="U61" s="1047"/>
      <c r="V61" s="1047"/>
      <c r="W61" s="1047"/>
      <c r="X61" s="1047"/>
      <c r="Y61" s="1047"/>
    </row>
    <row r="62" spans="2:25" x14ac:dyDescent="0.2">
      <c r="B62" s="763"/>
      <c r="C62" s="200"/>
      <c r="D62" s="200"/>
      <c r="E62" s="1055" t="str">
        <f>Translations!$B$796</f>
        <v>Įrenginių perduotas CO2 buvo perduotas</v>
      </c>
      <c r="F62" s="1056"/>
      <c r="G62" s="1056"/>
      <c r="H62" s="1056"/>
      <c r="I62" s="1056"/>
      <c r="J62" s="1056"/>
      <c r="K62" s="1056"/>
      <c r="L62" s="1056"/>
      <c r="M62" s="723"/>
      <c r="R62" s="1047"/>
      <c r="S62" s="1047"/>
      <c r="T62" s="1047"/>
      <c r="U62" s="1047"/>
      <c r="V62" s="1047"/>
      <c r="W62" s="1047"/>
      <c r="X62" s="1047"/>
      <c r="Y62" s="1047"/>
    </row>
    <row r="63" spans="2:25" x14ac:dyDescent="0.2">
      <c r="B63" s="763"/>
      <c r="C63" s="200"/>
      <c r="D63" s="200"/>
      <c r="E63" s="1056" t="str">
        <f>Translations!$B$794</f>
        <v>Įrenginio identifikatorius</v>
      </c>
      <c r="F63" s="1056"/>
      <c r="G63" s="1057"/>
      <c r="H63" s="1056" t="str">
        <f>Translations!$B$168</f>
        <v>Įrenginio pavadinimas</v>
      </c>
      <c r="I63" s="1057"/>
      <c r="J63" s="1056"/>
      <c r="K63" s="1056" t="str">
        <f>Translations!$B$795</f>
        <v>Veiklos vykdytojo pavadinimas</v>
      </c>
      <c r="L63" s="1056"/>
      <c r="M63" s="723"/>
      <c r="R63" s="1047"/>
      <c r="S63" s="1047"/>
      <c r="T63" s="1047"/>
      <c r="U63" s="1047"/>
      <c r="V63" s="1047"/>
      <c r="W63" s="1047"/>
      <c r="X63" s="1047"/>
      <c r="Y63" s="1047"/>
    </row>
    <row r="64" spans="2:25" x14ac:dyDescent="0.2">
      <c r="B64" s="763"/>
      <c r="C64" s="200"/>
      <c r="D64" s="200"/>
      <c r="E64" s="1766" t="str">
        <f>IF(R64=0,"",R64)</f>
        <v/>
      </c>
      <c r="F64" s="1768"/>
      <c r="G64" s="1767"/>
      <c r="H64" s="1766" t="str">
        <f t="shared" ref="H64:H73" si="5">IF(U64=0,"",U64)</f>
        <v/>
      </c>
      <c r="I64" s="1768"/>
      <c r="J64" s="1767"/>
      <c r="K64" s="1766" t="str">
        <f t="shared" ref="K64:K73" si="6">IF(X64=0,"",X64)</f>
        <v/>
      </c>
      <c r="L64" s="1767"/>
      <c r="M64" s="723"/>
      <c r="R64" s="1769"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70"/>
      <c r="T64" s="1771"/>
      <c r="U64" s="1769"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70"/>
      <c r="W64" s="1771"/>
      <c r="X64" s="1769"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71"/>
    </row>
    <row r="65" spans="2:25" x14ac:dyDescent="0.2">
      <c r="B65" s="763"/>
      <c r="C65" s="200"/>
      <c r="D65" s="200"/>
      <c r="E65" s="1766" t="str">
        <f t="shared" ref="E65:E73" si="7">IF(R65=0,"",R65)</f>
        <v/>
      </c>
      <c r="F65" s="1768"/>
      <c r="G65" s="1767"/>
      <c r="H65" s="1766" t="str">
        <f t="shared" si="5"/>
        <v/>
      </c>
      <c r="I65" s="1768"/>
      <c r="J65" s="1767"/>
      <c r="K65" s="1766" t="str">
        <f t="shared" si="6"/>
        <v/>
      </c>
      <c r="L65" s="1767"/>
      <c r="M65" s="723"/>
      <c r="R65" s="1769"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70"/>
      <c r="T65" s="1771"/>
      <c r="U65" s="1769"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70"/>
      <c r="W65" s="1771"/>
      <c r="X65" s="1769"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71"/>
    </row>
    <row r="66" spans="2:25" x14ac:dyDescent="0.2">
      <c r="B66" s="763"/>
      <c r="C66" s="200"/>
      <c r="D66" s="200"/>
      <c r="E66" s="1766" t="str">
        <f t="shared" si="7"/>
        <v/>
      </c>
      <c r="F66" s="1768"/>
      <c r="G66" s="1767"/>
      <c r="H66" s="1766" t="str">
        <f t="shared" si="5"/>
        <v/>
      </c>
      <c r="I66" s="1768"/>
      <c r="J66" s="1767"/>
      <c r="K66" s="1766" t="str">
        <f t="shared" si="6"/>
        <v/>
      </c>
      <c r="L66" s="1767"/>
      <c r="M66" s="723"/>
      <c r="R66" s="1769"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70"/>
      <c r="T66" s="1771"/>
      <c r="U66" s="1769"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70"/>
      <c r="W66" s="1771"/>
      <c r="X66" s="1769"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71"/>
    </row>
    <row r="67" spans="2:25" x14ac:dyDescent="0.2">
      <c r="B67" s="763"/>
      <c r="C67" s="200"/>
      <c r="D67" s="200"/>
      <c r="E67" s="1766" t="str">
        <f t="shared" si="7"/>
        <v/>
      </c>
      <c r="F67" s="1768"/>
      <c r="G67" s="1767"/>
      <c r="H67" s="1766" t="str">
        <f t="shared" si="5"/>
        <v/>
      </c>
      <c r="I67" s="1768"/>
      <c r="J67" s="1767"/>
      <c r="K67" s="1766" t="str">
        <f t="shared" si="6"/>
        <v/>
      </c>
      <c r="L67" s="1767"/>
      <c r="M67" s="723"/>
      <c r="R67" s="1769"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70"/>
      <c r="T67" s="1771"/>
      <c r="U67" s="1769"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70"/>
      <c r="W67" s="1771"/>
      <c r="X67" s="1769"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71"/>
    </row>
    <row r="68" spans="2:25" x14ac:dyDescent="0.2">
      <c r="B68" s="763"/>
      <c r="C68" s="200"/>
      <c r="D68" s="200"/>
      <c r="E68" s="1766" t="str">
        <f t="shared" si="7"/>
        <v/>
      </c>
      <c r="F68" s="1768"/>
      <c r="G68" s="1767"/>
      <c r="H68" s="1766" t="str">
        <f t="shared" si="5"/>
        <v/>
      </c>
      <c r="I68" s="1768"/>
      <c r="J68" s="1767"/>
      <c r="K68" s="1766" t="str">
        <f t="shared" si="6"/>
        <v/>
      </c>
      <c r="L68" s="1767"/>
      <c r="M68" s="723"/>
      <c r="R68" s="1769"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70"/>
      <c r="T68" s="1771"/>
      <c r="U68" s="1769"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70"/>
      <c r="W68" s="1771"/>
      <c r="X68" s="1769"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71"/>
    </row>
    <row r="69" spans="2:25" x14ac:dyDescent="0.2">
      <c r="B69" s="763"/>
      <c r="C69" s="200"/>
      <c r="D69" s="200"/>
      <c r="E69" s="1766" t="str">
        <f t="shared" si="7"/>
        <v/>
      </c>
      <c r="F69" s="1768"/>
      <c r="G69" s="1767"/>
      <c r="H69" s="1766" t="str">
        <f t="shared" si="5"/>
        <v/>
      </c>
      <c r="I69" s="1768"/>
      <c r="J69" s="1767"/>
      <c r="K69" s="1766" t="str">
        <f t="shared" si="6"/>
        <v/>
      </c>
      <c r="L69" s="1767"/>
      <c r="M69" s="723"/>
      <c r="R69" s="1769"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70"/>
      <c r="T69" s="1771"/>
      <c r="U69" s="1769"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70"/>
      <c r="W69" s="1771"/>
      <c r="X69" s="1769"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71"/>
    </row>
    <row r="70" spans="2:25" x14ac:dyDescent="0.2">
      <c r="B70" s="763"/>
      <c r="C70" s="200"/>
      <c r="D70" s="200"/>
      <c r="E70" s="1766" t="str">
        <f t="shared" si="7"/>
        <v/>
      </c>
      <c r="F70" s="1768"/>
      <c r="G70" s="1767"/>
      <c r="H70" s="1766" t="str">
        <f t="shared" si="5"/>
        <v/>
      </c>
      <c r="I70" s="1768"/>
      <c r="J70" s="1767"/>
      <c r="K70" s="1766" t="str">
        <f t="shared" si="6"/>
        <v/>
      </c>
      <c r="L70" s="1767"/>
      <c r="M70" s="723"/>
      <c r="R70" s="1769"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70"/>
      <c r="T70" s="1771"/>
      <c r="U70" s="1769"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70"/>
      <c r="W70" s="1771"/>
      <c r="X70" s="1769"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71"/>
    </row>
    <row r="71" spans="2:25" x14ac:dyDescent="0.2">
      <c r="B71" s="763"/>
      <c r="C71" s="200"/>
      <c r="D71" s="200"/>
      <c r="E71" s="1766" t="str">
        <f t="shared" si="7"/>
        <v/>
      </c>
      <c r="F71" s="1768"/>
      <c r="G71" s="1767"/>
      <c r="H71" s="1766" t="str">
        <f t="shared" si="5"/>
        <v/>
      </c>
      <c r="I71" s="1768"/>
      <c r="J71" s="1767"/>
      <c r="K71" s="1766" t="str">
        <f t="shared" si="6"/>
        <v/>
      </c>
      <c r="L71" s="1767"/>
      <c r="M71" s="723"/>
      <c r="R71" s="1769"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70"/>
      <c r="T71" s="1771"/>
      <c r="U71" s="1769"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70"/>
      <c r="W71" s="1771"/>
      <c r="X71" s="1769"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71"/>
    </row>
    <row r="72" spans="2:25" x14ac:dyDescent="0.2">
      <c r="B72" s="763"/>
      <c r="C72" s="200"/>
      <c r="D72" s="200"/>
      <c r="E72" s="1766" t="str">
        <f t="shared" si="7"/>
        <v/>
      </c>
      <c r="F72" s="1768"/>
      <c r="G72" s="1767"/>
      <c r="H72" s="1766" t="str">
        <f t="shared" si="5"/>
        <v/>
      </c>
      <c r="I72" s="1768"/>
      <c r="J72" s="1767"/>
      <c r="K72" s="1766" t="str">
        <f t="shared" si="6"/>
        <v/>
      </c>
      <c r="L72" s="1767"/>
      <c r="M72" s="723"/>
      <c r="R72" s="1769"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70"/>
      <c r="T72" s="1771"/>
      <c r="U72" s="1769"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70"/>
      <c r="W72" s="1771"/>
      <c r="X72" s="1769"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71"/>
    </row>
    <row r="73" spans="2:25" x14ac:dyDescent="0.2">
      <c r="B73" s="763"/>
      <c r="C73" s="200"/>
      <c r="D73" s="200"/>
      <c r="E73" s="1766" t="str">
        <f t="shared" si="7"/>
        <v/>
      </c>
      <c r="F73" s="1768"/>
      <c r="G73" s="1767"/>
      <c r="H73" s="1766" t="str">
        <f t="shared" si="5"/>
        <v/>
      </c>
      <c r="I73" s="1768"/>
      <c r="J73" s="1767"/>
      <c r="K73" s="1766" t="str">
        <f t="shared" si="6"/>
        <v/>
      </c>
      <c r="L73" s="1767"/>
      <c r="M73" s="723"/>
      <c r="R73" s="1769"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70"/>
      <c r="T73" s="1771"/>
      <c r="U73" s="1769"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70"/>
      <c r="W73" s="1771"/>
      <c r="X73" s="1769"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71"/>
    </row>
    <row r="74" spans="2:25" ht="25.5" customHeight="1" thickBot="1" x14ac:dyDescent="0.25">
      <c r="B74" s="768"/>
      <c r="C74" s="770"/>
      <c r="D74" s="770"/>
      <c r="E74" s="770"/>
      <c r="F74" s="770"/>
      <c r="G74" s="770"/>
      <c r="H74" s="770"/>
      <c r="I74" s="770"/>
      <c r="J74" s="770"/>
      <c r="K74" s="770"/>
      <c r="L74" s="770"/>
      <c r="M74" s="800"/>
      <c r="R74" s="1047"/>
      <c r="S74" s="1047"/>
      <c r="T74" s="1047"/>
      <c r="U74" s="1047"/>
      <c r="V74" s="1047"/>
      <c r="W74" s="1047"/>
      <c r="X74" s="1047"/>
      <c r="Y74" s="1047"/>
    </row>
  </sheetData>
  <sheetProtection formatCells="0" formatColumns="0" formatRows="0"/>
  <mergeCells count="150">
    <mergeCell ref="R69:T69"/>
    <mergeCell ref="U69:W69"/>
    <mergeCell ref="X69:Y69"/>
    <mergeCell ref="R70:T70"/>
    <mergeCell ref="U70:W70"/>
    <mergeCell ref="X70:Y70"/>
    <mergeCell ref="R73:T73"/>
    <mergeCell ref="U73:W73"/>
    <mergeCell ref="X73:Y73"/>
    <mergeCell ref="R71:T71"/>
    <mergeCell ref="U71:W71"/>
    <mergeCell ref="X71:Y71"/>
    <mergeCell ref="R72:T72"/>
    <mergeCell ref="U72:W72"/>
    <mergeCell ref="X72:Y72"/>
    <mergeCell ref="R66:T66"/>
    <mergeCell ref="U66:W66"/>
    <mergeCell ref="X66:Y66"/>
    <mergeCell ref="R67:T67"/>
    <mergeCell ref="U67:W67"/>
    <mergeCell ref="X67:Y67"/>
    <mergeCell ref="R68:T68"/>
    <mergeCell ref="U68:W68"/>
    <mergeCell ref="X68:Y68"/>
    <mergeCell ref="R60:T60"/>
    <mergeCell ref="U60:W60"/>
    <mergeCell ref="X60:Y60"/>
    <mergeCell ref="R64:T64"/>
    <mergeCell ref="U64:W64"/>
    <mergeCell ref="X64:Y64"/>
    <mergeCell ref="R65:T65"/>
    <mergeCell ref="U65:W65"/>
    <mergeCell ref="X65:Y65"/>
    <mergeCell ref="R57:T57"/>
    <mergeCell ref="U57:W57"/>
    <mergeCell ref="X57:Y57"/>
    <mergeCell ref="R58:T58"/>
    <mergeCell ref="U58:W58"/>
    <mergeCell ref="X58:Y58"/>
    <mergeCell ref="R59:T59"/>
    <mergeCell ref="U59:W59"/>
    <mergeCell ref="X59:Y59"/>
    <mergeCell ref="E72:G72"/>
    <mergeCell ref="H72:J72"/>
    <mergeCell ref="K72:L72"/>
    <mergeCell ref="E73:G73"/>
    <mergeCell ref="H73:J73"/>
    <mergeCell ref="K73:L73"/>
    <mergeCell ref="R51:T51"/>
    <mergeCell ref="U51:W51"/>
    <mergeCell ref="X51:Y51"/>
    <mergeCell ref="R52:T52"/>
    <mergeCell ref="U52:W52"/>
    <mergeCell ref="X52:Y52"/>
    <mergeCell ref="R53:T53"/>
    <mergeCell ref="U53:W53"/>
    <mergeCell ref="X53:Y53"/>
    <mergeCell ref="R54:T54"/>
    <mergeCell ref="U54:W54"/>
    <mergeCell ref="X54:Y54"/>
    <mergeCell ref="R55:T55"/>
    <mergeCell ref="U55:W55"/>
    <mergeCell ref="X55:Y55"/>
    <mergeCell ref="R56:T56"/>
    <mergeCell ref="U56:W56"/>
    <mergeCell ref="X56:Y56"/>
    <mergeCell ref="E69:G69"/>
    <mergeCell ref="H69:J69"/>
    <mergeCell ref="K69:L69"/>
    <mergeCell ref="E70:G70"/>
    <mergeCell ref="H70:J70"/>
    <mergeCell ref="K70:L70"/>
    <mergeCell ref="E71:G71"/>
    <mergeCell ref="H71:J71"/>
    <mergeCell ref="K71:L71"/>
    <mergeCell ref="E66:G66"/>
    <mergeCell ref="H66:J66"/>
    <mergeCell ref="K66:L66"/>
    <mergeCell ref="E67:G67"/>
    <mergeCell ref="H67:J67"/>
    <mergeCell ref="K67:L67"/>
    <mergeCell ref="E68:G68"/>
    <mergeCell ref="H68:J68"/>
    <mergeCell ref="K68:L68"/>
    <mergeCell ref="E64:G64"/>
    <mergeCell ref="H64:J64"/>
    <mergeCell ref="H57:J57"/>
    <mergeCell ref="H58:J58"/>
    <mergeCell ref="H59:J59"/>
    <mergeCell ref="H60:J60"/>
    <mergeCell ref="K64:L64"/>
    <mergeCell ref="E65:G65"/>
    <mergeCell ref="H65:J65"/>
    <mergeCell ref="K65:L65"/>
    <mergeCell ref="K60:L60"/>
    <mergeCell ref="H51:J51"/>
    <mergeCell ref="H52:J52"/>
    <mergeCell ref="H53:J53"/>
    <mergeCell ref="H54:J54"/>
    <mergeCell ref="H55:J55"/>
    <mergeCell ref="H56:J56"/>
    <mergeCell ref="E51:G51"/>
    <mergeCell ref="E52:G52"/>
    <mergeCell ref="E53:G53"/>
    <mergeCell ref="E54:G54"/>
    <mergeCell ref="E55:G55"/>
    <mergeCell ref="E56:G56"/>
    <mergeCell ref="E57:G57"/>
    <mergeCell ref="E58:G58"/>
    <mergeCell ref="E59:G59"/>
    <mergeCell ref="E60:G60"/>
    <mergeCell ref="K51:L51"/>
    <mergeCell ref="K52:L52"/>
    <mergeCell ref="K53:L53"/>
    <mergeCell ref="K54:L54"/>
    <mergeCell ref="K55:L55"/>
    <mergeCell ref="K56:L56"/>
    <mergeCell ref="K57:L57"/>
    <mergeCell ref="K58:L58"/>
    <mergeCell ref="K59:L59"/>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B2" sqref="B2"/>
    </sheetView>
  </sheetViews>
  <sheetFormatPr defaultColWidth="11.42578125" defaultRowHeight="12.75" x14ac:dyDescent="0.2"/>
  <cols>
    <col min="1" max="1" width="3.42578125" style="1" hidden="1" customWidth="1"/>
    <col min="2" max="2" width="3.42578125" style="1" customWidth="1"/>
    <col min="3" max="3" width="6.140625" style="8" customWidth="1"/>
    <col min="4" max="4" width="21.5703125" style="1" bestFit="1" customWidth="1"/>
    <col min="5" max="5" width="35.7109375" style="1" customWidth="1"/>
    <col min="6" max="6" width="15.7109375" style="1" customWidth="1"/>
    <col min="7" max="12" width="12.7109375" style="1" customWidth="1"/>
    <col min="13" max="13" width="12.7109375" style="200" customWidth="1"/>
    <col min="14" max="51" width="12.7109375" style="1" customWidth="1"/>
    <col min="52" max="52" width="9.140625" style="1" customWidth="1"/>
    <col min="53" max="53" width="11.42578125" style="1" hidden="1" customWidth="1"/>
    <col min="54" max="16384" width="11.42578125" style="1"/>
  </cols>
  <sheetData>
    <row r="1" spans="1:53" s="56" customFormat="1" hidden="1" x14ac:dyDescent="0.2">
      <c r="A1" s="55" t="s">
        <v>85</v>
      </c>
      <c r="C1" s="73"/>
      <c r="M1" s="847"/>
      <c r="BA1" s="55" t="s">
        <v>85</v>
      </c>
    </row>
    <row r="2" spans="1:53" ht="50.1" customHeight="1" thickBot="1" x14ac:dyDescent="0.45">
      <c r="D2" s="848" t="str">
        <f>Translations!$B$797</f>
        <v>Sukėlikliai (išskyrus išmetamą PFC kiekį)</v>
      </c>
      <c r="BA2" s="56"/>
    </row>
    <row r="3" spans="1:53" ht="50.1" customHeight="1" thickBot="1" x14ac:dyDescent="0.25">
      <c r="C3" s="841" t="s">
        <v>499</v>
      </c>
      <c r="D3" s="842" t="str">
        <f>Translations!$B$798</f>
        <v>Metodas</v>
      </c>
      <c r="E3" s="1004" t="str">
        <f>Translations!$B$799</f>
        <v>Pavadinimas</v>
      </c>
      <c r="F3" s="843" t="str">
        <f>Translations!$B$166</f>
        <v>Veiklos duomenys</v>
      </c>
      <c r="G3" s="843" t="str">
        <f>Translations!$B$800</f>
        <v>VD mato vienetas</v>
      </c>
      <c r="H3" s="843" t="str">
        <f>Translations!$B$468</f>
        <v>GŠV</v>
      </c>
      <c r="I3" s="843" t="str">
        <f>Translations!$B$801</f>
        <v>GŠV mato vienetas</v>
      </c>
      <c r="J3" s="843" t="str">
        <f>Translations!$B$802</f>
        <v>ITF</v>
      </c>
      <c r="K3" s="843" t="str">
        <f>Translations!$B$803</f>
        <v>ITF mato vienetas</v>
      </c>
      <c r="L3" s="843" t="str">
        <f>Translations!$B$139</f>
        <v>C-turinys</v>
      </c>
      <c r="M3" s="843" t="str">
        <f>Translations!$B$804</f>
        <v>C kiekio mato vienetas</v>
      </c>
      <c r="N3" s="843" t="str">
        <f>Translations!$B$805</f>
        <v>Oksid. koeficientas</v>
      </c>
      <c r="O3" s="843" t="str">
        <f>Translations!$B$806</f>
        <v>OksK mato vienetas</v>
      </c>
      <c r="P3" s="843" t="str">
        <f>Translations!$B$807</f>
        <v>Konv. koeficientas</v>
      </c>
      <c r="Q3" s="843" t="str">
        <f>Translations!$B$808</f>
        <v>KonvK mato vienetas</v>
      </c>
      <c r="R3" s="843" t="str">
        <f>Translations!$B$140</f>
        <v>Biomasės kiekis</v>
      </c>
      <c r="S3" s="843" t="str">
        <f>Translations!$B$809</f>
        <v>BioC mato vienetas</v>
      </c>
      <c r="T3" s="843" t="str">
        <f>Translations!$B$810</f>
        <v>netvarios BioC</v>
      </c>
      <c r="U3" s="843" t="str">
        <f>Translations!$B$811</f>
        <v>netvarios BioC mato vienetas</v>
      </c>
      <c r="V3" s="843" t="str">
        <f>Translations!$B$812</f>
        <v>valandinės ŠESD konc. vidurkis</v>
      </c>
      <c r="W3" s="843" t="str">
        <f>Translations!$B$813</f>
        <v>valandinės ŠESD konc. mato vienetas</v>
      </c>
      <c r="X3" s="843" t="str">
        <f>Translations!$B$814</f>
        <v>veikimo valandos</v>
      </c>
      <c r="Y3" s="843" t="str">
        <f>Translations!$B$815</f>
        <v>veikimo valandų mato vienetas</v>
      </c>
      <c r="Z3" s="843" t="str">
        <f>Translations!$B$816</f>
        <v>Kaminų dujos (vidurkis)</v>
      </c>
      <c r="AA3" s="843" t="str">
        <f>Translations!$B$817</f>
        <v>Kaminų dujų (vidurkio) mato vienetas</v>
      </c>
      <c r="AB3" s="843" t="str">
        <f>Translations!$B$818</f>
        <v>Kaminų dujos (iš viso)</v>
      </c>
      <c r="AC3" s="843" t="str">
        <f>Translations!$B$819</f>
        <v>Kaminų dujų (viso kiekio) mato vienetas</v>
      </c>
      <c r="AD3" s="843" t="str">
        <f>Translations!$B$820</f>
        <v>Metinis ŠESD kiekis</v>
      </c>
      <c r="AE3" s="843" t="str">
        <f>Translations!$B$821</f>
        <v>Metinio ŠESD kiekio mato vienetas</v>
      </c>
      <c r="AF3" s="1005" t="str">
        <f>Translations!$B$822</f>
        <v>VAP (t CO2(e)/t)</v>
      </c>
      <c r="AG3" s="843" t="str">
        <f>Translations!$B$722</f>
        <v>A. Dažnis</v>
      </c>
      <c r="AH3" s="843" t="str">
        <f>Translations!$B$724</f>
        <v>A. Trukmė</v>
      </c>
      <c r="AI3" s="843" t="str">
        <f>Translations!$B$726</f>
        <v>A. NITF(CF4)</v>
      </c>
      <c r="AJ3" s="843" t="str">
        <f>Translations!$B$728</f>
        <v>B. AEV</v>
      </c>
      <c r="AK3" s="843" t="str">
        <f>Translations!$B$730</f>
        <v>B. EN</v>
      </c>
      <c r="AL3" s="843" t="str">
        <f>Translations!$B$732</f>
        <v>B. VĮK</v>
      </c>
      <c r="AM3" s="843" t="str">
        <f>Translations!$B$734</f>
        <v>F(C2F6)</v>
      </c>
      <c r="AN3" s="843" t="str">
        <f>Translations!$B$823</f>
        <v>Išmestas CF4 kiekis (t CF4)</v>
      </c>
      <c r="AO3" s="843" t="str">
        <f>Translations!$B$824</f>
        <v>Išmestas C2F6 kiekis (t C2F6)</v>
      </c>
      <c r="AP3" s="1005" t="str">
        <f>Translations!$B$825</f>
        <v>VAP (CF4) (t CO2(e)/t)</v>
      </c>
      <c r="AQ3" s="1005" t="str">
        <f>Translations!$B$826</f>
        <v>VAP (C2F6) (t CO2(e)/t)</v>
      </c>
      <c r="AR3" s="1005" t="str">
        <f>Translations!$B$827</f>
        <v>Išmestas CF4 kiekis (CO2(e) tonos)</v>
      </c>
      <c r="AS3" s="1005" t="str">
        <f>Translations!$B$828</f>
        <v>Išmestas C2F6 kiekis (CO2(e) tonos)</v>
      </c>
      <c r="AT3" s="843" t="str">
        <f>Translations!$B$829</f>
        <v>Surinkimo veiksmingumas, proc.</v>
      </c>
      <c r="AU3" s="843" t="str">
        <f>Translations!$B$830</f>
        <v>Iškastinio kuro kilmės CO2(e) (t)</v>
      </c>
      <c r="AV3" s="843" t="str">
        <f>Translations!$B$831</f>
        <v>Biomasės kilmės CO2(e) (t)</v>
      </c>
      <c r="AW3" s="843" t="str">
        <f>Translations!$B$832</f>
        <v>Netvarios biomasės kilmės CO2(e) (t)</v>
      </c>
      <c r="AX3" s="844" t="str">
        <f>Translations!$B$833</f>
        <v>Energetinė vertė (iškast. kuras), TJ</v>
      </c>
      <c r="AY3" s="845" t="str">
        <f>Translations!$B$834</f>
        <v>Energetinė vertė (biomasė), TJ</v>
      </c>
      <c r="BA3" s="928" t="s">
        <v>40</v>
      </c>
    </row>
    <row r="4" spans="1:53" x14ac:dyDescent="0.2">
      <c r="C4" s="836">
        <v>1</v>
      </c>
      <c r="D4" s="837" t="str">
        <f>IF($BA4,"",INDEX(C_SourceStreams!$K$61:$K$2089,MATCH($C4,C_SourceStreams!$C$61:$C$2089,0)))</f>
        <v>Degimas</v>
      </c>
      <c r="E4" s="837" t="str">
        <f>IF($BA4,"",INDEX(C_SourceStreams!$E$61:$E$2089,MATCH($C4,C_SourceStreams!$C$61:$C$2089,0)))</f>
        <v>F1. Dujinis – Gamtinės dujos; CO2</v>
      </c>
      <c r="F4" s="838">
        <f>IF($BA4,"",INDEX(C_SourceStreams!BH$61:BH$2089,MATCH($C4,C_SourceStreams!$C$61:$C$2089,0)))</f>
        <v>5852.2520000000004</v>
      </c>
      <c r="G4" s="836" t="str">
        <f>IF($BA4,"",INDEX(C_SourceStreams!BI$61:BI$2089,MATCH($C4,C_SourceStreams!$C$61:$C$2089,0)))</f>
        <v>1 000 Nm3</v>
      </c>
      <c r="H4" s="838">
        <f>IF($BA4,"",INDEX(C_SourceStreams!BL$61:BL$2089,MATCH($C4,C_SourceStreams!$C$61:$C$2089,0)))</f>
        <v>33.695999999999998</v>
      </c>
      <c r="I4" s="836" t="str">
        <f>IF($BA4,"",INDEX(C_SourceStreams!BM$61:BM$2089,MATCH($C4,C_SourceStreams!$C$61:$C$2089,0)))</f>
        <v>GJ/1 000 Nm3</v>
      </c>
      <c r="J4" s="838">
        <f>IF($BA4,"",INDEX(C_SourceStreams!BJ$61:BJ$2089,MATCH($C4,C_SourceStreams!$C$61:$C$2089,0)))</f>
        <v>55.57</v>
      </c>
      <c r="K4" s="836" t="str">
        <f>IF($BA4,"",INDEX(C_SourceStreams!BK$61:BK$2089,MATCH($C4,C_SourceStreams!$C$61:$C$2089,0)))</f>
        <v>tCO2/TJ</v>
      </c>
      <c r="L4" s="836">
        <f>IF($BA4,"",INDEX(C_SourceStreams!BP$61:BP$2089,MATCH($C4,C_SourceStreams!$C$61:$C$2089,0)))</f>
        <v>0</v>
      </c>
      <c r="M4" s="836" t="str">
        <f>IF($BA4,"",INDEX(C_SourceStreams!BQ$61:BQ$2089,MATCH($C4,C_SourceStreams!$C$61:$C$2089,0)))</f>
        <v/>
      </c>
      <c r="N4" s="838">
        <f>IF($BA4,"",INDEX(C_SourceStreams!BN$61:BN$2089,MATCH($C4,C_SourceStreams!$C$61:$C$2089,0))*100)</f>
        <v>100</v>
      </c>
      <c r="O4" s="839" t="str">
        <f>IF($BA4,"","%")</f>
        <v>%</v>
      </c>
      <c r="P4" s="838">
        <f>IF($BA4,"",INDEX(C_SourceStreams!BO$61:BO$2089,MATCH($C4,C_SourceStreams!$C$61:$C$2089,0))*100)</f>
        <v>100</v>
      </c>
      <c r="Q4" s="839" t="str">
        <f>IF($BA4,"","%")</f>
        <v>%</v>
      </c>
      <c r="R4" s="838">
        <f>IF($BA4,"",INDEX(C_SourceStreams!BR$61:BR$2089,MATCH($C4,C_SourceStreams!$C$61:$C$2089,0))*100)</f>
        <v>0</v>
      </c>
      <c r="S4" s="839" t="str">
        <f>IF($BA4,"","%")</f>
        <v>%</v>
      </c>
      <c r="T4" s="838">
        <f>IF($BA4,"",INDEX(C_SourceStreams!BS$61:BS$2089,MATCH($C4,C_SourceStreams!$C$61:$C$2089,0))*100)</f>
        <v>0</v>
      </c>
      <c r="U4" s="839" t="str">
        <f>IF($BA4,"","%")</f>
        <v>%</v>
      </c>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c r="AR4" s="1006"/>
      <c r="AS4" s="1006"/>
      <c r="AT4" s="1006"/>
      <c r="AU4" s="1001">
        <f>IF($BA4,"",INDEX(C_SourceStreams!BT$61:BT$2089,MATCH($C4,C_SourceStreams!$C$61:$C$2089,0)))</f>
        <v>10958.264152093439</v>
      </c>
      <c r="AV4" s="1001">
        <f>IF($BA4,"",INDEX(C_SourceStreams!BU$61:BU$2089,MATCH($C4,C_SourceStreams!$C$61:$C$2089,0)))</f>
        <v>0</v>
      </c>
      <c r="AW4" s="1001">
        <f>IF($BA4,"",INDEX(C_SourceStreams!BV$61:BV$2089,MATCH($C4,C_SourceStreams!$C$61:$C$2089,0)))</f>
        <v>0</v>
      </c>
      <c r="AX4" s="838">
        <f>IF($BA4,"",INDEX(C_SourceStreams!BW$61:BW$2089,MATCH($C4,C_SourceStreams!$C$61:$C$2089,0)))</f>
        <v>197.19748339199998</v>
      </c>
      <c r="AY4" s="838">
        <f>IF($BA4,"",INDEX(C_SourceStreams!BX$61:BX$2089,MATCH($C4,C_SourceStreams!$C$61:$C$2089,0)))</f>
        <v>0</v>
      </c>
      <c r="BA4" s="72" t="b">
        <f>IF(ISERROR(INDEX(C_SourceStreams!$K$28:$K$11971,MATCH(C4,C_SourceStreams!$C$28:$C$11971,0))),TRUE,INDEX(C_SourceStreams!$K$28:$K$11971,MATCH(C4,C_SourceStreams!$C$28:$C$11971,0))="")</f>
        <v>0</v>
      </c>
    </row>
    <row r="5" spans="1:53" x14ac:dyDescent="0.2">
      <c r="C5" s="835">
        <v>2</v>
      </c>
      <c r="D5" s="837" t="str">
        <f>IF($BA5,"",INDEX(C_SourceStreams!$K$61:$K$2089,MATCH($C5,C_SourceStreams!$C$61:$C$2089,0)))</f>
        <v>Degimas</v>
      </c>
      <c r="E5" s="837" t="str">
        <f>IF($BA5,"",INDEX(C_SourceStreams!$E$61:$E$2089,MATCH($C5,C_SourceStreams!$C$61:$C$2089,0)))</f>
        <v>F2. Dujinis – Gamtinės dujos; CO2</v>
      </c>
      <c r="F5" s="838">
        <f>IF($BA5,"",INDEX(C_SourceStreams!BH$61:BH$2089,MATCH($C5,C_SourceStreams!$C$61:$C$2089,0)))</f>
        <v>1629.527</v>
      </c>
      <c r="G5" s="836" t="str">
        <f>IF($BA5,"",INDEX(C_SourceStreams!BI$61:BI$2089,MATCH($C5,C_SourceStreams!$C$61:$C$2089,0)))</f>
        <v>1 000 Nm3</v>
      </c>
      <c r="H5" s="838">
        <f>IF($BA5,"",INDEX(C_SourceStreams!BL$61:BL$2089,MATCH($C5,C_SourceStreams!$C$61:$C$2089,0)))</f>
        <v>33.695999999999998</v>
      </c>
      <c r="I5" s="836" t="str">
        <f>IF($BA5,"",INDEX(C_SourceStreams!BM$61:BM$2089,MATCH($C5,C_SourceStreams!$C$61:$C$2089,0)))</f>
        <v>GJ/1 000 Nm3</v>
      </c>
      <c r="J5" s="838">
        <f>IF($BA5,"",INDEX(C_SourceStreams!BJ$61:BJ$2089,MATCH($C5,C_SourceStreams!$C$61:$C$2089,0)))</f>
        <v>55.57</v>
      </c>
      <c r="K5" s="836" t="str">
        <f>IF($BA5,"",INDEX(C_SourceStreams!BK$61:BK$2089,MATCH($C5,C_SourceStreams!$C$61:$C$2089,0)))</f>
        <v>tCO2/TJ</v>
      </c>
      <c r="L5" s="836">
        <f>IF($BA5,"",INDEX(C_SourceStreams!BP$61:BP$2089,MATCH($C5,C_SourceStreams!$C$61:$C$2089,0)))</f>
        <v>0</v>
      </c>
      <c r="M5" s="836" t="str">
        <f>IF($BA5,"",INDEX(C_SourceStreams!BQ$61:BQ$2089,MATCH($C5,C_SourceStreams!$C$61:$C$2089,0)))</f>
        <v/>
      </c>
      <c r="N5" s="838">
        <f>IF($BA5,"",INDEX(C_SourceStreams!BN$61:BN$2089,MATCH($C5,C_SourceStreams!$C$61:$C$2089,0))*100)</f>
        <v>100</v>
      </c>
      <c r="O5" s="839" t="str">
        <f t="shared" ref="O5:O68" si="0">IF($BA5,"","%")</f>
        <v>%</v>
      </c>
      <c r="P5" s="838">
        <f>IF($BA5,"",INDEX(C_SourceStreams!BO$61:BO$2089,MATCH($C5,C_SourceStreams!$C$61:$C$2089,0))*100)</f>
        <v>100</v>
      </c>
      <c r="Q5" s="839" t="str">
        <f t="shared" ref="Q5:Q68" si="1">IF($BA5,"","%")</f>
        <v>%</v>
      </c>
      <c r="R5" s="838">
        <f>IF($BA5,"",INDEX(C_SourceStreams!BR$61:BR$2089,MATCH($C5,C_SourceStreams!$C$61:$C$2089,0))*100)</f>
        <v>0</v>
      </c>
      <c r="S5" s="839" t="str">
        <f t="shared" ref="S5:S68" si="2">IF($BA5,"","%")</f>
        <v>%</v>
      </c>
      <c r="T5" s="838">
        <f>IF($BA5,"",INDEX(C_SourceStreams!BS$61:BS$2089,MATCH($C5,C_SourceStreams!$C$61:$C$2089,0))*100)</f>
        <v>0</v>
      </c>
      <c r="U5" s="839" t="str">
        <f t="shared" ref="U5:U68" si="3">IF($BA5,"","%")</f>
        <v>%</v>
      </c>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c r="AR5" s="1006"/>
      <c r="AS5" s="1006"/>
      <c r="AT5" s="1006"/>
      <c r="AU5" s="1001">
        <f>IF($BA5,"",INDEX(C_SourceStreams!BT$61:BT$2089,MATCH($C5,C_SourceStreams!$C$61:$C$2089,0)))</f>
        <v>3051.2676673814399</v>
      </c>
      <c r="AV5" s="1001">
        <f>IF($BA5,"",INDEX(C_SourceStreams!BU$61:BU$2089,MATCH($C5,C_SourceStreams!$C$61:$C$2089,0)))</f>
        <v>0</v>
      </c>
      <c r="AW5" s="1001">
        <f>IF($BA5,"",INDEX(C_SourceStreams!BV$61:BV$2089,MATCH($C5,C_SourceStreams!$C$61:$C$2089,0)))</f>
        <v>0</v>
      </c>
      <c r="AX5" s="838">
        <f>IF($BA5,"",INDEX(C_SourceStreams!BW$61:BW$2089,MATCH($C5,C_SourceStreams!$C$61:$C$2089,0)))</f>
        <v>54.908541791999994</v>
      </c>
      <c r="AY5" s="838">
        <f>IF($BA5,"",INDEX(C_SourceStreams!BX$61:BX$2089,MATCH($C5,C_SourceStreams!$C$61:$C$2089,0)))</f>
        <v>0</v>
      </c>
      <c r="BA5" s="72" t="b">
        <f>IF(ISERROR(INDEX(C_SourceStreams!$K$28:$K$11971,MATCH(C5,C_SourceStreams!$C$28:$C$11971,0))),TRUE,INDEX(C_SourceStreams!$K$28:$K$11971,MATCH(C5,C_SourceStreams!$C$28:$C$11971,0))="")</f>
        <v>0</v>
      </c>
    </row>
    <row r="6" spans="1:53" x14ac:dyDescent="0.2">
      <c r="C6" s="835">
        <v>3</v>
      </c>
      <c r="D6" s="837" t="str">
        <f>IF($BA6,"",INDEX(C_SourceStreams!$K$61:$K$2089,MATCH($C6,C_SourceStreams!$C$61:$C$2089,0)))</f>
        <v>Degimas</v>
      </c>
      <c r="E6" s="837" t="str">
        <f>IF($BA6,"",INDEX(C_SourceStreams!$E$61:$E$2089,MATCH($C6,C_SourceStreams!$C$61:$C$2089,0)))</f>
        <v>F3. Dujinis – Gamtinės dujos; CO2</v>
      </c>
      <c r="F6" s="838">
        <f>IF($BA6,"",INDEX(C_SourceStreams!BH$61:BH$2089,MATCH($C6,C_SourceStreams!$C$61:$C$2089,0)))</f>
        <v>19.402000000000001</v>
      </c>
      <c r="G6" s="836" t="str">
        <f>IF($BA6,"",INDEX(C_SourceStreams!BI$61:BI$2089,MATCH($C6,C_SourceStreams!$C$61:$C$2089,0)))</f>
        <v>1 000 Nm3</v>
      </c>
      <c r="H6" s="838">
        <f>IF($BA6,"",INDEX(C_SourceStreams!BL$61:BL$2089,MATCH($C6,C_SourceStreams!$C$61:$C$2089,0)))</f>
        <v>33.695999999999998</v>
      </c>
      <c r="I6" s="836" t="str">
        <f>IF($BA6,"",INDEX(C_SourceStreams!BM$61:BM$2089,MATCH($C6,C_SourceStreams!$C$61:$C$2089,0)))</f>
        <v>GJ/1 000 Nm3</v>
      </c>
      <c r="J6" s="838">
        <f>IF($BA6,"",INDEX(C_SourceStreams!BJ$61:BJ$2089,MATCH($C6,C_SourceStreams!$C$61:$C$2089,0)))</f>
        <v>55.57</v>
      </c>
      <c r="K6" s="836" t="str">
        <f>IF($BA6,"",INDEX(C_SourceStreams!BK$61:BK$2089,MATCH($C6,C_SourceStreams!$C$61:$C$2089,0)))</f>
        <v>tCO2/TJ</v>
      </c>
      <c r="L6" s="836">
        <f>IF($BA6,"",INDEX(C_SourceStreams!BP$61:BP$2089,MATCH($C6,C_SourceStreams!$C$61:$C$2089,0)))</f>
        <v>0</v>
      </c>
      <c r="M6" s="836" t="str">
        <f>IF($BA6,"",INDEX(C_SourceStreams!BQ$61:BQ$2089,MATCH($C6,C_SourceStreams!$C$61:$C$2089,0)))</f>
        <v/>
      </c>
      <c r="N6" s="838">
        <f>IF($BA6,"",INDEX(C_SourceStreams!BN$61:BN$2089,MATCH($C6,C_SourceStreams!$C$61:$C$2089,0))*100)</f>
        <v>100</v>
      </c>
      <c r="O6" s="839" t="str">
        <f t="shared" si="0"/>
        <v>%</v>
      </c>
      <c r="P6" s="838">
        <f>IF($BA6,"",INDEX(C_SourceStreams!BO$61:BO$2089,MATCH($C6,C_SourceStreams!$C$61:$C$2089,0))*100)</f>
        <v>100</v>
      </c>
      <c r="Q6" s="839" t="str">
        <f t="shared" si="1"/>
        <v>%</v>
      </c>
      <c r="R6" s="838">
        <f>IF($BA6,"",INDEX(C_SourceStreams!BR$61:BR$2089,MATCH($C6,C_SourceStreams!$C$61:$C$2089,0))*100)</f>
        <v>0</v>
      </c>
      <c r="S6" s="839" t="str">
        <f t="shared" si="2"/>
        <v>%</v>
      </c>
      <c r="T6" s="838">
        <f>IF($BA6,"",INDEX(C_SourceStreams!BS$61:BS$2089,MATCH($C6,C_SourceStreams!$C$61:$C$2089,0))*100)</f>
        <v>0</v>
      </c>
      <c r="U6" s="839" t="str">
        <f t="shared" si="3"/>
        <v>%</v>
      </c>
      <c r="V6" s="1006"/>
      <c r="W6" s="1006"/>
      <c r="X6" s="1006"/>
      <c r="Y6" s="1006"/>
      <c r="Z6" s="1006"/>
      <c r="AA6" s="1006"/>
      <c r="AB6" s="1006"/>
      <c r="AC6" s="1006"/>
      <c r="AD6" s="1006"/>
      <c r="AE6" s="1006"/>
      <c r="AF6" s="1006"/>
      <c r="AG6" s="1006"/>
      <c r="AH6" s="1006"/>
      <c r="AI6" s="1006"/>
      <c r="AJ6" s="1006"/>
      <c r="AK6" s="1006"/>
      <c r="AL6" s="1006"/>
      <c r="AM6" s="1006"/>
      <c r="AN6" s="1006"/>
      <c r="AO6" s="1006"/>
      <c r="AP6" s="1006"/>
      <c r="AQ6" s="1006"/>
      <c r="AR6" s="1006"/>
      <c r="AS6" s="1006"/>
      <c r="AT6" s="1006"/>
      <c r="AU6" s="1001">
        <f>IF($BA6,"",INDEX(C_SourceStreams!BT$61:BT$2089,MATCH($C6,C_SourceStreams!$C$61:$C$2089,0)))</f>
        <v>36.329987341439995</v>
      </c>
      <c r="AV6" s="1001">
        <f>IF($BA6,"",INDEX(C_SourceStreams!BU$61:BU$2089,MATCH($C6,C_SourceStreams!$C$61:$C$2089,0)))</f>
        <v>0</v>
      </c>
      <c r="AW6" s="1001">
        <f>IF($BA6,"",INDEX(C_SourceStreams!BV$61:BV$2089,MATCH($C6,C_SourceStreams!$C$61:$C$2089,0)))</f>
        <v>0</v>
      </c>
      <c r="AX6" s="838">
        <f>IF($BA6,"",INDEX(C_SourceStreams!BW$61:BW$2089,MATCH($C6,C_SourceStreams!$C$61:$C$2089,0)))</f>
        <v>0.65376979199999996</v>
      </c>
      <c r="AY6" s="838">
        <f>IF($BA6,"",INDEX(C_SourceStreams!BX$61:BX$2089,MATCH($C6,C_SourceStreams!$C$61:$C$2089,0)))</f>
        <v>0</v>
      </c>
      <c r="BA6" s="72" t="b">
        <f>IF(ISERROR(INDEX(C_SourceStreams!$K$28:$K$11971,MATCH(C6,C_SourceStreams!$C$28:$C$11971,0))),TRUE,INDEX(C_SourceStreams!$K$28:$K$11971,MATCH(C6,C_SourceStreams!$C$28:$C$11971,0))="")</f>
        <v>0</v>
      </c>
    </row>
    <row r="7" spans="1:53" x14ac:dyDescent="0.2">
      <c r="C7" s="835">
        <v>4</v>
      </c>
      <c r="D7" s="837" t="str">
        <f>IF($BA7,"",INDEX(C_SourceStreams!$K$61:$K$2089,MATCH($C7,C_SourceStreams!$C$61:$C$2089,0)))</f>
        <v/>
      </c>
      <c r="E7" s="837" t="str">
        <f>IF($BA7,"",INDEX(C_SourceStreams!$E$61:$E$2089,MATCH($C7,C_SourceStreams!$C$61:$C$2089,0)))</f>
        <v/>
      </c>
      <c r="F7" s="838" t="str">
        <f>IF($BA7,"",INDEX(C_SourceStreams!BH$61:BH$2089,MATCH($C7,C_SourceStreams!$C$61:$C$2089,0)))</f>
        <v/>
      </c>
      <c r="G7" s="836" t="str">
        <f>IF($BA7,"",INDEX(C_SourceStreams!BI$61:BI$2089,MATCH($C7,C_SourceStreams!$C$61:$C$2089,0)))</f>
        <v/>
      </c>
      <c r="H7" s="838" t="str">
        <f>IF($BA7,"",INDEX(C_SourceStreams!BL$61:BL$2089,MATCH($C7,C_SourceStreams!$C$61:$C$2089,0)))</f>
        <v/>
      </c>
      <c r="I7" s="836" t="str">
        <f>IF($BA7,"",INDEX(C_SourceStreams!BM$61:BM$2089,MATCH($C7,C_SourceStreams!$C$61:$C$2089,0)))</f>
        <v/>
      </c>
      <c r="J7" s="838" t="str">
        <f>IF($BA7,"",INDEX(C_SourceStreams!BJ$61:BJ$2089,MATCH($C7,C_SourceStreams!$C$61:$C$2089,0)))</f>
        <v/>
      </c>
      <c r="K7" s="836" t="str">
        <f>IF($BA7,"",INDEX(C_SourceStreams!BK$61:BK$2089,MATCH($C7,C_SourceStreams!$C$61:$C$2089,0)))</f>
        <v/>
      </c>
      <c r="L7" s="836" t="str">
        <f>IF($BA7,"",INDEX(C_SourceStreams!BP$61:BP$2089,MATCH($C7,C_SourceStreams!$C$61:$C$2089,0)))</f>
        <v/>
      </c>
      <c r="M7" s="836" t="str">
        <f>IF($BA7,"",INDEX(C_SourceStreams!BQ$61:BQ$2089,MATCH($C7,C_SourceStreams!$C$61:$C$2089,0)))</f>
        <v/>
      </c>
      <c r="N7" s="838" t="str">
        <f>IF($BA7,"",INDEX(C_SourceStreams!BN$61:BN$2089,MATCH($C7,C_SourceStreams!$C$61:$C$2089,0))*100)</f>
        <v/>
      </c>
      <c r="O7" s="839" t="str">
        <f t="shared" si="0"/>
        <v/>
      </c>
      <c r="P7" s="838" t="str">
        <f>IF($BA7,"",INDEX(C_SourceStreams!BO$61:BO$2089,MATCH($C7,C_SourceStreams!$C$61:$C$2089,0))*100)</f>
        <v/>
      </c>
      <c r="Q7" s="839" t="str">
        <f t="shared" si="1"/>
        <v/>
      </c>
      <c r="R7" s="838" t="str">
        <f>IF($BA7,"",INDEX(C_SourceStreams!BR$61:BR$2089,MATCH($C7,C_SourceStreams!$C$61:$C$2089,0))*100)</f>
        <v/>
      </c>
      <c r="S7" s="839" t="str">
        <f t="shared" si="2"/>
        <v/>
      </c>
      <c r="T7" s="838" t="str">
        <f>IF($BA7,"",INDEX(C_SourceStreams!BS$61:BS$2089,MATCH($C7,C_SourceStreams!$C$61:$C$2089,0))*100)</f>
        <v/>
      </c>
      <c r="U7" s="839" t="str">
        <f t="shared" si="3"/>
        <v/>
      </c>
      <c r="V7" s="1006"/>
      <c r="W7" s="1006"/>
      <c r="X7" s="1006"/>
      <c r="Y7" s="1006"/>
      <c r="Z7" s="1006"/>
      <c r="AA7" s="1006"/>
      <c r="AB7" s="1006"/>
      <c r="AC7" s="1006"/>
      <c r="AD7" s="1006"/>
      <c r="AE7" s="1006"/>
      <c r="AF7" s="1006"/>
      <c r="AG7" s="1006"/>
      <c r="AH7" s="1006"/>
      <c r="AI7" s="1006"/>
      <c r="AJ7" s="1006"/>
      <c r="AK7" s="1006"/>
      <c r="AL7" s="1006"/>
      <c r="AM7" s="1006"/>
      <c r="AN7" s="1006"/>
      <c r="AO7" s="1006"/>
      <c r="AP7" s="1006"/>
      <c r="AQ7" s="1006"/>
      <c r="AR7" s="1006"/>
      <c r="AS7" s="1006"/>
      <c r="AT7" s="1006"/>
      <c r="AU7" s="1001" t="str">
        <f>IF($BA7,"",INDEX(C_SourceStreams!BT$61:BT$2089,MATCH($C7,C_SourceStreams!$C$61:$C$2089,0)))</f>
        <v/>
      </c>
      <c r="AV7" s="1001" t="str">
        <f>IF($BA7,"",INDEX(C_SourceStreams!BU$61:BU$2089,MATCH($C7,C_SourceStreams!$C$61:$C$2089,0)))</f>
        <v/>
      </c>
      <c r="AW7" s="1001" t="str">
        <f>IF($BA7,"",INDEX(C_SourceStreams!BV$61:BV$2089,MATCH($C7,C_SourceStreams!$C$61:$C$2089,0)))</f>
        <v/>
      </c>
      <c r="AX7" s="838" t="str">
        <f>IF($BA7,"",INDEX(C_SourceStreams!BW$61:BW$2089,MATCH($C7,C_SourceStreams!$C$61:$C$2089,0)))</f>
        <v/>
      </c>
      <c r="AY7" s="838" t="str">
        <f>IF($BA7,"",INDEX(C_SourceStreams!BX$61:BX$2089,MATCH($C7,C_SourceStreams!$C$61:$C$2089,0)))</f>
        <v/>
      </c>
      <c r="BA7" s="72" t="b">
        <f>IF(ISERROR(INDEX(C_SourceStreams!$K$28:$K$11971,MATCH(C7,C_SourceStreams!$C$28:$C$11971,0))),TRUE,INDEX(C_SourceStreams!$K$28:$K$11971,MATCH(C7,C_SourceStreams!$C$28:$C$11971,0))="")</f>
        <v>1</v>
      </c>
    </row>
    <row r="8" spans="1:53" x14ac:dyDescent="0.2">
      <c r="C8" s="835">
        <v>5</v>
      </c>
      <c r="D8" s="837" t="str">
        <f>IF($BA8,"",INDEX(C_SourceStreams!$K$61:$K$2089,MATCH($C8,C_SourceStreams!$C$61:$C$2089,0)))</f>
        <v/>
      </c>
      <c r="E8" s="837" t="str">
        <f>IF($BA8,"",INDEX(C_SourceStreams!$E$61:$E$2089,MATCH($C8,C_SourceStreams!$C$61:$C$2089,0)))</f>
        <v/>
      </c>
      <c r="F8" s="838" t="str">
        <f>IF($BA8,"",INDEX(C_SourceStreams!BH$61:BH$2089,MATCH($C8,C_SourceStreams!$C$61:$C$2089,0)))</f>
        <v/>
      </c>
      <c r="G8" s="836" t="str">
        <f>IF($BA8,"",INDEX(C_SourceStreams!BI$61:BI$2089,MATCH($C8,C_SourceStreams!$C$61:$C$2089,0)))</f>
        <v/>
      </c>
      <c r="H8" s="838" t="str">
        <f>IF($BA8,"",INDEX(C_SourceStreams!BL$61:BL$2089,MATCH($C8,C_SourceStreams!$C$61:$C$2089,0)))</f>
        <v/>
      </c>
      <c r="I8" s="836" t="str">
        <f>IF($BA8,"",INDEX(C_SourceStreams!BM$61:BM$2089,MATCH($C8,C_SourceStreams!$C$61:$C$2089,0)))</f>
        <v/>
      </c>
      <c r="J8" s="838" t="str">
        <f>IF($BA8,"",INDEX(C_SourceStreams!BJ$61:BJ$2089,MATCH($C8,C_SourceStreams!$C$61:$C$2089,0)))</f>
        <v/>
      </c>
      <c r="K8" s="836" t="str">
        <f>IF($BA8,"",INDEX(C_SourceStreams!BK$61:BK$2089,MATCH($C8,C_SourceStreams!$C$61:$C$2089,0)))</f>
        <v/>
      </c>
      <c r="L8" s="836" t="str">
        <f>IF($BA8,"",INDEX(C_SourceStreams!BP$61:BP$2089,MATCH($C8,C_SourceStreams!$C$61:$C$2089,0)))</f>
        <v/>
      </c>
      <c r="M8" s="836" t="str">
        <f>IF($BA8,"",INDEX(C_SourceStreams!BQ$61:BQ$2089,MATCH($C8,C_SourceStreams!$C$61:$C$2089,0)))</f>
        <v/>
      </c>
      <c r="N8" s="838" t="str">
        <f>IF($BA8,"",INDEX(C_SourceStreams!BN$61:BN$2089,MATCH($C8,C_SourceStreams!$C$61:$C$2089,0))*100)</f>
        <v/>
      </c>
      <c r="O8" s="839" t="str">
        <f t="shared" si="0"/>
        <v/>
      </c>
      <c r="P8" s="838" t="str">
        <f>IF($BA8,"",INDEX(C_SourceStreams!BO$61:BO$2089,MATCH($C8,C_SourceStreams!$C$61:$C$2089,0))*100)</f>
        <v/>
      </c>
      <c r="Q8" s="839" t="str">
        <f t="shared" si="1"/>
        <v/>
      </c>
      <c r="R8" s="838" t="str">
        <f>IF($BA8,"",INDEX(C_SourceStreams!BR$61:BR$2089,MATCH($C8,C_SourceStreams!$C$61:$C$2089,0))*100)</f>
        <v/>
      </c>
      <c r="S8" s="839" t="str">
        <f t="shared" si="2"/>
        <v/>
      </c>
      <c r="T8" s="838" t="str">
        <f>IF($BA8,"",INDEX(C_SourceStreams!BS$61:BS$2089,MATCH($C8,C_SourceStreams!$C$61:$C$2089,0))*100)</f>
        <v/>
      </c>
      <c r="U8" s="839" t="str">
        <f t="shared" si="3"/>
        <v/>
      </c>
      <c r="V8" s="1006"/>
      <c r="W8" s="1006"/>
      <c r="X8" s="1006"/>
      <c r="Y8" s="1006"/>
      <c r="Z8" s="1006"/>
      <c r="AA8" s="1006"/>
      <c r="AB8" s="1006"/>
      <c r="AC8" s="1006"/>
      <c r="AD8" s="1006"/>
      <c r="AE8" s="1006"/>
      <c r="AF8" s="1006"/>
      <c r="AG8" s="1006"/>
      <c r="AH8" s="1006"/>
      <c r="AI8" s="1006"/>
      <c r="AJ8" s="1006"/>
      <c r="AK8" s="1006"/>
      <c r="AL8" s="1006"/>
      <c r="AM8" s="1006"/>
      <c r="AN8" s="1006"/>
      <c r="AO8" s="1006"/>
      <c r="AP8" s="1006"/>
      <c r="AQ8" s="1006"/>
      <c r="AR8" s="1006"/>
      <c r="AS8" s="1006"/>
      <c r="AT8" s="1006"/>
      <c r="AU8" s="1001" t="str">
        <f>IF($BA8,"",INDEX(C_SourceStreams!BT$61:BT$2089,MATCH($C8,C_SourceStreams!$C$61:$C$2089,0)))</f>
        <v/>
      </c>
      <c r="AV8" s="1001" t="str">
        <f>IF($BA8,"",INDEX(C_SourceStreams!BU$61:BU$2089,MATCH($C8,C_SourceStreams!$C$61:$C$2089,0)))</f>
        <v/>
      </c>
      <c r="AW8" s="1001" t="str">
        <f>IF($BA8,"",INDEX(C_SourceStreams!BV$61:BV$2089,MATCH($C8,C_SourceStreams!$C$61:$C$2089,0)))</f>
        <v/>
      </c>
      <c r="AX8" s="838" t="str">
        <f>IF($BA8,"",INDEX(C_SourceStreams!BW$61:BW$2089,MATCH($C8,C_SourceStreams!$C$61:$C$2089,0)))</f>
        <v/>
      </c>
      <c r="AY8" s="838" t="str">
        <f>IF($BA8,"",INDEX(C_SourceStreams!BX$61:BX$2089,MATCH($C8,C_SourceStreams!$C$61:$C$2089,0)))</f>
        <v/>
      </c>
      <c r="BA8" s="72" t="b">
        <f>IF(ISERROR(INDEX(C_SourceStreams!$K$28:$K$11971,MATCH(C8,C_SourceStreams!$C$28:$C$11971,0))),TRUE,INDEX(C_SourceStreams!$K$28:$K$11971,MATCH(C8,C_SourceStreams!$C$28:$C$11971,0))="")</f>
        <v>1</v>
      </c>
    </row>
    <row r="9" spans="1:53" x14ac:dyDescent="0.2">
      <c r="C9" s="835">
        <v>6</v>
      </c>
      <c r="D9" s="837" t="str">
        <f>IF($BA9,"",INDEX(C_SourceStreams!$K$61:$K$2089,MATCH($C9,C_SourceStreams!$C$61:$C$2089,0)))</f>
        <v/>
      </c>
      <c r="E9" s="837" t="str">
        <f>IF($BA9,"",INDEX(C_SourceStreams!$E$61:$E$2089,MATCH($C9,C_SourceStreams!$C$61:$C$2089,0)))</f>
        <v/>
      </c>
      <c r="F9" s="838" t="str">
        <f>IF($BA9,"",INDEX(C_SourceStreams!BH$61:BH$2089,MATCH($C9,C_SourceStreams!$C$61:$C$2089,0)))</f>
        <v/>
      </c>
      <c r="G9" s="836" t="str">
        <f>IF($BA9,"",INDEX(C_SourceStreams!BI$61:BI$2089,MATCH($C9,C_SourceStreams!$C$61:$C$2089,0)))</f>
        <v/>
      </c>
      <c r="H9" s="838" t="str">
        <f>IF($BA9,"",INDEX(C_SourceStreams!BL$61:BL$2089,MATCH($C9,C_SourceStreams!$C$61:$C$2089,0)))</f>
        <v/>
      </c>
      <c r="I9" s="836" t="str">
        <f>IF($BA9,"",INDEX(C_SourceStreams!BM$61:BM$2089,MATCH($C9,C_SourceStreams!$C$61:$C$2089,0)))</f>
        <v/>
      </c>
      <c r="J9" s="838" t="str">
        <f>IF($BA9,"",INDEX(C_SourceStreams!BJ$61:BJ$2089,MATCH($C9,C_SourceStreams!$C$61:$C$2089,0)))</f>
        <v/>
      </c>
      <c r="K9" s="836" t="str">
        <f>IF($BA9,"",INDEX(C_SourceStreams!BK$61:BK$2089,MATCH($C9,C_SourceStreams!$C$61:$C$2089,0)))</f>
        <v/>
      </c>
      <c r="L9" s="836" t="str">
        <f>IF($BA9,"",INDEX(C_SourceStreams!BP$61:BP$2089,MATCH($C9,C_SourceStreams!$C$61:$C$2089,0)))</f>
        <v/>
      </c>
      <c r="M9" s="836" t="str">
        <f>IF($BA9,"",INDEX(C_SourceStreams!BQ$61:BQ$2089,MATCH($C9,C_SourceStreams!$C$61:$C$2089,0)))</f>
        <v/>
      </c>
      <c r="N9" s="838" t="str">
        <f>IF($BA9,"",INDEX(C_SourceStreams!BN$61:BN$2089,MATCH($C9,C_SourceStreams!$C$61:$C$2089,0))*100)</f>
        <v/>
      </c>
      <c r="O9" s="839" t="str">
        <f t="shared" si="0"/>
        <v/>
      </c>
      <c r="P9" s="838" t="str">
        <f>IF($BA9,"",INDEX(C_SourceStreams!BO$61:BO$2089,MATCH($C9,C_SourceStreams!$C$61:$C$2089,0))*100)</f>
        <v/>
      </c>
      <c r="Q9" s="839" t="str">
        <f t="shared" si="1"/>
        <v/>
      </c>
      <c r="R9" s="838" t="str">
        <f>IF($BA9,"",INDEX(C_SourceStreams!BR$61:BR$2089,MATCH($C9,C_SourceStreams!$C$61:$C$2089,0))*100)</f>
        <v/>
      </c>
      <c r="S9" s="839" t="str">
        <f t="shared" si="2"/>
        <v/>
      </c>
      <c r="T9" s="838" t="str">
        <f>IF($BA9,"",INDEX(C_SourceStreams!BS$61:BS$2089,MATCH($C9,C_SourceStreams!$C$61:$C$2089,0))*100)</f>
        <v/>
      </c>
      <c r="U9" s="839" t="str">
        <f t="shared" si="3"/>
        <v/>
      </c>
      <c r="V9" s="1006"/>
      <c r="W9" s="1006"/>
      <c r="X9" s="1006"/>
      <c r="Y9" s="1006"/>
      <c r="Z9" s="1006"/>
      <c r="AA9" s="1006"/>
      <c r="AB9" s="1006"/>
      <c r="AC9" s="1006"/>
      <c r="AD9" s="1006"/>
      <c r="AE9" s="1006"/>
      <c r="AF9" s="1006"/>
      <c r="AG9" s="1006"/>
      <c r="AH9" s="1006"/>
      <c r="AI9" s="1006"/>
      <c r="AJ9" s="1006"/>
      <c r="AK9" s="1006"/>
      <c r="AL9" s="1006"/>
      <c r="AM9" s="1006"/>
      <c r="AN9" s="1006"/>
      <c r="AO9" s="1006"/>
      <c r="AP9" s="1006"/>
      <c r="AQ9" s="1006"/>
      <c r="AR9" s="1006"/>
      <c r="AS9" s="1006"/>
      <c r="AT9" s="1006"/>
      <c r="AU9" s="1001" t="str">
        <f>IF($BA9,"",INDEX(C_SourceStreams!BT$61:BT$2089,MATCH($C9,C_SourceStreams!$C$61:$C$2089,0)))</f>
        <v/>
      </c>
      <c r="AV9" s="1001" t="str">
        <f>IF($BA9,"",INDEX(C_SourceStreams!BU$61:BU$2089,MATCH($C9,C_SourceStreams!$C$61:$C$2089,0)))</f>
        <v/>
      </c>
      <c r="AW9" s="1001" t="str">
        <f>IF($BA9,"",INDEX(C_SourceStreams!BV$61:BV$2089,MATCH($C9,C_SourceStreams!$C$61:$C$2089,0)))</f>
        <v/>
      </c>
      <c r="AX9" s="838" t="str">
        <f>IF($BA9,"",INDEX(C_SourceStreams!BW$61:BW$2089,MATCH($C9,C_SourceStreams!$C$61:$C$2089,0)))</f>
        <v/>
      </c>
      <c r="AY9" s="838" t="str">
        <f>IF($BA9,"",INDEX(C_SourceStreams!BX$61:BX$2089,MATCH($C9,C_SourceStreams!$C$61:$C$2089,0)))</f>
        <v/>
      </c>
      <c r="BA9" s="72" t="b">
        <f>IF(ISERROR(INDEX(C_SourceStreams!$K$28:$K$11971,MATCH(C9,C_SourceStreams!$C$28:$C$11971,0))),TRUE,INDEX(C_SourceStreams!$K$28:$K$11971,MATCH(C9,C_SourceStreams!$C$28:$C$11971,0))="")</f>
        <v>1</v>
      </c>
    </row>
    <row r="10" spans="1:53" x14ac:dyDescent="0.2">
      <c r="C10" s="835">
        <v>7</v>
      </c>
      <c r="D10" s="837" t="str">
        <f>IF($BA10,"",INDEX(C_SourceStreams!$K$61:$K$2089,MATCH($C10,C_SourceStreams!$C$61:$C$2089,0)))</f>
        <v/>
      </c>
      <c r="E10" s="837" t="str">
        <f>IF($BA10,"",INDEX(C_SourceStreams!$E$61:$E$2089,MATCH($C10,C_SourceStreams!$C$61:$C$2089,0)))</f>
        <v/>
      </c>
      <c r="F10" s="838" t="str">
        <f>IF($BA10,"",INDEX(C_SourceStreams!BH$61:BH$2089,MATCH($C10,C_SourceStreams!$C$61:$C$2089,0)))</f>
        <v/>
      </c>
      <c r="G10" s="836" t="str">
        <f>IF($BA10,"",INDEX(C_SourceStreams!BI$61:BI$2089,MATCH($C10,C_SourceStreams!$C$61:$C$2089,0)))</f>
        <v/>
      </c>
      <c r="H10" s="838" t="str">
        <f>IF($BA10,"",INDEX(C_SourceStreams!BL$61:BL$2089,MATCH($C10,C_SourceStreams!$C$61:$C$2089,0)))</f>
        <v/>
      </c>
      <c r="I10" s="836" t="str">
        <f>IF($BA10,"",INDEX(C_SourceStreams!BM$61:BM$2089,MATCH($C10,C_SourceStreams!$C$61:$C$2089,0)))</f>
        <v/>
      </c>
      <c r="J10" s="838" t="str">
        <f>IF($BA10,"",INDEX(C_SourceStreams!BJ$61:BJ$2089,MATCH($C10,C_SourceStreams!$C$61:$C$2089,0)))</f>
        <v/>
      </c>
      <c r="K10" s="836" t="str">
        <f>IF($BA10,"",INDEX(C_SourceStreams!BK$61:BK$2089,MATCH($C10,C_SourceStreams!$C$61:$C$2089,0)))</f>
        <v/>
      </c>
      <c r="L10" s="836" t="str">
        <f>IF($BA10,"",INDEX(C_SourceStreams!BP$61:BP$2089,MATCH($C10,C_SourceStreams!$C$61:$C$2089,0)))</f>
        <v/>
      </c>
      <c r="M10" s="836" t="str">
        <f>IF($BA10,"",INDEX(C_SourceStreams!BQ$61:BQ$2089,MATCH($C10,C_SourceStreams!$C$61:$C$2089,0)))</f>
        <v/>
      </c>
      <c r="N10" s="838" t="str">
        <f>IF($BA10,"",INDEX(C_SourceStreams!BN$61:BN$2089,MATCH($C10,C_SourceStreams!$C$61:$C$2089,0))*100)</f>
        <v/>
      </c>
      <c r="O10" s="839" t="str">
        <f t="shared" si="0"/>
        <v/>
      </c>
      <c r="P10" s="838" t="str">
        <f>IF($BA10,"",INDEX(C_SourceStreams!BO$61:BO$2089,MATCH($C10,C_SourceStreams!$C$61:$C$2089,0))*100)</f>
        <v/>
      </c>
      <c r="Q10" s="839" t="str">
        <f t="shared" si="1"/>
        <v/>
      </c>
      <c r="R10" s="838" t="str">
        <f>IF($BA10,"",INDEX(C_SourceStreams!BR$61:BR$2089,MATCH($C10,C_SourceStreams!$C$61:$C$2089,0))*100)</f>
        <v/>
      </c>
      <c r="S10" s="839" t="str">
        <f t="shared" si="2"/>
        <v/>
      </c>
      <c r="T10" s="838" t="str">
        <f>IF($BA10,"",INDEX(C_SourceStreams!BS$61:BS$2089,MATCH($C10,C_SourceStreams!$C$61:$C$2089,0))*100)</f>
        <v/>
      </c>
      <c r="U10" s="839" t="str">
        <f t="shared" si="3"/>
        <v/>
      </c>
      <c r="V10" s="1006"/>
      <c r="W10" s="1006"/>
      <c r="X10" s="1006"/>
      <c r="Y10" s="1006"/>
      <c r="Z10" s="1006"/>
      <c r="AA10" s="1006"/>
      <c r="AB10" s="1006"/>
      <c r="AC10" s="1006"/>
      <c r="AD10" s="1006"/>
      <c r="AE10" s="1006"/>
      <c r="AF10" s="1006"/>
      <c r="AG10" s="1006"/>
      <c r="AH10" s="1006"/>
      <c r="AI10" s="1006"/>
      <c r="AJ10" s="1006"/>
      <c r="AK10" s="1006"/>
      <c r="AL10" s="1006"/>
      <c r="AM10" s="1006"/>
      <c r="AN10" s="1006"/>
      <c r="AO10" s="1006"/>
      <c r="AP10" s="1006"/>
      <c r="AQ10" s="1006"/>
      <c r="AR10" s="1006"/>
      <c r="AS10" s="1006"/>
      <c r="AT10" s="1006"/>
      <c r="AU10" s="1001" t="str">
        <f>IF($BA10,"",INDEX(C_SourceStreams!BT$61:BT$2089,MATCH($C10,C_SourceStreams!$C$61:$C$2089,0)))</f>
        <v/>
      </c>
      <c r="AV10" s="1001" t="str">
        <f>IF($BA10,"",INDEX(C_SourceStreams!BU$61:BU$2089,MATCH($C10,C_SourceStreams!$C$61:$C$2089,0)))</f>
        <v/>
      </c>
      <c r="AW10" s="1001" t="str">
        <f>IF($BA10,"",INDEX(C_SourceStreams!BV$61:BV$2089,MATCH($C10,C_SourceStreams!$C$61:$C$2089,0)))</f>
        <v/>
      </c>
      <c r="AX10" s="838" t="str">
        <f>IF($BA10,"",INDEX(C_SourceStreams!BW$61:BW$2089,MATCH($C10,C_SourceStreams!$C$61:$C$2089,0)))</f>
        <v/>
      </c>
      <c r="AY10" s="838" t="str">
        <f>IF($BA10,"",INDEX(C_SourceStreams!BX$61:BX$2089,MATCH($C10,C_SourceStreams!$C$61:$C$2089,0)))</f>
        <v/>
      </c>
      <c r="BA10" s="72" t="b">
        <f>IF(ISERROR(INDEX(C_SourceStreams!$K$28:$K$11971,MATCH(C10,C_SourceStreams!$C$28:$C$11971,0))),TRUE,INDEX(C_SourceStreams!$K$28:$K$11971,MATCH(C10,C_SourceStreams!$C$28:$C$11971,0))="")</f>
        <v>1</v>
      </c>
    </row>
    <row r="11" spans="1:53" x14ac:dyDescent="0.2">
      <c r="C11" s="835">
        <v>8</v>
      </c>
      <c r="D11" s="837" t="str">
        <f>IF($BA11,"",INDEX(C_SourceStreams!$K$61:$K$2089,MATCH($C11,C_SourceStreams!$C$61:$C$2089,0)))</f>
        <v/>
      </c>
      <c r="E11" s="837" t="str">
        <f>IF($BA11,"",INDEX(C_SourceStreams!$E$61:$E$2089,MATCH($C11,C_SourceStreams!$C$61:$C$2089,0)))</f>
        <v/>
      </c>
      <c r="F11" s="838" t="str">
        <f>IF($BA11,"",INDEX(C_SourceStreams!BH$61:BH$2089,MATCH($C11,C_SourceStreams!$C$61:$C$2089,0)))</f>
        <v/>
      </c>
      <c r="G11" s="836" t="str">
        <f>IF($BA11,"",INDEX(C_SourceStreams!BI$61:BI$2089,MATCH($C11,C_SourceStreams!$C$61:$C$2089,0)))</f>
        <v/>
      </c>
      <c r="H11" s="838" t="str">
        <f>IF($BA11,"",INDEX(C_SourceStreams!BL$61:BL$2089,MATCH($C11,C_SourceStreams!$C$61:$C$2089,0)))</f>
        <v/>
      </c>
      <c r="I11" s="836" t="str">
        <f>IF($BA11,"",INDEX(C_SourceStreams!BM$61:BM$2089,MATCH($C11,C_SourceStreams!$C$61:$C$2089,0)))</f>
        <v/>
      </c>
      <c r="J11" s="838" t="str">
        <f>IF($BA11,"",INDEX(C_SourceStreams!BJ$61:BJ$2089,MATCH($C11,C_SourceStreams!$C$61:$C$2089,0)))</f>
        <v/>
      </c>
      <c r="K11" s="836" t="str">
        <f>IF($BA11,"",INDEX(C_SourceStreams!BK$61:BK$2089,MATCH($C11,C_SourceStreams!$C$61:$C$2089,0)))</f>
        <v/>
      </c>
      <c r="L11" s="836" t="str">
        <f>IF($BA11,"",INDEX(C_SourceStreams!BP$61:BP$2089,MATCH($C11,C_SourceStreams!$C$61:$C$2089,0)))</f>
        <v/>
      </c>
      <c r="M11" s="836" t="str">
        <f>IF($BA11,"",INDEX(C_SourceStreams!BQ$61:BQ$2089,MATCH($C11,C_SourceStreams!$C$61:$C$2089,0)))</f>
        <v/>
      </c>
      <c r="N11" s="838" t="str">
        <f>IF($BA11,"",INDEX(C_SourceStreams!BN$61:BN$2089,MATCH($C11,C_SourceStreams!$C$61:$C$2089,0))*100)</f>
        <v/>
      </c>
      <c r="O11" s="839" t="str">
        <f t="shared" si="0"/>
        <v/>
      </c>
      <c r="P11" s="838" t="str">
        <f>IF($BA11,"",INDEX(C_SourceStreams!BO$61:BO$2089,MATCH($C11,C_SourceStreams!$C$61:$C$2089,0))*100)</f>
        <v/>
      </c>
      <c r="Q11" s="839" t="str">
        <f t="shared" si="1"/>
        <v/>
      </c>
      <c r="R11" s="838" t="str">
        <f>IF($BA11,"",INDEX(C_SourceStreams!BR$61:BR$2089,MATCH($C11,C_SourceStreams!$C$61:$C$2089,0))*100)</f>
        <v/>
      </c>
      <c r="S11" s="839" t="str">
        <f t="shared" si="2"/>
        <v/>
      </c>
      <c r="T11" s="838" t="str">
        <f>IF($BA11,"",INDEX(C_SourceStreams!BS$61:BS$2089,MATCH($C11,C_SourceStreams!$C$61:$C$2089,0))*100)</f>
        <v/>
      </c>
      <c r="U11" s="839" t="str">
        <f t="shared" si="3"/>
        <v/>
      </c>
      <c r="V11" s="1006"/>
      <c r="W11" s="1006"/>
      <c r="X11" s="1006"/>
      <c r="Y11" s="1006"/>
      <c r="Z11" s="1006"/>
      <c r="AA11" s="1006"/>
      <c r="AB11" s="1006"/>
      <c r="AC11" s="1006"/>
      <c r="AD11" s="1006"/>
      <c r="AE11" s="1006"/>
      <c r="AF11" s="1006"/>
      <c r="AG11" s="1006"/>
      <c r="AH11" s="1006"/>
      <c r="AI11" s="1006"/>
      <c r="AJ11" s="1006"/>
      <c r="AK11" s="1006"/>
      <c r="AL11" s="1006"/>
      <c r="AM11" s="1006"/>
      <c r="AN11" s="1006"/>
      <c r="AO11" s="1006"/>
      <c r="AP11" s="1006"/>
      <c r="AQ11" s="1006"/>
      <c r="AR11" s="1006"/>
      <c r="AS11" s="1006"/>
      <c r="AT11" s="1006"/>
      <c r="AU11" s="1001" t="str">
        <f>IF($BA11,"",INDEX(C_SourceStreams!BT$61:BT$2089,MATCH($C11,C_SourceStreams!$C$61:$C$2089,0)))</f>
        <v/>
      </c>
      <c r="AV11" s="1001" t="str">
        <f>IF($BA11,"",INDEX(C_SourceStreams!BU$61:BU$2089,MATCH($C11,C_SourceStreams!$C$61:$C$2089,0)))</f>
        <v/>
      </c>
      <c r="AW11" s="1001" t="str">
        <f>IF($BA11,"",INDEX(C_SourceStreams!BV$61:BV$2089,MATCH($C11,C_SourceStreams!$C$61:$C$2089,0)))</f>
        <v/>
      </c>
      <c r="AX11" s="838" t="str">
        <f>IF($BA11,"",INDEX(C_SourceStreams!BW$61:BW$2089,MATCH($C11,C_SourceStreams!$C$61:$C$2089,0)))</f>
        <v/>
      </c>
      <c r="AY11" s="838" t="str">
        <f>IF($BA11,"",INDEX(C_SourceStreams!BX$61:BX$2089,MATCH($C11,C_SourceStreams!$C$61:$C$2089,0)))</f>
        <v/>
      </c>
      <c r="BA11" s="72" t="b">
        <f>IF(ISERROR(INDEX(C_SourceStreams!$K$28:$K$11971,MATCH(C11,C_SourceStreams!$C$28:$C$11971,0))),TRUE,INDEX(C_SourceStreams!$K$28:$K$11971,MATCH(C11,C_SourceStreams!$C$28:$C$11971,0))="")</f>
        <v>1</v>
      </c>
    </row>
    <row r="12" spans="1:53" x14ac:dyDescent="0.2">
      <c r="C12" s="835">
        <v>9</v>
      </c>
      <c r="D12" s="837" t="str">
        <f>IF($BA12,"",INDEX(C_SourceStreams!$K$61:$K$2089,MATCH($C12,C_SourceStreams!$C$61:$C$2089,0)))</f>
        <v/>
      </c>
      <c r="E12" s="837" t="str">
        <f>IF($BA12,"",INDEX(C_SourceStreams!$E$61:$E$2089,MATCH($C12,C_SourceStreams!$C$61:$C$2089,0)))</f>
        <v/>
      </c>
      <c r="F12" s="838" t="str">
        <f>IF($BA12,"",INDEX(C_SourceStreams!BH$61:BH$2089,MATCH($C12,C_SourceStreams!$C$61:$C$2089,0)))</f>
        <v/>
      </c>
      <c r="G12" s="836" t="str">
        <f>IF($BA12,"",INDEX(C_SourceStreams!BI$61:BI$2089,MATCH($C12,C_SourceStreams!$C$61:$C$2089,0)))</f>
        <v/>
      </c>
      <c r="H12" s="838" t="str">
        <f>IF($BA12,"",INDEX(C_SourceStreams!BL$61:BL$2089,MATCH($C12,C_SourceStreams!$C$61:$C$2089,0)))</f>
        <v/>
      </c>
      <c r="I12" s="836" t="str">
        <f>IF($BA12,"",INDEX(C_SourceStreams!BM$61:BM$2089,MATCH($C12,C_SourceStreams!$C$61:$C$2089,0)))</f>
        <v/>
      </c>
      <c r="J12" s="838" t="str">
        <f>IF($BA12,"",INDEX(C_SourceStreams!BJ$61:BJ$2089,MATCH($C12,C_SourceStreams!$C$61:$C$2089,0)))</f>
        <v/>
      </c>
      <c r="K12" s="836" t="str">
        <f>IF($BA12,"",INDEX(C_SourceStreams!BK$61:BK$2089,MATCH($C12,C_SourceStreams!$C$61:$C$2089,0)))</f>
        <v/>
      </c>
      <c r="L12" s="836" t="str">
        <f>IF($BA12,"",INDEX(C_SourceStreams!BP$61:BP$2089,MATCH($C12,C_SourceStreams!$C$61:$C$2089,0)))</f>
        <v/>
      </c>
      <c r="M12" s="836" t="str">
        <f>IF($BA12,"",INDEX(C_SourceStreams!BQ$61:BQ$2089,MATCH($C12,C_SourceStreams!$C$61:$C$2089,0)))</f>
        <v/>
      </c>
      <c r="N12" s="838" t="str">
        <f>IF($BA12,"",INDEX(C_SourceStreams!BN$61:BN$2089,MATCH($C12,C_SourceStreams!$C$61:$C$2089,0))*100)</f>
        <v/>
      </c>
      <c r="O12" s="839" t="str">
        <f t="shared" si="0"/>
        <v/>
      </c>
      <c r="P12" s="838" t="str">
        <f>IF($BA12,"",INDEX(C_SourceStreams!BO$61:BO$2089,MATCH($C12,C_SourceStreams!$C$61:$C$2089,0))*100)</f>
        <v/>
      </c>
      <c r="Q12" s="839" t="str">
        <f t="shared" si="1"/>
        <v/>
      </c>
      <c r="R12" s="838" t="str">
        <f>IF($BA12,"",INDEX(C_SourceStreams!BR$61:BR$2089,MATCH($C12,C_SourceStreams!$C$61:$C$2089,0))*100)</f>
        <v/>
      </c>
      <c r="S12" s="839" t="str">
        <f t="shared" si="2"/>
        <v/>
      </c>
      <c r="T12" s="838" t="str">
        <f>IF($BA12,"",INDEX(C_SourceStreams!BS$61:BS$2089,MATCH($C12,C_SourceStreams!$C$61:$C$2089,0))*100)</f>
        <v/>
      </c>
      <c r="U12" s="839" t="str">
        <f t="shared" si="3"/>
        <v/>
      </c>
      <c r="V12" s="1006"/>
      <c r="W12" s="1006"/>
      <c r="X12" s="1006"/>
      <c r="Y12" s="1006"/>
      <c r="Z12" s="1006"/>
      <c r="AA12" s="1006"/>
      <c r="AB12" s="1006"/>
      <c r="AC12" s="1006"/>
      <c r="AD12" s="1006"/>
      <c r="AE12" s="1006"/>
      <c r="AF12" s="1006"/>
      <c r="AG12" s="1006"/>
      <c r="AH12" s="1006"/>
      <c r="AI12" s="1006"/>
      <c r="AJ12" s="1006"/>
      <c r="AK12" s="1006"/>
      <c r="AL12" s="1006"/>
      <c r="AM12" s="1006"/>
      <c r="AN12" s="1006"/>
      <c r="AO12" s="1006"/>
      <c r="AP12" s="1006"/>
      <c r="AQ12" s="1006"/>
      <c r="AR12" s="1006"/>
      <c r="AS12" s="1006"/>
      <c r="AT12" s="1006"/>
      <c r="AU12" s="1001" t="str">
        <f>IF($BA12,"",INDEX(C_SourceStreams!BT$61:BT$2089,MATCH($C12,C_SourceStreams!$C$61:$C$2089,0)))</f>
        <v/>
      </c>
      <c r="AV12" s="1001" t="str">
        <f>IF($BA12,"",INDEX(C_SourceStreams!BU$61:BU$2089,MATCH($C12,C_SourceStreams!$C$61:$C$2089,0)))</f>
        <v/>
      </c>
      <c r="AW12" s="1001" t="str">
        <f>IF($BA12,"",INDEX(C_SourceStreams!BV$61:BV$2089,MATCH($C12,C_SourceStreams!$C$61:$C$2089,0)))</f>
        <v/>
      </c>
      <c r="AX12" s="838" t="str">
        <f>IF($BA12,"",INDEX(C_SourceStreams!BW$61:BW$2089,MATCH($C12,C_SourceStreams!$C$61:$C$2089,0)))</f>
        <v/>
      </c>
      <c r="AY12" s="838" t="str">
        <f>IF($BA12,"",INDEX(C_SourceStreams!BX$61:BX$2089,MATCH($C12,C_SourceStreams!$C$61:$C$2089,0)))</f>
        <v/>
      </c>
      <c r="BA12" s="72" t="b">
        <f>IF(ISERROR(INDEX(C_SourceStreams!$K$28:$K$11971,MATCH(C12,C_SourceStreams!$C$28:$C$11971,0))),TRUE,INDEX(C_SourceStreams!$K$28:$K$11971,MATCH(C12,C_SourceStreams!$C$28:$C$11971,0))="")</f>
        <v>1</v>
      </c>
    </row>
    <row r="13" spans="1:53" x14ac:dyDescent="0.2">
      <c r="C13" s="835">
        <v>10</v>
      </c>
      <c r="D13" s="837" t="str">
        <f>IF($BA13,"",INDEX(C_SourceStreams!$K$61:$K$2089,MATCH($C13,C_SourceStreams!$C$61:$C$2089,0)))</f>
        <v/>
      </c>
      <c r="E13" s="837" t="str">
        <f>IF($BA13,"",INDEX(C_SourceStreams!$E$61:$E$2089,MATCH($C13,C_SourceStreams!$C$61:$C$2089,0)))</f>
        <v/>
      </c>
      <c r="F13" s="838" t="str">
        <f>IF($BA13,"",INDEX(C_SourceStreams!BH$61:BH$2089,MATCH($C13,C_SourceStreams!$C$61:$C$2089,0)))</f>
        <v/>
      </c>
      <c r="G13" s="836" t="str">
        <f>IF($BA13,"",INDEX(C_SourceStreams!BI$61:BI$2089,MATCH($C13,C_SourceStreams!$C$61:$C$2089,0)))</f>
        <v/>
      </c>
      <c r="H13" s="838" t="str">
        <f>IF($BA13,"",INDEX(C_SourceStreams!BL$61:BL$2089,MATCH($C13,C_SourceStreams!$C$61:$C$2089,0)))</f>
        <v/>
      </c>
      <c r="I13" s="836" t="str">
        <f>IF($BA13,"",INDEX(C_SourceStreams!BM$61:BM$2089,MATCH($C13,C_SourceStreams!$C$61:$C$2089,0)))</f>
        <v/>
      </c>
      <c r="J13" s="838" t="str">
        <f>IF($BA13,"",INDEX(C_SourceStreams!BJ$61:BJ$2089,MATCH($C13,C_SourceStreams!$C$61:$C$2089,0)))</f>
        <v/>
      </c>
      <c r="K13" s="836" t="str">
        <f>IF($BA13,"",INDEX(C_SourceStreams!BK$61:BK$2089,MATCH($C13,C_SourceStreams!$C$61:$C$2089,0)))</f>
        <v/>
      </c>
      <c r="L13" s="836" t="str">
        <f>IF($BA13,"",INDEX(C_SourceStreams!BP$61:BP$2089,MATCH($C13,C_SourceStreams!$C$61:$C$2089,0)))</f>
        <v/>
      </c>
      <c r="M13" s="836" t="str">
        <f>IF($BA13,"",INDEX(C_SourceStreams!BQ$61:BQ$2089,MATCH($C13,C_SourceStreams!$C$61:$C$2089,0)))</f>
        <v/>
      </c>
      <c r="N13" s="838" t="str">
        <f>IF($BA13,"",INDEX(C_SourceStreams!BN$61:BN$2089,MATCH($C13,C_SourceStreams!$C$61:$C$2089,0))*100)</f>
        <v/>
      </c>
      <c r="O13" s="839" t="str">
        <f t="shared" si="0"/>
        <v/>
      </c>
      <c r="P13" s="838" t="str">
        <f>IF($BA13,"",INDEX(C_SourceStreams!BO$61:BO$2089,MATCH($C13,C_SourceStreams!$C$61:$C$2089,0))*100)</f>
        <v/>
      </c>
      <c r="Q13" s="839" t="str">
        <f t="shared" si="1"/>
        <v/>
      </c>
      <c r="R13" s="838" t="str">
        <f>IF($BA13,"",INDEX(C_SourceStreams!BR$61:BR$2089,MATCH($C13,C_SourceStreams!$C$61:$C$2089,0))*100)</f>
        <v/>
      </c>
      <c r="S13" s="839" t="str">
        <f t="shared" si="2"/>
        <v/>
      </c>
      <c r="T13" s="838" t="str">
        <f>IF($BA13,"",INDEX(C_SourceStreams!BS$61:BS$2089,MATCH($C13,C_SourceStreams!$C$61:$C$2089,0))*100)</f>
        <v/>
      </c>
      <c r="U13" s="839" t="str">
        <f t="shared" si="3"/>
        <v/>
      </c>
      <c r="V13" s="1006"/>
      <c r="W13" s="1006"/>
      <c r="X13" s="1006"/>
      <c r="Y13" s="1006"/>
      <c r="Z13" s="1006"/>
      <c r="AA13" s="1006"/>
      <c r="AB13" s="1006"/>
      <c r="AC13" s="1006"/>
      <c r="AD13" s="1006"/>
      <c r="AE13" s="1006"/>
      <c r="AF13" s="1006"/>
      <c r="AG13" s="1006"/>
      <c r="AH13" s="1006"/>
      <c r="AI13" s="1006"/>
      <c r="AJ13" s="1006"/>
      <c r="AK13" s="1006"/>
      <c r="AL13" s="1006"/>
      <c r="AM13" s="1006"/>
      <c r="AN13" s="1006"/>
      <c r="AO13" s="1006"/>
      <c r="AP13" s="1006"/>
      <c r="AQ13" s="1006"/>
      <c r="AR13" s="1006"/>
      <c r="AS13" s="1006"/>
      <c r="AT13" s="1006"/>
      <c r="AU13" s="1001" t="str">
        <f>IF($BA13,"",INDEX(C_SourceStreams!BT$61:BT$2089,MATCH($C13,C_SourceStreams!$C$61:$C$2089,0)))</f>
        <v/>
      </c>
      <c r="AV13" s="1001" t="str">
        <f>IF($BA13,"",INDEX(C_SourceStreams!BU$61:BU$2089,MATCH($C13,C_SourceStreams!$C$61:$C$2089,0)))</f>
        <v/>
      </c>
      <c r="AW13" s="1001" t="str">
        <f>IF($BA13,"",INDEX(C_SourceStreams!BV$61:BV$2089,MATCH($C13,C_SourceStreams!$C$61:$C$2089,0)))</f>
        <v/>
      </c>
      <c r="AX13" s="838" t="str">
        <f>IF($BA13,"",INDEX(C_SourceStreams!BW$61:BW$2089,MATCH($C13,C_SourceStreams!$C$61:$C$2089,0)))</f>
        <v/>
      </c>
      <c r="AY13" s="838" t="str">
        <f>IF($BA13,"",INDEX(C_SourceStreams!BX$61:BX$2089,MATCH($C13,C_SourceStreams!$C$61:$C$2089,0)))</f>
        <v/>
      </c>
      <c r="BA13" s="72" t="b">
        <f>IF(ISERROR(INDEX(C_SourceStreams!$K$28:$K$11971,MATCH(C13,C_SourceStreams!$C$28:$C$11971,0))),TRUE,INDEX(C_SourceStreams!$K$28:$K$11971,MATCH(C13,C_SourceStreams!$C$28:$C$11971,0))="")</f>
        <v>1</v>
      </c>
    </row>
    <row r="14" spans="1:53" x14ac:dyDescent="0.2">
      <c r="C14" s="835">
        <v>11</v>
      </c>
      <c r="D14" s="837" t="str">
        <f>IF($BA14,"",INDEX(C_SourceStreams!$K$61:$K$2089,MATCH($C14,C_SourceStreams!$C$61:$C$2089,0)))</f>
        <v/>
      </c>
      <c r="E14" s="837" t="str">
        <f>IF($BA14,"",INDEX(C_SourceStreams!$E$61:$E$2089,MATCH($C14,C_SourceStreams!$C$61:$C$2089,0)))</f>
        <v/>
      </c>
      <c r="F14" s="838" t="str">
        <f>IF($BA14,"",INDEX(C_SourceStreams!BH$61:BH$2089,MATCH($C14,C_SourceStreams!$C$61:$C$2089,0)))</f>
        <v/>
      </c>
      <c r="G14" s="836" t="str">
        <f>IF($BA14,"",INDEX(C_SourceStreams!BI$61:BI$2089,MATCH($C14,C_SourceStreams!$C$61:$C$2089,0)))</f>
        <v/>
      </c>
      <c r="H14" s="838" t="str">
        <f>IF($BA14,"",INDEX(C_SourceStreams!BL$61:BL$2089,MATCH($C14,C_SourceStreams!$C$61:$C$2089,0)))</f>
        <v/>
      </c>
      <c r="I14" s="836" t="str">
        <f>IF($BA14,"",INDEX(C_SourceStreams!BM$61:BM$2089,MATCH($C14,C_SourceStreams!$C$61:$C$2089,0)))</f>
        <v/>
      </c>
      <c r="J14" s="838" t="str">
        <f>IF($BA14,"",INDEX(C_SourceStreams!BJ$61:BJ$2089,MATCH($C14,C_SourceStreams!$C$61:$C$2089,0)))</f>
        <v/>
      </c>
      <c r="K14" s="836" t="str">
        <f>IF($BA14,"",INDEX(C_SourceStreams!BK$61:BK$2089,MATCH($C14,C_SourceStreams!$C$61:$C$2089,0)))</f>
        <v/>
      </c>
      <c r="L14" s="836" t="str">
        <f>IF($BA14,"",INDEX(C_SourceStreams!BP$61:BP$2089,MATCH($C14,C_SourceStreams!$C$61:$C$2089,0)))</f>
        <v/>
      </c>
      <c r="M14" s="836" t="str">
        <f>IF($BA14,"",INDEX(C_SourceStreams!BQ$61:BQ$2089,MATCH($C14,C_SourceStreams!$C$61:$C$2089,0)))</f>
        <v/>
      </c>
      <c r="N14" s="838" t="str">
        <f>IF($BA14,"",INDEX(C_SourceStreams!BN$61:BN$2089,MATCH($C14,C_SourceStreams!$C$61:$C$2089,0))*100)</f>
        <v/>
      </c>
      <c r="O14" s="839" t="str">
        <f t="shared" si="0"/>
        <v/>
      </c>
      <c r="P14" s="838" t="str">
        <f>IF($BA14,"",INDEX(C_SourceStreams!BO$61:BO$2089,MATCH($C14,C_SourceStreams!$C$61:$C$2089,0))*100)</f>
        <v/>
      </c>
      <c r="Q14" s="839" t="str">
        <f t="shared" si="1"/>
        <v/>
      </c>
      <c r="R14" s="838" t="str">
        <f>IF($BA14,"",INDEX(C_SourceStreams!BR$61:BR$2089,MATCH($C14,C_SourceStreams!$C$61:$C$2089,0))*100)</f>
        <v/>
      </c>
      <c r="S14" s="839" t="str">
        <f t="shared" si="2"/>
        <v/>
      </c>
      <c r="T14" s="838" t="str">
        <f>IF($BA14,"",INDEX(C_SourceStreams!BS$61:BS$2089,MATCH($C14,C_SourceStreams!$C$61:$C$2089,0))*100)</f>
        <v/>
      </c>
      <c r="U14" s="839" t="str">
        <f t="shared" si="3"/>
        <v/>
      </c>
      <c r="V14" s="1006"/>
      <c r="W14" s="1006"/>
      <c r="X14" s="1006"/>
      <c r="Y14" s="1006"/>
      <c r="Z14" s="1006"/>
      <c r="AA14" s="1006"/>
      <c r="AB14" s="1006"/>
      <c r="AC14" s="1006"/>
      <c r="AD14" s="1006"/>
      <c r="AE14" s="1006"/>
      <c r="AF14" s="1006"/>
      <c r="AG14" s="1006"/>
      <c r="AH14" s="1006"/>
      <c r="AI14" s="1006"/>
      <c r="AJ14" s="1006"/>
      <c r="AK14" s="1006"/>
      <c r="AL14" s="1006"/>
      <c r="AM14" s="1006"/>
      <c r="AN14" s="1006"/>
      <c r="AO14" s="1006"/>
      <c r="AP14" s="1006"/>
      <c r="AQ14" s="1006"/>
      <c r="AR14" s="1006"/>
      <c r="AS14" s="1006"/>
      <c r="AT14" s="1006"/>
      <c r="AU14" s="1001" t="str">
        <f>IF($BA14,"",INDEX(C_SourceStreams!BT$61:BT$2089,MATCH($C14,C_SourceStreams!$C$61:$C$2089,0)))</f>
        <v/>
      </c>
      <c r="AV14" s="1001" t="str">
        <f>IF($BA14,"",INDEX(C_SourceStreams!BU$61:BU$2089,MATCH($C14,C_SourceStreams!$C$61:$C$2089,0)))</f>
        <v/>
      </c>
      <c r="AW14" s="1001" t="str">
        <f>IF($BA14,"",INDEX(C_SourceStreams!BV$61:BV$2089,MATCH($C14,C_SourceStreams!$C$61:$C$2089,0)))</f>
        <v/>
      </c>
      <c r="AX14" s="838" t="str">
        <f>IF($BA14,"",INDEX(C_SourceStreams!BW$61:BW$2089,MATCH($C14,C_SourceStreams!$C$61:$C$2089,0)))</f>
        <v/>
      </c>
      <c r="AY14" s="838" t="str">
        <f>IF($BA14,"",INDEX(C_SourceStreams!BX$61:BX$2089,MATCH($C14,C_SourceStreams!$C$61:$C$2089,0)))</f>
        <v/>
      </c>
      <c r="BA14" s="72" t="b">
        <f>IF(ISERROR(INDEX(C_SourceStreams!$K$28:$K$11971,MATCH(C14,C_SourceStreams!$C$28:$C$11971,0))),TRUE,INDEX(C_SourceStreams!$K$28:$K$11971,MATCH(C14,C_SourceStreams!$C$28:$C$11971,0))="")</f>
        <v>1</v>
      </c>
    </row>
    <row r="15" spans="1:53" x14ac:dyDescent="0.2">
      <c r="C15" s="835">
        <v>12</v>
      </c>
      <c r="D15" s="837" t="str">
        <f>IF($BA15,"",INDEX(C_SourceStreams!$K$61:$K$2089,MATCH($C15,C_SourceStreams!$C$61:$C$2089,0)))</f>
        <v/>
      </c>
      <c r="E15" s="837" t="str">
        <f>IF($BA15,"",INDEX(C_SourceStreams!$E$61:$E$2089,MATCH($C15,C_SourceStreams!$C$61:$C$2089,0)))</f>
        <v/>
      </c>
      <c r="F15" s="838" t="str">
        <f>IF($BA15,"",INDEX(C_SourceStreams!BH$61:BH$2089,MATCH($C15,C_SourceStreams!$C$61:$C$2089,0)))</f>
        <v/>
      </c>
      <c r="G15" s="836" t="str">
        <f>IF($BA15,"",INDEX(C_SourceStreams!BI$61:BI$2089,MATCH($C15,C_SourceStreams!$C$61:$C$2089,0)))</f>
        <v/>
      </c>
      <c r="H15" s="838" t="str">
        <f>IF($BA15,"",INDEX(C_SourceStreams!BL$61:BL$2089,MATCH($C15,C_SourceStreams!$C$61:$C$2089,0)))</f>
        <v/>
      </c>
      <c r="I15" s="836" t="str">
        <f>IF($BA15,"",INDEX(C_SourceStreams!BM$61:BM$2089,MATCH($C15,C_SourceStreams!$C$61:$C$2089,0)))</f>
        <v/>
      </c>
      <c r="J15" s="838" t="str">
        <f>IF($BA15,"",INDEX(C_SourceStreams!BJ$61:BJ$2089,MATCH($C15,C_SourceStreams!$C$61:$C$2089,0)))</f>
        <v/>
      </c>
      <c r="K15" s="836" t="str">
        <f>IF($BA15,"",INDEX(C_SourceStreams!BK$61:BK$2089,MATCH($C15,C_SourceStreams!$C$61:$C$2089,0)))</f>
        <v/>
      </c>
      <c r="L15" s="836" t="str">
        <f>IF($BA15,"",INDEX(C_SourceStreams!BP$61:BP$2089,MATCH($C15,C_SourceStreams!$C$61:$C$2089,0)))</f>
        <v/>
      </c>
      <c r="M15" s="836" t="str">
        <f>IF($BA15,"",INDEX(C_SourceStreams!BQ$61:BQ$2089,MATCH($C15,C_SourceStreams!$C$61:$C$2089,0)))</f>
        <v/>
      </c>
      <c r="N15" s="838" t="str">
        <f>IF($BA15,"",INDEX(C_SourceStreams!BN$61:BN$2089,MATCH($C15,C_SourceStreams!$C$61:$C$2089,0))*100)</f>
        <v/>
      </c>
      <c r="O15" s="839" t="str">
        <f t="shared" si="0"/>
        <v/>
      </c>
      <c r="P15" s="838" t="str">
        <f>IF($BA15,"",INDEX(C_SourceStreams!BO$61:BO$2089,MATCH($C15,C_SourceStreams!$C$61:$C$2089,0))*100)</f>
        <v/>
      </c>
      <c r="Q15" s="839" t="str">
        <f t="shared" si="1"/>
        <v/>
      </c>
      <c r="R15" s="838" t="str">
        <f>IF($BA15,"",INDEX(C_SourceStreams!BR$61:BR$2089,MATCH($C15,C_SourceStreams!$C$61:$C$2089,0))*100)</f>
        <v/>
      </c>
      <c r="S15" s="839" t="str">
        <f t="shared" si="2"/>
        <v/>
      </c>
      <c r="T15" s="838" t="str">
        <f>IF($BA15,"",INDEX(C_SourceStreams!BS$61:BS$2089,MATCH($C15,C_SourceStreams!$C$61:$C$2089,0))*100)</f>
        <v/>
      </c>
      <c r="U15" s="839" t="str">
        <f t="shared" si="3"/>
        <v/>
      </c>
      <c r="V15" s="1006"/>
      <c r="W15" s="1006"/>
      <c r="X15" s="1006"/>
      <c r="Y15" s="1006"/>
      <c r="Z15" s="1006"/>
      <c r="AA15" s="1006"/>
      <c r="AB15" s="1006"/>
      <c r="AC15" s="1006"/>
      <c r="AD15" s="1006"/>
      <c r="AE15" s="1006"/>
      <c r="AF15" s="1006"/>
      <c r="AG15" s="1006"/>
      <c r="AH15" s="1006"/>
      <c r="AI15" s="1006"/>
      <c r="AJ15" s="1006"/>
      <c r="AK15" s="1006"/>
      <c r="AL15" s="1006"/>
      <c r="AM15" s="1006"/>
      <c r="AN15" s="1006"/>
      <c r="AO15" s="1006"/>
      <c r="AP15" s="1006"/>
      <c r="AQ15" s="1006"/>
      <c r="AR15" s="1006"/>
      <c r="AS15" s="1006"/>
      <c r="AT15" s="1006"/>
      <c r="AU15" s="1001" t="str">
        <f>IF($BA15,"",INDEX(C_SourceStreams!BT$61:BT$2089,MATCH($C15,C_SourceStreams!$C$61:$C$2089,0)))</f>
        <v/>
      </c>
      <c r="AV15" s="1001" t="str">
        <f>IF($BA15,"",INDEX(C_SourceStreams!BU$61:BU$2089,MATCH($C15,C_SourceStreams!$C$61:$C$2089,0)))</f>
        <v/>
      </c>
      <c r="AW15" s="1001" t="str">
        <f>IF($BA15,"",INDEX(C_SourceStreams!BV$61:BV$2089,MATCH($C15,C_SourceStreams!$C$61:$C$2089,0)))</f>
        <v/>
      </c>
      <c r="AX15" s="838" t="str">
        <f>IF($BA15,"",INDEX(C_SourceStreams!BW$61:BW$2089,MATCH($C15,C_SourceStreams!$C$61:$C$2089,0)))</f>
        <v/>
      </c>
      <c r="AY15" s="838" t="str">
        <f>IF($BA15,"",INDEX(C_SourceStreams!BX$61:BX$2089,MATCH($C15,C_SourceStreams!$C$61:$C$2089,0)))</f>
        <v/>
      </c>
      <c r="BA15" s="72" t="b">
        <f>IF(ISERROR(INDEX(C_SourceStreams!$K$28:$K$11971,MATCH(C15,C_SourceStreams!$C$28:$C$11971,0))),TRUE,INDEX(C_SourceStreams!$K$28:$K$11971,MATCH(C15,C_SourceStreams!$C$28:$C$11971,0))="")</f>
        <v>1</v>
      </c>
    </row>
    <row r="16" spans="1:53" x14ac:dyDescent="0.2">
      <c r="C16" s="835">
        <v>13</v>
      </c>
      <c r="D16" s="837" t="str">
        <f>IF($BA16,"",INDEX(C_SourceStreams!$K$61:$K$2089,MATCH($C16,C_SourceStreams!$C$61:$C$2089,0)))</f>
        <v/>
      </c>
      <c r="E16" s="837" t="str">
        <f>IF($BA16,"",INDEX(C_SourceStreams!$E$61:$E$2089,MATCH($C16,C_SourceStreams!$C$61:$C$2089,0)))</f>
        <v/>
      </c>
      <c r="F16" s="838" t="str">
        <f>IF($BA16,"",INDEX(C_SourceStreams!BH$61:BH$2089,MATCH($C16,C_SourceStreams!$C$61:$C$2089,0)))</f>
        <v/>
      </c>
      <c r="G16" s="836" t="str">
        <f>IF($BA16,"",INDEX(C_SourceStreams!BI$61:BI$2089,MATCH($C16,C_SourceStreams!$C$61:$C$2089,0)))</f>
        <v/>
      </c>
      <c r="H16" s="838" t="str">
        <f>IF($BA16,"",INDEX(C_SourceStreams!BL$61:BL$2089,MATCH($C16,C_SourceStreams!$C$61:$C$2089,0)))</f>
        <v/>
      </c>
      <c r="I16" s="836" t="str">
        <f>IF($BA16,"",INDEX(C_SourceStreams!BM$61:BM$2089,MATCH($C16,C_SourceStreams!$C$61:$C$2089,0)))</f>
        <v/>
      </c>
      <c r="J16" s="838" t="str">
        <f>IF($BA16,"",INDEX(C_SourceStreams!BJ$61:BJ$2089,MATCH($C16,C_SourceStreams!$C$61:$C$2089,0)))</f>
        <v/>
      </c>
      <c r="K16" s="836" t="str">
        <f>IF($BA16,"",INDEX(C_SourceStreams!BK$61:BK$2089,MATCH($C16,C_SourceStreams!$C$61:$C$2089,0)))</f>
        <v/>
      </c>
      <c r="L16" s="836" t="str">
        <f>IF($BA16,"",INDEX(C_SourceStreams!BP$61:BP$2089,MATCH($C16,C_SourceStreams!$C$61:$C$2089,0)))</f>
        <v/>
      </c>
      <c r="M16" s="836" t="str">
        <f>IF($BA16,"",INDEX(C_SourceStreams!BQ$61:BQ$2089,MATCH($C16,C_SourceStreams!$C$61:$C$2089,0)))</f>
        <v/>
      </c>
      <c r="N16" s="838" t="str">
        <f>IF($BA16,"",INDEX(C_SourceStreams!BN$61:BN$2089,MATCH($C16,C_SourceStreams!$C$61:$C$2089,0))*100)</f>
        <v/>
      </c>
      <c r="O16" s="839" t="str">
        <f t="shared" si="0"/>
        <v/>
      </c>
      <c r="P16" s="838" t="str">
        <f>IF($BA16,"",INDEX(C_SourceStreams!BO$61:BO$2089,MATCH($C16,C_SourceStreams!$C$61:$C$2089,0))*100)</f>
        <v/>
      </c>
      <c r="Q16" s="839" t="str">
        <f t="shared" si="1"/>
        <v/>
      </c>
      <c r="R16" s="838" t="str">
        <f>IF($BA16,"",INDEX(C_SourceStreams!BR$61:BR$2089,MATCH($C16,C_SourceStreams!$C$61:$C$2089,0))*100)</f>
        <v/>
      </c>
      <c r="S16" s="839" t="str">
        <f t="shared" si="2"/>
        <v/>
      </c>
      <c r="T16" s="838" t="str">
        <f>IF($BA16,"",INDEX(C_SourceStreams!BS$61:BS$2089,MATCH($C16,C_SourceStreams!$C$61:$C$2089,0))*100)</f>
        <v/>
      </c>
      <c r="U16" s="839" t="str">
        <f t="shared" si="3"/>
        <v/>
      </c>
      <c r="V16" s="1006"/>
      <c r="W16" s="1006"/>
      <c r="X16" s="1006"/>
      <c r="Y16" s="1006"/>
      <c r="Z16" s="1006"/>
      <c r="AA16" s="1006"/>
      <c r="AB16" s="1006"/>
      <c r="AC16" s="1006"/>
      <c r="AD16" s="1006"/>
      <c r="AE16" s="1006"/>
      <c r="AF16" s="1006"/>
      <c r="AG16" s="1006"/>
      <c r="AH16" s="1006"/>
      <c r="AI16" s="1006"/>
      <c r="AJ16" s="1006"/>
      <c r="AK16" s="1006"/>
      <c r="AL16" s="1006"/>
      <c r="AM16" s="1006"/>
      <c r="AN16" s="1006"/>
      <c r="AO16" s="1006"/>
      <c r="AP16" s="1006"/>
      <c r="AQ16" s="1006"/>
      <c r="AR16" s="1006"/>
      <c r="AS16" s="1006"/>
      <c r="AT16" s="1006"/>
      <c r="AU16" s="1001" t="str">
        <f>IF($BA16,"",INDEX(C_SourceStreams!BT$61:BT$2089,MATCH($C16,C_SourceStreams!$C$61:$C$2089,0)))</f>
        <v/>
      </c>
      <c r="AV16" s="1001" t="str">
        <f>IF($BA16,"",INDEX(C_SourceStreams!BU$61:BU$2089,MATCH($C16,C_SourceStreams!$C$61:$C$2089,0)))</f>
        <v/>
      </c>
      <c r="AW16" s="1001" t="str">
        <f>IF($BA16,"",INDEX(C_SourceStreams!BV$61:BV$2089,MATCH($C16,C_SourceStreams!$C$61:$C$2089,0)))</f>
        <v/>
      </c>
      <c r="AX16" s="838" t="str">
        <f>IF($BA16,"",INDEX(C_SourceStreams!BW$61:BW$2089,MATCH($C16,C_SourceStreams!$C$61:$C$2089,0)))</f>
        <v/>
      </c>
      <c r="AY16" s="838" t="str">
        <f>IF($BA16,"",INDEX(C_SourceStreams!BX$61:BX$2089,MATCH($C16,C_SourceStreams!$C$61:$C$2089,0)))</f>
        <v/>
      </c>
      <c r="BA16" s="72" t="b">
        <f>IF(ISERROR(INDEX(C_SourceStreams!$K$28:$K$11971,MATCH(C16,C_SourceStreams!$C$28:$C$11971,0))),TRUE,INDEX(C_SourceStreams!$K$28:$K$11971,MATCH(C16,C_SourceStreams!$C$28:$C$11971,0))="")</f>
        <v>1</v>
      </c>
    </row>
    <row r="17" spans="3:53" x14ac:dyDescent="0.2">
      <c r="C17" s="835">
        <v>14</v>
      </c>
      <c r="D17" s="837" t="str">
        <f>IF($BA17,"",INDEX(C_SourceStreams!$K$61:$K$2089,MATCH($C17,C_SourceStreams!$C$61:$C$2089,0)))</f>
        <v/>
      </c>
      <c r="E17" s="837" t="str">
        <f>IF($BA17,"",INDEX(C_SourceStreams!$E$61:$E$2089,MATCH($C17,C_SourceStreams!$C$61:$C$2089,0)))</f>
        <v/>
      </c>
      <c r="F17" s="838" t="str">
        <f>IF($BA17,"",INDEX(C_SourceStreams!BH$61:BH$2089,MATCH($C17,C_SourceStreams!$C$61:$C$2089,0)))</f>
        <v/>
      </c>
      <c r="G17" s="836" t="str">
        <f>IF($BA17,"",INDEX(C_SourceStreams!BI$61:BI$2089,MATCH($C17,C_SourceStreams!$C$61:$C$2089,0)))</f>
        <v/>
      </c>
      <c r="H17" s="838" t="str">
        <f>IF($BA17,"",INDEX(C_SourceStreams!BL$61:BL$2089,MATCH($C17,C_SourceStreams!$C$61:$C$2089,0)))</f>
        <v/>
      </c>
      <c r="I17" s="836" t="str">
        <f>IF($BA17,"",INDEX(C_SourceStreams!BM$61:BM$2089,MATCH($C17,C_SourceStreams!$C$61:$C$2089,0)))</f>
        <v/>
      </c>
      <c r="J17" s="838" t="str">
        <f>IF($BA17,"",INDEX(C_SourceStreams!BJ$61:BJ$2089,MATCH($C17,C_SourceStreams!$C$61:$C$2089,0)))</f>
        <v/>
      </c>
      <c r="K17" s="836" t="str">
        <f>IF($BA17,"",INDEX(C_SourceStreams!BK$61:BK$2089,MATCH($C17,C_SourceStreams!$C$61:$C$2089,0)))</f>
        <v/>
      </c>
      <c r="L17" s="836" t="str">
        <f>IF($BA17,"",INDEX(C_SourceStreams!BP$61:BP$2089,MATCH($C17,C_SourceStreams!$C$61:$C$2089,0)))</f>
        <v/>
      </c>
      <c r="M17" s="836" t="str">
        <f>IF($BA17,"",INDEX(C_SourceStreams!BQ$61:BQ$2089,MATCH($C17,C_SourceStreams!$C$61:$C$2089,0)))</f>
        <v/>
      </c>
      <c r="N17" s="838" t="str">
        <f>IF($BA17,"",INDEX(C_SourceStreams!BN$61:BN$2089,MATCH($C17,C_SourceStreams!$C$61:$C$2089,0))*100)</f>
        <v/>
      </c>
      <c r="O17" s="839" t="str">
        <f t="shared" si="0"/>
        <v/>
      </c>
      <c r="P17" s="838" t="str">
        <f>IF($BA17,"",INDEX(C_SourceStreams!BO$61:BO$2089,MATCH($C17,C_SourceStreams!$C$61:$C$2089,0))*100)</f>
        <v/>
      </c>
      <c r="Q17" s="839" t="str">
        <f t="shared" si="1"/>
        <v/>
      </c>
      <c r="R17" s="838" t="str">
        <f>IF($BA17,"",INDEX(C_SourceStreams!BR$61:BR$2089,MATCH($C17,C_SourceStreams!$C$61:$C$2089,0))*100)</f>
        <v/>
      </c>
      <c r="S17" s="839" t="str">
        <f t="shared" si="2"/>
        <v/>
      </c>
      <c r="T17" s="838" t="str">
        <f>IF($BA17,"",INDEX(C_SourceStreams!BS$61:BS$2089,MATCH($C17,C_SourceStreams!$C$61:$C$2089,0))*100)</f>
        <v/>
      </c>
      <c r="U17" s="839" t="str">
        <f t="shared" si="3"/>
        <v/>
      </c>
      <c r="V17" s="1006"/>
      <c r="W17" s="1006"/>
      <c r="X17" s="1006"/>
      <c r="Y17" s="1006"/>
      <c r="Z17" s="1006"/>
      <c r="AA17" s="1006"/>
      <c r="AB17" s="1006"/>
      <c r="AC17" s="1006"/>
      <c r="AD17" s="1006"/>
      <c r="AE17" s="1006"/>
      <c r="AF17" s="1006"/>
      <c r="AG17" s="1006"/>
      <c r="AH17" s="1006"/>
      <c r="AI17" s="1006"/>
      <c r="AJ17" s="1006"/>
      <c r="AK17" s="1006"/>
      <c r="AL17" s="1006"/>
      <c r="AM17" s="1006"/>
      <c r="AN17" s="1006"/>
      <c r="AO17" s="1006"/>
      <c r="AP17" s="1006"/>
      <c r="AQ17" s="1006"/>
      <c r="AR17" s="1006"/>
      <c r="AS17" s="1006"/>
      <c r="AT17" s="1006"/>
      <c r="AU17" s="1001" t="str">
        <f>IF($BA17,"",INDEX(C_SourceStreams!BT$61:BT$2089,MATCH($C17,C_SourceStreams!$C$61:$C$2089,0)))</f>
        <v/>
      </c>
      <c r="AV17" s="1001" t="str">
        <f>IF($BA17,"",INDEX(C_SourceStreams!BU$61:BU$2089,MATCH($C17,C_SourceStreams!$C$61:$C$2089,0)))</f>
        <v/>
      </c>
      <c r="AW17" s="1001" t="str">
        <f>IF($BA17,"",INDEX(C_SourceStreams!BV$61:BV$2089,MATCH($C17,C_SourceStreams!$C$61:$C$2089,0)))</f>
        <v/>
      </c>
      <c r="AX17" s="838" t="str">
        <f>IF($BA17,"",INDEX(C_SourceStreams!BW$61:BW$2089,MATCH($C17,C_SourceStreams!$C$61:$C$2089,0)))</f>
        <v/>
      </c>
      <c r="AY17" s="838" t="str">
        <f>IF($BA17,"",INDEX(C_SourceStreams!BX$61:BX$2089,MATCH($C17,C_SourceStreams!$C$61:$C$2089,0)))</f>
        <v/>
      </c>
      <c r="BA17" s="72" t="b">
        <f>IF(ISERROR(INDEX(C_SourceStreams!$K$28:$K$11971,MATCH(C17,C_SourceStreams!$C$28:$C$11971,0))),TRUE,INDEX(C_SourceStreams!$K$28:$K$11971,MATCH(C17,C_SourceStreams!$C$28:$C$11971,0))="")</f>
        <v>1</v>
      </c>
    </row>
    <row r="18" spans="3:53" x14ac:dyDescent="0.2">
      <c r="C18" s="835">
        <v>15</v>
      </c>
      <c r="D18" s="837" t="str">
        <f>IF($BA18,"",INDEX(C_SourceStreams!$K$61:$K$2089,MATCH($C18,C_SourceStreams!$C$61:$C$2089,0)))</f>
        <v/>
      </c>
      <c r="E18" s="837" t="str">
        <f>IF($BA18,"",INDEX(C_SourceStreams!$E$61:$E$2089,MATCH($C18,C_SourceStreams!$C$61:$C$2089,0)))</f>
        <v/>
      </c>
      <c r="F18" s="838" t="str">
        <f>IF($BA18,"",INDEX(C_SourceStreams!BH$61:BH$2089,MATCH($C18,C_SourceStreams!$C$61:$C$2089,0)))</f>
        <v/>
      </c>
      <c r="G18" s="836" t="str">
        <f>IF($BA18,"",INDEX(C_SourceStreams!BI$61:BI$2089,MATCH($C18,C_SourceStreams!$C$61:$C$2089,0)))</f>
        <v/>
      </c>
      <c r="H18" s="838" t="str">
        <f>IF($BA18,"",INDEX(C_SourceStreams!BL$61:BL$2089,MATCH($C18,C_SourceStreams!$C$61:$C$2089,0)))</f>
        <v/>
      </c>
      <c r="I18" s="836" t="str">
        <f>IF($BA18,"",INDEX(C_SourceStreams!BM$61:BM$2089,MATCH($C18,C_SourceStreams!$C$61:$C$2089,0)))</f>
        <v/>
      </c>
      <c r="J18" s="838" t="str">
        <f>IF($BA18,"",INDEX(C_SourceStreams!BJ$61:BJ$2089,MATCH($C18,C_SourceStreams!$C$61:$C$2089,0)))</f>
        <v/>
      </c>
      <c r="K18" s="836" t="str">
        <f>IF($BA18,"",INDEX(C_SourceStreams!BK$61:BK$2089,MATCH($C18,C_SourceStreams!$C$61:$C$2089,0)))</f>
        <v/>
      </c>
      <c r="L18" s="836" t="str">
        <f>IF($BA18,"",INDEX(C_SourceStreams!BP$61:BP$2089,MATCH($C18,C_SourceStreams!$C$61:$C$2089,0)))</f>
        <v/>
      </c>
      <c r="M18" s="836" t="str">
        <f>IF($BA18,"",INDEX(C_SourceStreams!BQ$61:BQ$2089,MATCH($C18,C_SourceStreams!$C$61:$C$2089,0)))</f>
        <v/>
      </c>
      <c r="N18" s="838" t="str">
        <f>IF($BA18,"",INDEX(C_SourceStreams!BN$61:BN$2089,MATCH($C18,C_SourceStreams!$C$61:$C$2089,0))*100)</f>
        <v/>
      </c>
      <c r="O18" s="839" t="str">
        <f t="shared" si="0"/>
        <v/>
      </c>
      <c r="P18" s="838" t="str">
        <f>IF($BA18,"",INDEX(C_SourceStreams!BO$61:BO$2089,MATCH($C18,C_SourceStreams!$C$61:$C$2089,0))*100)</f>
        <v/>
      </c>
      <c r="Q18" s="839" t="str">
        <f t="shared" si="1"/>
        <v/>
      </c>
      <c r="R18" s="838" t="str">
        <f>IF($BA18,"",INDEX(C_SourceStreams!BR$61:BR$2089,MATCH($C18,C_SourceStreams!$C$61:$C$2089,0))*100)</f>
        <v/>
      </c>
      <c r="S18" s="839" t="str">
        <f t="shared" si="2"/>
        <v/>
      </c>
      <c r="T18" s="838" t="str">
        <f>IF($BA18,"",INDEX(C_SourceStreams!BS$61:BS$2089,MATCH($C18,C_SourceStreams!$C$61:$C$2089,0))*100)</f>
        <v/>
      </c>
      <c r="U18" s="839" t="str">
        <f t="shared" si="3"/>
        <v/>
      </c>
      <c r="V18" s="1006"/>
      <c r="W18" s="1006"/>
      <c r="X18" s="1006"/>
      <c r="Y18" s="1006"/>
      <c r="Z18" s="1006"/>
      <c r="AA18" s="1006"/>
      <c r="AB18" s="1006"/>
      <c r="AC18" s="1006"/>
      <c r="AD18" s="1006"/>
      <c r="AE18" s="1006"/>
      <c r="AF18" s="1006"/>
      <c r="AG18" s="1006"/>
      <c r="AH18" s="1006"/>
      <c r="AI18" s="1006"/>
      <c r="AJ18" s="1006"/>
      <c r="AK18" s="1006"/>
      <c r="AL18" s="1006"/>
      <c r="AM18" s="1006"/>
      <c r="AN18" s="1006"/>
      <c r="AO18" s="1006"/>
      <c r="AP18" s="1006"/>
      <c r="AQ18" s="1006"/>
      <c r="AR18" s="1006"/>
      <c r="AS18" s="1006"/>
      <c r="AT18" s="1006"/>
      <c r="AU18" s="1001" t="str">
        <f>IF($BA18,"",INDEX(C_SourceStreams!BT$61:BT$2089,MATCH($C18,C_SourceStreams!$C$61:$C$2089,0)))</f>
        <v/>
      </c>
      <c r="AV18" s="1001" t="str">
        <f>IF($BA18,"",INDEX(C_SourceStreams!BU$61:BU$2089,MATCH($C18,C_SourceStreams!$C$61:$C$2089,0)))</f>
        <v/>
      </c>
      <c r="AW18" s="1001" t="str">
        <f>IF($BA18,"",INDEX(C_SourceStreams!BV$61:BV$2089,MATCH($C18,C_SourceStreams!$C$61:$C$2089,0)))</f>
        <v/>
      </c>
      <c r="AX18" s="838" t="str">
        <f>IF($BA18,"",INDEX(C_SourceStreams!BW$61:BW$2089,MATCH($C18,C_SourceStreams!$C$61:$C$2089,0)))</f>
        <v/>
      </c>
      <c r="AY18" s="838" t="str">
        <f>IF($BA18,"",INDEX(C_SourceStreams!BX$61:BX$2089,MATCH($C18,C_SourceStreams!$C$61:$C$2089,0)))</f>
        <v/>
      </c>
      <c r="BA18" s="72" t="b">
        <f>IF(ISERROR(INDEX(C_SourceStreams!$K$28:$K$11971,MATCH(C18,C_SourceStreams!$C$28:$C$11971,0))),TRUE,INDEX(C_SourceStreams!$K$28:$K$11971,MATCH(C18,C_SourceStreams!$C$28:$C$11971,0))="")</f>
        <v>1</v>
      </c>
    </row>
    <row r="19" spans="3:53" x14ac:dyDescent="0.2">
      <c r="C19" s="835">
        <v>16</v>
      </c>
      <c r="D19" s="837" t="str">
        <f>IF($BA19,"",INDEX(C_SourceStreams!$K$61:$K$2089,MATCH($C19,C_SourceStreams!$C$61:$C$2089,0)))</f>
        <v/>
      </c>
      <c r="E19" s="837" t="str">
        <f>IF($BA19,"",INDEX(C_SourceStreams!$E$61:$E$2089,MATCH($C19,C_SourceStreams!$C$61:$C$2089,0)))</f>
        <v/>
      </c>
      <c r="F19" s="838" t="str">
        <f>IF($BA19,"",INDEX(C_SourceStreams!BH$61:BH$2089,MATCH($C19,C_SourceStreams!$C$61:$C$2089,0)))</f>
        <v/>
      </c>
      <c r="G19" s="836" t="str">
        <f>IF($BA19,"",INDEX(C_SourceStreams!BI$61:BI$2089,MATCH($C19,C_SourceStreams!$C$61:$C$2089,0)))</f>
        <v/>
      </c>
      <c r="H19" s="838" t="str">
        <f>IF($BA19,"",INDEX(C_SourceStreams!BL$61:BL$2089,MATCH($C19,C_SourceStreams!$C$61:$C$2089,0)))</f>
        <v/>
      </c>
      <c r="I19" s="836" t="str">
        <f>IF($BA19,"",INDEX(C_SourceStreams!BM$61:BM$2089,MATCH($C19,C_SourceStreams!$C$61:$C$2089,0)))</f>
        <v/>
      </c>
      <c r="J19" s="838" t="str">
        <f>IF($BA19,"",INDEX(C_SourceStreams!BJ$61:BJ$2089,MATCH($C19,C_SourceStreams!$C$61:$C$2089,0)))</f>
        <v/>
      </c>
      <c r="K19" s="836" t="str">
        <f>IF($BA19,"",INDEX(C_SourceStreams!BK$61:BK$2089,MATCH($C19,C_SourceStreams!$C$61:$C$2089,0)))</f>
        <v/>
      </c>
      <c r="L19" s="836" t="str">
        <f>IF($BA19,"",INDEX(C_SourceStreams!BP$61:BP$2089,MATCH($C19,C_SourceStreams!$C$61:$C$2089,0)))</f>
        <v/>
      </c>
      <c r="M19" s="836" t="str">
        <f>IF($BA19,"",INDEX(C_SourceStreams!BQ$61:BQ$2089,MATCH($C19,C_SourceStreams!$C$61:$C$2089,0)))</f>
        <v/>
      </c>
      <c r="N19" s="838" t="str">
        <f>IF($BA19,"",INDEX(C_SourceStreams!BN$61:BN$2089,MATCH($C19,C_SourceStreams!$C$61:$C$2089,0))*100)</f>
        <v/>
      </c>
      <c r="O19" s="839" t="str">
        <f t="shared" si="0"/>
        <v/>
      </c>
      <c r="P19" s="838" t="str">
        <f>IF($BA19,"",INDEX(C_SourceStreams!BO$61:BO$2089,MATCH($C19,C_SourceStreams!$C$61:$C$2089,0))*100)</f>
        <v/>
      </c>
      <c r="Q19" s="839" t="str">
        <f t="shared" si="1"/>
        <v/>
      </c>
      <c r="R19" s="838" t="str">
        <f>IF($BA19,"",INDEX(C_SourceStreams!BR$61:BR$2089,MATCH($C19,C_SourceStreams!$C$61:$C$2089,0))*100)</f>
        <v/>
      </c>
      <c r="S19" s="839" t="str">
        <f t="shared" si="2"/>
        <v/>
      </c>
      <c r="T19" s="838" t="str">
        <f>IF($BA19,"",INDEX(C_SourceStreams!BS$61:BS$2089,MATCH($C19,C_SourceStreams!$C$61:$C$2089,0))*100)</f>
        <v/>
      </c>
      <c r="U19" s="839" t="str">
        <f t="shared" si="3"/>
        <v/>
      </c>
      <c r="V19" s="1006"/>
      <c r="W19" s="1006"/>
      <c r="X19" s="1006"/>
      <c r="Y19" s="1006"/>
      <c r="Z19" s="1006"/>
      <c r="AA19" s="1006"/>
      <c r="AB19" s="1006"/>
      <c r="AC19" s="1006"/>
      <c r="AD19" s="1006"/>
      <c r="AE19" s="1006"/>
      <c r="AF19" s="1006"/>
      <c r="AG19" s="1006"/>
      <c r="AH19" s="1006"/>
      <c r="AI19" s="1006"/>
      <c r="AJ19" s="1006"/>
      <c r="AK19" s="1006"/>
      <c r="AL19" s="1006"/>
      <c r="AM19" s="1006"/>
      <c r="AN19" s="1006"/>
      <c r="AO19" s="1006"/>
      <c r="AP19" s="1006"/>
      <c r="AQ19" s="1006"/>
      <c r="AR19" s="1006"/>
      <c r="AS19" s="1006"/>
      <c r="AT19" s="1006"/>
      <c r="AU19" s="1001" t="str">
        <f>IF($BA19,"",INDEX(C_SourceStreams!BT$61:BT$2089,MATCH($C19,C_SourceStreams!$C$61:$C$2089,0)))</f>
        <v/>
      </c>
      <c r="AV19" s="1001" t="str">
        <f>IF($BA19,"",INDEX(C_SourceStreams!BU$61:BU$2089,MATCH($C19,C_SourceStreams!$C$61:$C$2089,0)))</f>
        <v/>
      </c>
      <c r="AW19" s="1001" t="str">
        <f>IF($BA19,"",INDEX(C_SourceStreams!BV$61:BV$2089,MATCH($C19,C_SourceStreams!$C$61:$C$2089,0)))</f>
        <v/>
      </c>
      <c r="AX19" s="838" t="str">
        <f>IF($BA19,"",INDEX(C_SourceStreams!BW$61:BW$2089,MATCH($C19,C_SourceStreams!$C$61:$C$2089,0)))</f>
        <v/>
      </c>
      <c r="AY19" s="838" t="str">
        <f>IF($BA19,"",INDEX(C_SourceStreams!BX$61:BX$2089,MATCH($C19,C_SourceStreams!$C$61:$C$2089,0)))</f>
        <v/>
      </c>
      <c r="BA19" s="72" t="b">
        <f>IF(ISERROR(INDEX(C_SourceStreams!$K$28:$K$11971,MATCH(C19,C_SourceStreams!$C$28:$C$11971,0))),TRUE,INDEX(C_SourceStreams!$K$28:$K$11971,MATCH(C19,C_SourceStreams!$C$28:$C$11971,0))="")</f>
        <v>1</v>
      </c>
    </row>
    <row r="20" spans="3:53" x14ac:dyDescent="0.2">
      <c r="C20" s="835">
        <v>17</v>
      </c>
      <c r="D20" s="837" t="str">
        <f>IF($BA20,"",INDEX(C_SourceStreams!$K$61:$K$2089,MATCH($C20,C_SourceStreams!$C$61:$C$2089,0)))</f>
        <v/>
      </c>
      <c r="E20" s="837" t="str">
        <f>IF($BA20,"",INDEX(C_SourceStreams!$E$61:$E$2089,MATCH($C20,C_SourceStreams!$C$61:$C$2089,0)))</f>
        <v/>
      </c>
      <c r="F20" s="838" t="str">
        <f>IF($BA20,"",INDEX(C_SourceStreams!BH$61:BH$2089,MATCH($C20,C_SourceStreams!$C$61:$C$2089,0)))</f>
        <v/>
      </c>
      <c r="G20" s="836" t="str">
        <f>IF($BA20,"",INDEX(C_SourceStreams!BI$61:BI$2089,MATCH($C20,C_SourceStreams!$C$61:$C$2089,0)))</f>
        <v/>
      </c>
      <c r="H20" s="838" t="str">
        <f>IF($BA20,"",INDEX(C_SourceStreams!BL$61:BL$2089,MATCH($C20,C_SourceStreams!$C$61:$C$2089,0)))</f>
        <v/>
      </c>
      <c r="I20" s="836" t="str">
        <f>IF($BA20,"",INDEX(C_SourceStreams!BM$61:BM$2089,MATCH($C20,C_SourceStreams!$C$61:$C$2089,0)))</f>
        <v/>
      </c>
      <c r="J20" s="838" t="str">
        <f>IF($BA20,"",INDEX(C_SourceStreams!BJ$61:BJ$2089,MATCH($C20,C_SourceStreams!$C$61:$C$2089,0)))</f>
        <v/>
      </c>
      <c r="K20" s="836" t="str">
        <f>IF($BA20,"",INDEX(C_SourceStreams!BK$61:BK$2089,MATCH($C20,C_SourceStreams!$C$61:$C$2089,0)))</f>
        <v/>
      </c>
      <c r="L20" s="836" t="str">
        <f>IF($BA20,"",INDEX(C_SourceStreams!BP$61:BP$2089,MATCH($C20,C_SourceStreams!$C$61:$C$2089,0)))</f>
        <v/>
      </c>
      <c r="M20" s="836" t="str">
        <f>IF($BA20,"",INDEX(C_SourceStreams!BQ$61:BQ$2089,MATCH($C20,C_SourceStreams!$C$61:$C$2089,0)))</f>
        <v/>
      </c>
      <c r="N20" s="838" t="str">
        <f>IF($BA20,"",INDEX(C_SourceStreams!BN$61:BN$2089,MATCH($C20,C_SourceStreams!$C$61:$C$2089,0))*100)</f>
        <v/>
      </c>
      <c r="O20" s="839" t="str">
        <f t="shared" si="0"/>
        <v/>
      </c>
      <c r="P20" s="838" t="str">
        <f>IF($BA20,"",INDEX(C_SourceStreams!BO$61:BO$2089,MATCH($C20,C_SourceStreams!$C$61:$C$2089,0))*100)</f>
        <v/>
      </c>
      <c r="Q20" s="839" t="str">
        <f t="shared" si="1"/>
        <v/>
      </c>
      <c r="R20" s="838" t="str">
        <f>IF($BA20,"",INDEX(C_SourceStreams!BR$61:BR$2089,MATCH($C20,C_SourceStreams!$C$61:$C$2089,0))*100)</f>
        <v/>
      </c>
      <c r="S20" s="839" t="str">
        <f t="shared" si="2"/>
        <v/>
      </c>
      <c r="T20" s="838" t="str">
        <f>IF($BA20,"",INDEX(C_SourceStreams!BS$61:BS$2089,MATCH($C20,C_SourceStreams!$C$61:$C$2089,0))*100)</f>
        <v/>
      </c>
      <c r="U20" s="839" t="str">
        <f t="shared" si="3"/>
        <v/>
      </c>
      <c r="V20" s="1006"/>
      <c r="W20" s="1006"/>
      <c r="X20" s="1006"/>
      <c r="Y20" s="1006"/>
      <c r="Z20" s="1006"/>
      <c r="AA20" s="1006"/>
      <c r="AB20" s="1006"/>
      <c r="AC20" s="1006"/>
      <c r="AD20" s="1006"/>
      <c r="AE20" s="1006"/>
      <c r="AF20" s="1006"/>
      <c r="AG20" s="1006"/>
      <c r="AH20" s="1006"/>
      <c r="AI20" s="1006"/>
      <c r="AJ20" s="1006"/>
      <c r="AK20" s="1006"/>
      <c r="AL20" s="1006"/>
      <c r="AM20" s="1006"/>
      <c r="AN20" s="1006"/>
      <c r="AO20" s="1006"/>
      <c r="AP20" s="1006"/>
      <c r="AQ20" s="1006"/>
      <c r="AR20" s="1006"/>
      <c r="AS20" s="1006"/>
      <c r="AT20" s="1006"/>
      <c r="AU20" s="1001" t="str">
        <f>IF($BA20,"",INDEX(C_SourceStreams!BT$61:BT$2089,MATCH($C20,C_SourceStreams!$C$61:$C$2089,0)))</f>
        <v/>
      </c>
      <c r="AV20" s="1001" t="str">
        <f>IF($BA20,"",INDEX(C_SourceStreams!BU$61:BU$2089,MATCH($C20,C_SourceStreams!$C$61:$C$2089,0)))</f>
        <v/>
      </c>
      <c r="AW20" s="1001" t="str">
        <f>IF($BA20,"",INDEX(C_SourceStreams!BV$61:BV$2089,MATCH($C20,C_SourceStreams!$C$61:$C$2089,0)))</f>
        <v/>
      </c>
      <c r="AX20" s="838" t="str">
        <f>IF($BA20,"",INDEX(C_SourceStreams!BW$61:BW$2089,MATCH($C20,C_SourceStreams!$C$61:$C$2089,0)))</f>
        <v/>
      </c>
      <c r="AY20" s="838" t="str">
        <f>IF($BA20,"",INDEX(C_SourceStreams!BX$61:BX$2089,MATCH($C20,C_SourceStreams!$C$61:$C$2089,0)))</f>
        <v/>
      </c>
      <c r="BA20" s="72" t="b">
        <f>IF(ISERROR(INDEX(C_SourceStreams!$K$28:$K$11971,MATCH(C20,C_SourceStreams!$C$28:$C$11971,0))),TRUE,INDEX(C_SourceStreams!$K$28:$K$11971,MATCH(C20,C_SourceStreams!$C$28:$C$11971,0))="")</f>
        <v>1</v>
      </c>
    </row>
    <row r="21" spans="3:53" x14ac:dyDescent="0.2">
      <c r="C21" s="835">
        <v>18</v>
      </c>
      <c r="D21" s="837" t="str">
        <f>IF($BA21,"",INDEX(C_SourceStreams!$K$61:$K$2089,MATCH($C21,C_SourceStreams!$C$61:$C$2089,0)))</f>
        <v/>
      </c>
      <c r="E21" s="837" t="str">
        <f>IF($BA21,"",INDEX(C_SourceStreams!$E$61:$E$2089,MATCH($C21,C_SourceStreams!$C$61:$C$2089,0)))</f>
        <v/>
      </c>
      <c r="F21" s="838" t="str">
        <f>IF($BA21,"",INDEX(C_SourceStreams!BH$61:BH$2089,MATCH($C21,C_SourceStreams!$C$61:$C$2089,0)))</f>
        <v/>
      </c>
      <c r="G21" s="836" t="str">
        <f>IF($BA21,"",INDEX(C_SourceStreams!BI$61:BI$2089,MATCH($C21,C_SourceStreams!$C$61:$C$2089,0)))</f>
        <v/>
      </c>
      <c r="H21" s="838" t="str">
        <f>IF($BA21,"",INDEX(C_SourceStreams!BL$61:BL$2089,MATCH($C21,C_SourceStreams!$C$61:$C$2089,0)))</f>
        <v/>
      </c>
      <c r="I21" s="836" t="str">
        <f>IF($BA21,"",INDEX(C_SourceStreams!BM$61:BM$2089,MATCH($C21,C_SourceStreams!$C$61:$C$2089,0)))</f>
        <v/>
      </c>
      <c r="J21" s="838" t="str">
        <f>IF($BA21,"",INDEX(C_SourceStreams!BJ$61:BJ$2089,MATCH($C21,C_SourceStreams!$C$61:$C$2089,0)))</f>
        <v/>
      </c>
      <c r="K21" s="836" t="str">
        <f>IF($BA21,"",INDEX(C_SourceStreams!BK$61:BK$2089,MATCH($C21,C_SourceStreams!$C$61:$C$2089,0)))</f>
        <v/>
      </c>
      <c r="L21" s="836" t="str">
        <f>IF($BA21,"",INDEX(C_SourceStreams!BP$61:BP$2089,MATCH($C21,C_SourceStreams!$C$61:$C$2089,0)))</f>
        <v/>
      </c>
      <c r="M21" s="836" t="str">
        <f>IF($BA21,"",INDEX(C_SourceStreams!BQ$61:BQ$2089,MATCH($C21,C_SourceStreams!$C$61:$C$2089,0)))</f>
        <v/>
      </c>
      <c r="N21" s="838" t="str">
        <f>IF($BA21,"",INDEX(C_SourceStreams!BN$61:BN$2089,MATCH($C21,C_SourceStreams!$C$61:$C$2089,0))*100)</f>
        <v/>
      </c>
      <c r="O21" s="839" t="str">
        <f t="shared" si="0"/>
        <v/>
      </c>
      <c r="P21" s="838" t="str">
        <f>IF($BA21,"",INDEX(C_SourceStreams!BO$61:BO$2089,MATCH($C21,C_SourceStreams!$C$61:$C$2089,0))*100)</f>
        <v/>
      </c>
      <c r="Q21" s="839" t="str">
        <f t="shared" si="1"/>
        <v/>
      </c>
      <c r="R21" s="838" t="str">
        <f>IF($BA21,"",INDEX(C_SourceStreams!BR$61:BR$2089,MATCH($C21,C_SourceStreams!$C$61:$C$2089,0))*100)</f>
        <v/>
      </c>
      <c r="S21" s="839" t="str">
        <f t="shared" si="2"/>
        <v/>
      </c>
      <c r="T21" s="838" t="str">
        <f>IF($BA21,"",INDEX(C_SourceStreams!BS$61:BS$2089,MATCH($C21,C_SourceStreams!$C$61:$C$2089,0))*100)</f>
        <v/>
      </c>
      <c r="U21" s="839" t="str">
        <f t="shared" si="3"/>
        <v/>
      </c>
      <c r="V21" s="1006"/>
      <c r="W21" s="1006"/>
      <c r="X21" s="1006"/>
      <c r="Y21" s="1006"/>
      <c r="Z21" s="1006"/>
      <c r="AA21" s="1006"/>
      <c r="AB21" s="1006"/>
      <c r="AC21" s="1006"/>
      <c r="AD21" s="1006"/>
      <c r="AE21" s="1006"/>
      <c r="AF21" s="1006"/>
      <c r="AG21" s="1006"/>
      <c r="AH21" s="1006"/>
      <c r="AI21" s="1006"/>
      <c r="AJ21" s="1006"/>
      <c r="AK21" s="1006"/>
      <c r="AL21" s="1006"/>
      <c r="AM21" s="1006"/>
      <c r="AN21" s="1006"/>
      <c r="AO21" s="1006"/>
      <c r="AP21" s="1006"/>
      <c r="AQ21" s="1006"/>
      <c r="AR21" s="1006"/>
      <c r="AS21" s="1006"/>
      <c r="AT21" s="1006"/>
      <c r="AU21" s="1001" t="str">
        <f>IF($BA21,"",INDEX(C_SourceStreams!BT$61:BT$2089,MATCH($C21,C_SourceStreams!$C$61:$C$2089,0)))</f>
        <v/>
      </c>
      <c r="AV21" s="1001" t="str">
        <f>IF($BA21,"",INDEX(C_SourceStreams!BU$61:BU$2089,MATCH($C21,C_SourceStreams!$C$61:$C$2089,0)))</f>
        <v/>
      </c>
      <c r="AW21" s="1001" t="str">
        <f>IF($BA21,"",INDEX(C_SourceStreams!BV$61:BV$2089,MATCH($C21,C_SourceStreams!$C$61:$C$2089,0)))</f>
        <v/>
      </c>
      <c r="AX21" s="838" t="str">
        <f>IF($BA21,"",INDEX(C_SourceStreams!BW$61:BW$2089,MATCH($C21,C_SourceStreams!$C$61:$C$2089,0)))</f>
        <v/>
      </c>
      <c r="AY21" s="838" t="str">
        <f>IF($BA21,"",INDEX(C_SourceStreams!BX$61:BX$2089,MATCH($C21,C_SourceStreams!$C$61:$C$2089,0)))</f>
        <v/>
      </c>
      <c r="BA21" s="72" t="b">
        <f>IF(ISERROR(INDEX(C_SourceStreams!$K$28:$K$11971,MATCH(C21,C_SourceStreams!$C$28:$C$11971,0))),TRUE,INDEX(C_SourceStreams!$K$28:$K$11971,MATCH(C21,C_SourceStreams!$C$28:$C$11971,0))="")</f>
        <v>1</v>
      </c>
    </row>
    <row r="22" spans="3:53" x14ac:dyDescent="0.2">
      <c r="C22" s="835">
        <v>19</v>
      </c>
      <c r="D22" s="837" t="str">
        <f>IF($BA22,"",INDEX(C_SourceStreams!$K$61:$K$2089,MATCH($C22,C_SourceStreams!$C$61:$C$2089,0)))</f>
        <v/>
      </c>
      <c r="E22" s="837" t="str">
        <f>IF($BA22,"",INDEX(C_SourceStreams!$E$61:$E$2089,MATCH($C22,C_SourceStreams!$C$61:$C$2089,0)))</f>
        <v/>
      </c>
      <c r="F22" s="838" t="str">
        <f>IF($BA22,"",INDEX(C_SourceStreams!BH$61:BH$2089,MATCH($C22,C_SourceStreams!$C$61:$C$2089,0)))</f>
        <v/>
      </c>
      <c r="G22" s="836" t="str">
        <f>IF($BA22,"",INDEX(C_SourceStreams!BI$61:BI$2089,MATCH($C22,C_SourceStreams!$C$61:$C$2089,0)))</f>
        <v/>
      </c>
      <c r="H22" s="838" t="str">
        <f>IF($BA22,"",INDEX(C_SourceStreams!BL$61:BL$2089,MATCH($C22,C_SourceStreams!$C$61:$C$2089,0)))</f>
        <v/>
      </c>
      <c r="I22" s="836" t="str">
        <f>IF($BA22,"",INDEX(C_SourceStreams!BM$61:BM$2089,MATCH($C22,C_SourceStreams!$C$61:$C$2089,0)))</f>
        <v/>
      </c>
      <c r="J22" s="838" t="str">
        <f>IF($BA22,"",INDEX(C_SourceStreams!BJ$61:BJ$2089,MATCH($C22,C_SourceStreams!$C$61:$C$2089,0)))</f>
        <v/>
      </c>
      <c r="K22" s="836" t="str">
        <f>IF($BA22,"",INDEX(C_SourceStreams!BK$61:BK$2089,MATCH($C22,C_SourceStreams!$C$61:$C$2089,0)))</f>
        <v/>
      </c>
      <c r="L22" s="836" t="str">
        <f>IF($BA22,"",INDEX(C_SourceStreams!BP$61:BP$2089,MATCH($C22,C_SourceStreams!$C$61:$C$2089,0)))</f>
        <v/>
      </c>
      <c r="M22" s="836" t="str">
        <f>IF($BA22,"",INDEX(C_SourceStreams!BQ$61:BQ$2089,MATCH($C22,C_SourceStreams!$C$61:$C$2089,0)))</f>
        <v/>
      </c>
      <c r="N22" s="838" t="str">
        <f>IF($BA22,"",INDEX(C_SourceStreams!BN$61:BN$2089,MATCH($C22,C_SourceStreams!$C$61:$C$2089,0))*100)</f>
        <v/>
      </c>
      <c r="O22" s="839" t="str">
        <f t="shared" si="0"/>
        <v/>
      </c>
      <c r="P22" s="838" t="str">
        <f>IF($BA22,"",INDEX(C_SourceStreams!BO$61:BO$2089,MATCH($C22,C_SourceStreams!$C$61:$C$2089,0))*100)</f>
        <v/>
      </c>
      <c r="Q22" s="839" t="str">
        <f t="shared" si="1"/>
        <v/>
      </c>
      <c r="R22" s="838" t="str">
        <f>IF($BA22,"",INDEX(C_SourceStreams!BR$61:BR$2089,MATCH($C22,C_SourceStreams!$C$61:$C$2089,0))*100)</f>
        <v/>
      </c>
      <c r="S22" s="839" t="str">
        <f t="shared" si="2"/>
        <v/>
      </c>
      <c r="T22" s="838" t="str">
        <f>IF($BA22,"",INDEX(C_SourceStreams!BS$61:BS$2089,MATCH($C22,C_SourceStreams!$C$61:$C$2089,0))*100)</f>
        <v/>
      </c>
      <c r="U22" s="839" t="str">
        <f t="shared" si="3"/>
        <v/>
      </c>
      <c r="V22" s="1006"/>
      <c r="W22" s="1006"/>
      <c r="X22" s="1006"/>
      <c r="Y22" s="1006"/>
      <c r="Z22" s="1006"/>
      <c r="AA22" s="1006"/>
      <c r="AB22" s="1006"/>
      <c r="AC22" s="1006"/>
      <c r="AD22" s="1006"/>
      <c r="AE22" s="1006"/>
      <c r="AF22" s="1006"/>
      <c r="AG22" s="1006"/>
      <c r="AH22" s="1006"/>
      <c r="AI22" s="1006"/>
      <c r="AJ22" s="1006"/>
      <c r="AK22" s="1006"/>
      <c r="AL22" s="1006"/>
      <c r="AM22" s="1006"/>
      <c r="AN22" s="1006"/>
      <c r="AO22" s="1006"/>
      <c r="AP22" s="1006"/>
      <c r="AQ22" s="1006"/>
      <c r="AR22" s="1006"/>
      <c r="AS22" s="1006"/>
      <c r="AT22" s="1006"/>
      <c r="AU22" s="1001" t="str">
        <f>IF($BA22,"",INDEX(C_SourceStreams!BT$61:BT$2089,MATCH($C22,C_SourceStreams!$C$61:$C$2089,0)))</f>
        <v/>
      </c>
      <c r="AV22" s="1001" t="str">
        <f>IF($BA22,"",INDEX(C_SourceStreams!BU$61:BU$2089,MATCH($C22,C_SourceStreams!$C$61:$C$2089,0)))</f>
        <v/>
      </c>
      <c r="AW22" s="1001" t="str">
        <f>IF($BA22,"",INDEX(C_SourceStreams!BV$61:BV$2089,MATCH($C22,C_SourceStreams!$C$61:$C$2089,0)))</f>
        <v/>
      </c>
      <c r="AX22" s="838" t="str">
        <f>IF($BA22,"",INDEX(C_SourceStreams!BW$61:BW$2089,MATCH($C22,C_SourceStreams!$C$61:$C$2089,0)))</f>
        <v/>
      </c>
      <c r="AY22" s="838" t="str">
        <f>IF($BA22,"",INDEX(C_SourceStreams!BX$61:BX$2089,MATCH($C22,C_SourceStreams!$C$61:$C$2089,0)))</f>
        <v/>
      </c>
      <c r="BA22" s="72" t="b">
        <f>IF(ISERROR(INDEX(C_SourceStreams!$K$28:$K$11971,MATCH(C22,C_SourceStreams!$C$28:$C$11971,0))),TRUE,INDEX(C_SourceStreams!$K$28:$K$11971,MATCH(C22,C_SourceStreams!$C$28:$C$11971,0))="")</f>
        <v>1</v>
      </c>
    </row>
    <row r="23" spans="3:53" x14ac:dyDescent="0.2">
      <c r="C23" s="835">
        <v>20</v>
      </c>
      <c r="D23" s="837" t="str">
        <f>IF($BA23,"",INDEX(C_SourceStreams!$K$61:$K$2089,MATCH($C23,C_SourceStreams!$C$61:$C$2089,0)))</f>
        <v/>
      </c>
      <c r="E23" s="837" t="str">
        <f>IF($BA23,"",INDEX(C_SourceStreams!$E$61:$E$2089,MATCH($C23,C_SourceStreams!$C$61:$C$2089,0)))</f>
        <v/>
      </c>
      <c r="F23" s="838" t="str">
        <f>IF($BA23,"",INDEX(C_SourceStreams!BH$61:BH$2089,MATCH($C23,C_SourceStreams!$C$61:$C$2089,0)))</f>
        <v/>
      </c>
      <c r="G23" s="836" t="str">
        <f>IF($BA23,"",INDEX(C_SourceStreams!BI$61:BI$2089,MATCH($C23,C_SourceStreams!$C$61:$C$2089,0)))</f>
        <v/>
      </c>
      <c r="H23" s="838" t="str">
        <f>IF($BA23,"",INDEX(C_SourceStreams!BL$61:BL$2089,MATCH($C23,C_SourceStreams!$C$61:$C$2089,0)))</f>
        <v/>
      </c>
      <c r="I23" s="836" t="str">
        <f>IF($BA23,"",INDEX(C_SourceStreams!BM$61:BM$2089,MATCH($C23,C_SourceStreams!$C$61:$C$2089,0)))</f>
        <v/>
      </c>
      <c r="J23" s="838" t="str">
        <f>IF($BA23,"",INDEX(C_SourceStreams!BJ$61:BJ$2089,MATCH($C23,C_SourceStreams!$C$61:$C$2089,0)))</f>
        <v/>
      </c>
      <c r="K23" s="836" t="str">
        <f>IF($BA23,"",INDEX(C_SourceStreams!BK$61:BK$2089,MATCH($C23,C_SourceStreams!$C$61:$C$2089,0)))</f>
        <v/>
      </c>
      <c r="L23" s="836" t="str">
        <f>IF($BA23,"",INDEX(C_SourceStreams!BP$61:BP$2089,MATCH($C23,C_SourceStreams!$C$61:$C$2089,0)))</f>
        <v/>
      </c>
      <c r="M23" s="836" t="str">
        <f>IF($BA23,"",INDEX(C_SourceStreams!BQ$61:BQ$2089,MATCH($C23,C_SourceStreams!$C$61:$C$2089,0)))</f>
        <v/>
      </c>
      <c r="N23" s="838" t="str">
        <f>IF($BA23,"",INDEX(C_SourceStreams!BN$61:BN$2089,MATCH($C23,C_SourceStreams!$C$61:$C$2089,0))*100)</f>
        <v/>
      </c>
      <c r="O23" s="839" t="str">
        <f t="shared" si="0"/>
        <v/>
      </c>
      <c r="P23" s="838" t="str">
        <f>IF($BA23,"",INDEX(C_SourceStreams!BO$61:BO$2089,MATCH($C23,C_SourceStreams!$C$61:$C$2089,0))*100)</f>
        <v/>
      </c>
      <c r="Q23" s="839" t="str">
        <f t="shared" si="1"/>
        <v/>
      </c>
      <c r="R23" s="838" t="str">
        <f>IF($BA23,"",INDEX(C_SourceStreams!BR$61:BR$2089,MATCH($C23,C_SourceStreams!$C$61:$C$2089,0))*100)</f>
        <v/>
      </c>
      <c r="S23" s="839" t="str">
        <f t="shared" si="2"/>
        <v/>
      </c>
      <c r="T23" s="838" t="str">
        <f>IF($BA23,"",INDEX(C_SourceStreams!BS$61:BS$2089,MATCH($C23,C_SourceStreams!$C$61:$C$2089,0))*100)</f>
        <v/>
      </c>
      <c r="U23" s="839" t="str">
        <f t="shared" si="3"/>
        <v/>
      </c>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c r="AT23" s="1006"/>
      <c r="AU23" s="1001" t="str">
        <f>IF($BA23,"",INDEX(C_SourceStreams!BT$61:BT$2089,MATCH($C23,C_SourceStreams!$C$61:$C$2089,0)))</f>
        <v/>
      </c>
      <c r="AV23" s="1001" t="str">
        <f>IF($BA23,"",INDEX(C_SourceStreams!BU$61:BU$2089,MATCH($C23,C_SourceStreams!$C$61:$C$2089,0)))</f>
        <v/>
      </c>
      <c r="AW23" s="1001" t="str">
        <f>IF($BA23,"",INDEX(C_SourceStreams!BV$61:BV$2089,MATCH($C23,C_SourceStreams!$C$61:$C$2089,0)))</f>
        <v/>
      </c>
      <c r="AX23" s="838" t="str">
        <f>IF($BA23,"",INDEX(C_SourceStreams!BW$61:BW$2089,MATCH($C23,C_SourceStreams!$C$61:$C$2089,0)))</f>
        <v/>
      </c>
      <c r="AY23" s="838" t="str">
        <f>IF($BA23,"",INDEX(C_SourceStreams!BX$61:BX$2089,MATCH($C23,C_SourceStreams!$C$61:$C$2089,0)))</f>
        <v/>
      </c>
      <c r="BA23" s="72" t="b">
        <f>IF(ISERROR(INDEX(C_SourceStreams!$K$28:$K$11971,MATCH(C23,C_SourceStreams!$C$28:$C$11971,0))),TRUE,INDEX(C_SourceStreams!$K$28:$K$11971,MATCH(C23,C_SourceStreams!$C$28:$C$11971,0))="")</f>
        <v>1</v>
      </c>
    </row>
    <row r="24" spans="3:53" x14ac:dyDescent="0.2">
      <c r="C24" s="835">
        <v>21</v>
      </c>
      <c r="D24" s="837" t="str">
        <f>IF($BA24,"",INDEX(C_SourceStreams!$K$61:$K$2089,MATCH($C24,C_SourceStreams!$C$61:$C$2089,0)))</f>
        <v/>
      </c>
      <c r="E24" s="837" t="str">
        <f>IF($BA24,"",INDEX(C_SourceStreams!$E$61:$E$2089,MATCH($C24,C_SourceStreams!$C$61:$C$2089,0)))</f>
        <v/>
      </c>
      <c r="F24" s="838" t="str">
        <f>IF($BA24,"",INDEX(C_SourceStreams!BH$61:BH$2089,MATCH($C24,C_SourceStreams!$C$61:$C$2089,0)))</f>
        <v/>
      </c>
      <c r="G24" s="836" t="str">
        <f>IF($BA24,"",INDEX(C_SourceStreams!BI$61:BI$2089,MATCH($C24,C_SourceStreams!$C$61:$C$2089,0)))</f>
        <v/>
      </c>
      <c r="H24" s="838" t="str">
        <f>IF($BA24,"",INDEX(C_SourceStreams!BL$61:BL$2089,MATCH($C24,C_SourceStreams!$C$61:$C$2089,0)))</f>
        <v/>
      </c>
      <c r="I24" s="836" t="str">
        <f>IF($BA24,"",INDEX(C_SourceStreams!BM$61:BM$2089,MATCH($C24,C_SourceStreams!$C$61:$C$2089,0)))</f>
        <v/>
      </c>
      <c r="J24" s="838" t="str">
        <f>IF($BA24,"",INDEX(C_SourceStreams!BJ$61:BJ$2089,MATCH($C24,C_SourceStreams!$C$61:$C$2089,0)))</f>
        <v/>
      </c>
      <c r="K24" s="836" t="str">
        <f>IF($BA24,"",INDEX(C_SourceStreams!BK$61:BK$2089,MATCH($C24,C_SourceStreams!$C$61:$C$2089,0)))</f>
        <v/>
      </c>
      <c r="L24" s="836" t="str">
        <f>IF($BA24,"",INDEX(C_SourceStreams!BP$61:BP$2089,MATCH($C24,C_SourceStreams!$C$61:$C$2089,0)))</f>
        <v/>
      </c>
      <c r="M24" s="836" t="str">
        <f>IF($BA24,"",INDEX(C_SourceStreams!BQ$61:BQ$2089,MATCH($C24,C_SourceStreams!$C$61:$C$2089,0)))</f>
        <v/>
      </c>
      <c r="N24" s="838" t="str">
        <f>IF($BA24,"",INDEX(C_SourceStreams!BN$61:BN$2089,MATCH($C24,C_SourceStreams!$C$61:$C$2089,0))*100)</f>
        <v/>
      </c>
      <c r="O24" s="839" t="str">
        <f t="shared" si="0"/>
        <v/>
      </c>
      <c r="P24" s="838" t="str">
        <f>IF($BA24,"",INDEX(C_SourceStreams!BO$61:BO$2089,MATCH($C24,C_SourceStreams!$C$61:$C$2089,0))*100)</f>
        <v/>
      </c>
      <c r="Q24" s="839" t="str">
        <f t="shared" si="1"/>
        <v/>
      </c>
      <c r="R24" s="838" t="str">
        <f>IF($BA24,"",INDEX(C_SourceStreams!BR$61:BR$2089,MATCH($C24,C_SourceStreams!$C$61:$C$2089,0))*100)</f>
        <v/>
      </c>
      <c r="S24" s="839" t="str">
        <f t="shared" si="2"/>
        <v/>
      </c>
      <c r="T24" s="838" t="str">
        <f>IF($BA24,"",INDEX(C_SourceStreams!BS$61:BS$2089,MATCH($C24,C_SourceStreams!$C$61:$C$2089,0))*100)</f>
        <v/>
      </c>
      <c r="U24" s="839" t="str">
        <f t="shared" si="3"/>
        <v/>
      </c>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c r="AT24" s="1006"/>
      <c r="AU24" s="1001" t="str">
        <f>IF($BA24,"",INDEX(C_SourceStreams!BT$61:BT$2089,MATCH($C24,C_SourceStreams!$C$61:$C$2089,0)))</f>
        <v/>
      </c>
      <c r="AV24" s="1001" t="str">
        <f>IF($BA24,"",INDEX(C_SourceStreams!BU$61:BU$2089,MATCH($C24,C_SourceStreams!$C$61:$C$2089,0)))</f>
        <v/>
      </c>
      <c r="AW24" s="1001" t="str">
        <f>IF($BA24,"",INDEX(C_SourceStreams!BV$61:BV$2089,MATCH($C24,C_SourceStreams!$C$61:$C$2089,0)))</f>
        <v/>
      </c>
      <c r="AX24" s="838" t="str">
        <f>IF($BA24,"",INDEX(C_SourceStreams!BW$61:BW$2089,MATCH($C24,C_SourceStreams!$C$61:$C$2089,0)))</f>
        <v/>
      </c>
      <c r="AY24" s="838" t="str">
        <f>IF($BA24,"",INDEX(C_SourceStreams!BX$61:BX$2089,MATCH($C24,C_SourceStreams!$C$61:$C$2089,0)))</f>
        <v/>
      </c>
      <c r="BA24" s="72" t="b">
        <f>IF(ISERROR(INDEX(C_SourceStreams!$K$28:$K$11971,MATCH(C24,C_SourceStreams!$C$28:$C$11971,0))),TRUE,INDEX(C_SourceStreams!$K$28:$K$11971,MATCH(C24,C_SourceStreams!$C$28:$C$11971,0))="")</f>
        <v>1</v>
      </c>
    </row>
    <row r="25" spans="3:53" x14ac:dyDescent="0.2">
      <c r="C25" s="835">
        <v>22</v>
      </c>
      <c r="D25" s="837" t="str">
        <f>IF($BA25,"",INDEX(C_SourceStreams!$K$61:$K$2089,MATCH($C25,C_SourceStreams!$C$61:$C$2089,0)))</f>
        <v/>
      </c>
      <c r="E25" s="837" t="str">
        <f>IF($BA25,"",INDEX(C_SourceStreams!$E$61:$E$2089,MATCH($C25,C_SourceStreams!$C$61:$C$2089,0)))</f>
        <v/>
      </c>
      <c r="F25" s="838" t="str">
        <f>IF($BA25,"",INDEX(C_SourceStreams!BH$61:BH$2089,MATCH($C25,C_SourceStreams!$C$61:$C$2089,0)))</f>
        <v/>
      </c>
      <c r="G25" s="836" t="str">
        <f>IF($BA25,"",INDEX(C_SourceStreams!BI$61:BI$2089,MATCH($C25,C_SourceStreams!$C$61:$C$2089,0)))</f>
        <v/>
      </c>
      <c r="H25" s="838" t="str">
        <f>IF($BA25,"",INDEX(C_SourceStreams!BL$61:BL$2089,MATCH($C25,C_SourceStreams!$C$61:$C$2089,0)))</f>
        <v/>
      </c>
      <c r="I25" s="836" t="str">
        <f>IF($BA25,"",INDEX(C_SourceStreams!BM$61:BM$2089,MATCH($C25,C_SourceStreams!$C$61:$C$2089,0)))</f>
        <v/>
      </c>
      <c r="J25" s="838" t="str">
        <f>IF($BA25,"",INDEX(C_SourceStreams!BJ$61:BJ$2089,MATCH($C25,C_SourceStreams!$C$61:$C$2089,0)))</f>
        <v/>
      </c>
      <c r="K25" s="836" t="str">
        <f>IF($BA25,"",INDEX(C_SourceStreams!BK$61:BK$2089,MATCH($C25,C_SourceStreams!$C$61:$C$2089,0)))</f>
        <v/>
      </c>
      <c r="L25" s="836" t="str">
        <f>IF($BA25,"",INDEX(C_SourceStreams!BP$61:BP$2089,MATCH($C25,C_SourceStreams!$C$61:$C$2089,0)))</f>
        <v/>
      </c>
      <c r="M25" s="836" t="str">
        <f>IF($BA25,"",INDEX(C_SourceStreams!BQ$61:BQ$2089,MATCH($C25,C_SourceStreams!$C$61:$C$2089,0)))</f>
        <v/>
      </c>
      <c r="N25" s="838" t="str">
        <f>IF($BA25,"",INDEX(C_SourceStreams!BN$61:BN$2089,MATCH($C25,C_SourceStreams!$C$61:$C$2089,0))*100)</f>
        <v/>
      </c>
      <c r="O25" s="839" t="str">
        <f t="shared" si="0"/>
        <v/>
      </c>
      <c r="P25" s="838" t="str">
        <f>IF($BA25,"",INDEX(C_SourceStreams!BO$61:BO$2089,MATCH($C25,C_SourceStreams!$C$61:$C$2089,0))*100)</f>
        <v/>
      </c>
      <c r="Q25" s="839" t="str">
        <f t="shared" si="1"/>
        <v/>
      </c>
      <c r="R25" s="838" t="str">
        <f>IF($BA25,"",INDEX(C_SourceStreams!BR$61:BR$2089,MATCH($C25,C_SourceStreams!$C$61:$C$2089,0))*100)</f>
        <v/>
      </c>
      <c r="S25" s="839" t="str">
        <f t="shared" si="2"/>
        <v/>
      </c>
      <c r="T25" s="838" t="str">
        <f>IF($BA25,"",INDEX(C_SourceStreams!BS$61:BS$2089,MATCH($C25,C_SourceStreams!$C$61:$C$2089,0))*100)</f>
        <v/>
      </c>
      <c r="U25" s="839" t="str">
        <f t="shared" si="3"/>
        <v/>
      </c>
      <c r="V25" s="1006"/>
      <c r="W25" s="1006"/>
      <c r="X25" s="1006"/>
      <c r="Y25" s="1006"/>
      <c r="Z25" s="1006"/>
      <c r="AA25" s="1006"/>
      <c r="AB25" s="1006"/>
      <c r="AC25" s="1006"/>
      <c r="AD25" s="1006"/>
      <c r="AE25" s="1006"/>
      <c r="AF25" s="1006"/>
      <c r="AG25" s="1006"/>
      <c r="AH25" s="1006"/>
      <c r="AI25" s="1006"/>
      <c r="AJ25" s="1006"/>
      <c r="AK25" s="1006"/>
      <c r="AL25" s="1006"/>
      <c r="AM25" s="1006"/>
      <c r="AN25" s="1006"/>
      <c r="AO25" s="1006"/>
      <c r="AP25" s="1006"/>
      <c r="AQ25" s="1006"/>
      <c r="AR25" s="1006"/>
      <c r="AS25" s="1006"/>
      <c r="AT25" s="1006"/>
      <c r="AU25" s="1001" t="str">
        <f>IF($BA25,"",INDEX(C_SourceStreams!BT$61:BT$2089,MATCH($C25,C_SourceStreams!$C$61:$C$2089,0)))</f>
        <v/>
      </c>
      <c r="AV25" s="1001" t="str">
        <f>IF($BA25,"",INDEX(C_SourceStreams!BU$61:BU$2089,MATCH($C25,C_SourceStreams!$C$61:$C$2089,0)))</f>
        <v/>
      </c>
      <c r="AW25" s="1001" t="str">
        <f>IF($BA25,"",INDEX(C_SourceStreams!BV$61:BV$2089,MATCH($C25,C_SourceStreams!$C$61:$C$2089,0)))</f>
        <v/>
      </c>
      <c r="AX25" s="838" t="str">
        <f>IF($BA25,"",INDEX(C_SourceStreams!BW$61:BW$2089,MATCH($C25,C_SourceStreams!$C$61:$C$2089,0)))</f>
        <v/>
      </c>
      <c r="AY25" s="838" t="str">
        <f>IF($BA25,"",INDEX(C_SourceStreams!BX$61:BX$2089,MATCH($C25,C_SourceStreams!$C$61:$C$2089,0)))</f>
        <v/>
      </c>
      <c r="BA25" s="72" t="b">
        <f>IF(ISERROR(INDEX(C_SourceStreams!$K$28:$K$11971,MATCH(C25,C_SourceStreams!$C$28:$C$11971,0))),TRUE,INDEX(C_SourceStreams!$K$28:$K$11971,MATCH(C25,C_SourceStreams!$C$28:$C$11971,0))="")</f>
        <v>1</v>
      </c>
    </row>
    <row r="26" spans="3:53" x14ac:dyDescent="0.2">
      <c r="C26" s="835">
        <v>23</v>
      </c>
      <c r="D26" s="837" t="str">
        <f>IF($BA26,"",INDEX(C_SourceStreams!$K$61:$K$2089,MATCH($C26,C_SourceStreams!$C$61:$C$2089,0)))</f>
        <v/>
      </c>
      <c r="E26" s="837" t="str">
        <f>IF($BA26,"",INDEX(C_SourceStreams!$E$61:$E$2089,MATCH($C26,C_SourceStreams!$C$61:$C$2089,0)))</f>
        <v/>
      </c>
      <c r="F26" s="838" t="str">
        <f>IF($BA26,"",INDEX(C_SourceStreams!BH$61:BH$2089,MATCH($C26,C_SourceStreams!$C$61:$C$2089,0)))</f>
        <v/>
      </c>
      <c r="G26" s="836" t="str">
        <f>IF($BA26,"",INDEX(C_SourceStreams!BI$61:BI$2089,MATCH($C26,C_SourceStreams!$C$61:$C$2089,0)))</f>
        <v/>
      </c>
      <c r="H26" s="838" t="str">
        <f>IF($BA26,"",INDEX(C_SourceStreams!BL$61:BL$2089,MATCH($C26,C_SourceStreams!$C$61:$C$2089,0)))</f>
        <v/>
      </c>
      <c r="I26" s="836" t="str">
        <f>IF($BA26,"",INDEX(C_SourceStreams!BM$61:BM$2089,MATCH($C26,C_SourceStreams!$C$61:$C$2089,0)))</f>
        <v/>
      </c>
      <c r="J26" s="838" t="str">
        <f>IF($BA26,"",INDEX(C_SourceStreams!BJ$61:BJ$2089,MATCH($C26,C_SourceStreams!$C$61:$C$2089,0)))</f>
        <v/>
      </c>
      <c r="K26" s="836" t="str">
        <f>IF($BA26,"",INDEX(C_SourceStreams!BK$61:BK$2089,MATCH($C26,C_SourceStreams!$C$61:$C$2089,0)))</f>
        <v/>
      </c>
      <c r="L26" s="836" t="str">
        <f>IF($BA26,"",INDEX(C_SourceStreams!BP$61:BP$2089,MATCH($C26,C_SourceStreams!$C$61:$C$2089,0)))</f>
        <v/>
      </c>
      <c r="M26" s="836" t="str">
        <f>IF($BA26,"",INDEX(C_SourceStreams!BQ$61:BQ$2089,MATCH($C26,C_SourceStreams!$C$61:$C$2089,0)))</f>
        <v/>
      </c>
      <c r="N26" s="838" t="str">
        <f>IF($BA26,"",INDEX(C_SourceStreams!BN$61:BN$2089,MATCH($C26,C_SourceStreams!$C$61:$C$2089,0))*100)</f>
        <v/>
      </c>
      <c r="O26" s="839" t="str">
        <f t="shared" si="0"/>
        <v/>
      </c>
      <c r="P26" s="838" t="str">
        <f>IF($BA26,"",INDEX(C_SourceStreams!BO$61:BO$2089,MATCH($C26,C_SourceStreams!$C$61:$C$2089,0))*100)</f>
        <v/>
      </c>
      <c r="Q26" s="839" t="str">
        <f t="shared" si="1"/>
        <v/>
      </c>
      <c r="R26" s="838" t="str">
        <f>IF($BA26,"",INDEX(C_SourceStreams!BR$61:BR$2089,MATCH($C26,C_SourceStreams!$C$61:$C$2089,0))*100)</f>
        <v/>
      </c>
      <c r="S26" s="839" t="str">
        <f t="shared" si="2"/>
        <v/>
      </c>
      <c r="T26" s="838" t="str">
        <f>IF($BA26,"",INDEX(C_SourceStreams!BS$61:BS$2089,MATCH($C26,C_SourceStreams!$C$61:$C$2089,0))*100)</f>
        <v/>
      </c>
      <c r="U26" s="839" t="str">
        <f t="shared" si="3"/>
        <v/>
      </c>
      <c r="V26" s="1006"/>
      <c r="W26" s="1006"/>
      <c r="X26" s="1006"/>
      <c r="Y26" s="1006"/>
      <c r="Z26" s="1006"/>
      <c r="AA26" s="1006"/>
      <c r="AB26" s="1006"/>
      <c r="AC26" s="1006"/>
      <c r="AD26" s="1006"/>
      <c r="AE26" s="1006"/>
      <c r="AF26" s="1006"/>
      <c r="AG26" s="1006"/>
      <c r="AH26" s="1006"/>
      <c r="AI26" s="1006"/>
      <c r="AJ26" s="1006"/>
      <c r="AK26" s="1006"/>
      <c r="AL26" s="1006"/>
      <c r="AM26" s="1006"/>
      <c r="AN26" s="1006"/>
      <c r="AO26" s="1006"/>
      <c r="AP26" s="1006"/>
      <c r="AQ26" s="1006"/>
      <c r="AR26" s="1006"/>
      <c r="AS26" s="1006"/>
      <c r="AT26" s="1006"/>
      <c r="AU26" s="1001" t="str">
        <f>IF($BA26,"",INDEX(C_SourceStreams!BT$61:BT$2089,MATCH($C26,C_SourceStreams!$C$61:$C$2089,0)))</f>
        <v/>
      </c>
      <c r="AV26" s="1001" t="str">
        <f>IF($BA26,"",INDEX(C_SourceStreams!BU$61:BU$2089,MATCH($C26,C_SourceStreams!$C$61:$C$2089,0)))</f>
        <v/>
      </c>
      <c r="AW26" s="1001" t="str">
        <f>IF($BA26,"",INDEX(C_SourceStreams!BV$61:BV$2089,MATCH($C26,C_SourceStreams!$C$61:$C$2089,0)))</f>
        <v/>
      </c>
      <c r="AX26" s="838" t="str">
        <f>IF($BA26,"",INDEX(C_SourceStreams!BW$61:BW$2089,MATCH($C26,C_SourceStreams!$C$61:$C$2089,0)))</f>
        <v/>
      </c>
      <c r="AY26" s="838" t="str">
        <f>IF($BA26,"",INDEX(C_SourceStreams!BX$61:BX$2089,MATCH($C26,C_SourceStreams!$C$61:$C$2089,0)))</f>
        <v/>
      </c>
      <c r="BA26" s="72" t="b">
        <f>IF(ISERROR(INDEX(C_SourceStreams!$K$28:$K$11971,MATCH(C26,C_SourceStreams!$C$28:$C$11971,0))),TRUE,INDEX(C_SourceStreams!$K$28:$K$11971,MATCH(C26,C_SourceStreams!$C$28:$C$11971,0))="")</f>
        <v>1</v>
      </c>
    </row>
    <row r="27" spans="3:53" x14ac:dyDescent="0.2">
      <c r="C27" s="835">
        <v>24</v>
      </c>
      <c r="D27" s="837" t="str">
        <f>IF($BA27,"",INDEX(C_SourceStreams!$K$61:$K$2089,MATCH($C27,C_SourceStreams!$C$61:$C$2089,0)))</f>
        <v/>
      </c>
      <c r="E27" s="837" t="str">
        <f>IF($BA27,"",INDEX(C_SourceStreams!$E$61:$E$2089,MATCH($C27,C_SourceStreams!$C$61:$C$2089,0)))</f>
        <v/>
      </c>
      <c r="F27" s="838" t="str">
        <f>IF($BA27,"",INDEX(C_SourceStreams!BH$61:BH$2089,MATCH($C27,C_SourceStreams!$C$61:$C$2089,0)))</f>
        <v/>
      </c>
      <c r="G27" s="836" t="str">
        <f>IF($BA27,"",INDEX(C_SourceStreams!BI$61:BI$2089,MATCH($C27,C_SourceStreams!$C$61:$C$2089,0)))</f>
        <v/>
      </c>
      <c r="H27" s="838" t="str">
        <f>IF($BA27,"",INDEX(C_SourceStreams!BL$61:BL$2089,MATCH($C27,C_SourceStreams!$C$61:$C$2089,0)))</f>
        <v/>
      </c>
      <c r="I27" s="836" t="str">
        <f>IF($BA27,"",INDEX(C_SourceStreams!BM$61:BM$2089,MATCH($C27,C_SourceStreams!$C$61:$C$2089,0)))</f>
        <v/>
      </c>
      <c r="J27" s="838" t="str">
        <f>IF($BA27,"",INDEX(C_SourceStreams!BJ$61:BJ$2089,MATCH($C27,C_SourceStreams!$C$61:$C$2089,0)))</f>
        <v/>
      </c>
      <c r="K27" s="836" t="str">
        <f>IF($BA27,"",INDEX(C_SourceStreams!BK$61:BK$2089,MATCH($C27,C_SourceStreams!$C$61:$C$2089,0)))</f>
        <v/>
      </c>
      <c r="L27" s="836" t="str">
        <f>IF($BA27,"",INDEX(C_SourceStreams!BP$61:BP$2089,MATCH($C27,C_SourceStreams!$C$61:$C$2089,0)))</f>
        <v/>
      </c>
      <c r="M27" s="836" t="str">
        <f>IF($BA27,"",INDEX(C_SourceStreams!BQ$61:BQ$2089,MATCH($C27,C_SourceStreams!$C$61:$C$2089,0)))</f>
        <v/>
      </c>
      <c r="N27" s="838" t="str">
        <f>IF($BA27,"",INDEX(C_SourceStreams!BN$61:BN$2089,MATCH($C27,C_SourceStreams!$C$61:$C$2089,0))*100)</f>
        <v/>
      </c>
      <c r="O27" s="839" t="str">
        <f t="shared" si="0"/>
        <v/>
      </c>
      <c r="P27" s="838" t="str">
        <f>IF($BA27,"",INDEX(C_SourceStreams!BO$61:BO$2089,MATCH($C27,C_SourceStreams!$C$61:$C$2089,0))*100)</f>
        <v/>
      </c>
      <c r="Q27" s="839" t="str">
        <f t="shared" si="1"/>
        <v/>
      </c>
      <c r="R27" s="838" t="str">
        <f>IF($BA27,"",INDEX(C_SourceStreams!BR$61:BR$2089,MATCH($C27,C_SourceStreams!$C$61:$C$2089,0))*100)</f>
        <v/>
      </c>
      <c r="S27" s="839" t="str">
        <f t="shared" si="2"/>
        <v/>
      </c>
      <c r="T27" s="838" t="str">
        <f>IF($BA27,"",INDEX(C_SourceStreams!BS$61:BS$2089,MATCH($C27,C_SourceStreams!$C$61:$C$2089,0))*100)</f>
        <v/>
      </c>
      <c r="U27" s="839" t="str">
        <f t="shared" si="3"/>
        <v/>
      </c>
      <c r="V27" s="1006"/>
      <c r="W27" s="1006"/>
      <c r="X27" s="1006"/>
      <c r="Y27" s="1006"/>
      <c r="Z27" s="1006"/>
      <c r="AA27" s="1006"/>
      <c r="AB27" s="1006"/>
      <c r="AC27" s="1006"/>
      <c r="AD27" s="1006"/>
      <c r="AE27" s="1006"/>
      <c r="AF27" s="1006"/>
      <c r="AG27" s="1006"/>
      <c r="AH27" s="1006"/>
      <c r="AI27" s="1006"/>
      <c r="AJ27" s="1006"/>
      <c r="AK27" s="1006"/>
      <c r="AL27" s="1006"/>
      <c r="AM27" s="1006"/>
      <c r="AN27" s="1006"/>
      <c r="AO27" s="1006"/>
      <c r="AP27" s="1006"/>
      <c r="AQ27" s="1006"/>
      <c r="AR27" s="1006"/>
      <c r="AS27" s="1006"/>
      <c r="AT27" s="1006"/>
      <c r="AU27" s="1001" t="str">
        <f>IF($BA27,"",INDEX(C_SourceStreams!BT$61:BT$2089,MATCH($C27,C_SourceStreams!$C$61:$C$2089,0)))</f>
        <v/>
      </c>
      <c r="AV27" s="1001" t="str">
        <f>IF($BA27,"",INDEX(C_SourceStreams!BU$61:BU$2089,MATCH($C27,C_SourceStreams!$C$61:$C$2089,0)))</f>
        <v/>
      </c>
      <c r="AW27" s="1001" t="str">
        <f>IF($BA27,"",INDEX(C_SourceStreams!BV$61:BV$2089,MATCH($C27,C_SourceStreams!$C$61:$C$2089,0)))</f>
        <v/>
      </c>
      <c r="AX27" s="838" t="str">
        <f>IF($BA27,"",INDEX(C_SourceStreams!BW$61:BW$2089,MATCH($C27,C_SourceStreams!$C$61:$C$2089,0)))</f>
        <v/>
      </c>
      <c r="AY27" s="838" t="str">
        <f>IF($BA27,"",INDEX(C_SourceStreams!BX$61:BX$2089,MATCH($C27,C_SourceStreams!$C$61:$C$2089,0)))</f>
        <v/>
      </c>
      <c r="BA27" s="72" t="b">
        <f>IF(ISERROR(INDEX(C_SourceStreams!$K$28:$K$11971,MATCH(C27,C_SourceStreams!$C$28:$C$11971,0))),TRUE,INDEX(C_SourceStreams!$K$28:$K$11971,MATCH(C27,C_SourceStreams!$C$28:$C$11971,0))="")</f>
        <v>1</v>
      </c>
    </row>
    <row r="28" spans="3:53" x14ac:dyDescent="0.2">
      <c r="C28" s="835">
        <v>25</v>
      </c>
      <c r="D28" s="837" t="str">
        <f>IF($BA28,"",INDEX(C_SourceStreams!$K$61:$K$2089,MATCH($C28,C_SourceStreams!$C$61:$C$2089,0)))</f>
        <v/>
      </c>
      <c r="E28" s="837" t="str">
        <f>IF($BA28,"",INDEX(C_SourceStreams!$E$61:$E$2089,MATCH($C28,C_SourceStreams!$C$61:$C$2089,0)))</f>
        <v/>
      </c>
      <c r="F28" s="838" t="str">
        <f>IF($BA28,"",INDEX(C_SourceStreams!BH$61:BH$2089,MATCH($C28,C_SourceStreams!$C$61:$C$2089,0)))</f>
        <v/>
      </c>
      <c r="G28" s="836" t="str">
        <f>IF($BA28,"",INDEX(C_SourceStreams!BI$61:BI$2089,MATCH($C28,C_SourceStreams!$C$61:$C$2089,0)))</f>
        <v/>
      </c>
      <c r="H28" s="838" t="str">
        <f>IF($BA28,"",INDEX(C_SourceStreams!BL$61:BL$2089,MATCH($C28,C_SourceStreams!$C$61:$C$2089,0)))</f>
        <v/>
      </c>
      <c r="I28" s="836" t="str">
        <f>IF($BA28,"",INDEX(C_SourceStreams!BM$61:BM$2089,MATCH($C28,C_SourceStreams!$C$61:$C$2089,0)))</f>
        <v/>
      </c>
      <c r="J28" s="838" t="str">
        <f>IF($BA28,"",INDEX(C_SourceStreams!BJ$61:BJ$2089,MATCH($C28,C_SourceStreams!$C$61:$C$2089,0)))</f>
        <v/>
      </c>
      <c r="K28" s="836" t="str">
        <f>IF($BA28,"",INDEX(C_SourceStreams!BK$61:BK$2089,MATCH($C28,C_SourceStreams!$C$61:$C$2089,0)))</f>
        <v/>
      </c>
      <c r="L28" s="836" t="str">
        <f>IF($BA28,"",INDEX(C_SourceStreams!BP$61:BP$2089,MATCH($C28,C_SourceStreams!$C$61:$C$2089,0)))</f>
        <v/>
      </c>
      <c r="M28" s="836" t="str">
        <f>IF($BA28,"",INDEX(C_SourceStreams!BQ$61:BQ$2089,MATCH($C28,C_SourceStreams!$C$61:$C$2089,0)))</f>
        <v/>
      </c>
      <c r="N28" s="838" t="str">
        <f>IF($BA28,"",INDEX(C_SourceStreams!BN$61:BN$2089,MATCH($C28,C_SourceStreams!$C$61:$C$2089,0))*100)</f>
        <v/>
      </c>
      <c r="O28" s="839" t="str">
        <f t="shared" si="0"/>
        <v/>
      </c>
      <c r="P28" s="838" t="str">
        <f>IF($BA28,"",INDEX(C_SourceStreams!BO$61:BO$2089,MATCH($C28,C_SourceStreams!$C$61:$C$2089,0))*100)</f>
        <v/>
      </c>
      <c r="Q28" s="839" t="str">
        <f t="shared" si="1"/>
        <v/>
      </c>
      <c r="R28" s="838" t="str">
        <f>IF($BA28,"",INDEX(C_SourceStreams!BR$61:BR$2089,MATCH($C28,C_SourceStreams!$C$61:$C$2089,0))*100)</f>
        <v/>
      </c>
      <c r="S28" s="839" t="str">
        <f t="shared" si="2"/>
        <v/>
      </c>
      <c r="T28" s="838" t="str">
        <f>IF($BA28,"",INDEX(C_SourceStreams!BS$61:BS$2089,MATCH($C28,C_SourceStreams!$C$61:$C$2089,0))*100)</f>
        <v/>
      </c>
      <c r="U28" s="839" t="str">
        <f t="shared" si="3"/>
        <v/>
      </c>
      <c r="V28" s="1006"/>
      <c r="W28" s="1006"/>
      <c r="X28" s="1006"/>
      <c r="Y28" s="1006"/>
      <c r="Z28" s="1006"/>
      <c r="AA28" s="1006"/>
      <c r="AB28" s="1006"/>
      <c r="AC28" s="1006"/>
      <c r="AD28" s="1006"/>
      <c r="AE28" s="1006"/>
      <c r="AF28" s="1006"/>
      <c r="AG28" s="1006"/>
      <c r="AH28" s="1006"/>
      <c r="AI28" s="1006"/>
      <c r="AJ28" s="1006"/>
      <c r="AK28" s="1006"/>
      <c r="AL28" s="1006"/>
      <c r="AM28" s="1006"/>
      <c r="AN28" s="1006"/>
      <c r="AO28" s="1006"/>
      <c r="AP28" s="1006"/>
      <c r="AQ28" s="1006"/>
      <c r="AR28" s="1006"/>
      <c r="AS28" s="1006"/>
      <c r="AT28" s="1006"/>
      <c r="AU28" s="1001" t="str">
        <f>IF($BA28,"",INDEX(C_SourceStreams!BT$61:BT$2089,MATCH($C28,C_SourceStreams!$C$61:$C$2089,0)))</f>
        <v/>
      </c>
      <c r="AV28" s="1001" t="str">
        <f>IF($BA28,"",INDEX(C_SourceStreams!BU$61:BU$2089,MATCH($C28,C_SourceStreams!$C$61:$C$2089,0)))</f>
        <v/>
      </c>
      <c r="AW28" s="1001" t="str">
        <f>IF($BA28,"",INDEX(C_SourceStreams!BV$61:BV$2089,MATCH($C28,C_SourceStreams!$C$61:$C$2089,0)))</f>
        <v/>
      </c>
      <c r="AX28" s="838" t="str">
        <f>IF($BA28,"",INDEX(C_SourceStreams!BW$61:BW$2089,MATCH($C28,C_SourceStreams!$C$61:$C$2089,0)))</f>
        <v/>
      </c>
      <c r="AY28" s="838" t="str">
        <f>IF($BA28,"",INDEX(C_SourceStreams!BX$61:BX$2089,MATCH($C28,C_SourceStreams!$C$61:$C$2089,0)))</f>
        <v/>
      </c>
      <c r="BA28" s="72" t="b">
        <f>IF(ISERROR(INDEX(C_SourceStreams!$K$28:$K$11971,MATCH(C28,C_SourceStreams!$C$28:$C$11971,0))),TRUE,INDEX(C_SourceStreams!$K$28:$K$11971,MATCH(C28,C_SourceStreams!$C$28:$C$11971,0))="")</f>
        <v>1</v>
      </c>
    </row>
    <row r="29" spans="3:53" x14ac:dyDescent="0.2">
      <c r="C29" s="835">
        <v>26</v>
      </c>
      <c r="D29" s="837" t="str">
        <f>IF($BA29,"",INDEX(C_SourceStreams!$K$61:$K$2089,MATCH($C29,C_SourceStreams!$C$61:$C$2089,0)))</f>
        <v/>
      </c>
      <c r="E29" s="837" t="str">
        <f>IF($BA29,"",INDEX(C_SourceStreams!$E$61:$E$2089,MATCH($C29,C_SourceStreams!$C$61:$C$2089,0)))</f>
        <v/>
      </c>
      <c r="F29" s="838" t="str">
        <f>IF($BA29,"",INDEX(C_SourceStreams!BH$61:BH$2089,MATCH($C29,C_SourceStreams!$C$61:$C$2089,0)))</f>
        <v/>
      </c>
      <c r="G29" s="836" t="str">
        <f>IF($BA29,"",INDEX(C_SourceStreams!BI$61:BI$2089,MATCH($C29,C_SourceStreams!$C$61:$C$2089,0)))</f>
        <v/>
      </c>
      <c r="H29" s="838" t="str">
        <f>IF($BA29,"",INDEX(C_SourceStreams!BL$61:BL$2089,MATCH($C29,C_SourceStreams!$C$61:$C$2089,0)))</f>
        <v/>
      </c>
      <c r="I29" s="836" t="str">
        <f>IF($BA29,"",INDEX(C_SourceStreams!BM$61:BM$2089,MATCH($C29,C_SourceStreams!$C$61:$C$2089,0)))</f>
        <v/>
      </c>
      <c r="J29" s="838" t="str">
        <f>IF($BA29,"",INDEX(C_SourceStreams!BJ$61:BJ$2089,MATCH($C29,C_SourceStreams!$C$61:$C$2089,0)))</f>
        <v/>
      </c>
      <c r="K29" s="836" t="str">
        <f>IF($BA29,"",INDEX(C_SourceStreams!BK$61:BK$2089,MATCH($C29,C_SourceStreams!$C$61:$C$2089,0)))</f>
        <v/>
      </c>
      <c r="L29" s="836" t="str">
        <f>IF($BA29,"",INDEX(C_SourceStreams!BP$61:BP$2089,MATCH($C29,C_SourceStreams!$C$61:$C$2089,0)))</f>
        <v/>
      </c>
      <c r="M29" s="836" t="str">
        <f>IF($BA29,"",INDEX(C_SourceStreams!BQ$61:BQ$2089,MATCH($C29,C_SourceStreams!$C$61:$C$2089,0)))</f>
        <v/>
      </c>
      <c r="N29" s="838" t="str">
        <f>IF($BA29,"",INDEX(C_SourceStreams!BN$61:BN$2089,MATCH($C29,C_SourceStreams!$C$61:$C$2089,0))*100)</f>
        <v/>
      </c>
      <c r="O29" s="839" t="str">
        <f t="shared" si="0"/>
        <v/>
      </c>
      <c r="P29" s="838" t="str">
        <f>IF($BA29,"",INDEX(C_SourceStreams!BO$61:BO$2089,MATCH($C29,C_SourceStreams!$C$61:$C$2089,0))*100)</f>
        <v/>
      </c>
      <c r="Q29" s="839" t="str">
        <f t="shared" si="1"/>
        <v/>
      </c>
      <c r="R29" s="838" t="str">
        <f>IF($BA29,"",INDEX(C_SourceStreams!BR$61:BR$2089,MATCH($C29,C_SourceStreams!$C$61:$C$2089,0))*100)</f>
        <v/>
      </c>
      <c r="S29" s="839" t="str">
        <f t="shared" si="2"/>
        <v/>
      </c>
      <c r="T29" s="838" t="str">
        <f>IF($BA29,"",INDEX(C_SourceStreams!BS$61:BS$2089,MATCH($C29,C_SourceStreams!$C$61:$C$2089,0))*100)</f>
        <v/>
      </c>
      <c r="U29" s="839" t="str">
        <f t="shared" si="3"/>
        <v/>
      </c>
      <c r="V29" s="1006"/>
      <c r="W29" s="1006"/>
      <c r="X29" s="1006"/>
      <c r="Y29" s="1006"/>
      <c r="Z29" s="1006"/>
      <c r="AA29" s="1006"/>
      <c r="AB29" s="1006"/>
      <c r="AC29" s="1006"/>
      <c r="AD29" s="1006"/>
      <c r="AE29" s="1006"/>
      <c r="AF29" s="1006"/>
      <c r="AG29" s="1006"/>
      <c r="AH29" s="1006"/>
      <c r="AI29" s="1006"/>
      <c r="AJ29" s="1006"/>
      <c r="AK29" s="1006"/>
      <c r="AL29" s="1006"/>
      <c r="AM29" s="1006"/>
      <c r="AN29" s="1006"/>
      <c r="AO29" s="1006"/>
      <c r="AP29" s="1006"/>
      <c r="AQ29" s="1006"/>
      <c r="AR29" s="1006"/>
      <c r="AS29" s="1006"/>
      <c r="AT29" s="1006"/>
      <c r="AU29" s="1001" t="str">
        <f>IF($BA29,"",INDEX(C_SourceStreams!BT$61:BT$2089,MATCH($C29,C_SourceStreams!$C$61:$C$2089,0)))</f>
        <v/>
      </c>
      <c r="AV29" s="1001" t="str">
        <f>IF($BA29,"",INDEX(C_SourceStreams!BU$61:BU$2089,MATCH($C29,C_SourceStreams!$C$61:$C$2089,0)))</f>
        <v/>
      </c>
      <c r="AW29" s="1001" t="str">
        <f>IF($BA29,"",INDEX(C_SourceStreams!BV$61:BV$2089,MATCH($C29,C_SourceStreams!$C$61:$C$2089,0)))</f>
        <v/>
      </c>
      <c r="AX29" s="838" t="str">
        <f>IF($BA29,"",INDEX(C_SourceStreams!BW$61:BW$2089,MATCH($C29,C_SourceStreams!$C$61:$C$2089,0)))</f>
        <v/>
      </c>
      <c r="AY29" s="838" t="str">
        <f>IF($BA29,"",INDEX(C_SourceStreams!BX$61:BX$2089,MATCH($C29,C_SourceStreams!$C$61:$C$2089,0)))</f>
        <v/>
      </c>
      <c r="BA29" s="72" t="b">
        <f>IF(ISERROR(INDEX(C_SourceStreams!$K$28:$K$11971,MATCH(C29,C_SourceStreams!$C$28:$C$11971,0))),TRUE,INDEX(C_SourceStreams!$K$28:$K$11971,MATCH(C29,C_SourceStreams!$C$28:$C$11971,0))="")</f>
        <v>1</v>
      </c>
    </row>
    <row r="30" spans="3:53" x14ac:dyDescent="0.2">
      <c r="C30" s="835">
        <v>27</v>
      </c>
      <c r="D30" s="837" t="str">
        <f>IF($BA30,"",INDEX(C_SourceStreams!$K$61:$K$2089,MATCH($C30,C_SourceStreams!$C$61:$C$2089,0)))</f>
        <v/>
      </c>
      <c r="E30" s="837" t="str">
        <f>IF($BA30,"",INDEX(C_SourceStreams!$E$61:$E$2089,MATCH($C30,C_SourceStreams!$C$61:$C$2089,0)))</f>
        <v/>
      </c>
      <c r="F30" s="838" t="str">
        <f>IF($BA30,"",INDEX(C_SourceStreams!BH$61:BH$2089,MATCH($C30,C_SourceStreams!$C$61:$C$2089,0)))</f>
        <v/>
      </c>
      <c r="G30" s="836" t="str">
        <f>IF($BA30,"",INDEX(C_SourceStreams!BI$61:BI$2089,MATCH($C30,C_SourceStreams!$C$61:$C$2089,0)))</f>
        <v/>
      </c>
      <c r="H30" s="838" t="str">
        <f>IF($BA30,"",INDEX(C_SourceStreams!BL$61:BL$2089,MATCH($C30,C_SourceStreams!$C$61:$C$2089,0)))</f>
        <v/>
      </c>
      <c r="I30" s="836" t="str">
        <f>IF($BA30,"",INDEX(C_SourceStreams!BM$61:BM$2089,MATCH($C30,C_SourceStreams!$C$61:$C$2089,0)))</f>
        <v/>
      </c>
      <c r="J30" s="838" t="str">
        <f>IF($BA30,"",INDEX(C_SourceStreams!BJ$61:BJ$2089,MATCH($C30,C_SourceStreams!$C$61:$C$2089,0)))</f>
        <v/>
      </c>
      <c r="K30" s="836" t="str">
        <f>IF($BA30,"",INDEX(C_SourceStreams!BK$61:BK$2089,MATCH($C30,C_SourceStreams!$C$61:$C$2089,0)))</f>
        <v/>
      </c>
      <c r="L30" s="836" t="str">
        <f>IF($BA30,"",INDEX(C_SourceStreams!BP$61:BP$2089,MATCH($C30,C_SourceStreams!$C$61:$C$2089,0)))</f>
        <v/>
      </c>
      <c r="M30" s="836" t="str">
        <f>IF($BA30,"",INDEX(C_SourceStreams!BQ$61:BQ$2089,MATCH($C30,C_SourceStreams!$C$61:$C$2089,0)))</f>
        <v/>
      </c>
      <c r="N30" s="838" t="str">
        <f>IF($BA30,"",INDEX(C_SourceStreams!BN$61:BN$2089,MATCH($C30,C_SourceStreams!$C$61:$C$2089,0))*100)</f>
        <v/>
      </c>
      <c r="O30" s="839" t="str">
        <f t="shared" si="0"/>
        <v/>
      </c>
      <c r="P30" s="838" t="str">
        <f>IF($BA30,"",INDEX(C_SourceStreams!BO$61:BO$2089,MATCH($C30,C_SourceStreams!$C$61:$C$2089,0))*100)</f>
        <v/>
      </c>
      <c r="Q30" s="839" t="str">
        <f t="shared" si="1"/>
        <v/>
      </c>
      <c r="R30" s="838" t="str">
        <f>IF($BA30,"",INDEX(C_SourceStreams!BR$61:BR$2089,MATCH($C30,C_SourceStreams!$C$61:$C$2089,0))*100)</f>
        <v/>
      </c>
      <c r="S30" s="839" t="str">
        <f t="shared" si="2"/>
        <v/>
      </c>
      <c r="T30" s="838" t="str">
        <f>IF($BA30,"",INDEX(C_SourceStreams!BS$61:BS$2089,MATCH($C30,C_SourceStreams!$C$61:$C$2089,0))*100)</f>
        <v/>
      </c>
      <c r="U30" s="839" t="str">
        <f t="shared" si="3"/>
        <v/>
      </c>
      <c r="V30" s="1006"/>
      <c r="W30" s="1006"/>
      <c r="X30" s="1006"/>
      <c r="Y30" s="1006"/>
      <c r="Z30" s="1006"/>
      <c r="AA30" s="1006"/>
      <c r="AB30" s="1006"/>
      <c r="AC30" s="1006"/>
      <c r="AD30" s="1006"/>
      <c r="AE30" s="1006"/>
      <c r="AF30" s="1006"/>
      <c r="AG30" s="1006"/>
      <c r="AH30" s="1006"/>
      <c r="AI30" s="1006"/>
      <c r="AJ30" s="1006"/>
      <c r="AK30" s="1006"/>
      <c r="AL30" s="1006"/>
      <c r="AM30" s="1006"/>
      <c r="AN30" s="1006"/>
      <c r="AO30" s="1006"/>
      <c r="AP30" s="1006"/>
      <c r="AQ30" s="1006"/>
      <c r="AR30" s="1006"/>
      <c r="AS30" s="1006"/>
      <c r="AT30" s="1006"/>
      <c r="AU30" s="1001" t="str">
        <f>IF($BA30,"",INDEX(C_SourceStreams!BT$61:BT$2089,MATCH($C30,C_SourceStreams!$C$61:$C$2089,0)))</f>
        <v/>
      </c>
      <c r="AV30" s="1001" t="str">
        <f>IF($BA30,"",INDEX(C_SourceStreams!BU$61:BU$2089,MATCH($C30,C_SourceStreams!$C$61:$C$2089,0)))</f>
        <v/>
      </c>
      <c r="AW30" s="1001" t="str">
        <f>IF($BA30,"",INDEX(C_SourceStreams!BV$61:BV$2089,MATCH($C30,C_SourceStreams!$C$61:$C$2089,0)))</f>
        <v/>
      </c>
      <c r="AX30" s="838" t="str">
        <f>IF($BA30,"",INDEX(C_SourceStreams!BW$61:BW$2089,MATCH($C30,C_SourceStreams!$C$61:$C$2089,0)))</f>
        <v/>
      </c>
      <c r="AY30" s="838" t="str">
        <f>IF($BA30,"",INDEX(C_SourceStreams!BX$61:BX$2089,MATCH($C30,C_SourceStreams!$C$61:$C$2089,0)))</f>
        <v/>
      </c>
      <c r="BA30" s="72" t="b">
        <f>IF(ISERROR(INDEX(C_SourceStreams!$K$28:$K$11971,MATCH(C30,C_SourceStreams!$C$28:$C$11971,0))),TRUE,INDEX(C_SourceStreams!$K$28:$K$11971,MATCH(C30,C_SourceStreams!$C$28:$C$11971,0))="")</f>
        <v>1</v>
      </c>
    </row>
    <row r="31" spans="3:53" x14ac:dyDescent="0.2">
      <c r="C31" s="835">
        <v>28</v>
      </c>
      <c r="D31" s="837" t="str">
        <f>IF($BA31,"",INDEX(C_SourceStreams!$K$61:$K$2089,MATCH($C31,C_SourceStreams!$C$61:$C$2089,0)))</f>
        <v/>
      </c>
      <c r="E31" s="837" t="str">
        <f>IF($BA31,"",INDEX(C_SourceStreams!$E$61:$E$2089,MATCH($C31,C_SourceStreams!$C$61:$C$2089,0)))</f>
        <v/>
      </c>
      <c r="F31" s="838" t="str">
        <f>IF($BA31,"",INDEX(C_SourceStreams!BH$61:BH$2089,MATCH($C31,C_SourceStreams!$C$61:$C$2089,0)))</f>
        <v/>
      </c>
      <c r="G31" s="836" t="str">
        <f>IF($BA31,"",INDEX(C_SourceStreams!BI$61:BI$2089,MATCH($C31,C_SourceStreams!$C$61:$C$2089,0)))</f>
        <v/>
      </c>
      <c r="H31" s="838" t="str">
        <f>IF($BA31,"",INDEX(C_SourceStreams!BL$61:BL$2089,MATCH($C31,C_SourceStreams!$C$61:$C$2089,0)))</f>
        <v/>
      </c>
      <c r="I31" s="836" t="str">
        <f>IF($BA31,"",INDEX(C_SourceStreams!BM$61:BM$2089,MATCH($C31,C_SourceStreams!$C$61:$C$2089,0)))</f>
        <v/>
      </c>
      <c r="J31" s="838" t="str">
        <f>IF($BA31,"",INDEX(C_SourceStreams!BJ$61:BJ$2089,MATCH($C31,C_SourceStreams!$C$61:$C$2089,0)))</f>
        <v/>
      </c>
      <c r="K31" s="836" t="str">
        <f>IF($BA31,"",INDEX(C_SourceStreams!BK$61:BK$2089,MATCH($C31,C_SourceStreams!$C$61:$C$2089,0)))</f>
        <v/>
      </c>
      <c r="L31" s="836" t="str">
        <f>IF($BA31,"",INDEX(C_SourceStreams!BP$61:BP$2089,MATCH($C31,C_SourceStreams!$C$61:$C$2089,0)))</f>
        <v/>
      </c>
      <c r="M31" s="836" t="str">
        <f>IF($BA31,"",INDEX(C_SourceStreams!BQ$61:BQ$2089,MATCH($C31,C_SourceStreams!$C$61:$C$2089,0)))</f>
        <v/>
      </c>
      <c r="N31" s="838" t="str">
        <f>IF($BA31,"",INDEX(C_SourceStreams!BN$61:BN$2089,MATCH($C31,C_SourceStreams!$C$61:$C$2089,0))*100)</f>
        <v/>
      </c>
      <c r="O31" s="839" t="str">
        <f t="shared" si="0"/>
        <v/>
      </c>
      <c r="P31" s="838" t="str">
        <f>IF($BA31,"",INDEX(C_SourceStreams!BO$61:BO$2089,MATCH($C31,C_SourceStreams!$C$61:$C$2089,0))*100)</f>
        <v/>
      </c>
      <c r="Q31" s="839" t="str">
        <f t="shared" si="1"/>
        <v/>
      </c>
      <c r="R31" s="838" t="str">
        <f>IF($BA31,"",INDEX(C_SourceStreams!BR$61:BR$2089,MATCH($C31,C_SourceStreams!$C$61:$C$2089,0))*100)</f>
        <v/>
      </c>
      <c r="S31" s="839" t="str">
        <f t="shared" si="2"/>
        <v/>
      </c>
      <c r="T31" s="838" t="str">
        <f>IF($BA31,"",INDEX(C_SourceStreams!BS$61:BS$2089,MATCH($C31,C_SourceStreams!$C$61:$C$2089,0))*100)</f>
        <v/>
      </c>
      <c r="U31" s="839" t="str">
        <f t="shared" si="3"/>
        <v/>
      </c>
      <c r="V31" s="1006"/>
      <c r="W31" s="1006"/>
      <c r="X31" s="1006"/>
      <c r="Y31" s="1006"/>
      <c r="Z31" s="1006"/>
      <c r="AA31" s="1006"/>
      <c r="AB31" s="1006"/>
      <c r="AC31" s="1006"/>
      <c r="AD31" s="1006"/>
      <c r="AE31" s="1006"/>
      <c r="AF31" s="1006"/>
      <c r="AG31" s="1006"/>
      <c r="AH31" s="1006"/>
      <c r="AI31" s="1006"/>
      <c r="AJ31" s="1006"/>
      <c r="AK31" s="1006"/>
      <c r="AL31" s="1006"/>
      <c r="AM31" s="1006"/>
      <c r="AN31" s="1006"/>
      <c r="AO31" s="1006"/>
      <c r="AP31" s="1006"/>
      <c r="AQ31" s="1006"/>
      <c r="AR31" s="1006"/>
      <c r="AS31" s="1006"/>
      <c r="AT31" s="1006"/>
      <c r="AU31" s="1001" t="str">
        <f>IF($BA31,"",INDEX(C_SourceStreams!BT$61:BT$2089,MATCH($C31,C_SourceStreams!$C$61:$C$2089,0)))</f>
        <v/>
      </c>
      <c r="AV31" s="1001" t="str">
        <f>IF($BA31,"",INDEX(C_SourceStreams!BU$61:BU$2089,MATCH($C31,C_SourceStreams!$C$61:$C$2089,0)))</f>
        <v/>
      </c>
      <c r="AW31" s="1001" t="str">
        <f>IF($BA31,"",INDEX(C_SourceStreams!BV$61:BV$2089,MATCH($C31,C_SourceStreams!$C$61:$C$2089,0)))</f>
        <v/>
      </c>
      <c r="AX31" s="838" t="str">
        <f>IF($BA31,"",INDEX(C_SourceStreams!BW$61:BW$2089,MATCH($C31,C_SourceStreams!$C$61:$C$2089,0)))</f>
        <v/>
      </c>
      <c r="AY31" s="838" t="str">
        <f>IF($BA31,"",INDEX(C_SourceStreams!BX$61:BX$2089,MATCH($C31,C_SourceStreams!$C$61:$C$2089,0)))</f>
        <v/>
      </c>
      <c r="BA31" s="72" t="b">
        <f>IF(ISERROR(INDEX(C_SourceStreams!$K$28:$K$11971,MATCH(C31,C_SourceStreams!$C$28:$C$11971,0))),TRUE,INDEX(C_SourceStreams!$K$28:$K$11971,MATCH(C31,C_SourceStreams!$C$28:$C$11971,0))="")</f>
        <v>1</v>
      </c>
    </row>
    <row r="32" spans="3:53" x14ac:dyDescent="0.2">
      <c r="C32" s="835">
        <v>29</v>
      </c>
      <c r="D32" s="837" t="str">
        <f>IF($BA32,"",INDEX(C_SourceStreams!$K$61:$K$2089,MATCH($C32,C_SourceStreams!$C$61:$C$2089,0)))</f>
        <v/>
      </c>
      <c r="E32" s="837" t="str">
        <f>IF($BA32,"",INDEX(C_SourceStreams!$E$61:$E$2089,MATCH($C32,C_SourceStreams!$C$61:$C$2089,0)))</f>
        <v/>
      </c>
      <c r="F32" s="838" t="str">
        <f>IF($BA32,"",INDEX(C_SourceStreams!BH$61:BH$2089,MATCH($C32,C_SourceStreams!$C$61:$C$2089,0)))</f>
        <v/>
      </c>
      <c r="G32" s="836" t="str">
        <f>IF($BA32,"",INDEX(C_SourceStreams!BI$61:BI$2089,MATCH($C32,C_SourceStreams!$C$61:$C$2089,0)))</f>
        <v/>
      </c>
      <c r="H32" s="838" t="str">
        <f>IF($BA32,"",INDEX(C_SourceStreams!BL$61:BL$2089,MATCH($C32,C_SourceStreams!$C$61:$C$2089,0)))</f>
        <v/>
      </c>
      <c r="I32" s="836" t="str">
        <f>IF($BA32,"",INDEX(C_SourceStreams!BM$61:BM$2089,MATCH($C32,C_SourceStreams!$C$61:$C$2089,0)))</f>
        <v/>
      </c>
      <c r="J32" s="838" t="str">
        <f>IF($BA32,"",INDEX(C_SourceStreams!BJ$61:BJ$2089,MATCH($C32,C_SourceStreams!$C$61:$C$2089,0)))</f>
        <v/>
      </c>
      <c r="K32" s="836" t="str">
        <f>IF($BA32,"",INDEX(C_SourceStreams!BK$61:BK$2089,MATCH($C32,C_SourceStreams!$C$61:$C$2089,0)))</f>
        <v/>
      </c>
      <c r="L32" s="836" t="str">
        <f>IF($BA32,"",INDEX(C_SourceStreams!BP$61:BP$2089,MATCH($C32,C_SourceStreams!$C$61:$C$2089,0)))</f>
        <v/>
      </c>
      <c r="M32" s="836" t="str">
        <f>IF($BA32,"",INDEX(C_SourceStreams!BQ$61:BQ$2089,MATCH($C32,C_SourceStreams!$C$61:$C$2089,0)))</f>
        <v/>
      </c>
      <c r="N32" s="838" t="str">
        <f>IF($BA32,"",INDEX(C_SourceStreams!BN$61:BN$2089,MATCH($C32,C_SourceStreams!$C$61:$C$2089,0))*100)</f>
        <v/>
      </c>
      <c r="O32" s="839" t="str">
        <f t="shared" si="0"/>
        <v/>
      </c>
      <c r="P32" s="838" t="str">
        <f>IF($BA32,"",INDEX(C_SourceStreams!BO$61:BO$2089,MATCH($C32,C_SourceStreams!$C$61:$C$2089,0))*100)</f>
        <v/>
      </c>
      <c r="Q32" s="839" t="str">
        <f t="shared" si="1"/>
        <v/>
      </c>
      <c r="R32" s="838" t="str">
        <f>IF($BA32,"",INDEX(C_SourceStreams!BR$61:BR$2089,MATCH($C32,C_SourceStreams!$C$61:$C$2089,0))*100)</f>
        <v/>
      </c>
      <c r="S32" s="839" t="str">
        <f t="shared" si="2"/>
        <v/>
      </c>
      <c r="T32" s="838" t="str">
        <f>IF($BA32,"",INDEX(C_SourceStreams!BS$61:BS$2089,MATCH($C32,C_SourceStreams!$C$61:$C$2089,0))*100)</f>
        <v/>
      </c>
      <c r="U32" s="839" t="str">
        <f t="shared" si="3"/>
        <v/>
      </c>
      <c r="V32" s="1006"/>
      <c r="W32" s="1006"/>
      <c r="X32" s="1006"/>
      <c r="Y32" s="1006"/>
      <c r="Z32" s="1006"/>
      <c r="AA32" s="1006"/>
      <c r="AB32" s="1006"/>
      <c r="AC32" s="1006"/>
      <c r="AD32" s="1006"/>
      <c r="AE32" s="1006"/>
      <c r="AF32" s="1006"/>
      <c r="AG32" s="1006"/>
      <c r="AH32" s="1006"/>
      <c r="AI32" s="1006"/>
      <c r="AJ32" s="1006"/>
      <c r="AK32" s="1006"/>
      <c r="AL32" s="1006"/>
      <c r="AM32" s="1006"/>
      <c r="AN32" s="1006"/>
      <c r="AO32" s="1006"/>
      <c r="AP32" s="1006"/>
      <c r="AQ32" s="1006"/>
      <c r="AR32" s="1006"/>
      <c r="AS32" s="1006"/>
      <c r="AT32" s="1006"/>
      <c r="AU32" s="1001" t="str">
        <f>IF($BA32,"",INDEX(C_SourceStreams!BT$61:BT$2089,MATCH($C32,C_SourceStreams!$C$61:$C$2089,0)))</f>
        <v/>
      </c>
      <c r="AV32" s="1001" t="str">
        <f>IF($BA32,"",INDEX(C_SourceStreams!BU$61:BU$2089,MATCH($C32,C_SourceStreams!$C$61:$C$2089,0)))</f>
        <v/>
      </c>
      <c r="AW32" s="1001" t="str">
        <f>IF($BA32,"",INDEX(C_SourceStreams!BV$61:BV$2089,MATCH($C32,C_SourceStreams!$C$61:$C$2089,0)))</f>
        <v/>
      </c>
      <c r="AX32" s="838" t="str">
        <f>IF($BA32,"",INDEX(C_SourceStreams!BW$61:BW$2089,MATCH($C32,C_SourceStreams!$C$61:$C$2089,0)))</f>
        <v/>
      </c>
      <c r="AY32" s="838" t="str">
        <f>IF($BA32,"",INDEX(C_SourceStreams!BX$61:BX$2089,MATCH($C32,C_SourceStreams!$C$61:$C$2089,0)))</f>
        <v/>
      </c>
      <c r="BA32" s="72" t="b">
        <f>IF(ISERROR(INDEX(C_SourceStreams!$K$28:$K$11971,MATCH(C32,C_SourceStreams!$C$28:$C$11971,0))),TRUE,INDEX(C_SourceStreams!$K$28:$K$11971,MATCH(C32,C_SourceStreams!$C$28:$C$11971,0))="")</f>
        <v>1</v>
      </c>
    </row>
    <row r="33" spans="3:53" x14ac:dyDescent="0.2">
      <c r="C33" s="835">
        <v>30</v>
      </c>
      <c r="D33" s="837" t="str">
        <f>IF($BA33,"",INDEX(C_SourceStreams!$K$61:$K$2089,MATCH($C33,C_SourceStreams!$C$61:$C$2089,0)))</f>
        <v/>
      </c>
      <c r="E33" s="837" t="str">
        <f>IF($BA33,"",INDEX(C_SourceStreams!$E$61:$E$2089,MATCH($C33,C_SourceStreams!$C$61:$C$2089,0)))</f>
        <v/>
      </c>
      <c r="F33" s="838" t="str">
        <f>IF($BA33,"",INDEX(C_SourceStreams!BH$61:BH$2089,MATCH($C33,C_SourceStreams!$C$61:$C$2089,0)))</f>
        <v/>
      </c>
      <c r="G33" s="836" t="str">
        <f>IF($BA33,"",INDEX(C_SourceStreams!BI$61:BI$2089,MATCH($C33,C_SourceStreams!$C$61:$C$2089,0)))</f>
        <v/>
      </c>
      <c r="H33" s="838" t="str">
        <f>IF($BA33,"",INDEX(C_SourceStreams!BL$61:BL$2089,MATCH($C33,C_SourceStreams!$C$61:$C$2089,0)))</f>
        <v/>
      </c>
      <c r="I33" s="836" t="str">
        <f>IF($BA33,"",INDEX(C_SourceStreams!BM$61:BM$2089,MATCH($C33,C_SourceStreams!$C$61:$C$2089,0)))</f>
        <v/>
      </c>
      <c r="J33" s="838" t="str">
        <f>IF($BA33,"",INDEX(C_SourceStreams!BJ$61:BJ$2089,MATCH($C33,C_SourceStreams!$C$61:$C$2089,0)))</f>
        <v/>
      </c>
      <c r="K33" s="836" t="str">
        <f>IF($BA33,"",INDEX(C_SourceStreams!BK$61:BK$2089,MATCH($C33,C_SourceStreams!$C$61:$C$2089,0)))</f>
        <v/>
      </c>
      <c r="L33" s="836" t="str">
        <f>IF($BA33,"",INDEX(C_SourceStreams!BP$61:BP$2089,MATCH($C33,C_SourceStreams!$C$61:$C$2089,0)))</f>
        <v/>
      </c>
      <c r="M33" s="836" t="str">
        <f>IF($BA33,"",INDEX(C_SourceStreams!BQ$61:BQ$2089,MATCH($C33,C_SourceStreams!$C$61:$C$2089,0)))</f>
        <v/>
      </c>
      <c r="N33" s="838" t="str">
        <f>IF($BA33,"",INDEX(C_SourceStreams!BN$61:BN$2089,MATCH($C33,C_SourceStreams!$C$61:$C$2089,0))*100)</f>
        <v/>
      </c>
      <c r="O33" s="839" t="str">
        <f t="shared" si="0"/>
        <v/>
      </c>
      <c r="P33" s="838" t="str">
        <f>IF($BA33,"",INDEX(C_SourceStreams!BO$61:BO$2089,MATCH($C33,C_SourceStreams!$C$61:$C$2089,0))*100)</f>
        <v/>
      </c>
      <c r="Q33" s="839" t="str">
        <f t="shared" si="1"/>
        <v/>
      </c>
      <c r="R33" s="838" t="str">
        <f>IF($BA33,"",INDEX(C_SourceStreams!BR$61:BR$2089,MATCH($C33,C_SourceStreams!$C$61:$C$2089,0))*100)</f>
        <v/>
      </c>
      <c r="S33" s="839" t="str">
        <f t="shared" si="2"/>
        <v/>
      </c>
      <c r="T33" s="838" t="str">
        <f>IF($BA33,"",INDEX(C_SourceStreams!BS$61:BS$2089,MATCH($C33,C_SourceStreams!$C$61:$C$2089,0))*100)</f>
        <v/>
      </c>
      <c r="U33" s="839" t="str">
        <f t="shared" si="3"/>
        <v/>
      </c>
      <c r="V33" s="1006"/>
      <c r="W33" s="1006"/>
      <c r="X33" s="1006"/>
      <c r="Y33" s="1006"/>
      <c r="Z33" s="1006"/>
      <c r="AA33" s="1006"/>
      <c r="AB33" s="1006"/>
      <c r="AC33" s="1006"/>
      <c r="AD33" s="1006"/>
      <c r="AE33" s="1006"/>
      <c r="AF33" s="1006"/>
      <c r="AG33" s="1006"/>
      <c r="AH33" s="1006"/>
      <c r="AI33" s="1006"/>
      <c r="AJ33" s="1006"/>
      <c r="AK33" s="1006"/>
      <c r="AL33" s="1006"/>
      <c r="AM33" s="1006"/>
      <c r="AN33" s="1006"/>
      <c r="AO33" s="1006"/>
      <c r="AP33" s="1006"/>
      <c r="AQ33" s="1006"/>
      <c r="AR33" s="1006"/>
      <c r="AS33" s="1006"/>
      <c r="AT33" s="1006"/>
      <c r="AU33" s="1001" t="str">
        <f>IF($BA33,"",INDEX(C_SourceStreams!BT$61:BT$2089,MATCH($C33,C_SourceStreams!$C$61:$C$2089,0)))</f>
        <v/>
      </c>
      <c r="AV33" s="1001" t="str">
        <f>IF($BA33,"",INDEX(C_SourceStreams!BU$61:BU$2089,MATCH($C33,C_SourceStreams!$C$61:$C$2089,0)))</f>
        <v/>
      </c>
      <c r="AW33" s="1001" t="str">
        <f>IF($BA33,"",INDEX(C_SourceStreams!BV$61:BV$2089,MATCH($C33,C_SourceStreams!$C$61:$C$2089,0)))</f>
        <v/>
      </c>
      <c r="AX33" s="838" t="str">
        <f>IF($BA33,"",INDEX(C_SourceStreams!BW$61:BW$2089,MATCH($C33,C_SourceStreams!$C$61:$C$2089,0)))</f>
        <v/>
      </c>
      <c r="AY33" s="838" t="str">
        <f>IF($BA33,"",INDEX(C_SourceStreams!BX$61:BX$2089,MATCH($C33,C_SourceStreams!$C$61:$C$2089,0)))</f>
        <v/>
      </c>
      <c r="BA33" s="72" t="b">
        <f>IF(ISERROR(INDEX(C_SourceStreams!$K$28:$K$11971,MATCH(C33,C_SourceStreams!$C$28:$C$11971,0))),TRUE,INDEX(C_SourceStreams!$K$28:$K$11971,MATCH(C33,C_SourceStreams!$C$28:$C$11971,0))="")</f>
        <v>1</v>
      </c>
    </row>
    <row r="34" spans="3:53" x14ac:dyDescent="0.2">
      <c r="C34" s="835">
        <v>31</v>
      </c>
      <c r="D34" s="837" t="str">
        <f>IF($BA34,"",INDEX(C_SourceStreams!$K$61:$K$2089,MATCH($C34,C_SourceStreams!$C$61:$C$2089,0)))</f>
        <v/>
      </c>
      <c r="E34" s="837" t="str">
        <f>IF($BA34,"",INDEX(C_SourceStreams!$E$61:$E$2089,MATCH($C34,C_SourceStreams!$C$61:$C$2089,0)))</f>
        <v/>
      </c>
      <c r="F34" s="838" t="str">
        <f>IF($BA34,"",INDEX(C_SourceStreams!BH$61:BH$2089,MATCH($C34,C_SourceStreams!$C$61:$C$2089,0)))</f>
        <v/>
      </c>
      <c r="G34" s="836" t="str">
        <f>IF($BA34,"",INDEX(C_SourceStreams!BI$61:BI$2089,MATCH($C34,C_SourceStreams!$C$61:$C$2089,0)))</f>
        <v/>
      </c>
      <c r="H34" s="838" t="str">
        <f>IF($BA34,"",INDEX(C_SourceStreams!BL$61:BL$2089,MATCH($C34,C_SourceStreams!$C$61:$C$2089,0)))</f>
        <v/>
      </c>
      <c r="I34" s="836" t="str">
        <f>IF($BA34,"",INDEX(C_SourceStreams!BM$61:BM$2089,MATCH($C34,C_SourceStreams!$C$61:$C$2089,0)))</f>
        <v/>
      </c>
      <c r="J34" s="838" t="str">
        <f>IF($BA34,"",INDEX(C_SourceStreams!BJ$61:BJ$2089,MATCH($C34,C_SourceStreams!$C$61:$C$2089,0)))</f>
        <v/>
      </c>
      <c r="K34" s="836" t="str">
        <f>IF($BA34,"",INDEX(C_SourceStreams!BK$61:BK$2089,MATCH($C34,C_SourceStreams!$C$61:$C$2089,0)))</f>
        <v/>
      </c>
      <c r="L34" s="836" t="str">
        <f>IF($BA34,"",INDEX(C_SourceStreams!BP$61:BP$2089,MATCH($C34,C_SourceStreams!$C$61:$C$2089,0)))</f>
        <v/>
      </c>
      <c r="M34" s="836" t="str">
        <f>IF($BA34,"",INDEX(C_SourceStreams!BQ$61:BQ$2089,MATCH($C34,C_SourceStreams!$C$61:$C$2089,0)))</f>
        <v/>
      </c>
      <c r="N34" s="838" t="str">
        <f>IF($BA34,"",INDEX(C_SourceStreams!BN$61:BN$2089,MATCH($C34,C_SourceStreams!$C$61:$C$2089,0))*100)</f>
        <v/>
      </c>
      <c r="O34" s="839" t="str">
        <f t="shared" si="0"/>
        <v/>
      </c>
      <c r="P34" s="838" t="str">
        <f>IF($BA34,"",INDEX(C_SourceStreams!BO$61:BO$2089,MATCH($C34,C_SourceStreams!$C$61:$C$2089,0))*100)</f>
        <v/>
      </c>
      <c r="Q34" s="839" t="str">
        <f t="shared" si="1"/>
        <v/>
      </c>
      <c r="R34" s="838" t="str">
        <f>IF($BA34,"",INDEX(C_SourceStreams!BR$61:BR$2089,MATCH($C34,C_SourceStreams!$C$61:$C$2089,0))*100)</f>
        <v/>
      </c>
      <c r="S34" s="839" t="str">
        <f t="shared" si="2"/>
        <v/>
      </c>
      <c r="T34" s="838" t="str">
        <f>IF($BA34,"",INDEX(C_SourceStreams!BS$61:BS$2089,MATCH($C34,C_SourceStreams!$C$61:$C$2089,0))*100)</f>
        <v/>
      </c>
      <c r="U34" s="839" t="str">
        <f t="shared" si="3"/>
        <v/>
      </c>
      <c r="V34" s="1006"/>
      <c r="W34" s="1006"/>
      <c r="X34" s="1006"/>
      <c r="Y34" s="1006"/>
      <c r="Z34" s="1006"/>
      <c r="AA34" s="1006"/>
      <c r="AB34" s="1006"/>
      <c r="AC34" s="1006"/>
      <c r="AD34" s="1006"/>
      <c r="AE34" s="1006"/>
      <c r="AF34" s="1006"/>
      <c r="AG34" s="1006"/>
      <c r="AH34" s="1006"/>
      <c r="AI34" s="1006"/>
      <c r="AJ34" s="1006"/>
      <c r="AK34" s="1006"/>
      <c r="AL34" s="1006"/>
      <c r="AM34" s="1006"/>
      <c r="AN34" s="1006"/>
      <c r="AO34" s="1006"/>
      <c r="AP34" s="1006"/>
      <c r="AQ34" s="1006"/>
      <c r="AR34" s="1006"/>
      <c r="AS34" s="1006"/>
      <c r="AT34" s="1006"/>
      <c r="AU34" s="1001" t="str">
        <f>IF($BA34,"",INDEX(C_SourceStreams!BT$61:BT$2089,MATCH($C34,C_SourceStreams!$C$61:$C$2089,0)))</f>
        <v/>
      </c>
      <c r="AV34" s="1001" t="str">
        <f>IF($BA34,"",INDEX(C_SourceStreams!BU$61:BU$2089,MATCH($C34,C_SourceStreams!$C$61:$C$2089,0)))</f>
        <v/>
      </c>
      <c r="AW34" s="1001" t="str">
        <f>IF($BA34,"",INDEX(C_SourceStreams!BV$61:BV$2089,MATCH($C34,C_SourceStreams!$C$61:$C$2089,0)))</f>
        <v/>
      </c>
      <c r="AX34" s="838" t="str">
        <f>IF($BA34,"",INDEX(C_SourceStreams!BW$61:BW$2089,MATCH($C34,C_SourceStreams!$C$61:$C$2089,0)))</f>
        <v/>
      </c>
      <c r="AY34" s="838" t="str">
        <f>IF($BA34,"",INDEX(C_SourceStreams!BX$61:BX$2089,MATCH($C34,C_SourceStreams!$C$61:$C$2089,0)))</f>
        <v/>
      </c>
      <c r="BA34" s="72" t="b">
        <f>IF(ISERROR(INDEX(C_SourceStreams!$K$28:$K$11971,MATCH(C34,C_SourceStreams!$C$28:$C$11971,0))),TRUE,INDEX(C_SourceStreams!$K$28:$K$11971,MATCH(C34,C_SourceStreams!$C$28:$C$11971,0))="")</f>
        <v>1</v>
      </c>
    </row>
    <row r="35" spans="3:53" x14ac:dyDescent="0.2">
      <c r="C35" s="835">
        <v>32</v>
      </c>
      <c r="D35" s="837" t="str">
        <f>IF($BA35,"",INDEX(C_SourceStreams!$K$61:$K$2089,MATCH($C35,C_SourceStreams!$C$61:$C$2089,0)))</f>
        <v/>
      </c>
      <c r="E35" s="837" t="str">
        <f>IF($BA35,"",INDEX(C_SourceStreams!$E$61:$E$2089,MATCH($C35,C_SourceStreams!$C$61:$C$2089,0)))</f>
        <v/>
      </c>
      <c r="F35" s="838" t="str">
        <f>IF($BA35,"",INDEX(C_SourceStreams!BH$61:BH$2089,MATCH($C35,C_SourceStreams!$C$61:$C$2089,0)))</f>
        <v/>
      </c>
      <c r="G35" s="836" t="str">
        <f>IF($BA35,"",INDEX(C_SourceStreams!BI$61:BI$2089,MATCH($C35,C_SourceStreams!$C$61:$C$2089,0)))</f>
        <v/>
      </c>
      <c r="H35" s="838" t="str">
        <f>IF($BA35,"",INDEX(C_SourceStreams!BL$61:BL$2089,MATCH($C35,C_SourceStreams!$C$61:$C$2089,0)))</f>
        <v/>
      </c>
      <c r="I35" s="836" t="str">
        <f>IF($BA35,"",INDEX(C_SourceStreams!BM$61:BM$2089,MATCH($C35,C_SourceStreams!$C$61:$C$2089,0)))</f>
        <v/>
      </c>
      <c r="J35" s="838" t="str">
        <f>IF($BA35,"",INDEX(C_SourceStreams!BJ$61:BJ$2089,MATCH($C35,C_SourceStreams!$C$61:$C$2089,0)))</f>
        <v/>
      </c>
      <c r="K35" s="836" t="str">
        <f>IF($BA35,"",INDEX(C_SourceStreams!BK$61:BK$2089,MATCH($C35,C_SourceStreams!$C$61:$C$2089,0)))</f>
        <v/>
      </c>
      <c r="L35" s="836" t="str">
        <f>IF($BA35,"",INDEX(C_SourceStreams!BP$61:BP$2089,MATCH($C35,C_SourceStreams!$C$61:$C$2089,0)))</f>
        <v/>
      </c>
      <c r="M35" s="836" t="str">
        <f>IF($BA35,"",INDEX(C_SourceStreams!BQ$61:BQ$2089,MATCH($C35,C_SourceStreams!$C$61:$C$2089,0)))</f>
        <v/>
      </c>
      <c r="N35" s="838" t="str">
        <f>IF($BA35,"",INDEX(C_SourceStreams!BN$61:BN$2089,MATCH($C35,C_SourceStreams!$C$61:$C$2089,0))*100)</f>
        <v/>
      </c>
      <c r="O35" s="839" t="str">
        <f t="shared" si="0"/>
        <v/>
      </c>
      <c r="P35" s="838" t="str">
        <f>IF($BA35,"",INDEX(C_SourceStreams!BO$61:BO$2089,MATCH($C35,C_SourceStreams!$C$61:$C$2089,0))*100)</f>
        <v/>
      </c>
      <c r="Q35" s="839" t="str">
        <f t="shared" si="1"/>
        <v/>
      </c>
      <c r="R35" s="838" t="str">
        <f>IF($BA35,"",INDEX(C_SourceStreams!BR$61:BR$2089,MATCH($C35,C_SourceStreams!$C$61:$C$2089,0))*100)</f>
        <v/>
      </c>
      <c r="S35" s="839" t="str">
        <f t="shared" si="2"/>
        <v/>
      </c>
      <c r="T35" s="838" t="str">
        <f>IF($BA35,"",INDEX(C_SourceStreams!BS$61:BS$2089,MATCH($C35,C_SourceStreams!$C$61:$C$2089,0))*100)</f>
        <v/>
      </c>
      <c r="U35" s="839" t="str">
        <f t="shared" si="3"/>
        <v/>
      </c>
      <c r="V35" s="1006"/>
      <c r="W35" s="1006"/>
      <c r="X35" s="1006"/>
      <c r="Y35" s="1006"/>
      <c r="Z35" s="1006"/>
      <c r="AA35" s="1006"/>
      <c r="AB35" s="1006"/>
      <c r="AC35" s="1006"/>
      <c r="AD35" s="1006"/>
      <c r="AE35" s="1006"/>
      <c r="AF35" s="1006"/>
      <c r="AG35" s="1006"/>
      <c r="AH35" s="1006"/>
      <c r="AI35" s="1006"/>
      <c r="AJ35" s="1006"/>
      <c r="AK35" s="1006"/>
      <c r="AL35" s="1006"/>
      <c r="AM35" s="1006"/>
      <c r="AN35" s="1006"/>
      <c r="AO35" s="1006"/>
      <c r="AP35" s="1006"/>
      <c r="AQ35" s="1006"/>
      <c r="AR35" s="1006"/>
      <c r="AS35" s="1006"/>
      <c r="AT35" s="1006"/>
      <c r="AU35" s="1001" t="str">
        <f>IF($BA35,"",INDEX(C_SourceStreams!BT$61:BT$2089,MATCH($C35,C_SourceStreams!$C$61:$C$2089,0)))</f>
        <v/>
      </c>
      <c r="AV35" s="1001" t="str">
        <f>IF($BA35,"",INDEX(C_SourceStreams!BU$61:BU$2089,MATCH($C35,C_SourceStreams!$C$61:$C$2089,0)))</f>
        <v/>
      </c>
      <c r="AW35" s="1001" t="str">
        <f>IF($BA35,"",INDEX(C_SourceStreams!BV$61:BV$2089,MATCH($C35,C_SourceStreams!$C$61:$C$2089,0)))</f>
        <v/>
      </c>
      <c r="AX35" s="838" t="str">
        <f>IF($BA35,"",INDEX(C_SourceStreams!BW$61:BW$2089,MATCH($C35,C_SourceStreams!$C$61:$C$2089,0)))</f>
        <v/>
      </c>
      <c r="AY35" s="838" t="str">
        <f>IF($BA35,"",INDEX(C_SourceStreams!BX$61:BX$2089,MATCH($C35,C_SourceStreams!$C$61:$C$2089,0)))</f>
        <v/>
      </c>
      <c r="BA35" s="72" t="b">
        <f>IF(ISERROR(INDEX(C_SourceStreams!$K$28:$K$11971,MATCH(C35,C_SourceStreams!$C$28:$C$11971,0))),TRUE,INDEX(C_SourceStreams!$K$28:$K$11971,MATCH(C35,C_SourceStreams!$C$28:$C$11971,0))="")</f>
        <v>1</v>
      </c>
    </row>
    <row r="36" spans="3:53" x14ac:dyDescent="0.2">
      <c r="C36" s="835">
        <v>33</v>
      </c>
      <c r="D36" s="837" t="str">
        <f>IF($BA36,"",INDEX(C_SourceStreams!$K$61:$K$2089,MATCH($C36,C_SourceStreams!$C$61:$C$2089,0)))</f>
        <v/>
      </c>
      <c r="E36" s="837" t="str">
        <f>IF($BA36,"",INDEX(C_SourceStreams!$E$61:$E$2089,MATCH($C36,C_SourceStreams!$C$61:$C$2089,0)))</f>
        <v/>
      </c>
      <c r="F36" s="838" t="str">
        <f>IF($BA36,"",INDEX(C_SourceStreams!BH$61:BH$2089,MATCH($C36,C_SourceStreams!$C$61:$C$2089,0)))</f>
        <v/>
      </c>
      <c r="G36" s="836" t="str">
        <f>IF($BA36,"",INDEX(C_SourceStreams!BI$61:BI$2089,MATCH($C36,C_SourceStreams!$C$61:$C$2089,0)))</f>
        <v/>
      </c>
      <c r="H36" s="838" t="str">
        <f>IF($BA36,"",INDEX(C_SourceStreams!BL$61:BL$2089,MATCH($C36,C_SourceStreams!$C$61:$C$2089,0)))</f>
        <v/>
      </c>
      <c r="I36" s="836" t="str">
        <f>IF($BA36,"",INDEX(C_SourceStreams!BM$61:BM$2089,MATCH($C36,C_SourceStreams!$C$61:$C$2089,0)))</f>
        <v/>
      </c>
      <c r="J36" s="838" t="str">
        <f>IF($BA36,"",INDEX(C_SourceStreams!BJ$61:BJ$2089,MATCH($C36,C_SourceStreams!$C$61:$C$2089,0)))</f>
        <v/>
      </c>
      <c r="K36" s="836" t="str">
        <f>IF($BA36,"",INDEX(C_SourceStreams!BK$61:BK$2089,MATCH($C36,C_SourceStreams!$C$61:$C$2089,0)))</f>
        <v/>
      </c>
      <c r="L36" s="836" t="str">
        <f>IF($BA36,"",INDEX(C_SourceStreams!BP$61:BP$2089,MATCH($C36,C_SourceStreams!$C$61:$C$2089,0)))</f>
        <v/>
      </c>
      <c r="M36" s="836" t="str">
        <f>IF($BA36,"",INDEX(C_SourceStreams!BQ$61:BQ$2089,MATCH($C36,C_SourceStreams!$C$61:$C$2089,0)))</f>
        <v/>
      </c>
      <c r="N36" s="838" t="str">
        <f>IF($BA36,"",INDEX(C_SourceStreams!BN$61:BN$2089,MATCH($C36,C_SourceStreams!$C$61:$C$2089,0))*100)</f>
        <v/>
      </c>
      <c r="O36" s="839" t="str">
        <f t="shared" si="0"/>
        <v/>
      </c>
      <c r="P36" s="838" t="str">
        <f>IF($BA36,"",INDEX(C_SourceStreams!BO$61:BO$2089,MATCH($C36,C_SourceStreams!$C$61:$C$2089,0))*100)</f>
        <v/>
      </c>
      <c r="Q36" s="839" t="str">
        <f t="shared" si="1"/>
        <v/>
      </c>
      <c r="R36" s="838" t="str">
        <f>IF($BA36,"",INDEX(C_SourceStreams!BR$61:BR$2089,MATCH($C36,C_SourceStreams!$C$61:$C$2089,0))*100)</f>
        <v/>
      </c>
      <c r="S36" s="839" t="str">
        <f t="shared" si="2"/>
        <v/>
      </c>
      <c r="T36" s="838" t="str">
        <f>IF($BA36,"",INDEX(C_SourceStreams!BS$61:BS$2089,MATCH($C36,C_SourceStreams!$C$61:$C$2089,0))*100)</f>
        <v/>
      </c>
      <c r="U36" s="839" t="str">
        <f t="shared" si="3"/>
        <v/>
      </c>
      <c r="V36" s="1006"/>
      <c r="W36" s="1006"/>
      <c r="X36" s="1006"/>
      <c r="Y36" s="1006"/>
      <c r="Z36" s="1006"/>
      <c r="AA36" s="1006"/>
      <c r="AB36" s="1006"/>
      <c r="AC36" s="1006"/>
      <c r="AD36" s="1006"/>
      <c r="AE36" s="1006"/>
      <c r="AF36" s="1006"/>
      <c r="AG36" s="1006"/>
      <c r="AH36" s="1006"/>
      <c r="AI36" s="1006"/>
      <c r="AJ36" s="1006"/>
      <c r="AK36" s="1006"/>
      <c r="AL36" s="1006"/>
      <c r="AM36" s="1006"/>
      <c r="AN36" s="1006"/>
      <c r="AO36" s="1006"/>
      <c r="AP36" s="1006"/>
      <c r="AQ36" s="1006"/>
      <c r="AR36" s="1006"/>
      <c r="AS36" s="1006"/>
      <c r="AT36" s="1006"/>
      <c r="AU36" s="1001" t="str">
        <f>IF($BA36,"",INDEX(C_SourceStreams!BT$61:BT$2089,MATCH($C36,C_SourceStreams!$C$61:$C$2089,0)))</f>
        <v/>
      </c>
      <c r="AV36" s="1001" t="str">
        <f>IF($BA36,"",INDEX(C_SourceStreams!BU$61:BU$2089,MATCH($C36,C_SourceStreams!$C$61:$C$2089,0)))</f>
        <v/>
      </c>
      <c r="AW36" s="1001" t="str">
        <f>IF($BA36,"",INDEX(C_SourceStreams!BV$61:BV$2089,MATCH($C36,C_SourceStreams!$C$61:$C$2089,0)))</f>
        <v/>
      </c>
      <c r="AX36" s="838" t="str">
        <f>IF($BA36,"",INDEX(C_SourceStreams!BW$61:BW$2089,MATCH($C36,C_SourceStreams!$C$61:$C$2089,0)))</f>
        <v/>
      </c>
      <c r="AY36" s="838" t="str">
        <f>IF($BA36,"",INDEX(C_SourceStreams!BX$61:BX$2089,MATCH($C36,C_SourceStreams!$C$61:$C$2089,0)))</f>
        <v/>
      </c>
      <c r="BA36" s="72" t="b">
        <f>IF(ISERROR(INDEX(C_SourceStreams!$K$28:$K$11971,MATCH(C36,C_SourceStreams!$C$28:$C$11971,0))),TRUE,INDEX(C_SourceStreams!$K$28:$K$11971,MATCH(C36,C_SourceStreams!$C$28:$C$11971,0))="")</f>
        <v>1</v>
      </c>
    </row>
    <row r="37" spans="3:53" x14ac:dyDescent="0.2">
      <c r="C37" s="835">
        <v>34</v>
      </c>
      <c r="D37" s="837" t="str">
        <f>IF($BA37,"",INDEX(C_SourceStreams!$K$61:$K$2089,MATCH($C37,C_SourceStreams!$C$61:$C$2089,0)))</f>
        <v/>
      </c>
      <c r="E37" s="837" t="str">
        <f>IF($BA37,"",INDEX(C_SourceStreams!$E$61:$E$2089,MATCH($C37,C_SourceStreams!$C$61:$C$2089,0)))</f>
        <v/>
      </c>
      <c r="F37" s="838" t="str">
        <f>IF($BA37,"",INDEX(C_SourceStreams!BH$61:BH$2089,MATCH($C37,C_SourceStreams!$C$61:$C$2089,0)))</f>
        <v/>
      </c>
      <c r="G37" s="836" t="str">
        <f>IF($BA37,"",INDEX(C_SourceStreams!BI$61:BI$2089,MATCH($C37,C_SourceStreams!$C$61:$C$2089,0)))</f>
        <v/>
      </c>
      <c r="H37" s="838" t="str">
        <f>IF($BA37,"",INDEX(C_SourceStreams!BL$61:BL$2089,MATCH($C37,C_SourceStreams!$C$61:$C$2089,0)))</f>
        <v/>
      </c>
      <c r="I37" s="836" t="str">
        <f>IF($BA37,"",INDEX(C_SourceStreams!BM$61:BM$2089,MATCH($C37,C_SourceStreams!$C$61:$C$2089,0)))</f>
        <v/>
      </c>
      <c r="J37" s="838" t="str">
        <f>IF($BA37,"",INDEX(C_SourceStreams!BJ$61:BJ$2089,MATCH($C37,C_SourceStreams!$C$61:$C$2089,0)))</f>
        <v/>
      </c>
      <c r="K37" s="836" t="str">
        <f>IF($BA37,"",INDEX(C_SourceStreams!BK$61:BK$2089,MATCH($C37,C_SourceStreams!$C$61:$C$2089,0)))</f>
        <v/>
      </c>
      <c r="L37" s="836" t="str">
        <f>IF($BA37,"",INDEX(C_SourceStreams!BP$61:BP$2089,MATCH($C37,C_SourceStreams!$C$61:$C$2089,0)))</f>
        <v/>
      </c>
      <c r="M37" s="836" t="str">
        <f>IF($BA37,"",INDEX(C_SourceStreams!BQ$61:BQ$2089,MATCH($C37,C_SourceStreams!$C$61:$C$2089,0)))</f>
        <v/>
      </c>
      <c r="N37" s="838" t="str">
        <f>IF($BA37,"",INDEX(C_SourceStreams!BN$61:BN$2089,MATCH($C37,C_SourceStreams!$C$61:$C$2089,0))*100)</f>
        <v/>
      </c>
      <c r="O37" s="839" t="str">
        <f t="shared" si="0"/>
        <v/>
      </c>
      <c r="P37" s="838" t="str">
        <f>IF($BA37,"",INDEX(C_SourceStreams!BO$61:BO$2089,MATCH($C37,C_SourceStreams!$C$61:$C$2089,0))*100)</f>
        <v/>
      </c>
      <c r="Q37" s="839" t="str">
        <f t="shared" si="1"/>
        <v/>
      </c>
      <c r="R37" s="838" t="str">
        <f>IF($BA37,"",INDEX(C_SourceStreams!BR$61:BR$2089,MATCH($C37,C_SourceStreams!$C$61:$C$2089,0))*100)</f>
        <v/>
      </c>
      <c r="S37" s="839" t="str">
        <f t="shared" si="2"/>
        <v/>
      </c>
      <c r="T37" s="838" t="str">
        <f>IF($BA37,"",INDEX(C_SourceStreams!BS$61:BS$2089,MATCH($C37,C_SourceStreams!$C$61:$C$2089,0))*100)</f>
        <v/>
      </c>
      <c r="U37" s="839" t="str">
        <f t="shared" si="3"/>
        <v/>
      </c>
      <c r="V37" s="1006"/>
      <c r="W37" s="1006"/>
      <c r="X37" s="1006"/>
      <c r="Y37" s="1006"/>
      <c r="Z37" s="1006"/>
      <c r="AA37" s="1006"/>
      <c r="AB37" s="1006"/>
      <c r="AC37" s="1006"/>
      <c r="AD37" s="1006"/>
      <c r="AE37" s="1006"/>
      <c r="AF37" s="1006"/>
      <c r="AG37" s="1006"/>
      <c r="AH37" s="1006"/>
      <c r="AI37" s="1006"/>
      <c r="AJ37" s="1006"/>
      <c r="AK37" s="1006"/>
      <c r="AL37" s="1006"/>
      <c r="AM37" s="1006"/>
      <c r="AN37" s="1006"/>
      <c r="AO37" s="1006"/>
      <c r="AP37" s="1006"/>
      <c r="AQ37" s="1006"/>
      <c r="AR37" s="1006"/>
      <c r="AS37" s="1006"/>
      <c r="AT37" s="1006"/>
      <c r="AU37" s="1001" t="str">
        <f>IF($BA37,"",INDEX(C_SourceStreams!BT$61:BT$2089,MATCH($C37,C_SourceStreams!$C$61:$C$2089,0)))</f>
        <v/>
      </c>
      <c r="AV37" s="1001" t="str">
        <f>IF($BA37,"",INDEX(C_SourceStreams!BU$61:BU$2089,MATCH($C37,C_SourceStreams!$C$61:$C$2089,0)))</f>
        <v/>
      </c>
      <c r="AW37" s="1001" t="str">
        <f>IF($BA37,"",INDEX(C_SourceStreams!BV$61:BV$2089,MATCH($C37,C_SourceStreams!$C$61:$C$2089,0)))</f>
        <v/>
      </c>
      <c r="AX37" s="838" t="str">
        <f>IF($BA37,"",INDEX(C_SourceStreams!BW$61:BW$2089,MATCH($C37,C_SourceStreams!$C$61:$C$2089,0)))</f>
        <v/>
      </c>
      <c r="AY37" s="838" t="str">
        <f>IF($BA37,"",INDEX(C_SourceStreams!BX$61:BX$2089,MATCH($C37,C_SourceStreams!$C$61:$C$2089,0)))</f>
        <v/>
      </c>
      <c r="BA37" s="72" t="b">
        <f>IF(ISERROR(INDEX(C_SourceStreams!$K$28:$K$11971,MATCH(C37,C_SourceStreams!$C$28:$C$11971,0))),TRUE,INDEX(C_SourceStreams!$K$28:$K$11971,MATCH(C37,C_SourceStreams!$C$28:$C$11971,0))="")</f>
        <v>1</v>
      </c>
    </row>
    <row r="38" spans="3:53" x14ac:dyDescent="0.2">
      <c r="C38" s="835">
        <v>35</v>
      </c>
      <c r="D38" s="837" t="str">
        <f>IF($BA38,"",INDEX(C_SourceStreams!$K$61:$K$2089,MATCH($C38,C_SourceStreams!$C$61:$C$2089,0)))</f>
        <v/>
      </c>
      <c r="E38" s="837" t="str">
        <f>IF($BA38,"",INDEX(C_SourceStreams!$E$61:$E$2089,MATCH($C38,C_SourceStreams!$C$61:$C$2089,0)))</f>
        <v/>
      </c>
      <c r="F38" s="838" t="str">
        <f>IF($BA38,"",INDEX(C_SourceStreams!BH$61:BH$2089,MATCH($C38,C_SourceStreams!$C$61:$C$2089,0)))</f>
        <v/>
      </c>
      <c r="G38" s="836" t="str">
        <f>IF($BA38,"",INDEX(C_SourceStreams!BI$61:BI$2089,MATCH($C38,C_SourceStreams!$C$61:$C$2089,0)))</f>
        <v/>
      </c>
      <c r="H38" s="838" t="str">
        <f>IF($BA38,"",INDEX(C_SourceStreams!BL$61:BL$2089,MATCH($C38,C_SourceStreams!$C$61:$C$2089,0)))</f>
        <v/>
      </c>
      <c r="I38" s="836" t="str">
        <f>IF($BA38,"",INDEX(C_SourceStreams!BM$61:BM$2089,MATCH($C38,C_SourceStreams!$C$61:$C$2089,0)))</f>
        <v/>
      </c>
      <c r="J38" s="838" t="str">
        <f>IF($BA38,"",INDEX(C_SourceStreams!BJ$61:BJ$2089,MATCH($C38,C_SourceStreams!$C$61:$C$2089,0)))</f>
        <v/>
      </c>
      <c r="K38" s="836" t="str">
        <f>IF($BA38,"",INDEX(C_SourceStreams!BK$61:BK$2089,MATCH($C38,C_SourceStreams!$C$61:$C$2089,0)))</f>
        <v/>
      </c>
      <c r="L38" s="836" t="str">
        <f>IF($BA38,"",INDEX(C_SourceStreams!BP$61:BP$2089,MATCH($C38,C_SourceStreams!$C$61:$C$2089,0)))</f>
        <v/>
      </c>
      <c r="M38" s="836" t="str">
        <f>IF($BA38,"",INDEX(C_SourceStreams!BQ$61:BQ$2089,MATCH($C38,C_SourceStreams!$C$61:$C$2089,0)))</f>
        <v/>
      </c>
      <c r="N38" s="838" t="str">
        <f>IF($BA38,"",INDEX(C_SourceStreams!BN$61:BN$2089,MATCH($C38,C_SourceStreams!$C$61:$C$2089,0))*100)</f>
        <v/>
      </c>
      <c r="O38" s="839" t="str">
        <f t="shared" si="0"/>
        <v/>
      </c>
      <c r="P38" s="838" t="str">
        <f>IF($BA38,"",INDEX(C_SourceStreams!BO$61:BO$2089,MATCH($C38,C_SourceStreams!$C$61:$C$2089,0))*100)</f>
        <v/>
      </c>
      <c r="Q38" s="839" t="str">
        <f t="shared" si="1"/>
        <v/>
      </c>
      <c r="R38" s="838" t="str">
        <f>IF($BA38,"",INDEX(C_SourceStreams!BR$61:BR$2089,MATCH($C38,C_SourceStreams!$C$61:$C$2089,0))*100)</f>
        <v/>
      </c>
      <c r="S38" s="839" t="str">
        <f t="shared" si="2"/>
        <v/>
      </c>
      <c r="T38" s="838" t="str">
        <f>IF($BA38,"",INDEX(C_SourceStreams!BS$61:BS$2089,MATCH($C38,C_SourceStreams!$C$61:$C$2089,0))*100)</f>
        <v/>
      </c>
      <c r="U38" s="839" t="str">
        <f t="shared" si="3"/>
        <v/>
      </c>
      <c r="V38" s="1006"/>
      <c r="W38" s="1006"/>
      <c r="X38" s="1006"/>
      <c r="Y38" s="1006"/>
      <c r="Z38" s="1006"/>
      <c r="AA38" s="1006"/>
      <c r="AB38" s="1006"/>
      <c r="AC38" s="1006"/>
      <c r="AD38" s="1006"/>
      <c r="AE38" s="1006"/>
      <c r="AF38" s="1006"/>
      <c r="AG38" s="1006"/>
      <c r="AH38" s="1006"/>
      <c r="AI38" s="1006"/>
      <c r="AJ38" s="1006"/>
      <c r="AK38" s="1006"/>
      <c r="AL38" s="1006"/>
      <c r="AM38" s="1006"/>
      <c r="AN38" s="1006"/>
      <c r="AO38" s="1006"/>
      <c r="AP38" s="1006"/>
      <c r="AQ38" s="1006"/>
      <c r="AR38" s="1006"/>
      <c r="AS38" s="1006"/>
      <c r="AT38" s="1006"/>
      <c r="AU38" s="1001" t="str">
        <f>IF($BA38,"",INDEX(C_SourceStreams!BT$61:BT$2089,MATCH($C38,C_SourceStreams!$C$61:$C$2089,0)))</f>
        <v/>
      </c>
      <c r="AV38" s="1001" t="str">
        <f>IF($BA38,"",INDEX(C_SourceStreams!BU$61:BU$2089,MATCH($C38,C_SourceStreams!$C$61:$C$2089,0)))</f>
        <v/>
      </c>
      <c r="AW38" s="1001" t="str">
        <f>IF($BA38,"",INDEX(C_SourceStreams!BV$61:BV$2089,MATCH($C38,C_SourceStreams!$C$61:$C$2089,0)))</f>
        <v/>
      </c>
      <c r="AX38" s="838" t="str">
        <f>IF($BA38,"",INDEX(C_SourceStreams!BW$61:BW$2089,MATCH($C38,C_SourceStreams!$C$61:$C$2089,0)))</f>
        <v/>
      </c>
      <c r="AY38" s="838" t="str">
        <f>IF($BA38,"",INDEX(C_SourceStreams!BX$61:BX$2089,MATCH($C38,C_SourceStreams!$C$61:$C$2089,0)))</f>
        <v/>
      </c>
      <c r="BA38" s="72" t="b">
        <f>IF(ISERROR(INDEX(C_SourceStreams!$K$28:$K$11971,MATCH(C38,C_SourceStreams!$C$28:$C$11971,0))),TRUE,INDEX(C_SourceStreams!$K$28:$K$11971,MATCH(C38,C_SourceStreams!$C$28:$C$11971,0))="")</f>
        <v>1</v>
      </c>
    </row>
    <row r="39" spans="3:53" x14ac:dyDescent="0.2">
      <c r="C39" s="835">
        <v>36</v>
      </c>
      <c r="D39" s="837" t="str">
        <f>IF($BA39,"",INDEX(C_SourceStreams!$K$61:$K$2089,MATCH($C39,C_SourceStreams!$C$61:$C$2089,0)))</f>
        <v/>
      </c>
      <c r="E39" s="837" t="str">
        <f>IF($BA39,"",INDEX(C_SourceStreams!$E$61:$E$2089,MATCH($C39,C_SourceStreams!$C$61:$C$2089,0)))</f>
        <v/>
      </c>
      <c r="F39" s="838" t="str">
        <f>IF($BA39,"",INDEX(C_SourceStreams!BH$61:BH$2089,MATCH($C39,C_SourceStreams!$C$61:$C$2089,0)))</f>
        <v/>
      </c>
      <c r="G39" s="836" t="str">
        <f>IF($BA39,"",INDEX(C_SourceStreams!BI$61:BI$2089,MATCH($C39,C_SourceStreams!$C$61:$C$2089,0)))</f>
        <v/>
      </c>
      <c r="H39" s="838" t="str">
        <f>IF($BA39,"",INDEX(C_SourceStreams!BL$61:BL$2089,MATCH($C39,C_SourceStreams!$C$61:$C$2089,0)))</f>
        <v/>
      </c>
      <c r="I39" s="836" t="str">
        <f>IF($BA39,"",INDEX(C_SourceStreams!BM$61:BM$2089,MATCH($C39,C_SourceStreams!$C$61:$C$2089,0)))</f>
        <v/>
      </c>
      <c r="J39" s="838" t="str">
        <f>IF($BA39,"",INDEX(C_SourceStreams!BJ$61:BJ$2089,MATCH($C39,C_SourceStreams!$C$61:$C$2089,0)))</f>
        <v/>
      </c>
      <c r="K39" s="836" t="str">
        <f>IF($BA39,"",INDEX(C_SourceStreams!BK$61:BK$2089,MATCH($C39,C_SourceStreams!$C$61:$C$2089,0)))</f>
        <v/>
      </c>
      <c r="L39" s="836" t="str">
        <f>IF($BA39,"",INDEX(C_SourceStreams!BP$61:BP$2089,MATCH($C39,C_SourceStreams!$C$61:$C$2089,0)))</f>
        <v/>
      </c>
      <c r="M39" s="836" t="str">
        <f>IF($BA39,"",INDEX(C_SourceStreams!BQ$61:BQ$2089,MATCH($C39,C_SourceStreams!$C$61:$C$2089,0)))</f>
        <v/>
      </c>
      <c r="N39" s="838" t="str">
        <f>IF($BA39,"",INDEX(C_SourceStreams!BN$61:BN$2089,MATCH($C39,C_SourceStreams!$C$61:$C$2089,0))*100)</f>
        <v/>
      </c>
      <c r="O39" s="839" t="str">
        <f t="shared" si="0"/>
        <v/>
      </c>
      <c r="P39" s="838" t="str">
        <f>IF($BA39,"",INDEX(C_SourceStreams!BO$61:BO$2089,MATCH($C39,C_SourceStreams!$C$61:$C$2089,0))*100)</f>
        <v/>
      </c>
      <c r="Q39" s="839" t="str">
        <f t="shared" si="1"/>
        <v/>
      </c>
      <c r="R39" s="838" t="str">
        <f>IF($BA39,"",INDEX(C_SourceStreams!BR$61:BR$2089,MATCH($C39,C_SourceStreams!$C$61:$C$2089,0))*100)</f>
        <v/>
      </c>
      <c r="S39" s="839" t="str">
        <f t="shared" si="2"/>
        <v/>
      </c>
      <c r="T39" s="838" t="str">
        <f>IF($BA39,"",INDEX(C_SourceStreams!BS$61:BS$2089,MATCH($C39,C_SourceStreams!$C$61:$C$2089,0))*100)</f>
        <v/>
      </c>
      <c r="U39" s="839" t="str">
        <f t="shared" si="3"/>
        <v/>
      </c>
      <c r="V39" s="1006"/>
      <c r="W39" s="1006"/>
      <c r="X39" s="1006"/>
      <c r="Y39" s="1006"/>
      <c r="Z39" s="1006"/>
      <c r="AA39" s="1006"/>
      <c r="AB39" s="1006"/>
      <c r="AC39" s="1006"/>
      <c r="AD39" s="1006"/>
      <c r="AE39" s="1006"/>
      <c r="AF39" s="1006"/>
      <c r="AG39" s="1006"/>
      <c r="AH39" s="1006"/>
      <c r="AI39" s="1006"/>
      <c r="AJ39" s="1006"/>
      <c r="AK39" s="1006"/>
      <c r="AL39" s="1006"/>
      <c r="AM39" s="1006"/>
      <c r="AN39" s="1006"/>
      <c r="AO39" s="1006"/>
      <c r="AP39" s="1006"/>
      <c r="AQ39" s="1006"/>
      <c r="AR39" s="1006"/>
      <c r="AS39" s="1006"/>
      <c r="AT39" s="1006"/>
      <c r="AU39" s="1001" t="str">
        <f>IF($BA39,"",INDEX(C_SourceStreams!BT$61:BT$2089,MATCH($C39,C_SourceStreams!$C$61:$C$2089,0)))</f>
        <v/>
      </c>
      <c r="AV39" s="1001" t="str">
        <f>IF($BA39,"",INDEX(C_SourceStreams!BU$61:BU$2089,MATCH($C39,C_SourceStreams!$C$61:$C$2089,0)))</f>
        <v/>
      </c>
      <c r="AW39" s="1001" t="str">
        <f>IF($BA39,"",INDEX(C_SourceStreams!BV$61:BV$2089,MATCH($C39,C_SourceStreams!$C$61:$C$2089,0)))</f>
        <v/>
      </c>
      <c r="AX39" s="838" t="str">
        <f>IF($BA39,"",INDEX(C_SourceStreams!BW$61:BW$2089,MATCH($C39,C_SourceStreams!$C$61:$C$2089,0)))</f>
        <v/>
      </c>
      <c r="AY39" s="838" t="str">
        <f>IF($BA39,"",INDEX(C_SourceStreams!BX$61:BX$2089,MATCH($C39,C_SourceStreams!$C$61:$C$2089,0)))</f>
        <v/>
      </c>
      <c r="BA39" s="72" t="b">
        <f>IF(ISERROR(INDEX(C_SourceStreams!$K$28:$K$11971,MATCH(C39,C_SourceStreams!$C$28:$C$11971,0))),TRUE,INDEX(C_SourceStreams!$K$28:$K$11971,MATCH(C39,C_SourceStreams!$C$28:$C$11971,0))="")</f>
        <v>1</v>
      </c>
    </row>
    <row r="40" spans="3:53" x14ac:dyDescent="0.2">
      <c r="C40" s="835">
        <v>37</v>
      </c>
      <c r="D40" s="837" t="str">
        <f>IF($BA40,"",INDEX(C_SourceStreams!$K$61:$K$2089,MATCH($C40,C_SourceStreams!$C$61:$C$2089,0)))</f>
        <v/>
      </c>
      <c r="E40" s="837" t="str">
        <f>IF($BA40,"",INDEX(C_SourceStreams!$E$61:$E$2089,MATCH($C40,C_SourceStreams!$C$61:$C$2089,0)))</f>
        <v/>
      </c>
      <c r="F40" s="838" t="str">
        <f>IF($BA40,"",INDEX(C_SourceStreams!BH$61:BH$2089,MATCH($C40,C_SourceStreams!$C$61:$C$2089,0)))</f>
        <v/>
      </c>
      <c r="G40" s="836" t="str">
        <f>IF($BA40,"",INDEX(C_SourceStreams!BI$61:BI$2089,MATCH($C40,C_SourceStreams!$C$61:$C$2089,0)))</f>
        <v/>
      </c>
      <c r="H40" s="838" t="str">
        <f>IF($BA40,"",INDEX(C_SourceStreams!BL$61:BL$2089,MATCH($C40,C_SourceStreams!$C$61:$C$2089,0)))</f>
        <v/>
      </c>
      <c r="I40" s="836" t="str">
        <f>IF($BA40,"",INDEX(C_SourceStreams!BM$61:BM$2089,MATCH($C40,C_SourceStreams!$C$61:$C$2089,0)))</f>
        <v/>
      </c>
      <c r="J40" s="838" t="str">
        <f>IF($BA40,"",INDEX(C_SourceStreams!BJ$61:BJ$2089,MATCH($C40,C_SourceStreams!$C$61:$C$2089,0)))</f>
        <v/>
      </c>
      <c r="K40" s="836" t="str">
        <f>IF($BA40,"",INDEX(C_SourceStreams!BK$61:BK$2089,MATCH($C40,C_SourceStreams!$C$61:$C$2089,0)))</f>
        <v/>
      </c>
      <c r="L40" s="836" t="str">
        <f>IF($BA40,"",INDEX(C_SourceStreams!BP$61:BP$2089,MATCH($C40,C_SourceStreams!$C$61:$C$2089,0)))</f>
        <v/>
      </c>
      <c r="M40" s="836" t="str">
        <f>IF($BA40,"",INDEX(C_SourceStreams!BQ$61:BQ$2089,MATCH($C40,C_SourceStreams!$C$61:$C$2089,0)))</f>
        <v/>
      </c>
      <c r="N40" s="838" t="str">
        <f>IF($BA40,"",INDEX(C_SourceStreams!BN$61:BN$2089,MATCH($C40,C_SourceStreams!$C$61:$C$2089,0))*100)</f>
        <v/>
      </c>
      <c r="O40" s="839" t="str">
        <f t="shared" si="0"/>
        <v/>
      </c>
      <c r="P40" s="838" t="str">
        <f>IF($BA40,"",INDEX(C_SourceStreams!BO$61:BO$2089,MATCH($C40,C_SourceStreams!$C$61:$C$2089,0))*100)</f>
        <v/>
      </c>
      <c r="Q40" s="839" t="str">
        <f t="shared" si="1"/>
        <v/>
      </c>
      <c r="R40" s="838" t="str">
        <f>IF($BA40,"",INDEX(C_SourceStreams!BR$61:BR$2089,MATCH($C40,C_SourceStreams!$C$61:$C$2089,0))*100)</f>
        <v/>
      </c>
      <c r="S40" s="839" t="str">
        <f t="shared" si="2"/>
        <v/>
      </c>
      <c r="T40" s="838" t="str">
        <f>IF($BA40,"",INDEX(C_SourceStreams!BS$61:BS$2089,MATCH($C40,C_SourceStreams!$C$61:$C$2089,0))*100)</f>
        <v/>
      </c>
      <c r="U40" s="839" t="str">
        <f t="shared" si="3"/>
        <v/>
      </c>
      <c r="V40" s="1006"/>
      <c r="W40" s="1006"/>
      <c r="X40" s="1006"/>
      <c r="Y40" s="1006"/>
      <c r="Z40" s="1006"/>
      <c r="AA40" s="1006"/>
      <c r="AB40" s="1006"/>
      <c r="AC40" s="1006"/>
      <c r="AD40" s="1006"/>
      <c r="AE40" s="1006"/>
      <c r="AF40" s="1006"/>
      <c r="AG40" s="1006"/>
      <c r="AH40" s="1006"/>
      <c r="AI40" s="1006"/>
      <c r="AJ40" s="1006"/>
      <c r="AK40" s="1006"/>
      <c r="AL40" s="1006"/>
      <c r="AM40" s="1006"/>
      <c r="AN40" s="1006"/>
      <c r="AO40" s="1006"/>
      <c r="AP40" s="1006"/>
      <c r="AQ40" s="1006"/>
      <c r="AR40" s="1006"/>
      <c r="AS40" s="1006"/>
      <c r="AT40" s="1006"/>
      <c r="AU40" s="1001" t="str">
        <f>IF($BA40,"",INDEX(C_SourceStreams!BT$61:BT$2089,MATCH($C40,C_SourceStreams!$C$61:$C$2089,0)))</f>
        <v/>
      </c>
      <c r="AV40" s="1001" t="str">
        <f>IF($BA40,"",INDEX(C_SourceStreams!BU$61:BU$2089,MATCH($C40,C_SourceStreams!$C$61:$C$2089,0)))</f>
        <v/>
      </c>
      <c r="AW40" s="1001" t="str">
        <f>IF($BA40,"",INDEX(C_SourceStreams!BV$61:BV$2089,MATCH($C40,C_SourceStreams!$C$61:$C$2089,0)))</f>
        <v/>
      </c>
      <c r="AX40" s="838" t="str">
        <f>IF($BA40,"",INDEX(C_SourceStreams!BW$61:BW$2089,MATCH($C40,C_SourceStreams!$C$61:$C$2089,0)))</f>
        <v/>
      </c>
      <c r="AY40" s="838" t="str">
        <f>IF($BA40,"",INDEX(C_SourceStreams!BX$61:BX$2089,MATCH($C40,C_SourceStreams!$C$61:$C$2089,0)))</f>
        <v/>
      </c>
      <c r="BA40" s="72" t="b">
        <f>IF(ISERROR(INDEX(C_SourceStreams!$K$28:$K$11971,MATCH(C40,C_SourceStreams!$C$28:$C$11971,0))),TRUE,INDEX(C_SourceStreams!$K$28:$K$11971,MATCH(C40,C_SourceStreams!$C$28:$C$11971,0))="")</f>
        <v>1</v>
      </c>
    </row>
    <row r="41" spans="3:53" x14ac:dyDescent="0.2">
      <c r="C41" s="835">
        <v>38</v>
      </c>
      <c r="D41" s="837" t="str">
        <f>IF($BA41,"",INDEX(C_SourceStreams!$K$61:$K$2089,MATCH($C41,C_SourceStreams!$C$61:$C$2089,0)))</f>
        <v/>
      </c>
      <c r="E41" s="837" t="str">
        <f>IF($BA41,"",INDEX(C_SourceStreams!$E$61:$E$2089,MATCH($C41,C_SourceStreams!$C$61:$C$2089,0)))</f>
        <v/>
      </c>
      <c r="F41" s="838" t="str">
        <f>IF($BA41,"",INDEX(C_SourceStreams!BH$61:BH$2089,MATCH($C41,C_SourceStreams!$C$61:$C$2089,0)))</f>
        <v/>
      </c>
      <c r="G41" s="836" t="str">
        <f>IF($BA41,"",INDEX(C_SourceStreams!BI$61:BI$2089,MATCH($C41,C_SourceStreams!$C$61:$C$2089,0)))</f>
        <v/>
      </c>
      <c r="H41" s="838" t="str">
        <f>IF($BA41,"",INDEX(C_SourceStreams!BL$61:BL$2089,MATCH($C41,C_SourceStreams!$C$61:$C$2089,0)))</f>
        <v/>
      </c>
      <c r="I41" s="836" t="str">
        <f>IF($BA41,"",INDEX(C_SourceStreams!BM$61:BM$2089,MATCH($C41,C_SourceStreams!$C$61:$C$2089,0)))</f>
        <v/>
      </c>
      <c r="J41" s="838" t="str">
        <f>IF($BA41,"",INDEX(C_SourceStreams!BJ$61:BJ$2089,MATCH($C41,C_SourceStreams!$C$61:$C$2089,0)))</f>
        <v/>
      </c>
      <c r="K41" s="836" t="str">
        <f>IF($BA41,"",INDEX(C_SourceStreams!BK$61:BK$2089,MATCH($C41,C_SourceStreams!$C$61:$C$2089,0)))</f>
        <v/>
      </c>
      <c r="L41" s="836" t="str">
        <f>IF($BA41,"",INDEX(C_SourceStreams!BP$61:BP$2089,MATCH($C41,C_SourceStreams!$C$61:$C$2089,0)))</f>
        <v/>
      </c>
      <c r="M41" s="836" t="str">
        <f>IF($BA41,"",INDEX(C_SourceStreams!BQ$61:BQ$2089,MATCH($C41,C_SourceStreams!$C$61:$C$2089,0)))</f>
        <v/>
      </c>
      <c r="N41" s="838" t="str">
        <f>IF($BA41,"",INDEX(C_SourceStreams!BN$61:BN$2089,MATCH($C41,C_SourceStreams!$C$61:$C$2089,0))*100)</f>
        <v/>
      </c>
      <c r="O41" s="839" t="str">
        <f t="shared" si="0"/>
        <v/>
      </c>
      <c r="P41" s="838" t="str">
        <f>IF($BA41,"",INDEX(C_SourceStreams!BO$61:BO$2089,MATCH($C41,C_SourceStreams!$C$61:$C$2089,0))*100)</f>
        <v/>
      </c>
      <c r="Q41" s="839" t="str">
        <f t="shared" si="1"/>
        <v/>
      </c>
      <c r="R41" s="838" t="str">
        <f>IF($BA41,"",INDEX(C_SourceStreams!BR$61:BR$2089,MATCH($C41,C_SourceStreams!$C$61:$C$2089,0))*100)</f>
        <v/>
      </c>
      <c r="S41" s="839" t="str">
        <f t="shared" si="2"/>
        <v/>
      </c>
      <c r="T41" s="838" t="str">
        <f>IF($BA41,"",INDEX(C_SourceStreams!BS$61:BS$2089,MATCH($C41,C_SourceStreams!$C$61:$C$2089,0))*100)</f>
        <v/>
      </c>
      <c r="U41" s="839" t="str">
        <f t="shared" si="3"/>
        <v/>
      </c>
      <c r="V41" s="1006"/>
      <c r="W41" s="1006"/>
      <c r="X41" s="1006"/>
      <c r="Y41" s="1006"/>
      <c r="Z41" s="1006"/>
      <c r="AA41" s="1006"/>
      <c r="AB41" s="1006"/>
      <c r="AC41" s="1006"/>
      <c r="AD41" s="1006"/>
      <c r="AE41" s="1006"/>
      <c r="AF41" s="1006"/>
      <c r="AG41" s="1006"/>
      <c r="AH41" s="1006"/>
      <c r="AI41" s="1006"/>
      <c r="AJ41" s="1006"/>
      <c r="AK41" s="1006"/>
      <c r="AL41" s="1006"/>
      <c r="AM41" s="1006"/>
      <c r="AN41" s="1006"/>
      <c r="AO41" s="1006"/>
      <c r="AP41" s="1006"/>
      <c r="AQ41" s="1006"/>
      <c r="AR41" s="1006"/>
      <c r="AS41" s="1006"/>
      <c r="AT41" s="1006"/>
      <c r="AU41" s="1001" t="str">
        <f>IF($BA41,"",INDEX(C_SourceStreams!BT$61:BT$2089,MATCH($C41,C_SourceStreams!$C$61:$C$2089,0)))</f>
        <v/>
      </c>
      <c r="AV41" s="1001" t="str">
        <f>IF($BA41,"",INDEX(C_SourceStreams!BU$61:BU$2089,MATCH($C41,C_SourceStreams!$C$61:$C$2089,0)))</f>
        <v/>
      </c>
      <c r="AW41" s="1001" t="str">
        <f>IF($BA41,"",INDEX(C_SourceStreams!BV$61:BV$2089,MATCH($C41,C_SourceStreams!$C$61:$C$2089,0)))</f>
        <v/>
      </c>
      <c r="AX41" s="838" t="str">
        <f>IF($BA41,"",INDEX(C_SourceStreams!BW$61:BW$2089,MATCH($C41,C_SourceStreams!$C$61:$C$2089,0)))</f>
        <v/>
      </c>
      <c r="AY41" s="838" t="str">
        <f>IF($BA41,"",INDEX(C_SourceStreams!BX$61:BX$2089,MATCH($C41,C_SourceStreams!$C$61:$C$2089,0)))</f>
        <v/>
      </c>
      <c r="BA41" s="72" t="b">
        <f>IF(ISERROR(INDEX(C_SourceStreams!$K$28:$K$11971,MATCH(C41,C_SourceStreams!$C$28:$C$11971,0))),TRUE,INDEX(C_SourceStreams!$K$28:$K$11971,MATCH(C41,C_SourceStreams!$C$28:$C$11971,0))="")</f>
        <v>1</v>
      </c>
    </row>
    <row r="42" spans="3:53" x14ac:dyDescent="0.2">
      <c r="C42" s="835">
        <v>39</v>
      </c>
      <c r="D42" s="837" t="str">
        <f>IF($BA42,"",INDEX(C_SourceStreams!$K$61:$K$2089,MATCH($C42,C_SourceStreams!$C$61:$C$2089,0)))</f>
        <v/>
      </c>
      <c r="E42" s="837" t="str">
        <f>IF($BA42,"",INDEX(C_SourceStreams!$E$61:$E$2089,MATCH($C42,C_SourceStreams!$C$61:$C$2089,0)))</f>
        <v/>
      </c>
      <c r="F42" s="838" t="str">
        <f>IF($BA42,"",INDEX(C_SourceStreams!BH$61:BH$2089,MATCH($C42,C_SourceStreams!$C$61:$C$2089,0)))</f>
        <v/>
      </c>
      <c r="G42" s="836" t="str">
        <f>IF($BA42,"",INDEX(C_SourceStreams!BI$61:BI$2089,MATCH($C42,C_SourceStreams!$C$61:$C$2089,0)))</f>
        <v/>
      </c>
      <c r="H42" s="838" t="str">
        <f>IF($BA42,"",INDEX(C_SourceStreams!BL$61:BL$2089,MATCH($C42,C_SourceStreams!$C$61:$C$2089,0)))</f>
        <v/>
      </c>
      <c r="I42" s="836" t="str">
        <f>IF($BA42,"",INDEX(C_SourceStreams!BM$61:BM$2089,MATCH($C42,C_SourceStreams!$C$61:$C$2089,0)))</f>
        <v/>
      </c>
      <c r="J42" s="838" t="str">
        <f>IF($BA42,"",INDEX(C_SourceStreams!BJ$61:BJ$2089,MATCH($C42,C_SourceStreams!$C$61:$C$2089,0)))</f>
        <v/>
      </c>
      <c r="K42" s="836" t="str">
        <f>IF($BA42,"",INDEX(C_SourceStreams!BK$61:BK$2089,MATCH($C42,C_SourceStreams!$C$61:$C$2089,0)))</f>
        <v/>
      </c>
      <c r="L42" s="836" t="str">
        <f>IF($BA42,"",INDEX(C_SourceStreams!BP$61:BP$2089,MATCH($C42,C_SourceStreams!$C$61:$C$2089,0)))</f>
        <v/>
      </c>
      <c r="M42" s="836" t="str">
        <f>IF($BA42,"",INDEX(C_SourceStreams!BQ$61:BQ$2089,MATCH($C42,C_SourceStreams!$C$61:$C$2089,0)))</f>
        <v/>
      </c>
      <c r="N42" s="838" t="str">
        <f>IF($BA42,"",INDEX(C_SourceStreams!BN$61:BN$2089,MATCH($C42,C_SourceStreams!$C$61:$C$2089,0))*100)</f>
        <v/>
      </c>
      <c r="O42" s="839" t="str">
        <f t="shared" si="0"/>
        <v/>
      </c>
      <c r="P42" s="838" t="str">
        <f>IF($BA42,"",INDEX(C_SourceStreams!BO$61:BO$2089,MATCH($C42,C_SourceStreams!$C$61:$C$2089,0))*100)</f>
        <v/>
      </c>
      <c r="Q42" s="839" t="str">
        <f t="shared" si="1"/>
        <v/>
      </c>
      <c r="R42" s="838" t="str">
        <f>IF($BA42,"",INDEX(C_SourceStreams!BR$61:BR$2089,MATCH($C42,C_SourceStreams!$C$61:$C$2089,0))*100)</f>
        <v/>
      </c>
      <c r="S42" s="839" t="str">
        <f t="shared" si="2"/>
        <v/>
      </c>
      <c r="T42" s="838" t="str">
        <f>IF($BA42,"",INDEX(C_SourceStreams!BS$61:BS$2089,MATCH($C42,C_SourceStreams!$C$61:$C$2089,0))*100)</f>
        <v/>
      </c>
      <c r="U42" s="839" t="str">
        <f t="shared" si="3"/>
        <v/>
      </c>
      <c r="V42" s="1006"/>
      <c r="W42" s="1006"/>
      <c r="X42" s="1006"/>
      <c r="Y42" s="1006"/>
      <c r="Z42" s="1006"/>
      <c r="AA42" s="1006"/>
      <c r="AB42" s="1006"/>
      <c r="AC42" s="1006"/>
      <c r="AD42" s="1006"/>
      <c r="AE42" s="1006"/>
      <c r="AF42" s="1006"/>
      <c r="AG42" s="1006"/>
      <c r="AH42" s="1006"/>
      <c r="AI42" s="1006"/>
      <c r="AJ42" s="1006"/>
      <c r="AK42" s="1006"/>
      <c r="AL42" s="1006"/>
      <c r="AM42" s="1006"/>
      <c r="AN42" s="1006"/>
      <c r="AO42" s="1006"/>
      <c r="AP42" s="1006"/>
      <c r="AQ42" s="1006"/>
      <c r="AR42" s="1006"/>
      <c r="AS42" s="1006"/>
      <c r="AT42" s="1006"/>
      <c r="AU42" s="1001" t="str">
        <f>IF($BA42,"",INDEX(C_SourceStreams!BT$61:BT$2089,MATCH($C42,C_SourceStreams!$C$61:$C$2089,0)))</f>
        <v/>
      </c>
      <c r="AV42" s="1001" t="str">
        <f>IF($BA42,"",INDEX(C_SourceStreams!BU$61:BU$2089,MATCH($C42,C_SourceStreams!$C$61:$C$2089,0)))</f>
        <v/>
      </c>
      <c r="AW42" s="1001" t="str">
        <f>IF($BA42,"",INDEX(C_SourceStreams!BV$61:BV$2089,MATCH($C42,C_SourceStreams!$C$61:$C$2089,0)))</f>
        <v/>
      </c>
      <c r="AX42" s="838" t="str">
        <f>IF($BA42,"",INDEX(C_SourceStreams!BW$61:BW$2089,MATCH($C42,C_SourceStreams!$C$61:$C$2089,0)))</f>
        <v/>
      </c>
      <c r="AY42" s="838" t="str">
        <f>IF($BA42,"",INDEX(C_SourceStreams!BX$61:BX$2089,MATCH($C42,C_SourceStreams!$C$61:$C$2089,0)))</f>
        <v/>
      </c>
      <c r="BA42" s="72" t="b">
        <f>IF(ISERROR(INDEX(C_SourceStreams!$K$28:$K$11971,MATCH(C42,C_SourceStreams!$C$28:$C$11971,0))),TRUE,INDEX(C_SourceStreams!$K$28:$K$11971,MATCH(C42,C_SourceStreams!$C$28:$C$11971,0))="")</f>
        <v>1</v>
      </c>
    </row>
    <row r="43" spans="3:53" x14ac:dyDescent="0.2">
      <c r="C43" s="835">
        <v>40</v>
      </c>
      <c r="D43" s="837" t="str">
        <f>IF($BA43,"",INDEX(C_SourceStreams!$K$61:$K$2089,MATCH($C43,C_SourceStreams!$C$61:$C$2089,0)))</f>
        <v/>
      </c>
      <c r="E43" s="837" t="str">
        <f>IF($BA43,"",INDEX(C_SourceStreams!$E$61:$E$2089,MATCH($C43,C_SourceStreams!$C$61:$C$2089,0)))</f>
        <v/>
      </c>
      <c r="F43" s="838" t="str">
        <f>IF($BA43,"",INDEX(C_SourceStreams!BH$61:BH$2089,MATCH($C43,C_SourceStreams!$C$61:$C$2089,0)))</f>
        <v/>
      </c>
      <c r="G43" s="836" t="str">
        <f>IF($BA43,"",INDEX(C_SourceStreams!BI$61:BI$2089,MATCH($C43,C_SourceStreams!$C$61:$C$2089,0)))</f>
        <v/>
      </c>
      <c r="H43" s="838" t="str">
        <f>IF($BA43,"",INDEX(C_SourceStreams!BL$61:BL$2089,MATCH($C43,C_SourceStreams!$C$61:$C$2089,0)))</f>
        <v/>
      </c>
      <c r="I43" s="836" t="str">
        <f>IF($BA43,"",INDEX(C_SourceStreams!BM$61:BM$2089,MATCH($C43,C_SourceStreams!$C$61:$C$2089,0)))</f>
        <v/>
      </c>
      <c r="J43" s="838" t="str">
        <f>IF($BA43,"",INDEX(C_SourceStreams!BJ$61:BJ$2089,MATCH($C43,C_SourceStreams!$C$61:$C$2089,0)))</f>
        <v/>
      </c>
      <c r="K43" s="836" t="str">
        <f>IF($BA43,"",INDEX(C_SourceStreams!BK$61:BK$2089,MATCH($C43,C_SourceStreams!$C$61:$C$2089,0)))</f>
        <v/>
      </c>
      <c r="L43" s="836" t="str">
        <f>IF($BA43,"",INDEX(C_SourceStreams!BP$61:BP$2089,MATCH($C43,C_SourceStreams!$C$61:$C$2089,0)))</f>
        <v/>
      </c>
      <c r="M43" s="836" t="str">
        <f>IF($BA43,"",INDEX(C_SourceStreams!BQ$61:BQ$2089,MATCH($C43,C_SourceStreams!$C$61:$C$2089,0)))</f>
        <v/>
      </c>
      <c r="N43" s="838" t="str">
        <f>IF($BA43,"",INDEX(C_SourceStreams!BN$61:BN$2089,MATCH($C43,C_SourceStreams!$C$61:$C$2089,0))*100)</f>
        <v/>
      </c>
      <c r="O43" s="839" t="str">
        <f t="shared" si="0"/>
        <v/>
      </c>
      <c r="P43" s="838" t="str">
        <f>IF($BA43,"",INDEX(C_SourceStreams!BO$61:BO$2089,MATCH($C43,C_SourceStreams!$C$61:$C$2089,0))*100)</f>
        <v/>
      </c>
      <c r="Q43" s="839" t="str">
        <f t="shared" si="1"/>
        <v/>
      </c>
      <c r="R43" s="838" t="str">
        <f>IF($BA43,"",INDEX(C_SourceStreams!BR$61:BR$2089,MATCH($C43,C_SourceStreams!$C$61:$C$2089,0))*100)</f>
        <v/>
      </c>
      <c r="S43" s="839" t="str">
        <f t="shared" si="2"/>
        <v/>
      </c>
      <c r="T43" s="838" t="str">
        <f>IF($BA43,"",INDEX(C_SourceStreams!BS$61:BS$2089,MATCH($C43,C_SourceStreams!$C$61:$C$2089,0))*100)</f>
        <v/>
      </c>
      <c r="U43" s="839" t="str">
        <f t="shared" si="3"/>
        <v/>
      </c>
      <c r="V43" s="1006"/>
      <c r="W43" s="1006"/>
      <c r="X43" s="1006"/>
      <c r="Y43" s="1006"/>
      <c r="Z43" s="1006"/>
      <c r="AA43" s="1006"/>
      <c r="AB43" s="1006"/>
      <c r="AC43" s="1006"/>
      <c r="AD43" s="1006"/>
      <c r="AE43" s="1006"/>
      <c r="AF43" s="1006"/>
      <c r="AG43" s="1006"/>
      <c r="AH43" s="1006"/>
      <c r="AI43" s="1006"/>
      <c r="AJ43" s="1006"/>
      <c r="AK43" s="1006"/>
      <c r="AL43" s="1006"/>
      <c r="AM43" s="1006"/>
      <c r="AN43" s="1006"/>
      <c r="AO43" s="1006"/>
      <c r="AP43" s="1006"/>
      <c r="AQ43" s="1006"/>
      <c r="AR43" s="1006"/>
      <c r="AS43" s="1006"/>
      <c r="AT43" s="1006"/>
      <c r="AU43" s="1001" t="str">
        <f>IF($BA43,"",INDEX(C_SourceStreams!BT$61:BT$2089,MATCH($C43,C_SourceStreams!$C$61:$C$2089,0)))</f>
        <v/>
      </c>
      <c r="AV43" s="1001" t="str">
        <f>IF($BA43,"",INDEX(C_SourceStreams!BU$61:BU$2089,MATCH($C43,C_SourceStreams!$C$61:$C$2089,0)))</f>
        <v/>
      </c>
      <c r="AW43" s="1001" t="str">
        <f>IF($BA43,"",INDEX(C_SourceStreams!BV$61:BV$2089,MATCH($C43,C_SourceStreams!$C$61:$C$2089,0)))</f>
        <v/>
      </c>
      <c r="AX43" s="838" t="str">
        <f>IF($BA43,"",INDEX(C_SourceStreams!BW$61:BW$2089,MATCH($C43,C_SourceStreams!$C$61:$C$2089,0)))</f>
        <v/>
      </c>
      <c r="AY43" s="838" t="str">
        <f>IF($BA43,"",INDEX(C_SourceStreams!BX$61:BX$2089,MATCH($C43,C_SourceStreams!$C$61:$C$2089,0)))</f>
        <v/>
      </c>
      <c r="BA43" s="72" t="b">
        <f>IF(ISERROR(INDEX(C_SourceStreams!$K$28:$K$11971,MATCH(C43,C_SourceStreams!$C$28:$C$11971,0))),TRUE,INDEX(C_SourceStreams!$K$28:$K$11971,MATCH(C43,C_SourceStreams!$C$28:$C$11971,0))="")</f>
        <v>1</v>
      </c>
    </row>
    <row r="44" spans="3:53" x14ac:dyDescent="0.2">
      <c r="C44" s="835">
        <v>41</v>
      </c>
      <c r="D44" s="837" t="str">
        <f>IF($BA44,"",INDEX(C_SourceStreams!$K$61:$K$2089,MATCH($C44,C_SourceStreams!$C$61:$C$2089,0)))</f>
        <v/>
      </c>
      <c r="E44" s="837" t="str">
        <f>IF($BA44,"",INDEX(C_SourceStreams!$E$61:$E$2089,MATCH($C44,C_SourceStreams!$C$61:$C$2089,0)))</f>
        <v/>
      </c>
      <c r="F44" s="838" t="str">
        <f>IF($BA44,"",INDEX(C_SourceStreams!BH$61:BH$2089,MATCH($C44,C_SourceStreams!$C$61:$C$2089,0)))</f>
        <v/>
      </c>
      <c r="G44" s="836" t="str">
        <f>IF($BA44,"",INDEX(C_SourceStreams!BI$61:BI$2089,MATCH($C44,C_SourceStreams!$C$61:$C$2089,0)))</f>
        <v/>
      </c>
      <c r="H44" s="838" t="str">
        <f>IF($BA44,"",INDEX(C_SourceStreams!BL$61:BL$2089,MATCH($C44,C_SourceStreams!$C$61:$C$2089,0)))</f>
        <v/>
      </c>
      <c r="I44" s="836" t="str">
        <f>IF($BA44,"",INDEX(C_SourceStreams!BM$61:BM$2089,MATCH($C44,C_SourceStreams!$C$61:$C$2089,0)))</f>
        <v/>
      </c>
      <c r="J44" s="838" t="str">
        <f>IF($BA44,"",INDEX(C_SourceStreams!BJ$61:BJ$2089,MATCH($C44,C_SourceStreams!$C$61:$C$2089,0)))</f>
        <v/>
      </c>
      <c r="K44" s="836" t="str">
        <f>IF($BA44,"",INDEX(C_SourceStreams!BK$61:BK$2089,MATCH($C44,C_SourceStreams!$C$61:$C$2089,0)))</f>
        <v/>
      </c>
      <c r="L44" s="836" t="str">
        <f>IF($BA44,"",INDEX(C_SourceStreams!BP$61:BP$2089,MATCH($C44,C_SourceStreams!$C$61:$C$2089,0)))</f>
        <v/>
      </c>
      <c r="M44" s="836" t="str">
        <f>IF($BA44,"",INDEX(C_SourceStreams!BQ$61:BQ$2089,MATCH($C44,C_SourceStreams!$C$61:$C$2089,0)))</f>
        <v/>
      </c>
      <c r="N44" s="838" t="str">
        <f>IF($BA44,"",INDEX(C_SourceStreams!BN$61:BN$2089,MATCH($C44,C_SourceStreams!$C$61:$C$2089,0))*100)</f>
        <v/>
      </c>
      <c r="O44" s="839" t="str">
        <f t="shared" si="0"/>
        <v/>
      </c>
      <c r="P44" s="838" t="str">
        <f>IF($BA44,"",INDEX(C_SourceStreams!BO$61:BO$2089,MATCH($C44,C_SourceStreams!$C$61:$C$2089,0))*100)</f>
        <v/>
      </c>
      <c r="Q44" s="839" t="str">
        <f t="shared" si="1"/>
        <v/>
      </c>
      <c r="R44" s="838" t="str">
        <f>IF($BA44,"",INDEX(C_SourceStreams!BR$61:BR$2089,MATCH($C44,C_SourceStreams!$C$61:$C$2089,0))*100)</f>
        <v/>
      </c>
      <c r="S44" s="839" t="str">
        <f t="shared" si="2"/>
        <v/>
      </c>
      <c r="T44" s="838" t="str">
        <f>IF($BA44,"",INDEX(C_SourceStreams!BS$61:BS$2089,MATCH($C44,C_SourceStreams!$C$61:$C$2089,0))*100)</f>
        <v/>
      </c>
      <c r="U44" s="839" t="str">
        <f t="shared" si="3"/>
        <v/>
      </c>
      <c r="V44" s="1006"/>
      <c r="W44" s="1006"/>
      <c r="X44" s="1006"/>
      <c r="Y44" s="1006"/>
      <c r="Z44" s="1006"/>
      <c r="AA44" s="1006"/>
      <c r="AB44" s="1006"/>
      <c r="AC44" s="1006"/>
      <c r="AD44" s="1006"/>
      <c r="AE44" s="1006"/>
      <c r="AF44" s="1006"/>
      <c r="AG44" s="1006"/>
      <c r="AH44" s="1006"/>
      <c r="AI44" s="1006"/>
      <c r="AJ44" s="1006"/>
      <c r="AK44" s="1006"/>
      <c r="AL44" s="1006"/>
      <c r="AM44" s="1006"/>
      <c r="AN44" s="1006"/>
      <c r="AO44" s="1006"/>
      <c r="AP44" s="1006"/>
      <c r="AQ44" s="1006"/>
      <c r="AR44" s="1006"/>
      <c r="AS44" s="1006"/>
      <c r="AT44" s="1006"/>
      <c r="AU44" s="1001" t="str">
        <f>IF($BA44,"",INDEX(C_SourceStreams!BT$61:BT$2089,MATCH($C44,C_SourceStreams!$C$61:$C$2089,0)))</f>
        <v/>
      </c>
      <c r="AV44" s="1001" t="str">
        <f>IF($BA44,"",INDEX(C_SourceStreams!BU$61:BU$2089,MATCH($C44,C_SourceStreams!$C$61:$C$2089,0)))</f>
        <v/>
      </c>
      <c r="AW44" s="1001" t="str">
        <f>IF($BA44,"",INDEX(C_SourceStreams!BV$61:BV$2089,MATCH($C44,C_SourceStreams!$C$61:$C$2089,0)))</f>
        <v/>
      </c>
      <c r="AX44" s="838" t="str">
        <f>IF($BA44,"",INDEX(C_SourceStreams!BW$61:BW$2089,MATCH($C44,C_SourceStreams!$C$61:$C$2089,0)))</f>
        <v/>
      </c>
      <c r="AY44" s="838" t="str">
        <f>IF($BA44,"",INDEX(C_SourceStreams!BX$61:BX$2089,MATCH($C44,C_SourceStreams!$C$61:$C$2089,0)))</f>
        <v/>
      </c>
      <c r="BA44" s="72" t="b">
        <f>IF(ISERROR(INDEX(C_SourceStreams!$K$28:$K$11971,MATCH(C44,C_SourceStreams!$C$28:$C$11971,0))),TRUE,INDEX(C_SourceStreams!$K$28:$K$11971,MATCH(C44,C_SourceStreams!$C$28:$C$11971,0))="")</f>
        <v>1</v>
      </c>
    </row>
    <row r="45" spans="3:53" x14ac:dyDescent="0.2">
      <c r="C45" s="835">
        <v>42</v>
      </c>
      <c r="D45" s="837" t="str">
        <f>IF($BA45,"",INDEX(C_SourceStreams!$K$61:$K$2089,MATCH($C45,C_SourceStreams!$C$61:$C$2089,0)))</f>
        <v/>
      </c>
      <c r="E45" s="837" t="str">
        <f>IF($BA45,"",INDEX(C_SourceStreams!$E$61:$E$2089,MATCH($C45,C_SourceStreams!$C$61:$C$2089,0)))</f>
        <v/>
      </c>
      <c r="F45" s="838" t="str">
        <f>IF($BA45,"",INDEX(C_SourceStreams!BH$61:BH$2089,MATCH($C45,C_SourceStreams!$C$61:$C$2089,0)))</f>
        <v/>
      </c>
      <c r="G45" s="836" t="str">
        <f>IF($BA45,"",INDEX(C_SourceStreams!BI$61:BI$2089,MATCH($C45,C_SourceStreams!$C$61:$C$2089,0)))</f>
        <v/>
      </c>
      <c r="H45" s="838" t="str">
        <f>IF($BA45,"",INDEX(C_SourceStreams!BL$61:BL$2089,MATCH($C45,C_SourceStreams!$C$61:$C$2089,0)))</f>
        <v/>
      </c>
      <c r="I45" s="836" t="str">
        <f>IF($BA45,"",INDEX(C_SourceStreams!BM$61:BM$2089,MATCH($C45,C_SourceStreams!$C$61:$C$2089,0)))</f>
        <v/>
      </c>
      <c r="J45" s="838" t="str">
        <f>IF($BA45,"",INDEX(C_SourceStreams!BJ$61:BJ$2089,MATCH($C45,C_SourceStreams!$C$61:$C$2089,0)))</f>
        <v/>
      </c>
      <c r="K45" s="836" t="str">
        <f>IF($BA45,"",INDEX(C_SourceStreams!BK$61:BK$2089,MATCH($C45,C_SourceStreams!$C$61:$C$2089,0)))</f>
        <v/>
      </c>
      <c r="L45" s="836" t="str">
        <f>IF($BA45,"",INDEX(C_SourceStreams!BP$61:BP$2089,MATCH($C45,C_SourceStreams!$C$61:$C$2089,0)))</f>
        <v/>
      </c>
      <c r="M45" s="836" t="str">
        <f>IF($BA45,"",INDEX(C_SourceStreams!BQ$61:BQ$2089,MATCH($C45,C_SourceStreams!$C$61:$C$2089,0)))</f>
        <v/>
      </c>
      <c r="N45" s="838" t="str">
        <f>IF($BA45,"",INDEX(C_SourceStreams!BN$61:BN$2089,MATCH($C45,C_SourceStreams!$C$61:$C$2089,0))*100)</f>
        <v/>
      </c>
      <c r="O45" s="839" t="str">
        <f t="shared" si="0"/>
        <v/>
      </c>
      <c r="P45" s="838" t="str">
        <f>IF($BA45,"",INDEX(C_SourceStreams!BO$61:BO$2089,MATCH($C45,C_SourceStreams!$C$61:$C$2089,0))*100)</f>
        <v/>
      </c>
      <c r="Q45" s="839" t="str">
        <f t="shared" si="1"/>
        <v/>
      </c>
      <c r="R45" s="838" t="str">
        <f>IF($BA45,"",INDEX(C_SourceStreams!BR$61:BR$2089,MATCH($C45,C_SourceStreams!$C$61:$C$2089,0))*100)</f>
        <v/>
      </c>
      <c r="S45" s="839" t="str">
        <f t="shared" si="2"/>
        <v/>
      </c>
      <c r="T45" s="838" t="str">
        <f>IF($BA45,"",INDEX(C_SourceStreams!BS$61:BS$2089,MATCH($C45,C_SourceStreams!$C$61:$C$2089,0))*100)</f>
        <v/>
      </c>
      <c r="U45" s="839" t="str">
        <f t="shared" si="3"/>
        <v/>
      </c>
      <c r="V45" s="1006"/>
      <c r="W45" s="1006"/>
      <c r="X45" s="1006"/>
      <c r="Y45" s="1006"/>
      <c r="Z45" s="1006"/>
      <c r="AA45" s="1006"/>
      <c r="AB45" s="1006"/>
      <c r="AC45" s="1006"/>
      <c r="AD45" s="1006"/>
      <c r="AE45" s="1006"/>
      <c r="AF45" s="1006"/>
      <c r="AG45" s="1006"/>
      <c r="AH45" s="1006"/>
      <c r="AI45" s="1006"/>
      <c r="AJ45" s="1006"/>
      <c r="AK45" s="1006"/>
      <c r="AL45" s="1006"/>
      <c r="AM45" s="1006"/>
      <c r="AN45" s="1006"/>
      <c r="AO45" s="1006"/>
      <c r="AP45" s="1006"/>
      <c r="AQ45" s="1006"/>
      <c r="AR45" s="1006"/>
      <c r="AS45" s="1006"/>
      <c r="AT45" s="1006"/>
      <c r="AU45" s="1001" t="str">
        <f>IF($BA45,"",INDEX(C_SourceStreams!BT$61:BT$2089,MATCH($C45,C_SourceStreams!$C$61:$C$2089,0)))</f>
        <v/>
      </c>
      <c r="AV45" s="1001" t="str">
        <f>IF($BA45,"",INDEX(C_SourceStreams!BU$61:BU$2089,MATCH($C45,C_SourceStreams!$C$61:$C$2089,0)))</f>
        <v/>
      </c>
      <c r="AW45" s="1001" t="str">
        <f>IF($BA45,"",INDEX(C_SourceStreams!BV$61:BV$2089,MATCH($C45,C_SourceStreams!$C$61:$C$2089,0)))</f>
        <v/>
      </c>
      <c r="AX45" s="838" t="str">
        <f>IF($BA45,"",INDEX(C_SourceStreams!BW$61:BW$2089,MATCH($C45,C_SourceStreams!$C$61:$C$2089,0)))</f>
        <v/>
      </c>
      <c r="AY45" s="838" t="str">
        <f>IF($BA45,"",INDEX(C_SourceStreams!BX$61:BX$2089,MATCH($C45,C_SourceStreams!$C$61:$C$2089,0)))</f>
        <v/>
      </c>
      <c r="BA45" s="72" t="b">
        <f>IF(ISERROR(INDEX(C_SourceStreams!$K$28:$K$11971,MATCH(C45,C_SourceStreams!$C$28:$C$11971,0))),TRUE,INDEX(C_SourceStreams!$K$28:$K$11971,MATCH(C45,C_SourceStreams!$C$28:$C$11971,0))="")</f>
        <v>1</v>
      </c>
    </row>
    <row r="46" spans="3:53" x14ac:dyDescent="0.2">
      <c r="C46" s="835">
        <v>43</v>
      </c>
      <c r="D46" s="837" t="str">
        <f>IF($BA46,"",INDEX(C_SourceStreams!$K$61:$K$2089,MATCH($C46,C_SourceStreams!$C$61:$C$2089,0)))</f>
        <v/>
      </c>
      <c r="E46" s="837" t="str">
        <f>IF($BA46,"",INDEX(C_SourceStreams!$E$61:$E$2089,MATCH($C46,C_SourceStreams!$C$61:$C$2089,0)))</f>
        <v/>
      </c>
      <c r="F46" s="838" t="str">
        <f>IF($BA46,"",INDEX(C_SourceStreams!BH$61:BH$2089,MATCH($C46,C_SourceStreams!$C$61:$C$2089,0)))</f>
        <v/>
      </c>
      <c r="G46" s="836" t="str">
        <f>IF($BA46,"",INDEX(C_SourceStreams!BI$61:BI$2089,MATCH($C46,C_SourceStreams!$C$61:$C$2089,0)))</f>
        <v/>
      </c>
      <c r="H46" s="838" t="str">
        <f>IF($BA46,"",INDEX(C_SourceStreams!BL$61:BL$2089,MATCH($C46,C_SourceStreams!$C$61:$C$2089,0)))</f>
        <v/>
      </c>
      <c r="I46" s="836" t="str">
        <f>IF($BA46,"",INDEX(C_SourceStreams!BM$61:BM$2089,MATCH($C46,C_SourceStreams!$C$61:$C$2089,0)))</f>
        <v/>
      </c>
      <c r="J46" s="838" t="str">
        <f>IF($BA46,"",INDEX(C_SourceStreams!BJ$61:BJ$2089,MATCH($C46,C_SourceStreams!$C$61:$C$2089,0)))</f>
        <v/>
      </c>
      <c r="K46" s="836" t="str">
        <f>IF($BA46,"",INDEX(C_SourceStreams!BK$61:BK$2089,MATCH($C46,C_SourceStreams!$C$61:$C$2089,0)))</f>
        <v/>
      </c>
      <c r="L46" s="836" t="str">
        <f>IF($BA46,"",INDEX(C_SourceStreams!BP$61:BP$2089,MATCH($C46,C_SourceStreams!$C$61:$C$2089,0)))</f>
        <v/>
      </c>
      <c r="M46" s="836" t="str">
        <f>IF($BA46,"",INDEX(C_SourceStreams!BQ$61:BQ$2089,MATCH($C46,C_SourceStreams!$C$61:$C$2089,0)))</f>
        <v/>
      </c>
      <c r="N46" s="838" t="str">
        <f>IF($BA46,"",INDEX(C_SourceStreams!BN$61:BN$2089,MATCH($C46,C_SourceStreams!$C$61:$C$2089,0))*100)</f>
        <v/>
      </c>
      <c r="O46" s="839" t="str">
        <f t="shared" si="0"/>
        <v/>
      </c>
      <c r="P46" s="838" t="str">
        <f>IF($BA46,"",INDEX(C_SourceStreams!BO$61:BO$2089,MATCH($C46,C_SourceStreams!$C$61:$C$2089,0))*100)</f>
        <v/>
      </c>
      <c r="Q46" s="839" t="str">
        <f t="shared" si="1"/>
        <v/>
      </c>
      <c r="R46" s="838" t="str">
        <f>IF($BA46,"",INDEX(C_SourceStreams!BR$61:BR$2089,MATCH($C46,C_SourceStreams!$C$61:$C$2089,0))*100)</f>
        <v/>
      </c>
      <c r="S46" s="839" t="str">
        <f t="shared" si="2"/>
        <v/>
      </c>
      <c r="T46" s="838" t="str">
        <f>IF($BA46,"",INDEX(C_SourceStreams!BS$61:BS$2089,MATCH($C46,C_SourceStreams!$C$61:$C$2089,0))*100)</f>
        <v/>
      </c>
      <c r="U46" s="839" t="str">
        <f t="shared" si="3"/>
        <v/>
      </c>
      <c r="V46" s="1006"/>
      <c r="W46" s="1006"/>
      <c r="X46" s="1006"/>
      <c r="Y46" s="1006"/>
      <c r="Z46" s="1006"/>
      <c r="AA46" s="1006"/>
      <c r="AB46" s="1006"/>
      <c r="AC46" s="1006"/>
      <c r="AD46" s="1006"/>
      <c r="AE46" s="1006"/>
      <c r="AF46" s="1006"/>
      <c r="AG46" s="1006"/>
      <c r="AH46" s="1006"/>
      <c r="AI46" s="1006"/>
      <c r="AJ46" s="1006"/>
      <c r="AK46" s="1006"/>
      <c r="AL46" s="1006"/>
      <c r="AM46" s="1006"/>
      <c r="AN46" s="1006"/>
      <c r="AO46" s="1006"/>
      <c r="AP46" s="1006"/>
      <c r="AQ46" s="1006"/>
      <c r="AR46" s="1006"/>
      <c r="AS46" s="1006"/>
      <c r="AT46" s="1006"/>
      <c r="AU46" s="1001" t="str">
        <f>IF($BA46,"",INDEX(C_SourceStreams!BT$61:BT$2089,MATCH($C46,C_SourceStreams!$C$61:$C$2089,0)))</f>
        <v/>
      </c>
      <c r="AV46" s="1001" t="str">
        <f>IF($BA46,"",INDEX(C_SourceStreams!BU$61:BU$2089,MATCH($C46,C_SourceStreams!$C$61:$C$2089,0)))</f>
        <v/>
      </c>
      <c r="AW46" s="1001" t="str">
        <f>IF($BA46,"",INDEX(C_SourceStreams!BV$61:BV$2089,MATCH($C46,C_SourceStreams!$C$61:$C$2089,0)))</f>
        <v/>
      </c>
      <c r="AX46" s="838" t="str">
        <f>IF($BA46,"",INDEX(C_SourceStreams!BW$61:BW$2089,MATCH($C46,C_SourceStreams!$C$61:$C$2089,0)))</f>
        <v/>
      </c>
      <c r="AY46" s="838" t="str">
        <f>IF($BA46,"",INDEX(C_SourceStreams!BX$61:BX$2089,MATCH($C46,C_SourceStreams!$C$61:$C$2089,0)))</f>
        <v/>
      </c>
      <c r="BA46" s="72" t="b">
        <f>IF(ISERROR(INDEX(C_SourceStreams!$K$28:$K$11971,MATCH(C46,C_SourceStreams!$C$28:$C$11971,0))),TRUE,INDEX(C_SourceStreams!$K$28:$K$11971,MATCH(C46,C_SourceStreams!$C$28:$C$11971,0))="")</f>
        <v>1</v>
      </c>
    </row>
    <row r="47" spans="3:53" x14ac:dyDescent="0.2">
      <c r="C47" s="835">
        <v>44</v>
      </c>
      <c r="D47" s="837" t="str">
        <f>IF($BA47,"",INDEX(C_SourceStreams!$K$61:$K$2089,MATCH($C47,C_SourceStreams!$C$61:$C$2089,0)))</f>
        <v/>
      </c>
      <c r="E47" s="837" t="str">
        <f>IF($BA47,"",INDEX(C_SourceStreams!$E$61:$E$2089,MATCH($C47,C_SourceStreams!$C$61:$C$2089,0)))</f>
        <v/>
      </c>
      <c r="F47" s="838" t="str">
        <f>IF($BA47,"",INDEX(C_SourceStreams!BH$61:BH$2089,MATCH($C47,C_SourceStreams!$C$61:$C$2089,0)))</f>
        <v/>
      </c>
      <c r="G47" s="836" t="str">
        <f>IF($BA47,"",INDEX(C_SourceStreams!BI$61:BI$2089,MATCH($C47,C_SourceStreams!$C$61:$C$2089,0)))</f>
        <v/>
      </c>
      <c r="H47" s="838" t="str">
        <f>IF($BA47,"",INDEX(C_SourceStreams!BL$61:BL$2089,MATCH($C47,C_SourceStreams!$C$61:$C$2089,0)))</f>
        <v/>
      </c>
      <c r="I47" s="836" t="str">
        <f>IF($BA47,"",INDEX(C_SourceStreams!BM$61:BM$2089,MATCH($C47,C_SourceStreams!$C$61:$C$2089,0)))</f>
        <v/>
      </c>
      <c r="J47" s="838" t="str">
        <f>IF($BA47,"",INDEX(C_SourceStreams!BJ$61:BJ$2089,MATCH($C47,C_SourceStreams!$C$61:$C$2089,0)))</f>
        <v/>
      </c>
      <c r="K47" s="836" t="str">
        <f>IF($BA47,"",INDEX(C_SourceStreams!BK$61:BK$2089,MATCH($C47,C_SourceStreams!$C$61:$C$2089,0)))</f>
        <v/>
      </c>
      <c r="L47" s="836" t="str">
        <f>IF($BA47,"",INDEX(C_SourceStreams!BP$61:BP$2089,MATCH($C47,C_SourceStreams!$C$61:$C$2089,0)))</f>
        <v/>
      </c>
      <c r="M47" s="836" t="str">
        <f>IF($BA47,"",INDEX(C_SourceStreams!BQ$61:BQ$2089,MATCH($C47,C_SourceStreams!$C$61:$C$2089,0)))</f>
        <v/>
      </c>
      <c r="N47" s="838" t="str">
        <f>IF($BA47,"",INDEX(C_SourceStreams!BN$61:BN$2089,MATCH($C47,C_SourceStreams!$C$61:$C$2089,0))*100)</f>
        <v/>
      </c>
      <c r="O47" s="839" t="str">
        <f t="shared" si="0"/>
        <v/>
      </c>
      <c r="P47" s="838" t="str">
        <f>IF($BA47,"",INDEX(C_SourceStreams!BO$61:BO$2089,MATCH($C47,C_SourceStreams!$C$61:$C$2089,0))*100)</f>
        <v/>
      </c>
      <c r="Q47" s="839" t="str">
        <f t="shared" si="1"/>
        <v/>
      </c>
      <c r="R47" s="838" t="str">
        <f>IF($BA47,"",INDEX(C_SourceStreams!BR$61:BR$2089,MATCH($C47,C_SourceStreams!$C$61:$C$2089,0))*100)</f>
        <v/>
      </c>
      <c r="S47" s="839" t="str">
        <f t="shared" si="2"/>
        <v/>
      </c>
      <c r="T47" s="838" t="str">
        <f>IF($BA47,"",INDEX(C_SourceStreams!BS$61:BS$2089,MATCH($C47,C_SourceStreams!$C$61:$C$2089,0))*100)</f>
        <v/>
      </c>
      <c r="U47" s="839" t="str">
        <f t="shared" si="3"/>
        <v/>
      </c>
      <c r="V47" s="1006"/>
      <c r="W47" s="1006"/>
      <c r="X47" s="1006"/>
      <c r="Y47" s="1006"/>
      <c r="Z47" s="1006"/>
      <c r="AA47" s="1006"/>
      <c r="AB47" s="1006"/>
      <c r="AC47" s="1006"/>
      <c r="AD47" s="1006"/>
      <c r="AE47" s="1006"/>
      <c r="AF47" s="1006"/>
      <c r="AG47" s="1006"/>
      <c r="AH47" s="1006"/>
      <c r="AI47" s="1006"/>
      <c r="AJ47" s="1006"/>
      <c r="AK47" s="1006"/>
      <c r="AL47" s="1006"/>
      <c r="AM47" s="1006"/>
      <c r="AN47" s="1006"/>
      <c r="AO47" s="1006"/>
      <c r="AP47" s="1006"/>
      <c r="AQ47" s="1006"/>
      <c r="AR47" s="1006"/>
      <c r="AS47" s="1006"/>
      <c r="AT47" s="1006"/>
      <c r="AU47" s="1001" t="str">
        <f>IF($BA47,"",INDEX(C_SourceStreams!BT$61:BT$2089,MATCH($C47,C_SourceStreams!$C$61:$C$2089,0)))</f>
        <v/>
      </c>
      <c r="AV47" s="1001" t="str">
        <f>IF($BA47,"",INDEX(C_SourceStreams!BU$61:BU$2089,MATCH($C47,C_SourceStreams!$C$61:$C$2089,0)))</f>
        <v/>
      </c>
      <c r="AW47" s="1001" t="str">
        <f>IF($BA47,"",INDEX(C_SourceStreams!BV$61:BV$2089,MATCH($C47,C_SourceStreams!$C$61:$C$2089,0)))</f>
        <v/>
      </c>
      <c r="AX47" s="838" t="str">
        <f>IF($BA47,"",INDEX(C_SourceStreams!BW$61:BW$2089,MATCH($C47,C_SourceStreams!$C$61:$C$2089,0)))</f>
        <v/>
      </c>
      <c r="AY47" s="838" t="str">
        <f>IF($BA47,"",INDEX(C_SourceStreams!BX$61:BX$2089,MATCH($C47,C_SourceStreams!$C$61:$C$2089,0)))</f>
        <v/>
      </c>
      <c r="BA47" s="72" t="b">
        <f>IF(ISERROR(INDEX(C_SourceStreams!$K$28:$K$11971,MATCH(C47,C_SourceStreams!$C$28:$C$11971,0))),TRUE,INDEX(C_SourceStreams!$K$28:$K$11971,MATCH(C47,C_SourceStreams!$C$28:$C$11971,0))="")</f>
        <v>1</v>
      </c>
    </row>
    <row r="48" spans="3:53" x14ac:dyDescent="0.2">
      <c r="C48" s="835">
        <v>45</v>
      </c>
      <c r="D48" s="837" t="str">
        <f>IF($BA48,"",INDEX(C_SourceStreams!$K$61:$K$2089,MATCH($C48,C_SourceStreams!$C$61:$C$2089,0)))</f>
        <v/>
      </c>
      <c r="E48" s="837" t="str">
        <f>IF($BA48,"",INDEX(C_SourceStreams!$E$61:$E$2089,MATCH($C48,C_SourceStreams!$C$61:$C$2089,0)))</f>
        <v/>
      </c>
      <c r="F48" s="838" t="str">
        <f>IF($BA48,"",INDEX(C_SourceStreams!BH$61:BH$2089,MATCH($C48,C_SourceStreams!$C$61:$C$2089,0)))</f>
        <v/>
      </c>
      <c r="G48" s="836" t="str">
        <f>IF($BA48,"",INDEX(C_SourceStreams!BI$61:BI$2089,MATCH($C48,C_SourceStreams!$C$61:$C$2089,0)))</f>
        <v/>
      </c>
      <c r="H48" s="838" t="str">
        <f>IF($BA48,"",INDEX(C_SourceStreams!BL$61:BL$2089,MATCH($C48,C_SourceStreams!$C$61:$C$2089,0)))</f>
        <v/>
      </c>
      <c r="I48" s="836" t="str">
        <f>IF($BA48,"",INDEX(C_SourceStreams!BM$61:BM$2089,MATCH($C48,C_SourceStreams!$C$61:$C$2089,0)))</f>
        <v/>
      </c>
      <c r="J48" s="838" t="str">
        <f>IF($BA48,"",INDEX(C_SourceStreams!BJ$61:BJ$2089,MATCH($C48,C_SourceStreams!$C$61:$C$2089,0)))</f>
        <v/>
      </c>
      <c r="K48" s="836" t="str">
        <f>IF($BA48,"",INDEX(C_SourceStreams!BK$61:BK$2089,MATCH($C48,C_SourceStreams!$C$61:$C$2089,0)))</f>
        <v/>
      </c>
      <c r="L48" s="836" t="str">
        <f>IF($BA48,"",INDEX(C_SourceStreams!BP$61:BP$2089,MATCH($C48,C_SourceStreams!$C$61:$C$2089,0)))</f>
        <v/>
      </c>
      <c r="M48" s="836" t="str">
        <f>IF($BA48,"",INDEX(C_SourceStreams!BQ$61:BQ$2089,MATCH($C48,C_SourceStreams!$C$61:$C$2089,0)))</f>
        <v/>
      </c>
      <c r="N48" s="838" t="str">
        <f>IF($BA48,"",INDEX(C_SourceStreams!BN$61:BN$2089,MATCH($C48,C_SourceStreams!$C$61:$C$2089,0))*100)</f>
        <v/>
      </c>
      <c r="O48" s="839" t="str">
        <f t="shared" si="0"/>
        <v/>
      </c>
      <c r="P48" s="838" t="str">
        <f>IF($BA48,"",INDEX(C_SourceStreams!BO$61:BO$2089,MATCH($C48,C_SourceStreams!$C$61:$C$2089,0))*100)</f>
        <v/>
      </c>
      <c r="Q48" s="839" t="str">
        <f t="shared" si="1"/>
        <v/>
      </c>
      <c r="R48" s="838" t="str">
        <f>IF($BA48,"",INDEX(C_SourceStreams!BR$61:BR$2089,MATCH($C48,C_SourceStreams!$C$61:$C$2089,0))*100)</f>
        <v/>
      </c>
      <c r="S48" s="839" t="str">
        <f t="shared" si="2"/>
        <v/>
      </c>
      <c r="T48" s="838" t="str">
        <f>IF($BA48,"",INDEX(C_SourceStreams!BS$61:BS$2089,MATCH($C48,C_SourceStreams!$C$61:$C$2089,0))*100)</f>
        <v/>
      </c>
      <c r="U48" s="839" t="str">
        <f t="shared" si="3"/>
        <v/>
      </c>
      <c r="V48" s="1006"/>
      <c r="W48" s="1006"/>
      <c r="X48" s="1006"/>
      <c r="Y48" s="1006"/>
      <c r="Z48" s="1006"/>
      <c r="AA48" s="1006"/>
      <c r="AB48" s="1006"/>
      <c r="AC48" s="1006"/>
      <c r="AD48" s="1006"/>
      <c r="AE48" s="1006"/>
      <c r="AF48" s="1006"/>
      <c r="AG48" s="1006"/>
      <c r="AH48" s="1006"/>
      <c r="AI48" s="1006"/>
      <c r="AJ48" s="1006"/>
      <c r="AK48" s="1006"/>
      <c r="AL48" s="1006"/>
      <c r="AM48" s="1006"/>
      <c r="AN48" s="1006"/>
      <c r="AO48" s="1006"/>
      <c r="AP48" s="1006"/>
      <c r="AQ48" s="1006"/>
      <c r="AR48" s="1006"/>
      <c r="AS48" s="1006"/>
      <c r="AT48" s="1006"/>
      <c r="AU48" s="1001" t="str">
        <f>IF($BA48,"",INDEX(C_SourceStreams!BT$61:BT$2089,MATCH($C48,C_SourceStreams!$C$61:$C$2089,0)))</f>
        <v/>
      </c>
      <c r="AV48" s="1001" t="str">
        <f>IF($BA48,"",INDEX(C_SourceStreams!BU$61:BU$2089,MATCH($C48,C_SourceStreams!$C$61:$C$2089,0)))</f>
        <v/>
      </c>
      <c r="AW48" s="1001" t="str">
        <f>IF($BA48,"",INDEX(C_SourceStreams!BV$61:BV$2089,MATCH($C48,C_SourceStreams!$C$61:$C$2089,0)))</f>
        <v/>
      </c>
      <c r="AX48" s="838" t="str">
        <f>IF($BA48,"",INDEX(C_SourceStreams!BW$61:BW$2089,MATCH($C48,C_SourceStreams!$C$61:$C$2089,0)))</f>
        <v/>
      </c>
      <c r="AY48" s="838" t="str">
        <f>IF($BA48,"",INDEX(C_SourceStreams!BX$61:BX$2089,MATCH($C48,C_SourceStreams!$C$61:$C$2089,0)))</f>
        <v/>
      </c>
      <c r="BA48" s="72" t="b">
        <f>IF(ISERROR(INDEX(C_SourceStreams!$K$28:$K$11971,MATCH(C48,C_SourceStreams!$C$28:$C$11971,0))),TRUE,INDEX(C_SourceStreams!$K$28:$K$11971,MATCH(C48,C_SourceStreams!$C$28:$C$11971,0))="")</f>
        <v>1</v>
      </c>
    </row>
    <row r="49" spans="3:53" x14ac:dyDescent="0.2">
      <c r="C49" s="835">
        <v>46</v>
      </c>
      <c r="D49" s="837" t="str">
        <f>IF($BA49,"",INDEX(C_SourceStreams!$K$61:$K$2089,MATCH($C49,C_SourceStreams!$C$61:$C$2089,0)))</f>
        <v/>
      </c>
      <c r="E49" s="837" t="str">
        <f>IF($BA49,"",INDEX(C_SourceStreams!$E$61:$E$2089,MATCH($C49,C_SourceStreams!$C$61:$C$2089,0)))</f>
        <v/>
      </c>
      <c r="F49" s="838" t="str">
        <f>IF($BA49,"",INDEX(C_SourceStreams!BH$61:BH$2089,MATCH($C49,C_SourceStreams!$C$61:$C$2089,0)))</f>
        <v/>
      </c>
      <c r="G49" s="836" t="str">
        <f>IF($BA49,"",INDEX(C_SourceStreams!BI$61:BI$2089,MATCH($C49,C_SourceStreams!$C$61:$C$2089,0)))</f>
        <v/>
      </c>
      <c r="H49" s="838" t="str">
        <f>IF($BA49,"",INDEX(C_SourceStreams!BL$61:BL$2089,MATCH($C49,C_SourceStreams!$C$61:$C$2089,0)))</f>
        <v/>
      </c>
      <c r="I49" s="836" t="str">
        <f>IF($BA49,"",INDEX(C_SourceStreams!BM$61:BM$2089,MATCH($C49,C_SourceStreams!$C$61:$C$2089,0)))</f>
        <v/>
      </c>
      <c r="J49" s="838" t="str">
        <f>IF($BA49,"",INDEX(C_SourceStreams!BJ$61:BJ$2089,MATCH($C49,C_SourceStreams!$C$61:$C$2089,0)))</f>
        <v/>
      </c>
      <c r="K49" s="836" t="str">
        <f>IF($BA49,"",INDEX(C_SourceStreams!BK$61:BK$2089,MATCH($C49,C_SourceStreams!$C$61:$C$2089,0)))</f>
        <v/>
      </c>
      <c r="L49" s="836" t="str">
        <f>IF($BA49,"",INDEX(C_SourceStreams!BP$61:BP$2089,MATCH($C49,C_SourceStreams!$C$61:$C$2089,0)))</f>
        <v/>
      </c>
      <c r="M49" s="836" t="str">
        <f>IF($BA49,"",INDEX(C_SourceStreams!BQ$61:BQ$2089,MATCH($C49,C_SourceStreams!$C$61:$C$2089,0)))</f>
        <v/>
      </c>
      <c r="N49" s="838" t="str">
        <f>IF($BA49,"",INDEX(C_SourceStreams!BN$61:BN$2089,MATCH($C49,C_SourceStreams!$C$61:$C$2089,0))*100)</f>
        <v/>
      </c>
      <c r="O49" s="839" t="str">
        <f t="shared" si="0"/>
        <v/>
      </c>
      <c r="P49" s="838" t="str">
        <f>IF($BA49,"",INDEX(C_SourceStreams!BO$61:BO$2089,MATCH($C49,C_SourceStreams!$C$61:$C$2089,0))*100)</f>
        <v/>
      </c>
      <c r="Q49" s="839" t="str">
        <f t="shared" si="1"/>
        <v/>
      </c>
      <c r="R49" s="838" t="str">
        <f>IF($BA49,"",INDEX(C_SourceStreams!BR$61:BR$2089,MATCH($C49,C_SourceStreams!$C$61:$C$2089,0))*100)</f>
        <v/>
      </c>
      <c r="S49" s="839" t="str">
        <f t="shared" si="2"/>
        <v/>
      </c>
      <c r="T49" s="838" t="str">
        <f>IF($BA49,"",INDEX(C_SourceStreams!BS$61:BS$2089,MATCH($C49,C_SourceStreams!$C$61:$C$2089,0))*100)</f>
        <v/>
      </c>
      <c r="U49" s="839" t="str">
        <f t="shared" si="3"/>
        <v/>
      </c>
      <c r="V49" s="1006"/>
      <c r="W49" s="1006"/>
      <c r="X49" s="1006"/>
      <c r="Y49" s="1006"/>
      <c r="Z49" s="1006"/>
      <c r="AA49" s="1006"/>
      <c r="AB49" s="1006"/>
      <c r="AC49" s="1006"/>
      <c r="AD49" s="1006"/>
      <c r="AE49" s="1006"/>
      <c r="AF49" s="1006"/>
      <c r="AG49" s="1006"/>
      <c r="AH49" s="1006"/>
      <c r="AI49" s="1006"/>
      <c r="AJ49" s="1006"/>
      <c r="AK49" s="1006"/>
      <c r="AL49" s="1006"/>
      <c r="AM49" s="1006"/>
      <c r="AN49" s="1006"/>
      <c r="AO49" s="1006"/>
      <c r="AP49" s="1006"/>
      <c r="AQ49" s="1006"/>
      <c r="AR49" s="1006"/>
      <c r="AS49" s="1006"/>
      <c r="AT49" s="1006"/>
      <c r="AU49" s="1001" t="str">
        <f>IF($BA49,"",INDEX(C_SourceStreams!BT$61:BT$2089,MATCH($C49,C_SourceStreams!$C$61:$C$2089,0)))</f>
        <v/>
      </c>
      <c r="AV49" s="1001" t="str">
        <f>IF($BA49,"",INDEX(C_SourceStreams!BU$61:BU$2089,MATCH($C49,C_SourceStreams!$C$61:$C$2089,0)))</f>
        <v/>
      </c>
      <c r="AW49" s="1001" t="str">
        <f>IF($BA49,"",INDEX(C_SourceStreams!BV$61:BV$2089,MATCH($C49,C_SourceStreams!$C$61:$C$2089,0)))</f>
        <v/>
      </c>
      <c r="AX49" s="838" t="str">
        <f>IF($BA49,"",INDEX(C_SourceStreams!BW$61:BW$2089,MATCH($C49,C_SourceStreams!$C$61:$C$2089,0)))</f>
        <v/>
      </c>
      <c r="AY49" s="838" t="str">
        <f>IF($BA49,"",INDEX(C_SourceStreams!BX$61:BX$2089,MATCH($C49,C_SourceStreams!$C$61:$C$2089,0)))</f>
        <v/>
      </c>
      <c r="BA49" s="72" t="b">
        <f>IF(ISERROR(INDEX(C_SourceStreams!$K$28:$K$11971,MATCH(C49,C_SourceStreams!$C$28:$C$11971,0))),TRUE,INDEX(C_SourceStreams!$K$28:$K$11971,MATCH(C49,C_SourceStreams!$C$28:$C$11971,0))="")</f>
        <v>1</v>
      </c>
    </row>
    <row r="50" spans="3:53" x14ac:dyDescent="0.2">
      <c r="C50" s="835">
        <v>47</v>
      </c>
      <c r="D50" s="837" t="str">
        <f>IF($BA50,"",INDEX(C_SourceStreams!$K$61:$K$2089,MATCH($C50,C_SourceStreams!$C$61:$C$2089,0)))</f>
        <v/>
      </c>
      <c r="E50" s="837" t="str">
        <f>IF($BA50,"",INDEX(C_SourceStreams!$E$61:$E$2089,MATCH($C50,C_SourceStreams!$C$61:$C$2089,0)))</f>
        <v/>
      </c>
      <c r="F50" s="838" t="str">
        <f>IF($BA50,"",INDEX(C_SourceStreams!BH$61:BH$2089,MATCH($C50,C_SourceStreams!$C$61:$C$2089,0)))</f>
        <v/>
      </c>
      <c r="G50" s="836" t="str">
        <f>IF($BA50,"",INDEX(C_SourceStreams!BI$61:BI$2089,MATCH($C50,C_SourceStreams!$C$61:$C$2089,0)))</f>
        <v/>
      </c>
      <c r="H50" s="838" t="str">
        <f>IF($BA50,"",INDEX(C_SourceStreams!BL$61:BL$2089,MATCH($C50,C_SourceStreams!$C$61:$C$2089,0)))</f>
        <v/>
      </c>
      <c r="I50" s="836" t="str">
        <f>IF($BA50,"",INDEX(C_SourceStreams!BM$61:BM$2089,MATCH($C50,C_SourceStreams!$C$61:$C$2089,0)))</f>
        <v/>
      </c>
      <c r="J50" s="838" t="str">
        <f>IF($BA50,"",INDEX(C_SourceStreams!BJ$61:BJ$2089,MATCH($C50,C_SourceStreams!$C$61:$C$2089,0)))</f>
        <v/>
      </c>
      <c r="K50" s="836" t="str">
        <f>IF($BA50,"",INDEX(C_SourceStreams!BK$61:BK$2089,MATCH($C50,C_SourceStreams!$C$61:$C$2089,0)))</f>
        <v/>
      </c>
      <c r="L50" s="836" t="str">
        <f>IF($BA50,"",INDEX(C_SourceStreams!BP$61:BP$2089,MATCH($C50,C_SourceStreams!$C$61:$C$2089,0)))</f>
        <v/>
      </c>
      <c r="M50" s="836" t="str">
        <f>IF($BA50,"",INDEX(C_SourceStreams!BQ$61:BQ$2089,MATCH($C50,C_SourceStreams!$C$61:$C$2089,0)))</f>
        <v/>
      </c>
      <c r="N50" s="838" t="str">
        <f>IF($BA50,"",INDEX(C_SourceStreams!BN$61:BN$2089,MATCH($C50,C_SourceStreams!$C$61:$C$2089,0))*100)</f>
        <v/>
      </c>
      <c r="O50" s="839" t="str">
        <f t="shared" si="0"/>
        <v/>
      </c>
      <c r="P50" s="838" t="str">
        <f>IF($BA50,"",INDEX(C_SourceStreams!BO$61:BO$2089,MATCH($C50,C_SourceStreams!$C$61:$C$2089,0))*100)</f>
        <v/>
      </c>
      <c r="Q50" s="839" t="str">
        <f t="shared" si="1"/>
        <v/>
      </c>
      <c r="R50" s="838" t="str">
        <f>IF($BA50,"",INDEX(C_SourceStreams!BR$61:BR$2089,MATCH($C50,C_SourceStreams!$C$61:$C$2089,0))*100)</f>
        <v/>
      </c>
      <c r="S50" s="839" t="str">
        <f t="shared" si="2"/>
        <v/>
      </c>
      <c r="T50" s="838" t="str">
        <f>IF($BA50,"",INDEX(C_SourceStreams!BS$61:BS$2089,MATCH($C50,C_SourceStreams!$C$61:$C$2089,0))*100)</f>
        <v/>
      </c>
      <c r="U50" s="839" t="str">
        <f t="shared" si="3"/>
        <v/>
      </c>
      <c r="V50" s="1006"/>
      <c r="W50" s="1006"/>
      <c r="X50" s="1006"/>
      <c r="Y50" s="1006"/>
      <c r="Z50" s="1006"/>
      <c r="AA50" s="1006"/>
      <c r="AB50" s="1006"/>
      <c r="AC50" s="1006"/>
      <c r="AD50" s="1006"/>
      <c r="AE50" s="1006"/>
      <c r="AF50" s="1006"/>
      <c r="AG50" s="1006"/>
      <c r="AH50" s="1006"/>
      <c r="AI50" s="1006"/>
      <c r="AJ50" s="1006"/>
      <c r="AK50" s="1006"/>
      <c r="AL50" s="1006"/>
      <c r="AM50" s="1006"/>
      <c r="AN50" s="1006"/>
      <c r="AO50" s="1006"/>
      <c r="AP50" s="1006"/>
      <c r="AQ50" s="1006"/>
      <c r="AR50" s="1006"/>
      <c r="AS50" s="1006"/>
      <c r="AT50" s="1006"/>
      <c r="AU50" s="1001" t="str">
        <f>IF($BA50,"",INDEX(C_SourceStreams!BT$61:BT$2089,MATCH($C50,C_SourceStreams!$C$61:$C$2089,0)))</f>
        <v/>
      </c>
      <c r="AV50" s="1001" t="str">
        <f>IF($BA50,"",INDEX(C_SourceStreams!BU$61:BU$2089,MATCH($C50,C_SourceStreams!$C$61:$C$2089,0)))</f>
        <v/>
      </c>
      <c r="AW50" s="1001" t="str">
        <f>IF($BA50,"",INDEX(C_SourceStreams!BV$61:BV$2089,MATCH($C50,C_SourceStreams!$C$61:$C$2089,0)))</f>
        <v/>
      </c>
      <c r="AX50" s="838" t="str">
        <f>IF($BA50,"",INDEX(C_SourceStreams!BW$61:BW$2089,MATCH($C50,C_SourceStreams!$C$61:$C$2089,0)))</f>
        <v/>
      </c>
      <c r="AY50" s="838" t="str">
        <f>IF($BA50,"",INDEX(C_SourceStreams!BX$61:BX$2089,MATCH($C50,C_SourceStreams!$C$61:$C$2089,0)))</f>
        <v/>
      </c>
      <c r="BA50" s="72" t="b">
        <f>IF(ISERROR(INDEX(C_SourceStreams!$K$28:$K$11971,MATCH(C50,C_SourceStreams!$C$28:$C$11971,0))),TRUE,INDEX(C_SourceStreams!$K$28:$K$11971,MATCH(C50,C_SourceStreams!$C$28:$C$11971,0))="")</f>
        <v>1</v>
      </c>
    </row>
    <row r="51" spans="3:53" x14ac:dyDescent="0.2">
      <c r="C51" s="835">
        <v>48</v>
      </c>
      <c r="D51" s="837" t="str">
        <f>IF($BA51,"",INDEX(C_SourceStreams!$K$61:$K$2089,MATCH($C51,C_SourceStreams!$C$61:$C$2089,0)))</f>
        <v/>
      </c>
      <c r="E51" s="837" t="str">
        <f>IF($BA51,"",INDEX(C_SourceStreams!$E$61:$E$2089,MATCH($C51,C_SourceStreams!$C$61:$C$2089,0)))</f>
        <v/>
      </c>
      <c r="F51" s="838" t="str">
        <f>IF($BA51,"",INDEX(C_SourceStreams!BH$61:BH$2089,MATCH($C51,C_SourceStreams!$C$61:$C$2089,0)))</f>
        <v/>
      </c>
      <c r="G51" s="836" t="str">
        <f>IF($BA51,"",INDEX(C_SourceStreams!BI$61:BI$2089,MATCH($C51,C_SourceStreams!$C$61:$C$2089,0)))</f>
        <v/>
      </c>
      <c r="H51" s="838" t="str">
        <f>IF($BA51,"",INDEX(C_SourceStreams!BL$61:BL$2089,MATCH($C51,C_SourceStreams!$C$61:$C$2089,0)))</f>
        <v/>
      </c>
      <c r="I51" s="836" t="str">
        <f>IF($BA51,"",INDEX(C_SourceStreams!BM$61:BM$2089,MATCH($C51,C_SourceStreams!$C$61:$C$2089,0)))</f>
        <v/>
      </c>
      <c r="J51" s="838" t="str">
        <f>IF($BA51,"",INDEX(C_SourceStreams!BJ$61:BJ$2089,MATCH($C51,C_SourceStreams!$C$61:$C$2089,0)))</f>
        <v/>
      </c>
      <c r="K51" s="836" t="str">
        <f>IF($BA51,"",INDEX(C_SourceStreams!BK$61:BK$2089,MATCH($C51,C_SourceStreams!$C$61:$C$2089,0)))</f>
        <v/>
      </c>
      <c r="L51" s="836" t="str">
        <f>IF($BA51,"",INDEX(C_SourceStreams!BP$61:BP$2089,MATCH($C51,C_SourceStreams!$C$61:$C$2089,0)))</f>
        <v/>
      </c>
      <c r="M51" s="836" t="str">
        <f>IF($BA51,"",INDEX(C_SourceStreams!BQ$61:BQ$2089,MATCH($C51,C_SourceStreams!$C$61:$C$2089,0)))</f>
        <v/>
      </c>
      <c r="N51" s="838" t="str">
        <f>IF($BA51,"",INDEX(C_SourceStreams!BN$61:BN$2089,MATCH($C51,C_SourceStreams!$C$61:$C$2089,0))*100)</f>
        <v/>
      </c>
      <c r="O51" s="839" t="str">
        <f t="shared" si="0"/>
        <v/>
      </c>
      <c r="P51" s="838" t="str">
        <f>IF($BA51,"",INDEX(C_SourceStreams!BO$61:BO$2089,MATCH($C51,C_SourceStreams!$C$61:$C$2089,0))*100)</f>
        <v/>
      </c>
      <c r="Q51" s="839" t="str">
        <f t="shared" si="1"/>
        <v/>
      </c>
      <c r="R51" s="838" t="str">
        <f>IF($BA51,"",INDEX(C_SourceStreams!BR$61:BR$2089,MATCH($C51,C_SourceStreams!$C$61:$C$2089,0))*100)</f>
        <v/>
      </c>
      <c r="S51" s="839" t="str">
        <f t="shared" si="2"/>
        <v/>
      </c>
      <c r="T51" s="838" t="str">
        <f>IF($BA51,"",INDEX(C_SourceStreams!BS$61:BS$2089,MATCH($C51,C_SourceStreams!$C$61:$C$2089,0))*100)</f>
        <v/>
      </c>
      <c r="U51" s="839" t="str">
        <f t="shared" si="3"/>
        <v/>
      </c>
      <c r="V51" s="1006"/>
      <c r="W51" s="1006"/>
      <c r="X51" s="1006"/>
      <c r="Y51" s="1006"/>
      <c r="Z51" s="1006"/>
      <c r="AA51" s="1006"/>
      <c r="AB51" s="1006"/>
      <c r="AC51" s="1006"/>
      <c r="AD51" s="1006"/>
      <c r="AE51" s="1006"/>
      <c r="AF51" s="1006"/>
      <c r="AG51" s="1006"/>
      <c r="AH51" s="1006"/>
      <c r="AI51" s="1006"/>
      <c r="AJ51" s="1006"/>
      <c r="AK51" s="1006"/>
      <c r="AL51" s="1006"/>
      <c r="AM51" s="1006"/>
      <c r="AN51" s="1006"/>
      <c r="AO51" s="1006"/>
      <c r="AP51" s="1006"/>
      <c r="AQ51" s="1006"/>
      <c r="AR51" s="1006"/>
      <c r="AS51" s="1006"/>
      <c r="AT51" s="1006"/>
      <c r="AU51" s="1001" t="str">
        <f>IF($BA51,"",INDEX(C_SourceStreams!BT$61:BT$2089,MATCH($C51,C_SourceStreams!$C$61:$C$2089,0)))</f>
        <v/>
      </c>
      <c r="AV51" s="1001" t="str">
        <f>IF($BA51,"",INDEX(C_SourceStreams!BU$61:BU$2089,MATCH($C51,C_SourceStreams!$C$61:$C$2089,0)))</f>
        <v/>
      </c>
      <c r="AW51" s="1001" t="str">
        <f>IF($BA51,"",INDEX(C_SourceStreams!BV$61:BV$2089,MATCH($C51,C_SourceStreams!$C$61:$C$2089,0)))</f>
        <v/>
      </c>
      <c r="AX51" s="838" t="str">
        <f>IF($BA51,"",INDEX(C_SourceStreams!BW$61:BW$2089,MATCH($C51,C_SourceStreams!$C$61:$C$2089,0)))</f>
        <v/>
      </c>
      <c r="AY51" s="838" t="str">
        <f>IF($BA51,"",INDEX(C_SourceStreams!BX$61:BX$2089,MATCH($C51,C_SourceStreams!$C$61:$C$2089,0)))</f>
        <v/>
      </c>
      <c r="BA51" s="72" t="b">
        <f>IF(ISERROR(INDEX(C_SourceStreams!$K$28:$K$11971,MATCH(C51,C_SourceStreams!$C$28:$C$11971,0))),TRUE,INDEX(C_SourceStreams!$K$28:$K$11971,MATCH(C51,C_SourceStreams!$C$28:$C$11971,0))="")</f>
        <v>1</v>
      </c>
    </row>
    <row r="52" spans="3:53" x14ac:dyDescent="0.2">
      <c r="C52" s="835">
        <v>49</v>
      </c>
      <c r="D52" s="837" t="str">
        <f>IF($BA52,"",INDEX(C_SourceStreams!$K$61:$K$2089,MATCH($C52,C_SourceStreams!$C$61:$C$2089,0)))</f>
        <v/>
      </c>
      <c r="E52" s="837" t="str">
        <f>IF($BA52,"",INDEX(C_SourceStreams!$E$61:$E$2089,MATCH($C52,C_SourceStreams!$C$61:$C$2089,0)))</f>
        <v/>
      </c>
      <c r="F52" s="838" t="str">
        <f>IF($BA52,"",INDEX(C_SourceStreams!BH$61:BH$2089,MATCH($C52,C_SourceStreams!$C$61:$C$2089,0)))</f>
        <v/>
      </c>
      <c r="G52" s="836" t="str">
        <f>IF($BA52,"",INDEX(C_SourceStreams!BI$61:BI$2089,MATCH($C52,C_SourceStreams!$C$61:$C$2089,0)))</f>
        <v/>
      </c>
      <c r="H52" s="838" t="str">
        <f>IF($BA52,"",INDEX(C_SourceStreams!BL$61:BL$2089,MATCH($C52,C_SourceStreams!$C$61:$C$2089,0)))</f>
        <v/>
      </c>
      <c r="I52" s="836" t="str">
        <f>IF($BA52,"",INDEX(C_SourceStreams!BM$61:BM$2089,MATCH($C52,C_SourceStreams!$C$61:$C$2089,0)))</f>
        <v/>
      </c>
      <c r="J52" s="838" t="str">
        <f>IF($BA52,"",INDEX(C_SourceStreams!BJ$61:BJ$2089,MATCH($C52,C_SourceStreams!$C$61:$C$2089,0)))</f>
        <v/>
      </c>
      <c r="K52" s="836" t="str">
        <f>IF($BA52,"",INDEX(C_SourceStreams!BK$61:BK$2089,MATCH($C52,C_SourceStreams!$C$61:$C$2089,0)))</f>
        <v/>
      </c>
      <c r="L52" s="836" t="str">
        <f>IF($BA52,"",INDEX(C_SourceStreams!BP$61:BP$2089,MATCH($C52,C_SourceStreams!$C$61:$C$2089,0)))</f>
        <v/>
      </c>
      <c r="M52" s="836" t="str">
        <f>IF($BA52,"",INDEX(C_SourceStreams!BQ$61:BQ$2089,MATCH($C52,C_SourceStreams!$C$61:$C$2089,0)))</f>
        <v/>
      </c>
      <c r="N52" s="838" t="str">
        <f>IF($BA52,"",INDEX(C_SourceStreams!BN$61:BN$2089,MATCH($C52,C_SourceStreams!$C$61:$C$2089,0))*100)</f>
        <v/>
      </c>
      <c r="O52" s="839" t="str">
        <f t="shared" si="0"/>
        <v/>
      </c>
      <c r="P52" s="838" t="str">
        <f>IF($BA52,"",INDEX(C_SourceStreams!BO$61:BO$2089,MATCH($C52,C_SourceStreams!$C$61:$C$2089,0))*100)</f>
        <v/>
      </c>
      <c r="Q52" s="839" t="str">
        <f t="shared" si="1"/>
        <v/>
      </c>
      <c r="R52" s="838" t="str">
        <f>IF($BA52,"",INDEX(C_SourceStreams!BR$61:BR$2089,MATCH($C52,C_SourceStreams!$C$61:$C$2089,0))*100)</f>
        <v/>
      </c>
      <c r="S52" s="839" t="str">
        <f t="shared" si="2"/>
        <v/>
      </c>
      <c r="T52" s="838" t="str">
        <f>IF($BA52,"",INDEX(C_SourceStreams!BS$61:BS$2089,MATCH($C52,C_SourceStreams!$C$61:$C$2089,0))*100)</f>
        <v/>
      </c>
      <c r="U52" s="839" t="str">
        <f t="shared" si="3"/>
        <v/>
      </c>
      <c r="V52" s="1006"/>
      <c r="W52" s="1006"/>
      <c r="X52" s="1006"/>
      <c r="Y52" s="1006"/>
      <c r="Z52" s="1006"/>
      <c r="AA52" s="1006"/>
      <c r="AB52" s="1006"/>
      <c r="AC52" s="1006"/>
      <c r="AD52" s="1006"/>
      <c r="AE52" s="1006"/>
      <c r="AF52" s="1006"/>
      <c r="AG52" s="1006"/>
      <c r="AH52" s="1006"/>
      <c r="AI52" s="1006"/>
      <c r="AJ52" s="1006"/>
      <c r="AK52" s="1006"/>
      <c r="AL52" s="1006"/>
      <c r="AM52" s="1006"/>
      <c r="AN52" s="1006"/>
      <c r="AO52" s="1006"/>
      <c r="AP52" s="1006"/>
      <c r="AQ52" s="1006"/>
      <c r="AR52" s="1006"/>
      <c r="AS52" s="1006"/>
      <c r="AT52" s="1006"/>
      <c r="AU52" s="1001" t="str">
        <f>IF($BA52,"",INDEX(C_SourceStreams!BT$61:BT$2089,MATCH($C52,C_SourceStreams!$C$61:$C$2089,0)))</f>
        <v/>
      </c>
      <c r="AV52" s="1001" t="str">
        <f>IF($BA52,"",INDEX(C_SourceStreams!BU$61:BU$2089,MATCH($C52,C_SourceStreams!$C$61:$C$2089,0)))</f>
        <v/>
      </c>
      <c r="AW52" s="1001" t="str">
        <f>IF($BA52,"",INDEX(C_SourceStreams!BV$61:BV$2089,MATCH($C52,C_SourceStreams!$C$61:$C$2089,0)))</f>
        <v/>
      </c>
      <c r="AX52" s="838" t="str">
        <f>IF($BA52,"",INDEX(C_SourceStreams!BW$61:BW$2089,MATCH($C52,C_SourceStreams!$C$61:$C$2089,0)))</f>
        <v/>
      </c>
      <c r="AY52" s="838" t="str">
        <f>IF($BA52,"",INDEX(C_SourceStreams!BX$61:BX$2089,MATCH($C52,C_SourceStreams!$C$61:$C$2089,0)))</f>
        <v/>
      </c>
      <c r="BA52" s="72" t="b">
        <f>IF(ISERROR(INDEX(C_SourceStreams!$K$28:$K$11971,MATCH(C52,C_SourceStreams!$C$28:$C$11971,0))),TRUE,INDEX(C_SourceStreams!$K$28:$K$11971,MATCH(C52,C_SourceStreams!$C$28:$C$11971,0))="")</f>
        <v>1</v>
      </c>
    </row>
    <row r="53" spans="3:53" x14ac:dyDescent="0.2">
      <c r="C53" s="835">
        <v>50</v>
      </c>
      <c r="D53" s="837" t="str">
        <f>IF($BA53,"",INDEX(C_SourceStreams!$K$61:$K$2089,MATCH($C53,C_SourceStreams!$C$61:$C$2089,0)))</f>
        <v/>
      </c>
      <c r="E53" s="837" t="str">
        <f>IF($BA53,"",INDEX(C_SourceStreams!$E$61:$E$2089,MATCH($C53,C_SourceStreams!$C$61:$C$2089,0)))</f>
        <v/>
      </c>
      <c r="F53" s="838" t="str">
        <f>IF($BA53,"",INDEX(C_SourceStreams!BH$61:BH$2089,MATCH($C53,C_SourceStreams!$C$61:$C$2089,0)))</f>
        <v/>
      </c>
      <c r="G53" s="836" t="str">
        <f>IF($BA53,"",INDEX(C_SourceStreams!BI$61:BI$2089,MATCH($C53,C_SourceStreams!$C$61:$C$2089,0)))</f>
        <v/>
      </c>
      <c r="H53" s="838" t="str">
        <f>IF($BA53,"",INDEX(C_SourceStreams!BL$61:BL$2089,MATCH($C53,C_SourceStreams!$C$61:$C$2089,0)))</f>
        <v/>
      </c>
      <c r="I53" s="836" t="str">
        <f>IF($BA53,"",INDEX(C_SourceStreams!BM$61:BM$2089,MATCH($C53,C_SourceStreams!$C$61:$C$2089,0)))</f>
        <v/>
      </c>
      <c r="J53" s="838" t="str">
        <f>IF($BA53,"",INDEX(C_SourceStreams!BJ$61:BJ$2089,MATCH($C53,C_SourceStreams!$C$61:$C$2089,0)))</f>
        <v/>
      </c>
      <c r="K53" s="836" t="str">
        <f>IF($BA53,"",INDEX(C_SourceStreams!BK$61:BK$2089,MATCH($C53,C_SourceStreams!$C$61:$C$2089,0)))</f>
        <v/>
      </c>
      <c r="L53" s="836" t="str">
        <f>IF($BA53,"",INDEX(C_SourceStreams!BP$61:BP$2089,MATCH($C53,C_SourceStreams!$C$61:$C$2089,0)))</f>
        <v/>
      </c>
      <c r="M53" s="836" t="str">
        <f>IF($BA53,"",INDEX(C_SourceStreams!BQ$61:BQ$2089,MATCH($C53,C_SourceStreams!$C$61:$C$2089,0)))</f>
        <v/>
      </c>
      <c r="N53" s="838" t="str">
        <f>IF($BA53,"",INDEX(C_SourceStreams!BN$61:BN$2089,MATCH($C53,C_SourceStreams!$C$61:$C$2089,0))*100)</f>
        <v/>
      </c>
      <c r="O53" s="839" t="str">
        <f t="shared" si="0"/>
        <v/>
      </c>
      <c r="P53" s="838" t="str">
        <f>IF($BA53,"",INDEX(C_SourceStreams!BO$61:BO$2089,MATCH($C53,C_SourceStreams!$C$61:$C$2089,0))*100)</f>
        <v/>
      </c>
      <c r="Q53" s="839" t="str">
        <f t="shared" si="1"/>
        <v/>
      </c>
      <c r="R53" s="838" t="str">
        <f>IF($BA53,"",INDEX(C_SourceStreams!BR$61:BR$2089,MATCH($C53,C_SourceStreams!$C$61:$C$2089,0))*100)</f>
        <v/>
      </c>
      <c r="S53" s="839" t="str">
        <f t="shared" si="2"/>
        <v/>
      </c>
      <c r="T53" s="838" t="str">
        <f>IF($BA53,"",INDEX(C_SourceStreams!BS$61:BS$2089,MATCH($C53,C_SourceStreams!$C$61:$C$2089,0))*100)</f>
        <v/>
      </c>
      <c r="U53" s="839" t="str">
        <f t="shared" si="3"/>
        <v/>
      </c>
      <c r="V53" s="1006"/>
      <c r="W53" s="1006"/>
      <c r="X53" s="1006"/>
      <c r="Y53" s="1006"/>
      <c r="Z53" s="1006"/>
      <c r="AA53" s="1006"/>
      <c r="AB53" s="1006"/>
      <c r="AC53" s="1006"/>
      <c r="AD53" s="1006"/>
      <c r="AE53" s="1006"/>
      <c r="AF53" s="1006"/>
      <c r="AG53" s="1006"/>
      <c r="AH53" s="1006"/>
      <c r="AI53" s="1006"/>
      <c r="AJ53" s="1006"/>
      <c r="AK53" s="1006"/>
      <c r="AL53" s="1006"/>
      <c r="AM53" s="1006"/>
      <c r="AN53" s="1006"/>
      <c r="AO53" s="1006"/>
      <c r="AP53" s="1006"/>
      <c r="AQ53" s="1006"/>
      <c r="AR53" s="1006"/>
      <c r="AS53" s="1006"/>
      <c r="AT53" s="1006"/>
      <c r="AU53" s="1001" t="str">
        <f>IF($BA53,"",INDEX(C_SourceStreams!BT$61:BT$2089,MATCH($C53,C_SourceStreams!$C$61:$C$2089,0)))</f>
        <v/>
      </c>
      <c r="AV53" s="1001" t="str">
        <f>IF($BA53,"",INDEX(C_SourceStreams!BU$61:BU$2089,MATCH($C53,C_SourceStreams!$C$61:$C$2089,0)))</f>
        <v/>
      </c>
      <c r="AW53" s="1001" t="str">
        <f>IF($BA53,"",INDEX(C_SourceStreams!BV$61:BV$2089,MATCH($C53,C_SourceStreams!$C$61:$C$2089,0)))</f>
        <v/>
      </c>
      <c r="AX53" s="838" t="str">
        <f>IF($BA53,"",INDEX(C_SourceStreams!BW$61:BW$2089,MATCH($C53,C_SourceStreams!$C$61:$C$2089,0)))</f>
        <v/>
      </c>
      <c r="AY53" s="838" t="str">
        <f>IF($BA53,"",INDEX(C_SourceStreams!BX$61:BX$2089,MATCH($C53,C_SourceStreams!$C$61:$C$2089,0)))</f>
        <v/>
      </c>
      <c r="BA53" s="72" t="b">
        <f>IF(ISERROR(INDEX(C_SourceStreams!$K$28:$K$11971,MATCH(C53,C_SourceStreams!$C$28:$C$11971,0))),TRUE,INDEX(C_SourceStreams!$K$28:$K$11971,MATCH(C53,C_SourceStreams!$C$28:$C$11971,0))="")</f>
        <v>1</v>
      </c>
    </row>
    <row r="54" spans="3:53" x14ac:dyDescent="0.2">
      <c r="C54" s="835">
        <v>51</v>
      </c>
      <c r="D54" s="837" t="str">
        <f>IF($BA54,"",INDEX(C_SourceStreams!$K$61:$K$2089,MATCH($C54,C_SourceStreams!$C$61:$C$2089,0)))</f>
        <v/>
      </c>
      <c r="E54" s="837" t="str">
        <f>IF($BA54,"",INDEX(C_SourceStreams!$E$61:$E$2089,MATCH($C54,C_SourceStreams!$C$61:$C$2089,0)))</f>
        <v/>
      </c>
      <c r="F54" s="838" t="str">
        <f>IF($BA54,"",INDEX(C_SourceStreams!BH$61:BH$2089,MATCH($C54,C_SourceStreams!$C$61:$C$2089,0)))</f>
        <v/>
      </c>
      <c r="G54" s="836" t="str">
        <f>IF($BA54,"",INDEX(C_SourceStreams!BI$61:BI$2089,MATCH($C54,C_SourceStreams!$C$61:$C$2089,0)))</f>
        <v/>
      </c>
      <c r="H54" s="838" t="str">
        <f>IF($BA54,"",INDEX(C_SourceStreams!BL$61:BL$2089,MATCH($C54,C_SourceStreams!$C$61:$C$2089,0)))</f>
        <v/>
      </c>
      <c r="I54" s="836" t="str">
        <f>IF($BA54,"",INDEX(C_SourceStreams!BM$61:BM$2089,MATCH($C54,C_SourceStreams!$C$61:$C$2089,0)))</f>
        <v/>
      </c>
      <c r="J54" s="838" t="str">
        <f>IF($BA54,"",INDEX(C_SourceStreams!BJ$61:BJ$2089,MATCH($C54,C_SourceStreams!$C$61:$C$2089,0)))</f>
        <v/>
      </c>
      <c r="K54" s="836" t="str">
        <f>IF($BA54,"",INDEX(C_SourceStreams!BK$61:BK$2089,MATCH($C54,C_SourceStreams!$C$61:$C$2089,0)))</f>
        <v/>
      </c>
      <c r="L54" s="836" t="str">
        <f>IF($BA54,"",INDEX(C_SourceStreams!BP$61:BP$2089,MATCH($C54,C_SourceStreams!$C$61:$C$2089,0)))</f>
        <v/>
      </c>
      <c r="M54" s="836" t="str">
        <f>IF($BA54,"",INDEX(C_SourceStreams!BQ$61:BQ$2089,MATCH($C54,C_SourceStreams!$C$61:$C$2089,0)))</f>
        <v/>
      </c>
      <c r="N54" s="838" t="str">
        <f>IF($BA54,"",INDEX(C_SourceStreams!BN$61:BN$2089,MATCH($C54,C_SourceStreams!$C$61:$C$2089,0))*100)</f>
        <v/>
      </c>
      <c r="O54" s="839" t="str">
        <f t="shared" si="0"/>
        <v/>
      </c>
      <c r="P54" s="838" t="str">
        <f>IF($BA54,"",INDEX(C_SourceStreams!BO$61:BO$2089,MATCH($C54,C_SourceStreams!$C$61:$C$2089,0))*100)</f>
        <v/>
      </c>
      <c r="Q54" s="839" t="str">
        <f t="shared" si="1"/>
        <v/>
      </c>
      <c r="R54" s="838" t="str">
        <f>IF($BA54,"",INDEX(C_SourceStreams!BR$61:BR$2089,MATCH($C54,C_SourceStreams!$C$61:$C$2089,0))*100)</f>
        <v/>
      </c>
      <c r="S54" s="839" t="str">
        <f t="shared" si="2"/>
        <v/>
      </c>
      <c r="T54" s="838" t="str">
        <f>IF($BA54,"",INDEX(C_SourceStreams!BS$61:BS$2089,MATCH($C54,C_SourceStreams!$C$61:$C$2089,0))*100)</f>
        <v/>
      </c>
      <c r="U54" s="839" t="str">
        <f t="shared" si="3"/>
        <v/>
      </c>
      <c r="V54" s="1006"/>
      <c r="W54" s="1006"/>
      <c r="X54" s="1006"/>
      <c r="Y54" s="1006"/>
      <c r="Z54" s="1006"/>
      <c r="AA54" s="1006"/>
      <c r="AB54" s="1006"/>
      <c r="AC54" s="1006"/>
      <c r="AD54" s="1006"/>
      <c r="AE54" s="1006"/>
      <c r="AF54" s="1006"/>
      <c r="AG54" s="1006"/>
      <c r="AH54" s="1006"/>
      <c r="AI54" s="1006"/>
      <c r="AJ54" s="1006"/>
      <c r="AK54" s="1006"/>
      <c r="AL54" s="1006"/>
      <c r="AM54" s="1006"/>
      <c r="AN54" s="1006"/>
      <c r="AO54" s="1006"/>
      <c r="AP54" s="1006"/>
      <c r="AQ54" s="1006"/>
      <c r="AR54" s="1006"/>
      <c r="AS54" s="1006"/>
      <c r="AT54" s="1006"/>
      <c r="AU54" s="1001" t="str">
        <f>IF($BA54,"",INDEX(C_SourceStreams!BT$61:BT$2089,MATCH($C54,C_SourceStreams!$C$61:$C$2089,0)))</f>
        <v/>
      </c>
      <c r="AV54" s="1001" t="str">
        <f>IF($BA54,"",INDEX(C_SourceStreams!BU$61:BU$2089,MATCH($C54,C_SourceStreams!$C$61:$C$2089,0)))</f>
        <v/>
      </c>
      <c r="AW54" s="1001" t="str">
        <f>IF($BA54,"",INDEX(C_SourceStreams!BV$61:BV$2089,MATCH($C54,C_SourceStreams!$C$61:$C$2089,0)))</f>
        <v/>
      </c>
      <c r="AX54" s="838" t="str">
        <f>IF($BA54,"",INDEX(C_SourceStreams!BW$61:BW$2089,MATCH($C54,C_SourceStreams!$C$61:$C$2089,0)))</f>
        <v/>
      </c>
      <c r="AY54" s="838" t="str">
        <f>IF($BA54,"",INDEX(C_SourceStreams!BX$61:BX$2089,MATCH($C54,C_SourceStreams!$C$61:$C$2089,0)))</f>
        <v/>
      </c>
      <c r="BA54" s="72" t="b">
        <f>IF(ISERROR(INDEX(C_SourceStreams!$K$28:$K$11971,MATCH(C54,C_SourceStreams!$C$28:$C$11971,0))),TRUE,INDEX(C_SourceStreams!$K$28:$K$11971,MATCH(C54,C_SourceStreams!$C$28:$C$11971,0))="")</f>
        <v>1</v>
      </c>
    </row>
    <row r="55" spans="3:53" x14ac:dyDescent="0.2">
      <c r="C55" s="835">
        <v>52</v>
      </c>
      <c r="D55" s="837" t="str">
        <f>IF($BA55,"",INDEX(C_SourceStreams!$K$61:$K$2089,MATCH($C55,C_SourceStreams!$C$61:$C$2089,0)))</f>
        <v/>
      </c>
      <c r="E55" s="837" t="str">
        <f>IF($BA55,"",INDEX(C_SourceStreams!$E$61:$E$2089,MATCH($C55,C_SourceStreams!$C$61:$C$2089,0)))</f>
        <v/>
      </c>
      <c r="F55" s="838" t="str">
        <f>IF($BA55,"",INDEX(C_SourceStreams!BH$61:BH$2089,MATCH($C55,C_SourceStreams!$C$61:$C$2089,0)))</f>
        <v/>
      </c>
      <c r="G55" s="836" t="str">
        <f>IF($BA55,"",INDEX(C_SourceStreams!BI$61:BI$2089,MATCH($C55,C_SourceStreams!$C$61:$C$2089,0)))</f>
        <v/>
      </c>
      <c r="H55" s="838" t="str">
        <f>IF($BA55,"",INDEX(C_SourceStreams!BL$61:BL$2089,MATCH($C55,C_SourceStreams!$C$61:$C$2089,0)))</f>
        <v/>
      </c>
      <c r="I55" s="836" t="str">
        <f>IF($BA55,"",INDEX(C_SourceStreams!BM$61:BM$2089,MATCH($C55,C_SourceStreams!$C$61:$C$2089,0)))</f>
        <v/>
      </c>
      <c r="J55" s="838" t="str">
        <f>IF($BA55,"",INDEX(C_SourceStreams!BJ$61:BJ$2089,MATCH($C55,C_SourceStreams!$C$61:$C$2089,0)))</f>
        <v/>
      </c>
      <c r="K55" s="836" t="str">
        <f>IF($BA55,"",INDEX(C_SourceStreams!BK$61:BK$2089,MATCH($C55,C_SourceStreams!$C$61:$C$2089,0)))</f>
        <v/>
      </c>
      <c r="L55" s="836" t="str">
        <f>IF($BA55,"",INDEX(C_SourceStreams!BP$61:BP$2089,MATCH($C55,C_SourceStreams!$C$61:$C$2089,0)))</f>
        <v/>
      </c>
      <c r="M55" s="836" t="str">
        <f>IF($BA55,"",INDEX(C_SourceStreams!BQ$61:BQ$2089,MATCH($C55,C_SourceStreams!$C$61:$C$2089,0)))</f>
        <v/>
      </c>
      <c r="N55" s="838" t="str">
        <f>IF($BA55,"",INDEX(C_SourceStreams!BN$61:BN$2089,MATCH($C55,C_SourceStreams!$C$61:$C$2089,0))*100)</f>
        <v/>
      </c>
      <c r="O55" s="839" t="str">
        <f t="shared" si="0"/>
        <v/>
      </c>
      <c r="P55" s="838" t="str">
        <f>IF($BA55,"",INDEX(C_SourceStreams!BO$61:BO$2089,MATCH($C55,C_SourceStreams!$C$61:$C$2089,0))*100)</f>
        <v/>
      </c>
      <c r="Q55" s="839" t="str">
        <f t="shared" si="1"/>
        <v/>
      </c>
      <c r="R55" s="838" t="str">
        <f>IF($BA55,"",INDEX(C_SourceStreams!BR$61:BR$2089,MATCH($C55,C_SourceStreams!$C$61:$C$2089,0))*100)</f>
        <v/>
      </c>
      <c r="S55" s="839" t="str">
        <f t="shared" si="2"/>
        <v/>
      </c>
      <c r="T55" s="838" t="str">
        <f>IF($BA55,"",INDEX(C_SourceStreams!BS$61:BS$2089,MATCH($C55,C_SourceStreams!$C$61:$C$2089,0))*100)</f>
        <v/>
      </c>
      <c r="U55" s="839" t="str">
        <f t="shared" si="3"/>
        <v/>
      </c>
      <c r="V55" s="1006"/>
      <c r="W55" s="1006"/>
      <c r="X55" s="1006"/>
      <c r="Y55" s="1006"/>
      <c r="Z55" s="1006"/>
      <c r="AA55" s="1006"/>
      <c r="AB55" s="1006"/>
      <c r="AC55" s="1006"/>
      <c r="AD55" s="1006"/>
      <c r="AE55" s="1006"/>
      <c r="AF55" s="1006"/>
      <c r="AG55" s="1006"/>
      <c r="AH55" s="1006"/>
      <c r="AI55" s="1006"/>
      <c r="AJ55" s="1006"/>
      <c r="AK55" s="1006"/>
      <c r="AL55" s="1006"/>
      <c r="AM55" s="1006"/>
      <c r="AN55" s="1006"/>
      <c r="AO55" s="1006"/>
      <c r="AP55" s="1006"/>
      <c r="AQ55" s="1006"/>
      <c r="AR55" s="1006"/>
      <c r="AS55" s="1006"/>
      <c r="AT55" s="1006"/>
      <c r="AU55" s="1001" t="str">
        <f>IF($BA55,"",INDEX(C_SourceStreams!BT$61:BT$2089,MATCH($C55,C_SourceStreams!$C$61:$C$2089,0)))</f>
        <v/>
      </c>
      <c r="AV55" s="1001" t="str">
        <f>IF($BA55,"",INDEX(C_SourceStreams!BU$61:BU$2089,MATCH($C55,C_SourceStreams!$C$61:$C$2089,0)))</f>
        <v/>
      </c>
      <c r="AW55" s="1001" t="str">
        <f>IF($BA55,"",INDEX(C_SourceStreams!BV$61:BV$2089,MATCH($C55,C_SourceStreams!$C$61:$C$2089,0)))</f>
        <v/>
      </c>
      <c r="AX55" s="838" t="str">
        <f>IF($BA55,"",INDEX(C_SourceStreams!BW$61:BW$2089,MATCH($C55,C_SourceStreams!$C$61:$C$2089,0)))</f>
        <v/>
      </c>
      <c r="AY55" s="838" t="str">
        <f>IF($BA55,"",INDEX(C_SourceStreams!BX$61:BX$2089,MATCH($C55,C_SourceStreams!$C$61:$C$2089,0)))</f>
        <v/>
      </c>
      <c r="BA55" s="72" t="b">
        <f>IF(ISERROR(INDEX(C_SourceStreams!$K$28:$K$11971,MATCH(C55,C_SourceStreams!$C$28:$C$11971,0))),TRUE,INDEX(C_SourceStreams!$K$28:$K$11971,MATCH(C55,C_SourceStreams!$C$28:$C$11971,0))="")</f>
        <v>1</v>
      </c>
    </row>
    <row r="56" spans="3:53" x14ac:dyDescent="0.2">
      <c r="C56" s="835">
        <v>53</v>
      </c>
      <c r="D56" s="837" t="str">
        <f>IF($BA56,"",INDEX(C_SourceStreams!$K$61:$K$2089,MATCH($C56,C_SourceStreams!$C$61:$C$2089,0)))</f>
        <v/>
      </c>
      <c r="E56" s="837" t="str">
        <f>IF($BA56,"",INDEX(C_SourceStreams!$E$61:$E$2089,MATCH($C56,C_SourceStreams!$C$61:$C$2089,0)))</f>
        <v/>
      </c>
      <c r="F56" s="838" t="str">
        <f>IF($BA56,"",INDEX(C_SourceStreams!BH$61:BH$2089,MATCH($C56,C_SourceStreams!$C$61:$C$2089,0)))</f>
        <v/>
      </c>
      <c r="G56" s="836" t="str">
        <f>IF($BA56,"",INDEX(C_SourceStreams!BI$61:BI$2089,MATCH($C56,C_SourceStreams!$C$61:$C$2089,0)))</f>
        <v/>
      </c>
      <c r="H56" s="838" t="str">
        <f>IF($BA56,"",INDEX(C_SourceStreams!BL$61:BL$2089,MATCH($C56,C_SourceStreams!$C$61:$C$2089,0)))</f>
        <v/>
      </c>
      <c r="I56" s="836" t="str">
        <f>IF($BA56,"",INDEX(C_SourceStreams!BM$61:BM$2089,MATCH($C56,C_SourceStreams!$C$61:$C$2089,0)))</f>
        <v/>
      </c>
      <c r="J56" s="838" t="str">
        <f>IF($BA56,"",INDEX(C_SourceStreams!BJ$61:BJ$2089,MATCH($C56,C_SourceStreams!$C$61:$C$2089,0)))</f>
        <v/>
      </c>
      <c r="K56" s="836" t="str">
        <f>IF($BA56,"",INDEX(C_SourceStreams!BK$61:BK$2089,MATCH($C56,C_SourceStreams!$C$61:$C$2089,0)))</f>
        <v/>
      </c>
      <c r="L56" s="836" t="str">
        <f>IF($BA56,"",INDEX(C_SourceStreams!BP$61:BP$2089,MATCH($C56,C_SourceStreams!$C$61:$C$2089,0)))</f>
        <v/>
      </c>
      <c r="M56" s="836" t="str">
        <f>IF($BA56,"",INDEX(C_SourceStreams!BQ$61:BQ$2089,MATCH($C56,C_SourceStreams!$C$61:$C$2089,0)))</f>
        <v/>
      </c>
      <c r="N56" s="838" t="str">
        <f>IF($BA56,"",INDEX(C_SourceStreams!BN$61:BN$2089,MATCH($C56,C_SourceStreams!$C$61:$C$2089,0))*100)</f>
        <v/>
      </c>
      <c r="O56" s="839" t="str">
        <f t="shared" si="0"/>
        <v/>
      </c>
      <c r="P56" s="838" t="str">
        <f>IF($BA56,"",INDEX(C_SourceStreams!BO$61:BO$2089,MATCH($C56,C_SourceStreams!$C$61:$C$2089,0))*100)</f>
        <v/>
      </c>
      <c r="Q56" s="839" t="str">
        <f t="shared" si="1"/>
        <v/>
      </c>
      <c r="R56" s="838" t="str">
        <f>IF($BA56,"",INDEX(C_SourceStreams!BR$61:BR$2089,MATCH($C56,C_SourceStreams!$C$61:$C$2089,0))*100)</f>
        <v/>
      </c>
      <c r="S56" s="839" t="str">
        <f t="shared" si="2"/>
        <v/>
      </c>
      <c r="T56" s="838" t="str">
        <f>IF($BA56,"",INDEX(C_SourceStreams!BS$61:BS$2089,MATCH($C56,C_SourceStreams!$C$61:$C$2089,0))*100)</f>
        <v/>
      </c>
      <c r="U56" s="839" t="str">
        <f t="shared" si="3"/>
        <v/>
      </c>
      <c r="V56" s="1006"/>
      <c r="W56" s="1006"/>
      <c r="X56" s="1006"/>
      <c r="Y56" s="1006"/>
      <c r="Z56" s="1006"/>
      <c r="AA56" s="1006"/>
      <c r="AB56" s="1006"/>
      <c r="AC56" s="1006"/>
      <c r="AD56" s="1006"/>
      <c r="AE56" s="1006"/>
      <c r="AF56" s="1006"/>
      <c r="AG56" s="1006"/>
      <c r="AH56" s="1006"/>
      <c r="AI56" s="1006"/>
      <c r="AJ56" s="1006"/>
      <c r="AK56" s="1006"/>
      <c r="AL56" s="1006"/>
      <c r="AM56" s="1006"/>
      <c r="AN56" s="1006"/>
      <c r="AO56" s="1006"/>
      <c r="AP56" s="1006"/>
      <c r="AQ56" s="1006"/>
      <c r="AR56" s="1006"/>
      <c r="AS56" s="1006"/>
      <c r="AT56" s="1006"/>
      <c r="AU56" s="1001" t="str">
        <f>IF($BA56,"",INDEX(C_SourceStreams!BT$61:BT$2089,MATCH($C56,C_SourceStreams!$C$61:$C$2089,0)))</f>
        <v/>
      </c>
      <c r="AV56" s="1001" t="str">
        <f>IF($BA56,"",INDEX(C_SourceStreams!BU$61:BU$2089,MATCH($C56,C_SourceStreams!$C$61:$C$2089,0)))</f>
        <v/>
      </c>
      <c r="AW56" s="1001" t="str">
        <f>IF($BA56,"",INDEX(C_SourceStreams!BV$61:BV$2089,MATCH($C56,C_SourceStreams!$C$61:$C$2089,0)))</f>
        <v/>
      </c>
      <c r="AX56" s="838" t="str">
        <f>IF($BA56,"",INDEX(C_SourceStreams!BW$61:BW$2089,MATCH($C56,C_SourceStreams!$C$61:$C$2089,0)))</f>
        <v/>
      </c>
      <c r="AY56" s="838" t="str">
        <f>IF($BA56,"",INDEX(C_SourceStreams!BX$61:BX$2089,MATCH($C56,C_SourceStreams!$C$61:$C$2089,0)))</f>
        <v/>
      </c>
      <c r="BA56" s="72" t="b">
        <f>IF(ISERROR(INDEX(C_SourceStreams!$K$28:$K$11971,MATCH(C56,C_SourceStreams!$C$28:$C$11971,0))),TRUE,INDEX(C_SourceStreams!$K$28:$K$11971,MATCH(C56,C_SourceStreams!$C$28:$C$11971,0))="")</f>
        <v>1</v>
      </c>
    </row>
    <row r="57" spans="3:53" x14ac:dyDescent="0.2">
      <c r="C57" s="835">
        <v>54</v>
      </c>
      <c r="D57" s="837" t="str">
        <f>IF($BA57,"",INDEX(C_SourceStreams!$K$61:$K$2089,MATCH($C57,C_SourceStreams!$C$61:$C$2089,0)))</f>
        <v/>
      </c>
      <c r="E57" s="837" t="str">
        <f>IF($BA57,"",INDEX(C_SourceStreams!$E$61:$E$2089,MATCH($C57,C_SourceStreams!$C$61:$C$2089,0)))</f>
        <v/>
      </c>
      <c r="F57" s="838" t="str">
        <f>IF($BA57,"",INDEX(C_SourceStreams!BH$61:BH$2089,MATCH($C57,C_SourceStreams!$C$61:$C$2089,0)))</f>
        <v/>
      </c>
      <c r="G57" s="836" t="str">
        <f>IF($BA57,"",INDEX(C_SourceStreams!BI$61:BI$2089,MATCH($C57,C_SourceStreams!$C$61:$C$2089,0)))</f>
        <v/>
      </c>
      <c r="H57" s="838" t="str">
        <f>IF($BA57,"",INDEX(C_SourceStreams!BL$61:BL$2089,MATCH($C57,C_SourceStreams!$C$61:$C$2089,0)))</f>
        <v/>
      </c>
      <c r="I57" s="836" t="str">
        <f>IF($BA57,"",INDEX(C_SourceStreams!BM$61:BM$2089,MATCH($C57,C_SourceStreams!$C$61:$C$2089,0)))</f>
        <v/>
      </c>
      <c r="J57" s="838" t="str">
        <f>IF($BA57,"",INDEX(C_SourceStreams!BJ$61:BJ$2089,MATCH($C57,C_SourceStreams!$C$61:$C$2089,0)))</f>
        <v/>
      </c>
      <c r="K57" s="836" t="str">
        <f>IF($BA57,"",INDEX(C_SourceStreams!BK$61:BK$2089,MATCH($C57,C_SourceStreams!$C$61:$C$2089,0)))</f>
        <v/>
      </c>
      <c r="L57" s="836" t="str">
        <f>IF($BA57,"",INDEX(C_SourceStreams!BP$61:BP$2089,MATCH($C57,C_SourceStreams!$C$61:$C$2089,0)))</f>
        <v/>
      </c>
      <c r="M57" s="836" t="str">
        <f>IF($BA57,"",INDEX(C_SourceStreams!BQ$61:BQ$2089,MATCH($C57,C_SourceStreams!$C$61:$C$2089,0)))</f>
        <v/>
      </c>
      <c r="N57" s="838" t="str">
        <f>IF($BA57,"",INDEX(C_SourceStreams!BN$61:BN$2089,MATCH($C57,C_SourceStreams!$C$61:$C$2089,0))*100)</f>
        <v/>
      </c>
      <c r="O57" s="839" t="str">
        <f t="shared" si="0"/>
        <v/>
      </c>
      <c r="P57" s="838" t="str">
        <f>IF($BA57,"",INDEX(C_SourceStreams!BO$61:BO$2089,MATCH($C57,C_SourceStreams!$C$61:$C$2089,0))*100)</f>
        <v/>
      </c>
      <c r="Q57" s="839" t="str">
        <f t="shared" si="1"/>
        <v/>
      </c>
      <c r="R57" s="838" t="str">
        <f>IF($BA57,"",INDEX(C_SourceStreams!BR$61:BR$2089,MATCH($C57,C_SourceStreams!$C$61:$C$2089,0))*100)</f>
        <v/>
      </c>
      <c r="S57" s="839" t="str">
        <f t="shared" si="2"/>
        <v/>
      </c>
      <c r="T57" s="838" t="str">
        <f>IF($BA57,"",INDEX(C_SourceStreams!BS$61:BS$2089,MATCH($C57,C_SourceStreams!$C$61:$C$2089,0))*100)</f>
        <v/>
      </c>
      <c r="U57" s="839" t="str">
        <f t="shared" si="3"/>
        <v/>
      </c>
      <c r="V57" s="1006"/>
      <c r="W57" s="1006"/>
      <c r="X57" s="1006"/>
      <c r="Y57" s="1006"/>
      <c r="Z57" s="1006"/>
      <c r="AA57" s="1006"/>
      <c r="AB57" s="1006"/>
      <c r="AC57" s="1006"/>
      <c r="AD57" s="1006"/>
      <c r="AE57" s="1006"/>
      <c r="AF57" s="1006"/>
      <c r="AG57" s="1006"/>
      <c r="AH57" s="1006"/>
      <c r="AI57" s="1006"/>
      <c r="AJ57" s="1006"/>
      <c r="AK57" s="1006"/>
      <c r="AL57" s="1006"/>
      <c r="AM57" s="1006"/>
      <c r="AN57" s="1006"/>
      <c r="AO57" s="1006"/>
      <c r="AP57" s="1006"/>
      <c r="AQ57" s="1006"/>
      <c r="AR57" s="1006"/>
      <c r="AS57" s="1006"/>
      <c r="AT57" s="1006"/>
      <c r="AU57" s="1001" t="str">
        <f>IF($BA57,"",INDEX(C_SourceStreams!BT$61:BT$2089,MATCH($C57,C_SourceStreams!$C$61:$C$2089,0)))</f>
        <v/>
      </c>
      <c r="AV57" s="1001" t="str">
        <f>IF($BA57,"",INDEX(C_SourceStreams!BU$61:BU$2089,MATCH($C57,C_SourceStreams!$C$61:$C$2089,0)))</f>
        <v/>
      </c>
      <c r="AW57" s="1001" t="str">
        <f>IF($BA57,"",INDEX(C_SourceStreams!BV$61:BV$2089,MATCH($C57,C_SourceStreams!$C$61:$C$2089,0)))</f>
        <v/>
      </c>
      <c r="AX57" s="838" t="str">
        <f>IF($BA57,"",INDEX(C_SourceStreams!BW$61:BW$2089,MATCH($C57,C_SourceStreams!$C$61:$C$2089,0)))</f>
        <v/>
      </c>
      <c r="AY57" s="838" t="str">
        <f>IF($BA57,"",INDEX(C_SourceStreams!BX$61:BX$2089,MATCH($C57,C_SourceStreams!$C$61:$C$2089,0)))</f>
        <v/>
      </c>
      <c r="BA57" s="72" t="b">
        <f>IF(ISERROR(INDEX(C_SourceStreams!$K$28:$K$11971,MATCH(C57,C_SourceStreams!$C$28:$C$11971,0))),TRUE,INDEX(C_SourceStreams!$K$28:$K$11971,MATCH(C57,C_SourceStreams!$C$28:$C$11971,0))="")</f>
        <v>1</v>
      </c>
    </row>
    <row r="58" spans="3:53" x14ac:dyDescent="0.2">
      <c r="C58" s="835">
        <v>55</v>
      </c>
      <c r="D58" s="837" t="str">
        <f>IF($BA58,"",INDEX(C_SourceStreams!$K$61:$K$2089,MATCH($C58,C_SourceStreams!$C$61:$C$2089,0)))</f>
        <v/>
      </c>
      <c r="E58" s="837" t="str">
        <f>IF($BA58,"",INDEX(C_SourceStreams!$E$61:$E$2089,MATCH($C58,C_SourceStreams!$C$61:$C$2089,0)))</f>
        <v/>
      </c>
      <c r="F58" s="838" t="str">
        <f>IF($BA58,"",INDEX(C_SourceStreams!BH$61:BH$2089,MATCH($C58,C_SourceStreams!$C$61:$C$2089,0)))</f>
        <v/>
      </c>
      <c r="G58" s="836" t="str">
        <f>IF($BA58,"",INDEX(C_SourceStreams!BI$61:BI$2089,MATCH($C58,C_SourceStreams!$C$61:$C$2089,0)))</f>
        <v/>
      </c>
      <c r="H58" s="838" t="str">
        <f>IF($BA58,"",INDEX(C_SourceStreams!BL$61:BL$2089,MATCH($C58,C_SourceStreams!$C$61:$C$2089,0)))</f>
        <v/>
      </c>
      <c r="I58" s="836" t="str">
        <f>IF($BA58,"",INDEX(C_SourceStreams!BM$61:BM$2089,MATCH($C58,C_SourceStreams!$C$61:$C$2089,0)))</f>
        <v/>
      </c>
      <c r="J58" s="838" t="str">
        <f>IF($BA58,"",INDEX(C_SourceStreams!BJ$61:BJ$2089,MATCH($C58,C_SourceStreams!$C$61:$C$2089,0)))</f>
        <v/>
      </c>
      <c r="K58" s="836" t="str">
        <f>IF($BA58,"",INDEX(C_SourceStreams!BK$61:BK$2089,MATCH($C58,C_SourceStreams!$C$61:$C$2089,0)))</f>
        <v/>
      </c>
      <c r="L58" s="836" t="str">
        <f>IF($BA58,"",INDEX(C_SourceStreams!BP$61:BP$2089,MATCH($C58,C_SourceStreams!$C$61:$C$2089,0)))</f>
        <v/>
      </c>
      <c r="M58" s="836" t="str">
        <f>IF($BA58,"",INDEX(C_SourceStreams!BQ$61:BQ$2089,MATCH($C58,C_SourceStreams!$C$61:$C$2089,0)))</f>
        <v/>
      </c>
      <c r="N58" s="838" t="str">
        <f>IF($BA58,"",INDEX(C_SourceStreams!BN$61:BN$2089,MATCH($C58,C_SourceStreams!$C$61:$C$2089,0))*100)</f>
        <v/>
      </c>
      <c r="O58" s="839" t="str">
        <f t="shared" si="0"/>
        <v/>
      </c>
      <c r="P58" s="838" t="str">
        <f>IF($BA58,"",INDEX(C_SourceStreams!BO$61:BO$2089,MATCH($C58,C_SourceStreams!$C$61:$C$2089,0))*100)</f>
        <v/>
      </c>
      <c r="Q58" s="839" t="str">
        <f t="shared" si="1"/>
        <v/>
      </c>
      <c r="R58" s="838" t="str">
        <f>IF($BA58,"",INDEX(C_SourceStreams!BR$61:BR$2089,MATCH($C58,C_SourceStreams!$C$61:$C$2089,0))*100)</f>
        <v/>
      </c>
      <c r="S58" s="839" t="str">
        <f t="shared" si="2"/>
        <v/>
      </c>
      <c r="T58" s="838" t="str">
        <f>IF($BA58,"",INDEX(C_SourceStreams!BS$61:BS$2089,MATCH($C58,C_SourceStreams!$C$61:$C$2089,0))*100)</f>
        <v/>
      </c>
      <c r="U58" s="839" t="str">
        <f t="shared" si="3"/>
        <v/>
      </c>
      <c r="V58" s="1006"/>
      <c r="W58" s="1006"/>
      <c r="X58" s="1006"/>
      <c r="Y58" s="1006"/>
      <c r="Z58" s="1006"/>
      <c r="AA58" s="1006"/>
      <c r="AB58" s="1006"/>
      <c r="AC58" s="1006"/>
      <c r="AD58" s="1006"/>
      <c r="AE58" s="1006"/>
      <c r="AF58" s="1006"/>
      <c r="AG58" s="1006"/>
      <c r="AH58" s="1006"/>
      <c r="AI58" s="1006"/>
      <c r="AJ58" s="1006"/>
      <c r="AK58" s="1006"/>
      <c r="AL58" s="1006"/>
      <c r="AM58" s="1006"/>
      <c r="AN58" s="1006"/>
      <c r="AO58" s="1006"/>
      <c r="AP58" s="1006"/>
      <c r="AQ58" s="1006"/>
      <c r="AR58" s="1006"/>
      <c r="AS58" s="1006"/>
      <c r="AT58" s="1006"/>
      <c r="AU58" s="1001" t="str">
        <f>IF($BA58,"",INDEX(C_SourceStreams!BT$61:BT$2089,MATCH($C58,C_SourceStreams!$C$61:$C$2089,0)))</f>
        <v/>
      </c>
      <c r="AV58" s="1001" t="str">
        <f>IF($BA58,"",INDEX(C_SourceStreams!BU$61:BU$2089,MATCH($C58,C_SourceStreams!$C$61:$C$2089,0)))</f>
        <v/>
      </c>
      <c r="AW58" s="1001" t="str">
        <f>IF($BA58,"",INDEX(C_SourceStreams!BV$61:BV$2089,MATCH($C58,C_SourceStreams!$C$61:$C$2089,0)))</f>
        <v/>
      </c>
      <c r="AX58" s="838" t="str">
        <f>IF($BA58,"",INDEX(C_SourceStreams!BW$61:BW$2089,MATCH($C58,C_SourceStreams!$C$61:$C$2089,0)))</f>
        <v/>
      </c>
      <c r="AY58" s="838" t="str">
        <f>IF($BA58,"",INDEX(C_SourceStreams!BX$61:BX$2089,MATCH($C58,C_SourceStreams!$C$61:$C$2089,0)))</f>
        <v/>
      </c>
      <c r="BA58" s="72" t="b">
        <f>IF(ISERROR(INDEX(C_SourceStreams!$K$28:$K$11971,MATCH(C58,C_SourceStreams!$C$28:$C$11971,0))),TRUE,INDEX(C_SourceStreams!$K$28:$K$11971,MATCH(C58,C_SourceStreams!$C$28:$C$11971,0))="")</f>
        <v>1</v>
      </c>
    </row>
    <row r="59" spans="3:53" x14ac:dyDescent="0.2">
      <c r="C59" s="835">
        <v>56</v>
      </c>
      <c r="D59" s="837" t="str">
        <f>IF($BA59,"",INDEX(C_SourceStreams!$K$61:$K$2089,MATCH($C59,C_SourceStreams!$C$61:$C$2089,0)))</f>
        <v/>
      </c>
      <c r="E59" s="837" t="str">
        <f>IF($BA59,"",INDEX(C_SourceStreams!$E$61:$E$2089,MATCH($C59,C_SourceStreams!$C$61:$C$2089,0)))</f>
        <v/>
      </c>
      <c r="F59" s="838" t="str">
        <f>IF($BA59,"",INDEX(C_SourceStreams!BH$61:BH$2089,MATCH($C59,C_SourceStreams!$C$61:$C$2089,0)))</f>
        <v/>
      </c>
      <c r="G59" s="836" t="str">
        <f>IF($BA59,"",INDEX(C_SourceStreams!BI$61:BI$2089,MATCH($C59,C_SourceStreams!$C$61:$C$2089,0)))</f>
        <v/>
      </c>
      <c r="H59" s="838" t="str">
        <f>IF($BA59,"",INDEX(C_SourceStreams!BL$61:BL$2089,MATCH($C59,C_SourceStreams!$C$61:$C$2089,0)))</f>
        <v/>
      </c>
      <c r="I59" s="836" t="str">
        <f>IF($BA59,"",INDEX(C_SourceStreams!BM$61:BM$2089,MATCH($C59,C_SourceStreams!$C$61:$C$2089,0)))</f>
        <v/>
      </c>
      <c r="J59" s="838" t="str">
        <f>IF($BA59,"",INDEX(C_SourceStreams!BJ$61:BJ$2089,MATCH($C59,C_SourceStreams!$C$61:$C$2089,0)))</f>
        <v/>
      </c>
      <c r="K59" s="836" t="str">
        <f>IF($BA59,"",INDEX(C_SourceStreams!BK$61:BK$2089,MATCH($C59,C_SourceStreams!$C$61:$C$2089,0)))</f>
        <v/>
      </c>
      <c r="L59" s="836" t="str">
        <f>IF($BA59,"",INDEX(C_SourceStreams!BP$61:BP$2089,MATCH($C59,C_SourceStreams!$C$61:$C$2089,0)))</f>
        <v/>
      </c>
      <c r="M59" s="836" t="str">
        <f>IF($BA59,"",INDEX(C_SourceStreams!BQ$61:BQ$2089,MATCH($C59,C_SourceStreams!$C$61:$C$2089,0)))</f>
        <v/>
      </c>
      <c r="N59" s="838" t="str">
        <f>IF($BA59,"",INDEX(C_SourceStreams!BN$61:BN$2089,MATCH($C59,C_SourceStreams!$C$61:$C$2089,0))*100)</f>
        <v/>
      </c>
      <c r="O59" s="839" t="str">
        <f t="shared" si="0"/>
        <v/>
      </c>
      <c r="P59" s="838" t="str">
        <f>IF($BA59,"",INDEX(C_SourceStreams!BO$61:BO$2089,MATCH($C59,C_SourceStreams!$C$61:$C$2089,0))*100)</f>
        <v/>
      </c>
      <c r="Q59" s="839" t="str">
        <f t="shared" si="1"/>
        <v/>
      </c>
      <c r="R59" s="838" t="str">
        <f>IF($BA59,"",INDEX(C_SourceStreams!BR$61:BR$2089,MATCH($C59,C_SourceStreams!$C$61:$C$2089,0))*100)</f>
        <v/>
      </c>
      <c r="S59" s="839" t="str">
        <f t="shared" si="2"/>
        <v/>
      </c>
      <c r="T59" s="838" t="str">
        <f>IF($BA59,"",INDEX(C_SourceStreams!BS$61:BS$2089,MATCH($C59,C_SourceStreams!$C$61:$C$2089,0))*100)</f>
        <v/>
      </c>
      <c r="U59" s="839" t="str">
        <f t="shared" si="3"/>
        <v/>
      </c>
      <c r="V59" s="1006"/>
      <c r="W59" s="1006"/>
      <c r="X59" s="1006"/>
      <c r="Y59" s="1006"/>
      <c r="Z59" s="1006"/>
      <c r="AA59" s="1006"/>
      <c r="AB59" s="1006"/>
      <c r="AC59" s="1006"/>
      <c r="AD59" s="1006"/>
      <c r="AE59" s="1006"/>
      <c r="AF59" s="1006"/>
      <c r="AG59" s="1006"/>
      <c r="AH59" s="1006"/>
      <c r="AI59" s="1006"/>
      <c r="AJ59" s="1006"/>
      <c r="AK59" s="1006"/>
      <c r="AL59" s="1006"/>
      <c r="AM59" s="1006"/>
      <c r="AN59" s="1006"/>
      <c r="AO59" s="1006"/>
      <c r="AP59" s="1006"/>
      <c r="AQ59" s="1006"/>
      <c r="AR59" s="1006"/>
      <c r="AS59" s="1006"/>
      <c r="AT59" s="1006"/>
      <c r="AU59" s="1001" t="str">
        <f>IF($BA59,"",INDEX(C_SourceStreams!BT$61:BT$2089,MATCH($C59,C_SourceStreams!$C$61:$C$2089,0)))</f>
        <v/>
      </c>
      <c r="AV59" s="1001" t="str">
        <f>IF($BA59,"",INDEX(C_SourceStreams!BU$61:BU$2089,MATCH($C59,C_SourceStreams!$C$61:$C$2089,0)))</f>
        <v/>
      </c>
      <c r="AW59" s="1001" t="str">
        <f>IF($BA59,"",INDEX(C_SourceStreams!BV$61:BV$2089,MATCH($C59,C_SourceStreams!$C$61:$C$2089,0)))</f>
        <v/>
      </c>
      <c r="AX59" s="838" t="str">
        <f>IF($BA59,"",INDEX(C_SourceStreams!BW$61:BW$2089,MATCH($C59,C_SourceStreams!$C$61:$C$2089,0)))</f>
        <v/>
      </c>
      <c r="AY59" s="838" t="str">
        <f>IF($BA59,"",INDEX(C_SourceStreams!BX$61:BX$2089,MATCH($C59,C_SourceStreams!$C$61:$C$2089,0)))</f>
        <v/>
      </c>
      <c r="BA59" s="72" t="b">
        <f>IF(ISERROR(INDEX(C_SourceStreams!$K$28:$K$11971,MATCH(C59,C_SourceStreams!$C$28:$C$11971,0))),TRUE,INDEX(C_SourceStreams!$K$28:$K$11971,MATCH(C59,C_SourceStreams!$C$28:$C$11971,0))="")</f>
        <v>1</v>
      </c>
    </row>
    <row r="60" spans="3:53" x14ac:dyDescent="0.2">
      <c r="C60" s="835">
        <v>57</v>
      </c>
      <c r="D60" s="837" t="str">
        <f>IF($BA60,"",INDEX(C_SourceStreams!$K$61:$K$2089,MATCH($C60,C_SourceStreams!$C$61:$C$2089,0)))</f>
        <v/>
      </c>
      <c r="E60" s="837" t="str">
        <f>IF($BA60,"",INDEX(C_SourceStreams!$E$61:$E$2089,MATCH($C60,C_SourceStreams!$C$61:$C$2089,0)))</f>
        <v/>
      </c>
      <c r="F60" s="838" t="str">
        <f>IF($BA60,"",INDEX(C_SourceStreams!BH$61:BH$2089,MATCH($C60,C_SourceStreams!$C$61:$C$2089,0)))</f>
        <v/>
      </c>
      <c r="G60" s="836" t="str">
        <f>IF($BA60,"",INDEX(C_SourceStreams!BI$61:BI$2089,MATCH($C60,C_SourceStreams!$C$61:$C$2089,0)))</f>
        <v/>
      </c>
      <c r="H60" s="838" t="str">
        <f>IF($BA60,"",INDEX(C_SourceStreams!BL$61:BL$2089,MATCH($C60,C_SourceStreams!$C$61:$C$2089,0)))</f>
        <v/>
      </c>
      <c r="I60" s="836" t="str">
        <f>IF($BA60,"",INDEX(C_SourceStreams!BM$61:BM$2089,MATCH($C60,C_SourceStreams!$C$61:$C$2089,0)))</f>
        <v/>
      </c>
      <c r="J60" s="838" t="str">
        <f>IF($BA60,"",INDEX(C_SourceStreams!BJ$61:BJ$2089,MATCH($C60,C_SourceStreams!$C$61:$C$2089,0)))</f>
        <v/>
      </c>
      <c r="K60" s="836" t="str">
        <f>IF($BA60,"",INDEX(C_SourceStreams!BK$61:BK$2089,MATCH($C60,C_SourceStreams!$C$61:$C$2089,0)))</f>
        <v/>
      </c>
      <c r="L60" s="836" t="str">
        <f>IF($BA60,"",INDEX(C_SourceStreams!BP$61:BP$2089,MATCH($C60,C_SourceStreams!$C$61:$C$2089,0)))</f>
        <v/>
      </c>
      <c r="M60" s="836" t="str">
        <f>IF($BA60,"",INDEX(C_SourceStreams!BQ$61:BQ$2089,MATCH($C60,C_SourceStreams!$C$61:$C$2089,0)))</f>
        <v/>
      </c>
      <c r="N60" s="838" t="str">
        <f>IF($BA60,"",INDEX(C_SourceStreams!BN$61:BN$2089,MATCH($C60,C_SourceStreams!$C$61:$C$2089,0))*100)</f>
        <v/>
      </c>
      <c r="O60" s="839" t="str">
        <f t="shared" si="0"/>
        <v/>
      </c>
      <c r="P60" s="838" t="str">
        <f>IF($BA60,"",INDEX(C_SourceStreams!BO$61:BO$2089,MATCH($C60,C_SourceStreams!$C$61:$C$2089,0))*100)</f>
        <v/>
      </c>
      <c r="Q60" s="839" t="str">
        <f t="shared" si="1"/>
        <v/>
      </c>
      <c r="R60" s="838" t="str">
        <f>IF($BA60,"",INDEX(C_SourceStreams!BR$61:BR$2089,MATCH($C60,C_SourceStreams!$C$61:$C$2089,0))*100)</f>
        <v/>
      </c>
      <c r="S60" s="839" t="str">
        <f t="shared" si="2"/>
        <v/>
      </c>
      <c r="T60" s="838" t="str">
        <f>IF($BA60,"",INDEX(C_SourceStreams!BS$61:BS$2089,MATCH($C60,C_SourceStreams!$C$61:$C$2089,0))*100)</f>
        <v/>
      </c>
      <c r="U60" s="839" t="str">
        <f t="shared" si="3"/>
        <v/>
      </c>
      <c r="V60" s="1006"/>
      <c r="W60" s="1006"/>
      <c r="X60" s="1006"/>
      <c r="Y60" s="1006"/>
      <c r="Z60" s="1006"/>
      <c r="AA60" s="1006"/>
      <c r="AB60" s="1006"/>
      <c r="AC60" s="1006"/>
      <c r="AD60" s="1006"/>
      <c r="AE60" s="1006"/>
      <c r="AF60" s="1006"/>
      <c r="AG60" s="1006"/>
      <c r="AH60" s="1006"/>
      <c r="AI60" s="1006"/>
      <c r="AJ60" s="1006"/>
      <c r="AK60" s="1006"/>
      <c r="AL60" s="1006"/>
      <c r="AM60" s="1006"/>
      <c r="AN60" s="1006"/>
      <c r="AO60" s="1006"/>
      <c r="AP60" s="1006"/>
      <c r="AQ60" s="1006"/>
      <c r="AR60" s="1006"/>
      <c r="AS60" s="1006"/>
      <c r="AT60" s="1006"/>
      <c r="AU60" s="1001" t="str">
        <f>IF($BA60,"",INDEX(C_SourceStreams!BT$61:BT$2089,MATCH($C60,C_SourceStreams!$C$61:$C$2089,0)))</f>
        <v/>
      </c>
      <c r="AV60" s="1001" t="str">
        <f>IF($BA60,"",INDEX(C_SourceStreams!BU$61:BU$2089,MATCH($C60,C_SourceStreams!$C$61:$C$2089,0)))</f>
        <v/>
      </c>
      <c r="AW60" s="1001" t="str">
        <f>IF($BA60,"",INDEX(C_SourceStreams!BV$61:BV$2089,MATCH($C60,C_SourceStreams!$C$61:$C$2089,0)))</f>
        <v/>
      </c>
      <c r="AX60" s="838" t="str">
        <f>IF($BA60,"",INDEX(C_SourceStreams!BW$61:BW$2089,MATCH($C60,C_SourceStreams!$C$61:$C$2089,0)))</f>
        <v/>
      </c>
      <c r="AY60" s="838" t="str">
        <f>IF($BA60,"",INDEX(C_SourceStreams!BX$61:BX$2089,MATCH($C60,C_SourceStreams!$C$61:$C$2089,0)))</f>
        <v/>
      </c>
      <c r="BA60" s="72" t="b">
        <f>IF(ISERROR(INDEX(C_SourceStreams!$K$28:$K$11971,MATCH(C60,C_SourceStreams!$C$28:$C$11971,0))),TRUE,INDEX(C_SourceStreams!$K$28:$K$11971,MATCH(C60,C_SourceStreams!$C$28:$C$11971,0))="")</f>
        <v>1</v>
      </c>
    </row>
    <row r="61" spans="3:53" x14ac:dyDescent="0.2">
      <c r="C61" s="835">
        <v>58</v>
      </c>
      <c r="D61" s="837" t="str">
        <f>IF($BA61,"",INDEX(C_SourceStreams!$K$61:$K$2089,MATCH($C61,C_SourceStreams!$C$61:$C$2089,0)))</f>
        <v/>
      </c>
      <c r="E61" s="837" t="str">
        <f>IF($BA61,"",INDEX(C_SourceStreams!$E$61:$E$2089,MATCH($C61,C_SourceStreams!$C$61:$C$2089,0)))</f>
        <v/>
      </c>
      <c r="F61" s="838" t="str">
        <f>IF($BA61,"",INDEX(C_SourceStreams!BH$61:BH$2089,MATCH($C61,C_SourceStreams!$C$61:$C$2089,0)))</f>
        <v/>
      </c>
      <c r="G61" s="836" t="str">
        <f>IF($BA61,"",INDEX(C_SourceStreams!BI$61:BI$2089,MATCH($C61,C_SourceStreams!$C$61:$C$2089,0)))</f>
        <v/>
      </c>
      <c r="H61" s="838" t="str">
        <f>IF($BA61,"",INDEX(C_SourceStreams!BL$61:BL$2089,MATCH($C61,C_SourceStreams!$C$61:$C$2089,0)))</f>
        <v/>
      </c>
      <c r="I61" s="836" t="str">
        <f>IF($BA61,"",INDEX(C_SourceStreams!BM$61:BM$2089,MATCH($C61,C_SourceStreams!$C$61:$C$2089,0)))</f>
        <v/>
      </c>
      <c r="J61" s="838" t="str">
        <f>IF($BA61,"",INDEX(C_SourceStreams!BJ$61:BJ$2089,MATCH($C61,C_SourceStreams!$C$61:$C$2089,0)))</f>
        <v/>
      </c>
      <c r="K61" s="836" t="str">
        <f>IF($BA61,"",INDEX(C_SourceStreams!BK$61:BK$2089,MATCH($C61,C_SourceStreams!$C$61:$C$2089,0)))</f>
        <v/>
      </c>
      <c r="L61" s="836" t="str">
        <f>IF($BA61,"",INDEX(C_SourceStreams!BP$61:BP$2089,MATCH($C61,C_SourceStreams!$C$61:$C$2089,0)))</f>
        <v/>
      </c>
      <c r="M61" s="836" t="str">
        <f>IF($BA61,"",INDEX(C_SourceStreams!BQ$61:BQ$2089,MATCH($C61,C_SourceStreams!$C$61:$C$2089,0)))</f>
        <v/>
      </c>
      <c r="N61" s="838" t="str">
        <f>IF($BA61,"",INDEX(C_SourceStreams!BN$61:BN$2089,MATCH($C61,C_SourceStreams!$C$61:$C$2089,0))*100)</f>
        <v/>
      </c>
      <c r="O61" s="839" t="str">
        <f t="shared" si="0"/>
        <v/>
      </c>
      <c r="P61" s="838" t="str">
        <f>IF($BA61,"",INDEX(C_SourceStreams!BO$61:BO$2089,MATCH($C61,C_SourceStreams!$C$61:$C$2089,0))*100)</f>
        <v/>
      </c>
      <c r="Q61" s="839" t="str">
        <f t="shared" si="1"/>
        <v/>
      </c>
      <c r="R61" s="838" t="str">
        <f>IF($BA61,"",INDEX(C_SourceStreams!BR$61:BR$2089,MATCH($C61,C_SourceStreams!$C$61:$C$2089,0))*100)</f>
        <v/>
      </c>
      <c r="S61" s="839" t="str">
        <f t="shared" si="2"/>
        <v/>
      </c>
      <c r="T61" s="838" t="str">
        <f>IF($BA61,"",INDEX(C_SourceStreams!BS$61:BS$2089,MATCH($C61,C_SourceStreams!$C$61:$C$2089,0))*100)</f>
        <v/>
      </c>
      <c r="U61" s="839" t="str">
        <f t="shared" si="3"/>
        <v/>
      </c>
      <c r="V61" s="1006"/>
      <c r="W61" s="1006"/>
      <c r="X61" s="1006"/>
      <c r="Y61" s="1006"/>
      <c r="Z61" s="1006"/>
      <c r="AA61" s="1006"/>
      <c r="AB61" s="1006"/>
      <c r="AC61" s="1006"/>
      <c r="AD61" s="1006"/>
      <c r="AE61" s="1006"/>
      <c r="AF61" s="1006"/>
      <c r="AG61" s="1006"/>
      <c r="AH61" s="1006"/>
      <c r="AI61" s="1006"/>
      <c r="AJ61" s="1006"/>
      <c r="AK61" s="1006"/>
      <c r="AL61" s="1006"/>
      <c r="AM61" s="1006"/>
      <c r="AN61" s="1006"/>
      <c r="AO61" s="1006"/>
      <c r="AP61" s="1006"/>
      <c r="AQ61" s="1006"/>
      <c r="AR61" s="1006"/>
      <c r="AS61" s="1006"/>
      <c r="AT61" s="1006"/>
      <c r="AU61" s="1001" t="str">
        <f>IF($BA61,"",INDEX(C_SourceStreams!BT$61:BT$2089,MATCH($C61,C_SourceStreams!$C$61:$C$2089,0)))</f>
        <v/>
      </c>
      <c r="AV61" s="1001" t="str">
        <f>IF($BA61,"",INDEX(C_SourceStreams!BU$61:BU$2089,MATCH($C61,C_SourceStreams!$C$61:$C$2089,0)))</f>
        <v/>
      </c>
      <c r="AW61" s="1001" t="str">
        <f>IF($BA61,"",INDEX(C_SourceStreams!BV$61:BV$2089,MATCH($C61,C_SourceStreams!$C$61:$C$2089,0)))</f>
        <v/>
      </c>
      <c r="AX61" s="838" t="str">
        <f>IF($BA61,"",INDEX(C_SourceStreams!BW$61:BW$2089,MATCH($C61,C_SourceStreams!$C$61:$C$2089,0)))</f>
        <v/>
      </c>
      <c r="AY61" s="838" t="str">
        <f>IF($BA61,"",INDEX(C_SourceStreams!BX$61:BX$2089,MATCH($C61,C_SourceStreams!$C$61:$C$2089,0)))</f>
        <v/>
      </c>
      <c r="BA61" s="72" t="b">
        <f>IF(ISERROR(INDEX(C_SourceStreams!$K$28:$K$11971,MATCH(C61,C_SourceStreams!$C$28:$C$11971,0))),TRUE,INDEX(C_SourceStreams!$K$28:$K$11971,MATCH(C61,C_SourceStreams!$C$28:$C$11971,0))="")</f>
        <v>1</v>
      </c>
    </row>
    <row r="62" spans="3:53" x14ac:dyDescent="0.2">
      <c r="C62" s="835">
        <v>59</v>
      </c>
      <c r="D62" s="837" t="str">
        <f>IF($BA62,"",INDEX(C_SourceStreams!$K$61:$K$2089,MATCH($C62,C_SourceStreams!$C$61:$C$2089,0)))</f>
        <v/>
      </c>
      <c r="E62" s="837" t="str">
        <f>IF($BA62,"",INDEX(C_SourceStreams!$E$61:$E$2089,MATCH($C62,C_SourceStreams!$C$61:$C$2089,0)))</f>
        <v/>
      </c>
      <c r="F62" s="838" t="str">
        <f>IF($BA62,"",INDEX(C_SourceStreams!BH$61:BH$2089,MATCH($C62,C_SourceStreams!$C$61:$C$2089,0)))</f>
        <v/>
      </c>
      <c r="G62" s="836" t="str">
        <f>IF($BA62,"",INDEX(C_SourceStreams!BI$61:BI$2089,MATCH($C62,C_SourceStreams!$C$61:$C$2089,0)))</f>
        <v/>
      </c>
      <c r="H62" s="838" t="str">
        <f>IF($BA62,"",INDEX(C_SourceStreams!BL$61:BL$2089,MATCH($C62,C_SourceStreams!$C$61:$C$2089,0)))</f>
        <v/>
      </c>
      <c r="I62" s="836" t="str">
        <f>IF($BA62,"",INDEX(C_SourceStreams!BM$61:BM$2089,MATCH($C62,C_SourceStreams!$C$61:$C$2089,0)))</f>
        <v/>
      </c>
      <c r="J62" s="838" t="str">
        <f>IF($BA62,"",INDEX(C_SourceStreams!BJ$61:BJ$2089,MATCH($C62,C_SourceStreams!$C$61:$C$2089,0)))</f>
        <v/>
      </c>
      <c r="K62" s="836" t="str">
        <f>IF($BA62,"",INDEX(C_SourceStreams!BK$61:BK$2089,MATCH($C62,C_SourceStreams!$C$61:$C$2089,0)))</f>
        <v/>
      </c>
      <c r="L62" s="836" t="str">
        <f>IF($BA62,"",INDEX(C_SourceStreams!BP$61:BP$2089,MATCH($C62,C_SourceStreams!$C$61:$C$2089,0)))</f>
        <v/>
      </c>
      <c r="M62" s="836" t="str">
        <f>IF($BA62,"",INDEX(C_SourceStreams!BQ$61:BQ$2089,MATCH($C62,C_SourceStreams!$C$61:$C$2089,0)))</f>
        <v/>
      </c>
      <c r="N62" s="838" t="str">
        <f>IF($BA62,"",INDEX(C_SourceStreams!BN$61:BN$2089,MATCH($C62,C_SourceStreams!$C$61:$C$2089,0))*100)</f>
        <v/>
      </c>
      <c r="O62" s="839" t="str">
        <f t="shared" si="0"/>
        <v/>
      </c>
      <c r="P62" s="838" t="str">
        <f>IF($BA62,"",INDEX(C_SourceStreams!BO$61:BO$2089,MATCH($C62,C_SourceStreams!$C$61:$C$2089,0))*100)</f>
        <v/>
      </c>
      <c r="Q62" s="839" t="str">
        <f t="shared" si="1"/>
        <v/>
      </c>
      <c r="R62" s="838" t="str">
        <f>IF($BA62,"",INDEX(C_SourceStreams!BR$61:BR$2089,MATCH($C62,C_SourceStreams!$C$61:$C$2089,0))*100)</f>
        <v/>
      </c>
      <c r="S62" s="839" t="str">
        <f t="shared" si="2"/>
        <v/>
      </c>
      <c r="T62" s="838" t="str">
        <f>IF($BA62,"",INDEX(C_SourceStreams!BS$61:BS$2089,MATCH($C62,C_SourceStreams!$C$61:$C$2089,0))*100)</f>
        <v/>
      </c>
      <c r="U62" s="839" t="str">
        <f t="shared" si="3"/>
        <v/>
      </c>
      <c r="V62" s="1006"/>
      <c r="W62" s="1006"/>
      <c r="X62" s="1006"/>
      <c r="Y62" s="1006"/>
      <c r="Z62" s="1006"/>
      <c r="AA62" s="1006"/>
      <c r="AB62" s="1006"/>
      <c r="AC62" s="1006"/>
      <c r="AD62" s="1006"/>
      <c r="AE62" s="1006"/>
      <c r="AF62" s="1006"/>
      <c r="AG62" s="1006"/>
      <c r="AH62" s="1006"/>
      <c r="AI62" s="1006"/>
      <c r="AJ62" s="1006"/>
      <c r="AK62" s="1006"/>
      <c r="AL62" s="1006"/>
      <c r="AM62" s="1006"/>
      <c r="AN62" s="1006"/>
      <c r="AO62" s="1006"/>
      <c r="AP62" s="1006"/>
      <c r="AQ62" s="1006"/>
      <c r="AR62" s="1006"/>
      <c r="AS62" s="1006"/>
      <c r="AT62" s="1006"/>
      <c r="AU62" s="1001" t="str">
        <f>IF($BA62,"",INDEX(C_SourceStreams!BT$61:BT$2089,MATCH($C62,C_SourceStreams!$C$61:$C$2089,0)))</f>
        <v/>
      </c>
      <c r="AV62" s="1001" t="str">
        <f>IF($BA62,"",INDEX(C_SourceStreams!BU$61:BU$2089,MATCH($C62,C_SourceStreams!$C$61:$C$2089,0)))</f>
        <v/>
      </c>
      <c r="AW62" s="1001" t="str">
        <f>IF($BA62,"",INDEX(C_SourceStreams!BV$61:BV$2089,MATCH($C62,C_SourceStreams!$C$61:$C$2089,0)))</f>
        <v/>
      </c>
      <c r="AX62" s="838" t="str">
        <f>IF($BA62,"",INDEX(C_SourceStreams!BW$61:BW$2089,MATCH($C62,C_SourceStreams!$C$61:$C$2089,0)))</f>
        <v/>
      </c>
      <c r="AY62" s="838" t="str">
        <f>IF($BA62,"",INDEX(C_SourceStreams!BX$61:BX$2089,MATCH($C62,C_SourceStreams!$C$61:$C$2089,0)))</f>
        <v/>
      </c>
      <c r="BA62" s="72" t="b">
        <f>IF(ISERROR(INDEX(C_SourceStreams!$K$28:$K$11971,MATCH(C62,C_SourceStreams!$C$28:$C$11971,0))),TRUE,INDEX(C_SourceStreams!$K$28:$K$11971,MATCH(C62,C_SourceStreams!$C$28:$C$11971,0))="")</f>
        <v>1</v>
      </c>
    </row>
    <row r="63" spans="3:53" x14ac:dyDescent="0.2">
      <c r="C63" s="835">
        <v>60</v>
      </c>
      <c r="D63" s="837" t="str">
        <f>IF($BA63,"",INDEX(C_SourceStreams!$K$61:$K$2089,MATCH($C63,C_SourceStreams!$C$61:$C$2089,0)))</f>
        <v/>
      </c>
      <c r="E63" s="837" t="str">
        <f>IF($BA63,"",INDEX(C_SourceStreams!$E$61:$E$2089,MATCH($C63,C_SourceStreams!$C$61:$C$2089,0)))</f>
        <v/>
      </c>
      <c r="F63" s="838" t="str">
        <f>IF($BA63,"",INDEX(C_SourceStreams!BH$61:BH$2089,MATCH($C63,C_SourceStreams!$C$61:$C$2089,0)))</f>
        <v/>
      </c>
      <c r="G63" s="836" t="str">
        <f>IF($BA63,"",INDEX(C_SourceStreams!BI$61:BI$2089,MATCH($C63,C_SourceStreams!$C$61:$C$2089,0)))</f>
        <v/>
      </c>
      <c r="H63" s="838" t="str">
        <f>IF($BA63,"",INDEX(C_SourceStreams!BL$61:BL$2089,MATCH($C63,C_SourceStreams!$C$61:$C$2089,0)))</f>
        <v/>
      </c>
      <c r="I63" s="836" t="str">
        <f>IF($BA63,"",INDEX(C_SourceStreams!BM$61:BM$2089,MATCH($C63,C_SourceStreams!$C$61:$C$2089,0)))</f>
        <v/>
      </c>
      <c r="J63" s="838" t="str">
        <f>IF($BA63,"",INDEX(C_SourceStreams!BJ$61:BJ$2089,MATCH($C63,C_SourceStreams!$C$61:$C$2089,0)))</f>
        <v/>
      </c>
      <c r="K63" s="836" t="str">
        <f>IF($BA63,"",INDEX(C_SourceStreams!BK$61:BK$2089,MATCH($C63,C_SourceStreams!$C$61:$C$2089,0)))</f>
        <v/>
      </c>
      <c r="L63" s="836" t="str">
        <f>IF($BA63,"",INDEX(C_SourceStreams!BP$61:BP$2089,MATCH($C63,C_SourceStreams!$C$61:$C$2089,0)))</f>
        <v/>
      </c>
      <c r="M63" s="836" t="str">
        <f>IF($BA63,"",INDEX(C_SourceStreams!BQ$61:BQ$2089,MATCH($C63,C_SourceStreams!$C$61:$C$2089,0)))</f>
        <v/>
      </c>
      <c r="N63" s="838" t="str">
        <f>IF($BA63,"",INDEX(C_SourceStreams!BN$61:BN$2089,MATCH($C63,C_SourceStreams!$C$61:$C$2089,0))*100)</f>
        <v/>
      </c>
      <c r="O63" s="839" t="str">
        <f t="shared" si="0"/>
        <v/>
      </c>
      <c r="P63" s="838" t="str">
        <f>IF($BA63,"",INDEX(C_SourceStreams!BO$61:BO$2089,MATCH($C63,C_SourceStreams!$C$61:$C$2089,0))*100)</f>
        <v/>
      </c>
      <c r="Q63" s="839" t="str">
        <f t="shared" si="1"/>
        <v/>
      </c>
      <c r="R63" s="838" t="str">
        <f>IF($BA63,"",INDEX(C_SourceStreams!BR$61:BR$2089,MATCH($C63,C_SourceStreams!$C$61:$C$2089,0))*100)</f>
        <v/>
      </c>
      <c r="S63" s="839" t="str">
        <f t="shared" si="2"/>
        <v/>
      </c>
      <c r="T63" s="838" t="str">
        <f>IF($BA63,"",INDEX(C_SourceStreams!BS$61:BS$2089,MATCH($C63,C_SourceStreams!$C$61:$C$2089,0))*100)</f>
        <v/>
      </c>
      <c r="U63" s="839" t="str">
        <f t="shared" si="3"/>
        <v/>
      </c>
      <c r="V63" s="1006"/>
      <c r="W63" s="1006"/>
      <c r="X63" s="1006"/>
      <c r="Y63" s="1006"/>
      <c r="Z63" s="1006"/>
      <c r="AA63" s="1006"/>
      <c r="AB63" s="1006"/>
      <c r="AC63" s="1006"/>
      <c r="AD63" s="1006"/>
      <c r="AE63" s="1006"/>
      <c r="AF63" s="1006"/>
      <c r="AG63" s="1006"/>
      <c r="AH63" s="1006"/>
      <c r="AI63" s="1006"/>
      <c r="AJ63" s="1006"/>
      <c r="AK63" s="1006"/>
      <c r="AL63" s="1006"/>
      <c r="AM63" s="1006"/>
      <c r="AN63" s="1006"/>
      <c r="AO63" s="1006"/>
      <c r="AP63" s="1006"/>
      <c r="AQ63" s="1006"/>
      <c r="AR63" s="1006"/>
      <c r="AS63" s="1006"/>
      <c r="AT63" s="1006"/>
      <c r="AU63" s="1001" t="str">
        <f>IF($BA63,"",INDEX(C_SourceStreams!BT$61:BT$2089,MATCH($C63,C_SourceStreams!$C$61:$C$2089,0)))</f>
        <v/>
      </c>
      <c r="AV63" s="1001" t="str">
        <f>IF($BA63,"",INDEX(C_SourceStreams!BU$61:BU$2089,MATCH($C63,C_SourceStreams!$C$61:$C$2089,0)))</f>
        <v/>
      </c>
      <c r="AW63" s="1001" t="str">
        <f>IF($BA63,"",INDEX(C_SourceStreams!BV$61:BV$2089,MATCH($C63,C_SourceStreams!$C$61:$C$2089,0)))</f>
        <v/>
      </c>
      <c r="AX63" s="838" t="str">
        <f>IF($BA63,"",INDEX(C_SourceStreams!BW$61:BW$2089,MATCH($C63,C_SourceStreams!$C$61:$C$2089,0)))</f>
        <v/>
      </c>
      <c r="AY63" s="838" t="str">
        <f>IF($BA63,"",INDEX(C_SourceStreams!BX$61:BX$2089,MATCH($C63,C_SourceStreams!$C$61:$C$2089,0)))</f>
        <v/>
      </c>
      <c r="BA63" s="72" t="b">
        <f>IF(ISERROR(INDEX(C_SourceStreams!$K$28:$K$11971,MATCH(C63,C_SourceStreams!$C$28:$C$11971,0))),TRUE,INDEX(C_SourceStreams!$K$28:$K$11971,MATCH(C63,C_SourceStreams!$C$28:$C$11971,0))="")</f>
        <v>1</v>
      </c>
    </row>
    <row r="64" spans="3:53" x14ac:dyDescent="0.2">
      <c r="C64" s="835">
        <v>61</v>
      </c>
      <c r="D64" s="837" t="str">
        <f>IF($BA64,"",INDEX(C_SourceStreams!$K$61:$K$2089,MATCH($C64,C_SourceStreams!$C$61:$C$2089,0)))</f>
        <v/>
      </c>
      <c r="E64" s="837" t="str">
        <f>IF($BA64,"",INDEX(C_SourceStreams!$E$61:$E$2089,MATCH($C64,C_SourceStreams!$C$61:$C$2089,0)))</f>
        <v/>
      </c>
      <c r="F64" s="838" t="str">
        <f>IF($BA64,"",INDEX(C_SourceStreams!BH$61:BH$2089,MATCH($C64,C_SourceStreams!$C$61:$C$2089,0)))</f>
        <v/>
      </c>
      <c r="G64" s="836" t="str">
        <f>IF($BA64,"",INDEX(C_SourceStreams!BI$61:BI$2089,MATCH($C64,C_SourceStreams!$C$61:$C$2089,0)))</f>
        <v/>
      </c>
      <c r="H64" s="838" t="str">
        <f>IF($BA64,"",INDEX(C_SourceStreams!BL$61:BL$2089,MATCH($C64,C_SourceStreams!$C$61:$C$2089,0)))</f>
        <v/>
      </c>
      <c r="I64" s="836" t="str">
        <f>IF($BA64,"",INDEX(C_SourceStreams!BM$61:BM$2089,MATCH($C64,C_SourceStreams!$C$61:$C$2089,0)))</f>
        <v/>
      </c>
      <c r="J64" s="838" t="str">
        <f>IF($BA64,"",INDEX(C_SourceStreams!BJ$61:BJ$2089,MATCH($C64,C_SourceStreams!$C$61:$C$2089,0)))</f>
        <v/>
      </c>
      <c r="K64" s="836" t="str">
        <f>IF($BA64,"",INDEX(C_SourceStreams!BK$61:BK$2089,MATCH($C64,C_SourceStreams!$C$61:$C$2089,0)))</f>
        <v/>
      </c>
      <c r="L64" s="836" t="str">
        <f>IF($BA64,"",INDEX(C_SourceStreams!BP$61:BP$2089,MATCH($C64,C_SourceStreams!$C$61:$C$2089,0)))</f>
        <v/>
      </c>
      <c r="M64" s="836" t="str">
        <f>IF($BA64,"",INDEX(C_SourceStreams!BQ$61:BQ$2089,MATCH($C64,C_SourceStreams!$C$61:$C$2089,0)))</f>
        <v/>
      </c>
      <c r="N64" s="838" t="str">
        <f>IF($BA64,"",INDEX(C_SourceStreams!BN$61:BN$2089,MATCH($C64,C_SourceStreams!$C$61:$C$2089,0))*100)</f>
        <v/>
      </c>
      <c r="O64" s="839" t="str">
        <f t="shared" si="0"/>
        <v/>
      </c>
      <c r="P64" s="838" t="str">
        <f>IF($BA64,"",INDEX(C_SourceStreams!BO$61:BO$2089,MATCH($C64,C_SourceStreams!$C$61:$C$2089,0))*100)</f>
        <v/>
      </c>
      <c r="Q64" s="839" t="str">
        <f t="shared" si="1"/>
        <v/>
      </c>
      <c r="R64" s="838" t="str">
        <f>IF($BA64,"",INDEX(C_SourceStreams!BR$61:BR$2089,MATCH($C64,C_SourceStreams!$C$61:$C$2089,0))*100)</f>
        <v/>
      </c>
      <c r="S64" s="839" t="str">
        <f t="shared" si="2"/>
        <v/>
      </c>
      <c r="T64" s="838" t="str">
        <f>IF($BA64,"",INDEX(C_SourceStreams!BS$61:BS$2089,MATCH($C64,C_SourceStreams!$C$61:$C$2089,0))*100)</f>
        <v/>
      </c>
      <c r="U64" s="839" t="str">
        <f t="shared" si="3"/>
        <v/>
      </c>
      <c r="V64" s="1006"/>
      <c r="W64" s="1006"/>
      <c r="X64" s="1006"/>
      <c r="Y64" s="1006"/>
      <c r="Z64" s="1006"/>
      <c r="AA64" s="1006"/>
      <c r="AB64" s="1006"/>
      <c r="AC64" s="1006"/>
      <c r="AD64" s="1006"/>
      <c r="AE64" s="1006"/>
      <c r="AF64" s="1006"/>
      <c r="AG64" s="1006"/>
      <c r="AH64" s="1006"/>
      <c r="AI64" s="1006"/>
      <c r="AJ64" s="1006"/>
      <c r="AK64" s="1006"/>
      <c r="AL64" s="1006"/>
      <c r="AM64" s="1006"/>
      <c r="AN64" s="1006"/>
      <c r="AO64" s="1006"/>
      <c r="AP64" s="1006"/>
      <c r="AQ64" s="1006"/>
      <c r="AR64" s="1006"/>
      <c r="AS64" s="1006"/>
      <c r="AT64" s="1006"/>
      <c r="AU64" s="1001" t="str">
        <f>IF($BA64,"",INDEX(C_SourceStreams!BT$61:BT$2089,MATCH($C64,C_SourceStreams!$C$61:$C$2089,0)))</f>
        <v/>
      </c>
      <c r="AV64" s="1001" t="str">
        <f>IF($BA64,"",INDEX(C_SourceStreams!BU$61:BU$2089,MATCH($C64,C_SourceStreams!$C$61:$C$2089,0)))</f>
        <v/>
      </c>
      <c r="AW64" s="1001" t="str">
        <f>IF($BA64,"",INDEX(C_SourceStreams!BV$61:BV$2089,MATCH($C64,C_SourceStreams!$C$61:$C$2089,0)))</f>
        <v/>
      </c>
      <c r="AX64" s="838" t="str">
        <f>IF($BA64,"",INDEX(C_SourceStreams!BW$61:BW$2089,MATCH($C64,C_SourceStreams!$C$61:$C$2089,0)))</f>
        <v/>
      </c>
      <c r="AY64" s="838" t="str">
        <f>IF($BA64,"",INDEX(C_SourceStreams!BX$61:BX$2089,MATCH($C64,C_SourceStreams!$C$61:$C$2089,0)))</f>
        <v/>
      </c>
      <c r="BA64" s="72" t="b">
        <f>IF(ISERROR(INDEX(C_SourceStreams!$K$28:$K$11971,MATCH(C64,C_SourceStreams!$C$28:$C$11971,0))),TRUE,INDEX(C_SourceStreams!$K$28:$K$11971,MATCH(C64,C_SourceStreams!$C$28:$C$11971,0))="")</f>
        <v>1</v>
      </c>
    </row>
    <row r="65" spans="3:53" x14ac:dyDescent="0.2">
      <c r="C65" s="835">
        <v>62</v>
      </c>
      <c r="D65" s="837" t="str">
        <f>IF($BA65,"",INDEX(C_SourceStreams!$K$61:$K$2089,MATCH($C65,C_SourceStreams!$C$61:$C$2089,0)))</f>
        <v/>
      </c>
      <c r="E65" s="837" t="str">
        <f>IF($BA65,"",INDEX(C_SourceStreams!$E$61:$E$2089,MATCH($C65,C_SourceStreams!$C$61:$C$2089,0)))</f>
        <v/>
      </c>
      <c r="F65" s="838" t="str">
        <f>IF($BA65,"",INDEX(C_SourceStreams!BH$61:BH$2089,MATCH($C65,C_SourceStreams!$C$61:$C$2089,0)))</f>
        <v/>
      </c>
      <c r="G65" s="836" t="str">
        <f>IF($BA65,"",INDEX(C_SourceStreams!BI$61:BI$2089,MATCH($C65,C_SourceStreams!$C$61:$C$2089,0)))</f>
        <v/>
      </c>
      <c r="H65" s="838" t="str">
        <f>IF($BA65,"",INDEX(C_SourceStreams!BL$61:BL$2089,MATCH($C65,C_SourceStreams!$C$61:$C$2089,0)))</f>
        <v/>
      </c>
      <c r="I65" s="836" t="str">
        <f>IF($BA65,"",INDEX(C_SourceStreams!BM$61:BM$2089,MATCH($C65,C_SourceStreams!$C$61:$C$2089,0)))</f>
        <v/>
      </c>
      <c r="J65" s="838" t="str">
        <f>IF($BA65,"",INDEX(C_SourceStreams!BJ$61:BJ$2089,MATCH($C65,C_SourceStreams!$C$61:$C$2089,0)))</f>
        <v/>
      </c>
      <c r="K65" s="836" t="str">
        <f>IF($BA65,"",INDEX(C_SourceStreams!BK$61:BK$2089,MATCH($C65,C_SourceStreams!$C$61:$C$2089,0)))</f>
        <v/>
      </c>
      <c r="L65" s="836" t="str">
        <f>IF($BA65,"",INDEX(C_SourceStreams!BP$61:BP$2089,MATCH($C65,C_SourceStreams!$C$61:$C$2089,0)))</f>
        <v/>
      </c>
      <c r="M65" s="836" t="str">
        <f>IF($BA65,"",INDEX(C_SourceStreams!BQ$61:BQ$2089,MATCH($C65,C_SourceStreams!$C$61:$C$2089,0)))</f>
        <v/>
      </c>
      <c r="N65" s="838" t="str">
        <f>IF($BA65,"",INDEX(C_SourceStreams!BN$61:BN$2089,MATCH($C65,C_SourceStreams!$C$61:$C$2089,0))*100)</f>
        <v/>
      </c>
      <c r="O65" s="839" t="str">
        <f t="shared" si="0"/>
        <v/>
      </c>
      <c r="P65" s="838" t="str">
        <f>IF($BA65,"",INDEX(C_SourceStreams!BO$61:BO$2089,MATCH($C65,C_SourceStreams!$C$61:$C$2089,0))*100)</f>
        <v/>
      </c>
      <c r="Q65" s="839" t="str">
        <f t="shared" si="1"/>
        <v/>
      </c>
      <c r="R65" s="838" t="str">
        <f>IF($BA65,"",INDEX(C_SourceStreams!BR$61:BR$2089,MATCH($C65,C_SourceStreams!$C$61:$C$2089,0))*100)</f>
        <v/>
      </c>
      <c r="S65" s="839" t="str">
        <f t="shared" si="2"/>
        <v/>
      </c>
      <c r="T65" s="838" t="str">
        <f>IF($BA65,"",INDEX(C_SourceStreams!BS$61:BS$2089,MATCH($C65,C_SourceStreams!$C$61:$C$2089,0))*100)</f>
        <v/>
      </c>
      <c r="U65" s="839" t="str">
        <f t="shared" si="3"/>
        <v/>
      </c>
      <c r="V65" s="1006"/>
      <c r="W65" s="1006"/>
      <c r="X65" s="1006"/>
      <c r="Y65" s="1006"/>
      <c r="Z65" s="1006"/>
      <c r="AA65" s="1006"/>
      <c r="AB65" s="1006"/>
      <c r="AC65" s="1006"/>
      <c r="AD65" s="1006"/>
      <c r="AE65" s="1006"/>
      <c r="AF65" s="1006"/>
      <c r="AG65" s="1006"/>
      <c r="AH65" s="1006"/>
      <c r="AI65" s="1006"/>
      <c r="AJ65" s="1006"/>
      <c r="AK65" s="1006"/>
      <c r="AL65" s="1006"/>
      <c r="AM65" s="1006"/>
      <c r="AN65" s="1006"/>
      <c r="AO65" s="1006"/>
      <c r="AP65" s="1006"/>
      <c r="AQ65" s="1006"/>
      <c r="AR65" s="1006"/>
      <c r="AS65" s="1006"/>
      <c r="AT65" s="1006"/>
      <c r="AU65" s="1001" t="str">
        <f>IF($BA65,"",INDEX(C_SourceStreams!BT$61:BT$2089,MATCH($C65,C_SourceStreams!$C$61:$C$2089,0)))</f>
        <v/>
      </c>
      <c r="AV65" s="1001" t="str">
        <f>IF($BA65,"",INDEX(C_SourceStreams!BU$61:BU$2089,MATCH($C65,C_SourceStreams!$C$61:$C$2089,0)))</f>
        <v/>
      </c>
      <c r="AW65" s="1001" t="str">
        <f>IF($BA65,"",INDEX(C_SourceStreams!BV$61:BV$2089,MATCH($C65,C_SourceStreams!$C$61:$C$2089,0)))</f>
        <v/>
      </c>
      <c r="AX65" s="838" t="str">
        <f>IF($BA65,"",INDEX(C_SourceStreams!BW$61:BW$2089,MATCH($C65,C_SourceStreams!$C$61:$C$2089,0)))</f>
        <v/>
      </c>
      <c r="AY65" s="838" t="str">
        <f>IF($BA65,"",INDEX(C_SourceStreams!BX$61:BX$2089,MATCH($C65,C_SourceStreams!$C$61:$C$2089,0)))</f>
        <v/>
      </c>
      <c r="BA65" s="72" t="b">
        <f>IF(ISERROR(INDEX(C_SourceStreams!$K$28:$K$11971,MATCH(C65,C_SourceStreams!$C$28:$C$11971,0))),TRUE,INDEX(C_SourceStreams!$K$28:$K$11971,MATCH(C65,C_SourceStreams!$C$28:$C$11971,0))="")</f>
        <v>1</v>
      </c>
    </row>
    <row r="66" spans="3:53" x14ac:dyDescent="0.2">
      <c r="C66" s="835">
        <v>63</v>
      </c>
      <c r="D66" s="837" t="str">
        <f>IF($BA66,"",INDEX(C_SourceStreams!$K$61:$K$2089,MATCH($C66,C_SourceStreams!$C$61:$C$2089,0)))</f>
        <v/>
      </c>
      <c r="E66" s="837" t="str">
        <f>IF($BA66,"",INDEX(C_SourceStreams!$E$61:$E$2089,MATCH($C66,C_SourceStreams!$C$61:$C$2089,0)))</f>
        <v/>
      </c>
      <c r="F66" s="838" t="str">
        <f>IF($BA66,"",INDEX(C_SourceStreams!BH$61:BH$2089,MATCH($C66,C_SourceStreams!$C$61:$C$2089,0)))</f>
        <v/>
      </c>
      <c r="G66" s="836" t="str">
        <f>IF($BA66,"",INDEX(C_SourceStreams!BI$61:BI$2089,MATCH($C66,C_SourceStreams!$C$61:$C$2089,0)))</f>
        <v/>
      </c>
      <c r="H66" s="838" t="str">
        <f>IF($BA66,"",INDEX(C_SourceStreams!BL$61:BL$2089,MATCH($C66,C_SourceStreams!$C$61:$C$2089,0)))</f>
        <v/>
      </c>
      <c r="I66" s="836" t="str">
        <f>IF($BA66,"",INDEX(C_SourceStreams!BM$61:BM$2089,MATCH($C66,C_SourceStreams!$C$61:$C$2089,0)))</f>
        <v/>
      </c>
      <c r="J66" s="838" t="str">
        <f>IF($BA66,"",INDEX(C_SourceStreams!BJ$61:BJ$2089,MATCH($C66,C_SourceStreams!$C$61:$C$2089,0)))</f>
        <v/>
      </c>
      <c r="K66" s="836" t="str">
        <f>IF($BA66,"",INDEX(C_SourceStreams!BK$61:BK$2089,MATCH($C66,C_SourceStreams!$C$61:$C$2089,0)))</f>
        <v/>
      </c>
      <c r="L66" s="836" t="str">
        <f>IF($BA66,"",INDEX(C_SourceStreams!BP$61:BP$2089,MATCH($C66,C_SourceStreams!$C$61:$C$2089,0)))</f>
        <v/>
      </c>
      <c r="M66" s="836" t="str">
        <f>IF($BA66,"",INDEX(C_SourceStreams!BQ$61:BQ$2089,MATCH($C66,C_SourceStreams!$C$61:$C$2089,0)))</f>
        <v/>
      </c>
      <c r="N66" s="838" t="str">
        <f>IF($BA66,"",INDEX(C_SourceStreams!BN$61:BN$2089,MATCH($C66,C_SourceStreams!$C$61:$C$2089,0))*100)</f>
        <v/>
      </c>
      <c r="O66" s="839" t="str">
        <f t="shared" si="0"/>
        <v/>
      </c>
      <c r="P66" s="838" t="str">
        <f>IF($BA66,"",INDEX(C_SourceStreams!BO$61:BO$2089,MATCH($C66,C_SourceStreams!$C$61:$C$2089,0))*100)</f>
        <v/>
      </c>
      <c r="Q66" s="839" t="str">
        <f t="shared" si="1"/>
        <v/>
      </c>
      <c r="R66" s="838" t="str">
        <f>IF($BA66,"",INDEX(C_SourceStreams!BR$61:BR$2089,MATCH($C66,C_SourceStreams!$C$61:$C$2089,0))*100)</f>
        <v/>
      </c>
      <c r="S66" s="839" t="str">
        <f t="shared" si="2"/>
        <v/>
      </c>
      <c r="T66" s="838" t="str">
        <f>IF($BA66,"",INDEX(C_SourceStreams!BS$61:BS$2089,MATCH($C66,C_SourceStreams!$C$61:$C$2089,0))*100)</f>
        <v/>
      </c>
      <c r="U66" s="839" t="str">
        <f t="shared" si="3"/>
        <v/>
      </c>
      <c r="V66" s="1006"/>
      <c r="W66" s="1006"/>
      <c r="X66" s="1006"/>
      <c r="Y66" s="1006"/>
      <c r="Z66" s="1006"/>
      <c r="AA66" s="1006"/>
      <c r="AB66" s="1006"/>
      <c r="AC66" s="1006"/>
      <c r="AD66" s="1006"/>
      <c r="AE66" s="1006"/>
      <c r="AF66" s="1006"/>
      <c r="AG66" s="1006"/>
      <c r="AH66" s="1006"/>
      <c r="AI66" s="1006"/>
      <c r="AJ66" s="1006"/>
      <c r="AK66" s="1006"/>
      <c r="AL66" s="1006"/>
      <c r="AM66" s="1006"/>
      <c r="AN66" s="1006"/>
      <c r="AO66" s="1006"/>
      <c r="AP66" s="1006"/>
      <c r="AQ66" s="1006"/>
      <c r="AR66" s="1006"/>
      <c r="AS66" s="1006"/>
      <c r="AT66" s="1006"/>
      <c r="AU66" s="1001" t="str">
        <f>IF($BA66,"",INDEX(C_SourceStreams!BT$61:BT$2089,MATCH($C66,C_SourceStreams!$C$61:$C$2089,0)))</f>
        <v/>
      </c>
      <c r="AV66" s="1001" t="str">
        <f>IF($BA66,"",INDEX(C_SourceStreams!BU$61:BU$2089,MATCH($C66,C_SourceStreams!$C$61:$C$2089,0)))</f>
        <v/>
      </c>
      <c r="AW66" s="1001" t="str">
        <f>IF($BA66,"",INDEX(C_SourceStreams!BV$61:BV$2089,MATCH($C66,C_SourceStreams!$C$61:$C$2089,0)))</f>
        <v/>
      </c>
      <c r="AX66" s="838" t="str">
        <f>IF($BA66,"",INDEX(C_SourceStreams!BW$61:BW$2089,MATCH($C66,C_SourceStreams!$C$61:$C$2089,0)))</f>
        <v/>
      </c>
      <c r="AY66" s="838" t="str">
        <f>IF($BA66,"",INDEX(C_SourceStreams!BX$61:BX$2089,MATCH($C66,C_SourceStreams!$C$61:$C$2089,0)))</f>
        <v/>
      </c>
      <c r="BA66" s="72" t="b">
        <f>IF(ISERROR(INDEX(C_SourceStreams!$K$28:$K$11971,MATCH(C66,C_SourceStreams!$C$28:$C$11971,0))),TRUE,INDEX(C_SourceStreams!$K$28:$K$11971,MATCH(C66,C_SourceStreams!$C$28:$C$11971,0))="")</f>
        <v>1</v>
      </c>
    </row>
    <row r="67" spans="3:53" x14ac:dyDescent="0.2">
      <c r="C67" s="835">
        <v>64</v>
      </c>
      <c r="D67" s="837" t="str">
        <f>IF($BA67,"",INDEX(C_SourceStreams!$K$61:$K$2089,MATCH($C67,C_SourceStreams!$C$61:$C$2089,0)))</f>
        <v/>
      </c>
      <c r="E67" s="837" t="str">
        <f>IF($BA67,"",INDEX(C_SourceStreams!$E$61:$E$2089,MATCH($C67,C_SourceStreams!$C$61:$C$2089,0)))</f>
        <v/>
      </c>
      <c r="F67" s="838" t="str">
        <f>IF($BA67,"",INDEX(C_SourceStreams!BH$61:BH$2089,MATCH($C67,C_SourceStreams!$C$61:$C$2089,0)))</f>
        <v/>
      </c>
      <c r="G67" s="836" t="str">
        <f>IF($BA67,"",INDEX(C_SourceStreams!BI$61:BI$2089,MATCH($C67,C_SourceStreams!$C$61:$C$2089,0)))</f>
        <v/>
      </c>
      <c r="H67" s="838" t="str">
        <f>IF($BA67,"",INDEX(C_SourceStreams!BL$61:BL$2089,MATCH($C67,C_SourceStreams!$C$61:$C$2089,0)))</f>
        <v/>
      </c>
      <c r="I67" s="836" t="str">
        <f>IF($BA67,"",INDEX(C_SourceStreams!BM$61:BM$2089,MATCH($C67,C_SourceStreams!$C$61:$C$2089,0)))</f>
        <v/>
      </c>
      <c r="J67" s="838" t="str">
        <f>IF($BA67,"",INDEX(C_SourceStreams!BJ$61:BJ$2089,MATCH($C67,C_SourceStreams!$C$61:$C$2089,0)))</f>
        <v/>
      </c>
      <c r="K67" s="836" t="str">
        <f>IF($BA67,"",INDEX(C_SourceStreams!BK$61:BK$2089,MATCH($C67,C_SourceStreams!$C$61:$C$2089,0)))</f>
        <v/>
      </c>
      <c r="L67" s="836" t="str">
        <f>IF($BA67,"",INDEX(C_SourceStreams!BP$61:BP$2089,MATCH($C67,C_SourceStreams!$C$61:$C$2089,0)))</f>
        <v/>
      </c>
      <c r="M67" s="836" t="str">
        <f>IF($BA67,"",INDEX(C_SourceStreams!BQ$61:BQ$2089,MATCH($C67,C_SourceStreams!$C$61:$C$2089,0)))</f>
        <v/>
      </c>
      <c r="N67" s="838" t="str">
        <f>IF($BA67,"",INDEX(C_SourceStreams!BN$61:BN$2089,MATCH($C67,C_SourceStreams!$C$61:$C$2089,0))*100)</f>
        <v/>
      </c>
      <c r="O67" s="839" t="str">
        <f t="shared" si="0"/>
        <v/>
      </c>
      <c r="P67" s="838" t="str">
        <f>IF($BA67,"",INDEX(C_SourceStreams!BO$61:BO$2089,MATCH($C67,C_SourceStreams!$C$61:$C$2089,0))*100)</f>
        <v/>
      </c>
      <c r="Q67" s="839" t="str">
        <f t="shared" si="1"/>
        <v/>
      </c>
      <c r="R67" s="838" t="str">
        <f>IF($BA67,"",INDEX(C_SourceStreams!BR$61:BR$2089,MATCH($C67,C_SourceStreams!$C$61:$C$2089,0))*100)</f>
        <v/>
      </c>
      <c r="S67" s="839" t="str">
        <f t="shared" si="2"/>
        <v/>
      </c>
      <c r="T67" s="838" t="str">
        <f>IF($BA67,"",INDEX(C_SourceStreams!BS$61:BS$2089,MATCH($C67,C_SourceStreams!$C$61:$C$2089,0))*100)</f>
        <v/>
      </c>
      <c r="U67" s="839" t="str">
        <f t="shared" si="3"/>
        <v/>
      </c>
      <c r="V67" s="1006"/>
      <c r="W67" s="1006"/>
      <c r="X67" s="1006"/>
      <c r="Y67" s="1006"/>
      <c r="Z67" s="1006"/>
      <c r="AA67" s="1006"/>
      <c r="AB67" s="1006"/>
      <c r="AC67" s="1006"/>
      <c r="AD67" s="1006"/>
      <c r="AE67" s="1006"/>
      <c r="AF67" s="1006"/>
      <c r="AG67" s="1006"/>
      <c r="AH67" s="1006"/>
      <c r="AI67" s="1006"/>
      <c r="AJ67" s="1006"/>
      <c r="AK67" s="1006"/>
      <c r="AL67" s="1006"/>
      <c r="AM67" s="1006"/>
      <c r="AN67" s="1006"/>
      <c r="AO67" s="1006"/>
      <c r="AP67" s="1006"/>
      <c r="AQ67" s="1006"/>
      <c r="AR67" s="1006"/>
      <c r="AS67" s="1006"/>
      <c r="AT67" s="1006"/>
      <c r="AU67" s="1001" t="str">
        <f>IF($BA67,"",INDEX(C_SourceStreams!BT$61:BT$2089,MATCH($C67,C_SourceStreams!$C$61:$C$2089,0)))</f>
        <v/>
      </c>
      <c r="AV67" s="1001" t="str">
        <f>IF($BA67,"",INDEX(C_SourceStreams!BU$61:BU$2089,MATCH($C67,C_SourceStreams!$C$61:$C$2089,0)))</f>
        <v/>
      </c>
      <c r="AW67" s="1001" t="str">
        <f>IF($BA67,"",INDEX(C_SourceStreams!BV$61:BV$2089,MATCH($C67,C_SourceStreams!$C$61:$C$2089,0)))</f>
        <v/>
      </c>
      <c r="AX67" s="838" t="str">
        <f>IF($BA67,"",INDEX(C_SourceStreams!BW$61:BW$2089,MATCH($C67,C_SourceStreams!$C$61:$C$2089,0)))</f>
        <v/>
      </c>
      <c r="AY67" s="838" t="str">
        <f>IF($BA67,"",INDEX(C_SourceStreams!BX$61:BX$2089,MATCH($C67,C_SourceStreams!$C$61:$C$2089,0)))</f>
        <v/>
      </c>
      <c r="BA67" s="72" t="b">
        <f>IF(ISERROR(INDEX(C_SourceStreams!$K$28:$K$11971,MATCH(C67,C_SourceStreams!$C$28:$C$11971,0))),TRUE,INDEX(C_SourceStreams!$K$28:$K$11971,MATCH(C67,C_SourceStreams!$C$28:$C$11971,0))="")</f>
        <v>1</v>
      </c>
    </row>
    <row r="68" spans="3:53" x14ac:dyDescent="0.2">
      <c r="C68" s="835">
        <v>65</v>
      </c>
      <c r="D68" s="837" t="str">
        <f>IF($BA68,"",INDEX(C_SourceStreams!$K$61:$K$2089,MATCH($C68,C_SourceStreams!$C$61:$C$2089,0)))</f>
        <v/>
      </c>
      <c r="E68" s="837" t="str">
        <f>IF($BA68,"",INDEX(C_SourceStreams!$E$61:$E$2089,MATCH($C68,C_SourceStreams!$C$61:$C$2089,0)))</f>
        <v/>
      </c>
      <c r="F68" s="838" t="str">
        <f>IF($BA68,"",INDEX(C_SourceStreams!BH$61:BH$2089,MATCH($C68,C_SourceStreams!$C$61:$C$2089,0)))</f>
        <v/>
      </c>
      <c r="G68" s="836" t="str">
        <f>IF($BA68,"",INDEX(C_SourceStreams!BI$61:BI$2089,MATCH($C68,C_SourceStreams!$C$61:$C$2089,0)))</f>
        <v/>
      </c>
      <c r="H68" s="838" t="str">
        <f>IF($BA68,"",INDEX(C_SourceStreams!BL$61:BL$2089,MATCH($C68,C_SourceStreams!$C$61:$C$2089,0)))</f>
        <v/>
      </c>
      <c r="I68" s="836" t="str">
        <f>IF($BA68,"",INDEX(C_SourceStreams!BM$61:BM$2089,MATCH($C68,C_SourceStreams!$C$61:$C$2089,0)))</f>
        <v/>
      </c>
      <c r="J68" s="838" t="str">
        <f>IF($BA68,"",INDEX(C_SourceStreams!BJ$61:BJ$2089,MATCH($C68,C_SourceStreams!$C$61:$C$2089,0)))</f>
        <v/>
      </c>
      <c r="K68" s="836" t="str">
        <f>IF($BA68,"",INDEX(C_SourceStreams!BK$61:BK$2089,MATCH($C68,C_SourceStreams!$C$61:$C$2089,0)))</f>
        <v/>
      </c>
      <c r="L68" s="836" t="str">
        <f>IF($BA68,"",INDEX(C_SourceStreams!BP$61:BP$2089,MATCH($C68,C_SourceStreams!$C$61:$C$2089,0)))</f>
        <v/>
      </c>
      <c r="M68" s="836" t="str">
        <f>IF($BA68,"",INDEX(C_SourceStreams!BQ$61:BQ$2089,MATCH($C68,C_SourceStreams!$C$61:$C$2089,0)))</f>
        <v/>
      </c>
      <c r="N68" s="838" t="str">
        <f>IF($BA68,"",INDEX(C_SourceStreams!BN$61:BN$2089,MATCH($C68,C_SourceStreams!$C$61:$C$2089,0))*100)</f>
        <v/>
      </c>
      <c r="O68" s="839" t="str">
        <f t="shared" si="0"/>
        <v/>
      </c>
      <c r="P68" s="838" t="str">
        <f>IF($BA68,"",INDEX(C_SourceStreams!BO$61:BO$2089,MATCH($C68,C_SourceStreams!$C$61:$C$2089,0))*100)</f>
        <v/>
      </c>
      <c r="Q68" s="839" t="str">
        <f t="shared" si="1"/>
        <v/>
      </c>
      <c r="R68" s="838" t="str">
        <f>IF($BA68,"",INDEX(C_SourceStreams!BR$61:BR$2089,MATCH($C68,C_SourceStreams!$C$61:$C$2089,0))*100)</f>
        <v/>
      </c>
      <c r="S68" s="839" t="str">
        <f t="shared" si="2"/>
        <v/>
      </c>
      <c r="T68" s="838" t="str">
        <f>IF($BA68,"",INDEX(C_SourceStreams!BS$61:BS$2089,MATCH($C68,C_SourceStreams!$C$61:$C$2089,0))*100)</f>
        <v/>
      </c>
      <c r="U68" s="839" t="str">
        <f t="shared" si="3"/>
        <v/>
      </c>
      <c r="V68" s="1006"/>
      <c r="W68" s="1006"/>
      <c r="X68" s="1006"/>
      <c r="Y68" s="1006"/>
      <c r="Z68" s="1006"/>
      <c r="AA68" s="1006"/>
      <c r="AB68" s="1006"/>
      <c r="AC68" s="1006"/>
      <c r="AD68" s="1006"/>
      <c r="AE68" s="1006"/>
      <c r="AF68" s="1006"/>
      <c r="AG68" s="1006"/>
      <c r="AH68" s="1006"/>
      <c r="AI68" s="1006"/>
      <c r="AJ68" s="1006"/>
      <c r="AK68" s="1006"/>
      <c r="AL68" s="1006"/>
      <c r="AM68" s="1006"/>
      <c r="AN68" s="1006"/>
      <c r="AO68" s="1006"/>
      <c r="AP68" s="1006"/>
      <c r="AQ68" s="1006"/>
      <c r="AR68" s="1006"/>
      <c r="AS68" s="1006"/>
      <c r="AT68" s="1006"/>
      <c r="AU68" s="1001" t="str">
        <f>IF($BA68,"",INDEX(C_SourceStreams!BT$61:BT$2089,MATCH($C68,C_SourceStreams!$C$61:$C$2089,0)))</f>
        <v/>
      </c>
      <c r="AV68" s="1001" t="str">
        <f>IF($BA68,"",INDEX(C_SourceStreams!BU$61:BU$2089,MATCH($C68,C_SourceStreams!$C$61:$C$2089,0)))</f>
        <v/>
      </c>
      <c r="AW68" s="1001" t="str">
        <f>IF($BA68,"",INDEX(C_SourceStreams!BV$61:BV$2089,MATCH($C68,C_SourceStreams!$C$61:$C$2089,0)))</f>
        <v/>
      </c>
      <c r="AX68" s="838" t="str">
        <f>IF($BA68,"",INDEX(C_SourceStreams!BW$61:BW$2089,MATCH($C68,C_SourceStreams!$C$61:$C$2089,0)))</f>
        <v/>
      </c>
      <c r="AY68" s="838" t="str">
        <f>IF($BA68,"",INDEX(C_SourceStreams!BX$61:BX$2089,MATCH($C68,C_SourceStreams!$C$61:$C$2089,0)))</f>
        <v/>
      </c>
      <c r="BA68" s="72" t="b">
        <f>IF(ISERROR(INDEX(C_SourceStreams!$K$28:$K$11971,MATCH(C68,C_SourceStreams!$C$28:$C$11971,0))),TRUE,INDEX(C_SourceStreams!$K$28:$K$11971,MATCH(C68,C_SourceStreams!$C$28:$C$11971,0))="")</f>
        <v>1</v>
      </c>
    </row>
    <row r="69" spans="3:53" x14ac:dyDescent="0.2">
      <c r="C69" s="835">
        <v>66</v>
      </c>
      <c r="D69" s="837" t="str">
        <f>IF($BA69,"",INDEX(C_SourceStreams!$K$61:$K$2089,MATCH($C69,C_SourceStreams!$C$61:$C$2089,0)))</f>
        <v/>
      </c>
      <c r="E69" s="837" t="str">
        <f>IF($BA69,"",INDEX(C_SourceStreams!$E$61:$E$2089,MATCH($C69,C_SourceStreams!$C$61:$C$2089,0)))</f>
        <v/>
      </c>
      <c r="F69" s="838" t="str">
        <f>IF($BA69,"",INDEX(C_SourceStreams!BH$61:BH$2089,MATCH($C69,C_SourceStreams!$C$61:$C$2089,0)))</f>
        <v/>
      </c>
      <c r="G69" s="836" t="str">
        <f>IF($BA69,"",INDEX(C_SourceStreams!BI$61:BI$2089,MATCH($C69,C_SourceStreams!$C$61:$C$2089,0)))</f>
        <v/>
      </c>
      <c r="H69" s="838" t="str">
        <f>IF($BA69,"",INDEX(C_SourceStreams!BL$61:BL$2089,MATCH($C69,C_SourceStreams!$C$61:$C$2089,0)))</f>
        <v/>
      </c>
      <c r="I69" s="836" t="str">
        <f>IF($BA69,"",INDEX(C_SourceStreams!BM$61:BM$2089,MATCH($C69,C_SourceStreams!$C$61:$C$2089,0)))</f>
        <v/>
      </c>
      <c r="J69" s="838" t="str">
        <f>IF($BA69,"",INDEX(C_SourceStreams!BJ$61:BJ$2089,MATCH($C69,C_SourceStreams!$C$61:$C$2089,0)))</f>
        <v/>
      </c>
      <c r="K69" s="836" t="str">
        <f>IF($BA69,"",INDEX(C_SourceStreams!BK$61:BK$2089,MATCH($C69,C_SourceStreams!$C$61:$C$2089,0)))</f>
        <v/>
      </c>
      <c r="L69" s="836" t="str">
        <f>IF($BA69,"",INDEX(C_SourceStreams!BP$61:BP$2089,MATCH($C69,C_SourceStreams!$C$61:$C$2089,0)))</f>
        <v/>
      </c>
      <c r="M69" s="836" t="str">
        <f>IF($BA69,"",INDEX(C_SourceStreams!BQ$61:BQ$2089,MATCH($C69,C_SourceStreams!$C$61:$C$2089,0)))</f>
        <v/>
      </c>
      <c r="N69" s="838" t="str">
        <f>IF($BA69,"",INDEX(C_SourceStreams!BN$61:BN$2089,MATCH($C69,C_SourceStreams!$C$61:$C$2089,0))*100)</f>
        <v/>
      </c>
      <c r="O69" s="839" t="str">
        <f t="shared" ref="O69:O78" si="4">IF($BA69,"","%")</f>
        <v/>
      </c>
      <c r="P69" s="838" t="str">
        <f>IF($BA69,"",INDEX(C_SourceStreams!BO$61:BO$2089,MATCH($C69,C_SourceStreams!$C$61:$C$2089,0))*100)</f>
        <v/>
      </c>
      <c r="Q69" s="839" t="str">
        <f t="shared" ref="Q69:Q78" si="5">IF($BA69,"","%")</f>
        <v/>
      </c>
      <c r="R69" s="838" t="str">
        <f>IF($BA69,"",INDEX(C_SourceStreams!BR$61:BR$2089,MATCH($C69,C_SourceStreams!$C$61:$C$2089,0))*100)</f>
        <v/>
      </c>
      <c r="S69" s="839" t="str">
        <f t="shared" ref="S69:S78" si="6">IF($BA69,"","%")</f>
        <v/>
      </c>
      <c r="T69" s="838" t="str">
        <f>IF($BA69,"",INDEX(C_SourceStreams!BS$61:BS$2089,MATCH($C69,C_SourceStreams!$C$61:$C$2089,0))*100)</f>
        <v/>
      </c>
      <c r="U69" s="839" t="str">
        <f t="shared" ref="U69:U78" si="7">IF($BA69,"","%")</f>
        <v/>
      </c>
      <c r="V69" s="1006"/>
      <c r="W69" s="1006"/>
      <c r="X69" s="1006"/>
      <c r="Y69" s="1006"/>
      <c r="Z69" s="1006"/>
      <c r="AA69" s="1006"/>
      <c r="AB69" s="1006"/>
      <c r="AC69" s="1006"/>
      <c r="AD69" s="1006"/>
      <c r="AE69" s="1006"/>
      <c r="AF69" s="1006"/>
      <c r="AG69" s="1006"/>
      <c r="AH69" s="1006"/>
      <c r="AI69" s="1006"/>
      <c r="AJ69" s="1006"/>
      <c r="AK69" s="1006"/>
      <c r="AL69" s="1006"/>
      <c r="AM69" s="1006"/>
      <c r="AN69" s="1006"/>
      <c r="AO69" s="1006"/>
      <c r="AP69" s="1006"/>
      <c r="AQ69" s="1006"/>
      <c r="AR69" s="1006"/>
      <c r="AS69" s="1006"/>
      <c r="AT69" s="1006"/>
      <c r="AU69" s="1001" t="str">
        <f>IF($BA69,"",INDEX(C_SourceStreams!BT$61:BT$2089,MATCH($C69,C_SourceStreams!$C$61:$C$2089,0)))</f>
        <v/>
      </c>
      <c r="AV69" s="1001" t="str">
        <f>IF($BA69,"",INDEX(C_SourceStreams!BU$61:BU$2089,MATCH($C69,C_SourceStreams!$C$61:$C$2089,0)))</f>
        <v/>
      </c>
      <c r="AW69" s="1001" t="str">
        <f>IF($BA69,"",INDEX(C_SourceStreams!BV$61:BV$2089,MATCH($C69,C_SourceStreams!$C$61:$C$2089,0)))</f>
        <v/>
      </c>
      <c r="AX69" s="838" t="str">
        <f>IF($BA69,"",INDEX(C_SourceStreams!BW$61:BW$2089,MATCH($C69,C_SourceStreams!$C$61:$C$2089,0)))</f>
        <v/>
      </c>
      <c r="AY69" s="838" t="str">
        <f>IF($BA69,"",INDEX(C_SourceStreams!BX$61:BX$2089,MATCH($C69,C_SourceStreams!$C$61:$C$2089,0)))</f>
        <v/>
      </c>
      <c r="BA69" s="72" t="b">
        <f>IF(ISERROR(INDEX(C_SourceStreams!$K$28:$K$11971,MATCH(C69,C_SourceStreams!$C$28:$C$11971,0))),TRUE,INDEX(C_SourceStreams!$K$28:$K$11971,MATCH(C69,C_SourceStreams!$C$28:$C$11971,0))="")</f>
        <v>1</v>
      </c>
    </row>
    <row r="70" spans="3:53" x14ac:dyDescent="0.2">
      <c r="C70" s="835">
        <v>67</v>
      </c>
      <c r="D70" s="837" t="str">
        <f>IF($BA70,"",INDEX(C_SourceStreams!$K$61:$K$2089,MATCH($C70,C_SourceStreams!$C$61:$C$2089,0)))</f>
        <v/>
      </c>
      <c r="E70" s="837" t="str">
        <f>IF($BA70,"",INDEX(C_SourceStreams!$E$61:$E$2089,MATCH($C70,C_SourceStreams!$C$61:$C$2089,0)))</f>
        <v/>
      </c>
      <c r="F70" s="838" t="str">
        <f>IF($BA70,"",INDEX(C_SourceStreams!BH$61:BH$2089,MATCH($C70,C_SourceStreams!$C$61:$C$2089,0)))</f>
        <v/>
      </c>
      <c r="G70" s="836" t="str">
        <f>IF($BA70,"",INDEX(C_SourceStreams!BI$61:BI$2089,MATCH($C70,C_SourceStreams!$C$61:$C$2089,0)))</f>
        <v/>
      </c>
      <c r="H70" s="838" t="str">
        <f>IF($BA70,"",INDEX(C_SourceStreams!BL$61:BL$2089,MATCH($C70,C_SourceStreams!$C$61:$C$2089,0)))</f>
        <v/>
      </c>
      <c r="I70" s="836" t="str">
        <f>IF($BA70,"",INDEX(C_SourceStreams!BM$61:BM$2089,MATCH($C70,C_SourceStreams!$C$61:$C$2089,0)))</f>
        <v/>
      </c>
      <c r="J70" s="838" t="str">
        <f>IF($BA70,"",INDEX(C_SourceStreams!BJ$61:BJ$2089,MATCH($C70,C_SourceStreams!$C$61:$C$2089,0)))</f>
        <v/>
      </c>
      <c r="K70" s="836" t="str">
        <f>IF($BA70,"",INDEX(C_SourceStreams!BK$61:BK$2089,MATCH($C70,C_SourceStreams!$C$61:$C$2089,0)))</f>
        <v/>
      </c>
      <c r="L70" s="836" t="str">
        <f>IF($BA70,"",INDEX(C_SourceStreams!BP$61:BP$2089,MATCH($C70,C_SourceStreams!$C$61:$C$2089,0)))</f>
        <v/>
      </c>
      <c r="M70" s="836" t="str">
        <f>IF($BA70,"",INDEX(C_SourceStreams!BQ$61:BQ$2089,MATCH($C70,C_SourceStreams!$C$61:$C$2089,0)))</f>
        <v/>
      </c>
      <c r="N70" s="838" t="str">
        <f>IF($BA70,"",INDEX(C_SourceStreams!BN$61:BN$2089,MATCH($C70,C_SourceStreams!$C$61:$C$2089,0))*100)</f>
        <v/>
      </c>
      <c r="O70" s="839" t="str">
        <f t="shared" si="4"/>
        <v/>
      </c>
      <c r="P70" s="838" t="str">
        <f>IF($BA70,"",INDEX(C_SourceStreams!BO$61:BO$2089,MATCH($C70,C_SourceStreams!$C$61:$C$2089,0))*100)</f>
        <v/>
      </c>
      <c r="Q70" s="839" t="str">
        <f t="shared" si="5"/>
        <v/>
      </c>
      <c r="R70" s="838" t="str">
        <f>IF($BA70,"",INDEX(C_SourceStreams!BR$61:BR$2089,MATCH($C70,C_SourceStreams!$C$61:$C$2089,0))*100)</f>
        <v/>
      </c>
      <c r="S70" s="839" t="str">
        <f t="shared" si="6"/>
        <v/>
      </c>
      <c r="T70" s="838" t="str">
        <f>IF($BA70,"",INDEX(C_SourceStreams!BS$61:BS$2089,MATCH($C70,C_SourceStreams!$C$61:$C$2089,0))*100)</f>
        <v/>
      </c>
      <c r="U70" s="839" t="str">
        <f t="shared" si="7"/>
        <v/>
      </c>
      <c r="V70" s="1006"/>
      <c r="W70" s="1006"/>
      <c r="X70" s="1006"/>
      <c r="Y70" s="1006"/>
      <c r="Z70" s="1006"/>
      <c r="AA70" s="1006"/>
      <c r="AB70" s="1006"/>
      <c r="AC70" s="1006"/>
      <c r="AD70" s="1006"/>
      <c r="AE70" s="1006"/>
      <c r="AF70" s="1006"/>
      <c r="AG70" s="1006"/>
      <c r="AH70" s="1006"/>
      <c r="AI70" s="1006"/>
      <c r="AJ70" s="1006"/>
      <c r="AK70" s="1006"/>
      <c r="AL70" s="1006"/>
      <c r="AM70" s="1006"/>
      <c r="AN70" s="1006"/>
      <c r="AO70" s="1006"/>
      <c r="AP70" s="1006"/>
      <c r="AQ70" s="1006"/>
      <c r="AR70" s="1006"/>
      <c r="AS70" s="1006"/>
      <c r="AT70" s="1006"/>
      <c r="AU70" s="1001" t="str">
        <f>IF($BA70,"",INDEX(C_SourceStreams!BT$61:BT$2089,MATCH($C70,C_SourceStreams!$C$61:$C$2089,0)))</f>
        <v/>
      </c>
      <c r="AV70" s="1001" t="str">
        <f>IF($BA70,"",INDEX(C_SourceStreams!BU$61:BU$2089,MATCH($C70,C_SourceStreams!$C$61:$C$2089,0)))</f>
        <v/>
      </c>
      <c r="AW70" s="1001" t="str">
        <f>IF($BA70,"",INDEX(C_SourceStreams!BV$61:BV$2089,MATCH($C70,C_SourceStreams!$C$61:$C$2089,0)))</f>
        <v/>
      </c>
      <c r="AX70" s="838" t="str">
        <f>IF($BA70,"",INDEX(C_SourceStreams!BW$61:BW$2089,MATCH($C70,C_SourceStreams!$C$61:$C$2089,0)))</f>
        <v/>
      </c>
      <c r="AY70" s="838" t="str">
        <f>IF($BA70,"",INDEX(C_SourceStreams!BX$61:BX$2089,MATCH($C70,C_SourceStreams!$C$61:$C$2089,0)))</f>
        <v/>
      </c>
      <c r="BA70" s="72" t="b">
        <f>IF(ISERROR(INDEX(C_SourceStreams!$K$28:$K$11971,MATCH(C70,C_SourceStreams!$C$28:$C$11971,0))),TRUE,INDEX(C_SourceStreams!$K$28:$K$11971,MATCH(C70,C_SourceStreams!$C$28:$C$11971,0))="")</f>
        <v>1</v>
      </c>
    </row>
    <row r="71" spans="3:53" x14ac:dyDescent="0.2">
      <c r="C71" s="835">
        <v>68</v>
      </c>
      <c r="D71" s="837" t="str">
        <f>IF($BA71,"",INDEX(C_SourceStreams!$K$61:$K$2089,MATCH($C71,C_SourceStreams!$C$61:$C$2089,0)))</f>
        <v/>
      </c>
      <c r="E71" s="837" t="str">
        <f>IF($BA71,"",INDEX(C_SourceStreams!$E$61:$E$2089,MATCH($C71,C_SourceStreams!$C$61:$C$2089,0)))</f>
        <v/>
      </c>
      <c r="F71" s="838" t="str">
        <f>IF($BA71,"",INDEX(C_SourceStreams!BH$61:BH$2089,MATCH($C71,C_SourceStreams!$C$61:$C$2089,0)))</f>
        <v/>
      </c>
      <c r="G71" s="836" t="str">
        <f>IF($BA71,"",INDEX(C_SourceStreams!BI$61:BI$2089,MATCH($C71,C_SourceStreams!$C$61:$C$2089,0)))</f>
        <v/>
      </c>
      <c r="H71" s="838" t="str">
        <f>IF($BA71,"",INDEX(C_SourceStreams!BL$61:BL$2089,MATCH($C71,C_SourceStreams!$C$61:$C$2089,0)))</f>
        <v/>
      </c>
      <c r="I71" s="836" t="str">
        <f>IF($BA71,"",INDEX(C_SourceStreams!BM$61:BM$2089,MATCH($C71,C_SourceStreams!$C$61:$C$2089,0)))</f>
        <v/>
      </c>
      <c r="J71" s="838" t="str">
        <f>IF($BA71,"",INDEX(C_SourceStreams!BJ$61:BJ$2089,MATCH($C71,C_SourceStreams!$C$61:$C$2089,0)))</f>
        <v/>
      </c>
      <c r="K71" s="836" t="str">
        <f>IF($BA71,"",INDEX(C_SourceStreams!BK$61:BK$2089,MATCH($C71,C_SourceStreams!$C$61:$C$2089,0)))</f>
        <v/>
      </c>
      <c r="L71" s="836" t="str">
        <f>IF($BA71,"",INDEX(C_SourceStreams!BP$61:BP$2089,MATCH($C71,C_SourceStreams!$C$61:$C$2089,0)))</f>
        <v/>
      </c>
      <c r="M71" s="836" t="str">
        <f>IF($BA71,"",INDEX(C_SourceStreams!BQ$61:BQ$2089,MATCH($C71,C_SourceStreams!$C$61:$C$2089,0)))</f>
        <v/>
      </c>
      <c r="N71" s="838" t="str">
        <f>IF($BA71,"",INDEX(C_SourceStreams!BN$61:BN$2089,MATCH($C71,C_SourceStreams!$C$61:$C$2089,0))*100)</f>
        <v/>
      </c>
      <c r="O71" s="839" t="str">
        <f t="shared" si="4"/>
        <v/>
      </c>
      <c r="P71" s="838" t="str">
        <f>IF($BA71,"",INDEX(C_SourceStreams!BO$61:BO$2089,MATCH($C71,C_SourceStreams!$C$61:$C$2089,0))*100)</f>
        <v/>
      </c>
      <c r="Q71" s="839" t="str">
        <f t="shared" si="5"/>
        <v/>
      </c>
      <c r="R71" s="838" t="str">
        <f>IF($BA71,"",INDEX(C_SourceStreams!BR$61:BR$2089,MATCH($C71,C_SourceStreams!$C$61:$C$2089,0))*100)</f>
        <v/>
      </c>
      <c r="S71" s="839" t="str">
        <f t="shared" si="6"/>
        <v/>
      </c>
      <c r="T71" s="838" t="str">
        <f>IF($BA71,"",INDEX(C_SourceStreams!BS$61:BS$2089,MATCH($C71,C_SourceStreams!$C$61:$C$2089,0))*100)</f>
        <v/>
      </c>
      <c r="U71" s="839" t="str">
        <f t="shared" si="7"/>
        <v/>
      </c>
      <c r="V71" s="1006"/>
      <c r="W71" s="1006"/>
      <c r="X71" s="1006"/>
      <c r="Y71" s="1006"/>
      <c r="Z71" s="1006"/>
      <c r="AA71" s="1006"/>
      <c r="AB71" s="1006"/>
      <c r="AC71" s="1006"/>
      <c r="AD71" s="1006"/>
      <c r="AE71" s="1006"/>
      <c r="AF71" s="1006"/>
      <c r="AG71" s="1006"/>
      <c r="AH71" s="1006"/>
      <c r="AI71" s="1006"/>
      <c r="AJ71" s="1006"/>
      <c r="AK71" s="1006"/>
      <c r="AL71" s="1006"/>
      <c r="AM71" s="1006"/>
      <c r="AN71" s="1006"/>
      <c r="AO71" s="1006"/>
      <c r="AP71" s="1006"/>
      <c r="AQ71" s="1006"/>
      <c r="AR71" s="1006"/>
      <c r="AS71" s="1006"/>
      <c r="AT71" s="1006"/>
      <c r="AU71" s="1001" t="str">
        <f>IF($BA71,"",INDEX(C_SourceStreams!BT$61:BT$2089,MATCH($C71,C_SourceStreams!$C$61:$C$2089,0)))</f>
        <v/>
      </c>
      <c r="AV71" s="1001" t="str">
        <f>IF($BA71,"",INDEX(C_SourceStreams!BU$61:BU$2089,MATCH($C71,C_SourceStreams!$C$61:$C$2089,0)))</f>
        <v/>
      </c>
      <c r="AW71" s="1001" t="str">
        <f>IF($BA71,"",INDEX(C_SourceStreams!BV$61:BV$2089,MATCH($C71,C_SourceStreams!$C$61:$C$2089,0)))</f>
        <v/>
      </c>
      <c r="AX71" s="838" t="str">
        <f>IF($BA71,"",INDEX(C_SourceStreams!BW$61:BW$2089,MATCH($C71,C_SourceStreams!$C$61:$C$2089,0)))</f>
        <v/>
      </c>
      <c r="AY71" s="838" t="str">
        <f>IF($BA71,"",INDEX(C_SourceStreams!BX$61:BX$2089,MATCH($C71,C_SourceStreams!$C$61:$C$2089,0)))</f>
        <v/>
      </c>
      <c r="BA71" s="72" t="b">
        <f>IF(ISERROR(INDEX(C_SourceStreams!$K$28:$K$11971,MATCH(C71,C_SourceStreams!$C$28:$C$11971,0))),TRUE,INDEX(C_SourceStreams!$K$28:$K$11971,MATCH(C71,C_SourceStreams!$C$28:$C$11971,0))="")</f>
        <v>1</v>
      </c>
    </row>
    <row r="72" spans="3:53" x14ac:dyDescent="0.2">
      <c r="C72" s="835">
        <v>69</v>
      </c>
      <c r="D72" s="837" t="str">
        <f>IF($BA72,"",INDEX(C_SourceStreams!$K$61:$K$2089,MATCH($C72,C_SourceStreams!$C$61:$C$2089,0)))</f>
        <v/>
      </c>
      <c r="E72" s="837" t="str">
        <f>IF($BA72,"",INDEX(C_SourceStreams!$E$61:$E$2089,MATCH($C72,C_SourceStreams!$C$61:$C$2089,0)))</f>
        <v/>
      </c>
      <c r="F72" s="838" t="str">
        <f>IF($BA72,"",INDEX(C_SourceStreams!BH$61:BH$2089,MATCH($C72,C_SourceStreams!$C$61:$C$2089,0)))</f>
        <v/>
      </c>
      <c r="G72" s="836" t="str">
        <f>IF($BA72,"",INDEX(C_SourceStreams!BI$61:BI$2089,MATCH($C72,C_SourceStreams!$C$61:$C$2089,0)))</f>
        <v/>
      </c>
      <c r="H72" s="838" t="str">
        <f>IF($BA72,"",INDEX(C_SourceStreams!BL$61:BL$2089,MATCH($C72,C_SourceStreams!$C$61:$C$2089,0)))</f>
        <v/>
      </c>
      <c r="I72" s="836" t="str">
        <f>IF($BA72,"",INDEX(C_SourceStreams!BM$61:BM$2089,MATCH($C72,C_SourceStreams!$C$61:$C$2089,0)))</f>
        <v/>
      </c>
      <c r="J72" s="838" t="str">
        <f>IF($BA72,"",INDEX(C_SourceStreams!BJ$61:BJ$2089,MATCH($C72,C_SourceStreams!$C$61:$C$2089,0)))</f>
        <v/>
      </c>
      <c r="K72" s="836" t="str">
        <f>IF($BA72,"",INDEX(C_SourceStreams!BK$61:BK$2089,MATCH($C72,C_SourceStreams!$C$61:$C$2089,0)))</f>
        <v/>
      </c>
      <c r="L72" s="836" t="str">
        <f>IF($BA72,"",INDEX(C_SourceStreams!BP$61:BP$2089,MATCH($C72,C_SourceStreams!$C$61:$C$2089,0)))</f>
        <v/>
      </c>
      <c r="M72" s="836" t="str">
        <f>IF($BA72,"",INDEX(C_SourceStreams!BQ$61:BQ$2089,MATCH($C72,C_SourceStreams!$C$61:$C$2089,0)))</f>
        <v/>
      </c>
      <c r="N72" s="838" t="str">
        <f>IF($BA72,"",INDEX(C_SourceStreams!BN$61:BN$2089,MATCH($C72,C_SourceStreams!$C$61:$C$2089,0))*100)</f>
        <v/>
      </c>
      <c r="O72" s="839" t="str">
        <f t="shared" si="4"/>
        <v/>
      </c>
      <c r="P72" s="838" t="str">
        <f>IF($BA72,"",INDEX(C_SourceStreams!BO$61:BO$2089,MATCH($C72,C_SourceStreams!$C$61:$C$2089,0))*100)</f>
        <v/>
      </c>
      <c r="Q72" s="839" t="str">
        <f t="shared" si="5"/>
        <v/>
      </c>
      <c r="R72" s="838" t="str">
        <f>IF($BA72,"",INDEX(C_SourceStreams!BR$61:BR$2089,MATCH($C72,C_SourceStreams!$C$61:$C$2089,0))*100)</f>
        <v/>
      </c>
      <c r="S72" s="839" t="str">
        <f t="shared" si="6"/>
        <v/>
      </c>
      <c r="T72" s="838" t="str">
        <f>IF($BA72,"",INDEX(C_SourceStreams!BS$61:BS$2089,MATCH($C72,C_SourceStreams!$C$61:$C$2089,0))*100)</f>
        <v/>
      </c>
      <c r="U72" s="839" t="str">
        <f t="shared" si="7"/>
        <v/>
      </c>
      <c r="V72" s="1006"/>
      <c r="W72" s="1006"/>
      <c r="X72" s="1006"/>
      <c r="Y72" s="1006"/>
      <c r="Z72" s="1006"/>
      <c r="AA72" s="1006"/>
      <c r="AB72" s="1006"/>
      <c r="AC72" s="1006"/>
      <c r="AD72" s="1006"/>
      <c r="AE72" s="1006"/>
      <c r="AF72" s="1006"/>
      <c r="AG72" s="1006"/>
      <c r="AH72" s="1006"/>
      <c r="AI72" s="1006"/>
      <c r="AJ72" s="1006"/>
      <c r="AK72" s="1006"/>
      <c r="AL72" s="1006"/>
      <c r="AM72" s="1006"/>
      <c r="AN72" s="1006"/>
      <c r="AO72" s="1006"/>
      <c r="AP72" s="1006"/>
      <c r="AQ72" s="1006"/>
      <c r="AR72" s="1006"/>
      <c r="AS72" s="1006"/>
      <c r="AT72" s="1006"/>
      <c r="AU72" s="1001" t="str">
        <f>IF($BA72,"",INDEX(C_SourceStreams!BT$61:BT$2089,MATCH($C72,C_SourceStreams!$C$61:$C$2089,0)))</f>
        <v/>
      </c>
      <c r="AV72" s="1001" t="str">
        <f>IF($BA72,"",INDEX(C_SourceStreams!BU$61:BU$2089,MATCH($C72,C_SourceStreams!$C$61:$C$2089,0)))</f>
        <v/>
      </c>
      <c r="AW72" s="1001" t="str">
        <f>IF($BA72,"",INDEX(C_SourceStreams!BV$61:BV$2089,MATCH($C72,C_SourceStreams!$C$61:$C$2089,0)))</f>
        <v/>
      </c>
      <c r="AX72" s="838" t="str">
        <f>IF($BA72,"",INDEX(C_SourceStreams!BW$61:BW$2089,MATCH($C72,C_SourceStreams!$C$61:$C$2089,0)))</f>
        <v/>
      </c>
      <c r="AY72" s="838" t="str">
        <f>IF($BA72,"",INDEX(C_SourceStreams!BX$61:BX$2089,MATCH($C72,C_SourceStreams!$C$61:$C$2089,0)))</f>
        <v/>
      </c>
      <c r="BA72" s="72" t="b">
        <f>IF(ISERROR(INDEX(C_SourceStreams!$K$28:$K$11971,MATCH(C72,C_SourceStreams!$C$28:$C$11971,0))),TRUE,INDEX(C_SourceStreams!$K$28:$K$11971,MATCH(C72,C_SourceStreams!$C$28:$C$11971,0))="")</f>
        <v>1</v>
      </c>
    </row>
    <row r="73" spans="3:53" x14ac:dyDescent="0.2">
      <c r="C73" s="835">
        <v>70</v>
      </c>
      <c r="D73" s="837" t="str">
        <f>IF($BA73,"",INDEX(C_SourceStreams!$K$61:$K$2089,MATCH($C73,C_SourceStreams!$C$61:$C$2089,0)))</f>
        <v/>
      </c>
      <c r="E73" s="837" t="str">
        <f>IF($BA73,"",INDEX(C_SourceStreams!$E$61:$E$2089,MATCH($C73,C_SourceStreams!$C$61:$C$2089,0)))</f>
        <v/>
      </c>
      <c r="F73" s="838" t="str">
        <f>IF($BA73,"",INDEX(C_SourceStreams!BH$61:BH$2089,MATCH($C73,C_SourceStreams!$C$61:$C$2089,0)))</f>
        <v/>
      </c>
      <c r="G73" s="836" t="str">
        <f>IF($BA73,"",INDEX(C_SourceStreams!BI$61:BI$2089,MATCH($C73,C_SourceStreams!$C$61:$C$2089,0)))</f>
        <v/>
      </c>
      <c r="H73" s="838" t="str">
        <f>IF($BA73,"",INDEX(C_SourceStreams!BL$61:BL$2089,MATCH($C73,C_SourceStreams!$C$61:$C$2089,0)))</f>
        <v/>
      </c>
      <c r="I73" s="836" t="str">
        <f>IF($BA73,"",INDEX(C_SourceStreams!BM$61:BM$2089,MATCH($C73,C_SourceStreams!$C$61:$C$2089,0)))</f>
        <v/>
      </c>
      <c r="J73" s="838" t="str">
        <f>IF($BA73,"",INDEX(C_SourceStreams!BJ$61:BJ$2089,MATCH($C73,C_SourceStreams!$C$61:$C$2089,0)))</f>
        <v/>
      </c>
      <c r="K73" s="836" t="str">
        <f>IF($BA73,"",INDEX(C_SourceStreams!BK$61:BK$2089,MATCH($C73,C_SourceStreams!$C$61:$C$2089,0)))</f>
        <v/>
      </c>
      <c r="L73" s="836" t="str">
        <f>IF($BA73,"",INDEX(C_SourceStreams!BP$61:BP$2089,MATCH($C73,C_SourceStreams!$C$61:$C$2089,0)))</f>
        <v/>
      </c>
      <c r="M73" s="836" t="str">
        <f>IF($BA73,"",INDEX(C_SourceStreams!BQ$61:BQ$2089,MATCH($C73,C_SourceStreams!$C$61:$C$2089,0)))</f>
        <v/>
      </c>
      <c r="N73" s="838" t="str">
        <f>IF($BA73,"",INDEX(C_SourceStreams!BN$61:BN$2089,MATCH($C73,C_SourceStreams!$C$61:$C$2089,0))*100)</f>
        <v/>
      </c>
      <c r="O73" s="839" t="str">
        <f t="shared" si="4"/>
        <v/>
      </c>
      <c r="P73" s="838" t="str">
        <f>IF($BA73,"",INDEX(C_SourceStreams!BO$61:BO$2089,MATCH($C73,C_SourceStreams!$C$61:$C$2089,0))*100)</f>
        <v/>
      </c>
      <c r="Q73" s="839" t="str">
        <f t="shared" si="5"/>
        <v/>
      </c>
      <c r="R73" s="838" t="str">
        <f>IF($BA73,"",INDEX(C_SourceStreams!BR$61:BR$2089,MATCH($C73,C_SourceStreams!$C$61:$C$2089,0))*100)</f>
        <v/>
      </c>
      <c r="S73" s="839" t="str">
        <f t="shared" si="6"/>
        <v/>
      </c>
      <c r="T73" s="838" t="str">
        <f>IF($BA73,"",INDEX(C_SourceStreams!BS$61:BS$2089,MATCH($C73,C_SourceStreams!$C$61:$C$2089,0))*100)</f>
        <v/>
      </c>
      <c r="U73" s="839" t="str">
        <f t="shared" si="7"/>
        <v/>
      </c>
      <c r="V73" s="1006"/>
      <c r="W73" s="1006"/>
      <c r="X73" s="1006"/>
      <c r="Y73" s="1006"/>
      <c r="Z73" s="1006"/>
      <c r="AA73" s="1006"/>
      <c r="AB73" s="1006"/>
      <c r="AC73" s="1006"/>
      <c r="AD73" s="1006"/>
      <c r="AE73" s="1006"/>
      <c r="AF73" s="1006"/>
      <c r="AG73" s="1006"/>
      <c r="AH73" s="1006"/>
      <c r="AI73" s="1006"/>
      <c r="AJ73" s="1006"/>
      <c r="AK73" s="1006"/>
      <c r="AL73" s="1006"/>
      <c r="AM73" s="1006"/>
      <c r="AN73" s="1006"/>
      <c r="AO73" s="1006"/>
      <c r="AP73" s="1006"/>
      <c r="AQ73" s="1006"/>
      <c r="AR73" s="1006"/>
      <c r="AS73" s="1006"/>
      <c r="AT73" s="1006"/>
      <c r="AU73" s="1001" t="str">
        <f>IF($BA73,"",INDEX(C_SourceStreams!BT$61:BT$2089,MATCH($C73,C_SourceStreams!$C$61:$C$2089,0)))</f>
        <v/>
      </c>
      <c r="AV73" s="1001" t="str">
        <f>IF($BA73,"",INDEX(C_SourceStreams!BU$61:BU$2089,MATCH($C73,C_SourceStreams!$C$61:$C$2089,0)))</f>
        <v/>
      </c>
      <c r="AW73" s="1001" t="str">
        <f>IF($BA73,"",INDEX(C_SourceStreams!BV$61:BV$2089,MATCH($C73,C_SourceStreams!$C$61:$C$2089,0)))</f>
        <v/>
      </c>
      <c r="AX73" s="838" t="str">
        <f>IF($BA73,"",INDEX(C_SourceStreams!BW$61:BW$2089,MATCH($C73,C_SourceStreams!$C$61:$C$2089,0)))</f>
        <v/>
      </c>
      <c r="AY73" s="838" t="str">
        <f>IF($BA73,"",INDEX(C_SourceStreams!BX$61:BX$2089,MATCH($C73,C_SourceStreams!$C$61:$C$2089,0)))</f>
        <v/>
      </c>
      <c r="BA73" s="72" t="b">
        <f>IF(ISERROR(INDEX(C_SourceStreams!$K$28:$K$11971,MATCH(C73,C_SourceStreams!$C$28:$C$11971,0))),TRUE,INDEX(C_SourceStreams!$K$28:$K$11971,MATCH(C73,C_SourceStreams!$C$28:$C$11971,0))="")</f>
        <v>1</v>
      </c>
    </row>
    <row r="74" spans="3:53" x14ac:dyDescent="0.2">
      <c r="C74" s="835">
        <v>71</v>
      </c>
      <c r="D74" s="837" t="str">
        <f>IF($BA74,"",INDEX(C_SourceStreams!$K$61:$K$2089,MATCH($C74,C_SourceStreams!$C$61:$C$2089,0)))</f>
        <v/>
      </c>
      <c r="E74" s="837" t="str">
        <f>IF($BA74,"",INDEX(C_SourceStreams!$E$61:$E$2089,MATCH($C74,C_SourceStreams!$C$61:$C$2089,0)))</f>
        <v/>
      </c>
      <c r="F74" s="838" t="str">
        <f>IF($BA74,"",INDEX(C_SourceStreams!BH$61:BH$2089,MATCH($C74,C_SourceStreams!$C$61:$C$2089,0)))</f>
        <v/>
      </c>
      <c r="G74" s="836" t="str">
        <f>IF($BA74,"",INDEX(C_SourceStreams!BI$61:BI$2089,MATCH($C74,C_SourceStreams!$C$61:$C$2089,0)))</f>
        <v/>
      </c>
      <c r="H74" s="838" t="str">
        <f>IF($BA74,"",INDEX(C_SourceStreams!BL$61:BL$2089,MATCH($C74,C_SourceStreams!$C$61:$C$2089,0)))</f>
        <v/>
      </c>
      <c r="I74" s="836" t="str">
        <f>IF($BA74,"",INDEX(C_SourceStreams!BM$61:BM$2089,MATCH($C74,C_SourceStreams!$C$61:$C$2089,0)))</f>
        <v/>
      </c>
      <c r="J74" s="838" t="str">
        <f>IF($BA74,"",INDEX(C_SourceStreams!BJ$61:BJ$2089,MATCH($C74,C_SourceStreams!$C$61:$C$2089,0)))</f>
        <v/>
      </c>
      <c r="K74" s="836" t="str">
        <f>IF($BA74,"",INDEX(C_SourceStreams!BK$61:BK$2089,MATCH($C74,C_SourceStreams!$C$61:$C$2089,0)))</f>
        <v/>
      </c>
      <c r="L74" s="836" t="str">
        <f>IF($BA74,"",INDEX(C_SourceStreams!BP$61:BP$2089,MATCH($C74,C_SourceStreams!$C$61:$C$2089,0)))</f>
        <v/>
      </c>
      <c r="M74" s="836" t="str">
        <f>IF($BA74,"",INDEX(C_SourceStreams!BQ$61:BQ$2089,MATCH($C74,C_SourceStreams!$C$61:$C$2089,0)))</f>
        <v/>
      </c>
      <c r="N74" s="838" t="str">
        <f>IF($BA74,"",INDEX(C_SourceStreams!BN$61:BN$2089,MATCH($C74,C_SourceStreams!$C$61:$C$2089,0))*100)</f>
        <v/>
      </c>
      <c r="O74" s="839" t="str">
        <f t="shared" si="4"/>
        <v/>
      </c>
      <c r="P74" s="838" t="str">
        <f>IF($BA74,"",INDEX(C_SourceStreams!BO$61:BO$2089,MATCH($C74,C_SourceStreams!$C$61:$C$2089,0))*100)</f>
        <v/>
      </c>
      <c r="Q74" s="839" t="str">
        <f t="shared" si="5"/>
        <v/>
      </c>
      <c r="R74" s="838" t="str">
        <f>IF($BA74,"",INDEX(C_SourceStreams!BR$61:BR$2089,MATCH($C74,C_SourceStreams!$C$61:$C$2089,0))*100)</f>
        <v/>
      </c>
      <c r="S74" s="839" t="str">
        <f t="shared" si="6"/>
        <v/>
      </c>
      <c r="T74" s="838" t="str">
        <f>IF($BA74,"",INDEX(C_SourceStreams!BS$61:BS$2089,MATCH($C74,C_SourceStreams!$C$61:$C$2089,0))*100)</f>
        <v/>
      </c>
      <c r="U74" s="839" t="str">
        <f t="shared" si="7"/>
        <v/>
      </c>
      <c r="V74" s="1006"/>
      <c r="W74" s="1006"/>
      <c r="X74" s="1006"/>
      <c r="Y74" s="1006"/>
      <c r="Z74" s="1006"/>
      <c r="AA74" s="1006"/>
      <c r="AB74" s="1006"/>
      <c r="AC74" s="1006"/>
      <c r="AD74" s="1006"/>
      <c r="AE74" s="1006"/>
      <c r="AF74" s="1006"/>
      <c r="AG74" s="1006"/>
      <c r="AH74" s="1006"/>
      <c r="AI74" s="1006"/>
      <c r="AJ74" s="1006"/>
      <c r="AK74" s="1006"/>
      <c r="AL74" s="1006"/>
      <c r="AM74" s="1006"/>
      <c r="AN74" s="1006"/>
      <c r="AO74" s="1006"/>
      <c r="AP74" s="1006"/>
      <c r="AQ74" s="1006"/>
      <c r="AR74" s="1006"/>
      <c r="AS74" s="1006"/>
      <c r="AT74" s="1006"/>
      <c r="AU74" s="1001" t="str">
        <f>IF($BA74,"",INDEX(C_SourceStreams!BT$61:BT$2089,MATCH($C74,C_SourceStreams!$C$61:$C$2089,0)))</f>
        <v/>
      </c>
      <c r="AV74" s="1001" t="str">
        <f>IF($BA74,"",INDEX(C_SourceStreams!BU$61:BU$2089,MATCH($C74,C_SourceStreams!$C$61:$C$2089,0)))</f>
        <v/>
      </c>
      <c r="AW74" s="1001" t="str">
        <f>IF($BA74,"",INDEX(C_SourceStreams!BV$61:BV$2089,MATCH($C74,C_SourceStreams!$C$61:$C$2089,0)))</f>
        <v/>
      </c>
      <c r="AX74" s="838" t="str">
        <f>IF($BA74,"",INDEX(C_SourceStreams!BW$61:BW$2089,MATCH($C74,C_SourceStreams!$C$61:$C$2089,0)))</f>
        <v/>
      </c>
      <c r="AY74" s="838" t="str">
        <f>IF($BA74,"",INDEX(C_SourceStreams!BX$61:BX$2089,MATCH($C74,C_SourceStreams!$C$61:$C$2089,0)))</f>
        <v/>
      </c>
      <c r="BA74" s="72" t="b">
        <f>IF(ISERROR(INDEX(C_SourceStreams!$K$28:$K$11971,MATCH(C74,C_SourceStreams!$C$28:$C$11971,0))),TRUE,INDEX(C_SourceStreams!$K$28:$K$11971,MATCH(C74,C_SourceStreams!$C$28:$C$11971,0))="")</f>
        <v>1</v>
      </c>
    </row>
    <row r="75" spans="3:53" x14ac:dyDescent="0.2">
      <c r="C75" s="835">
        <v>72</v>
      </c>
      <c r="D75" s="837" t="str">
        <f>IF($BA75,"",INDEX(C_SourceStreams!$K$61:$K$2089,MATCH($C75,C_SourceStreams!$C$61:$C$2089,0)))</f>
        <v/>
      </c>
      <c r="E75" s="837" t="str">
        <f>IF($BA75,"",INDEX(C_SourceStreams!$E$61:$E$2089,MATCH($C75,C_SourceStreams!$C$61:$C$2089,0)))</f>
        <v/>
      </c>
      <c r="F75" s="838" t="str">
        <f>IF($BA75,"",INDEX(C_SourceStreams!BH$61:BH$2089,MATCH($C75,C_SourceStreams!$C$61:$C$2089,0)))</f>
        <v/>
      </c>
      <c r="G75" s="836" t="str">
        <f>IF($BA75,"",INDEX(C_SourceStreams!BI$61:BI$2089,MATCH($C75,C_SourceStreams!$C$61:$C$2089,0)))</f>
        <v/>
      </c>
      <c r="H75" s="838" t="str">
        <f>IF($BA75,"",INDEX(C_SourceStreams!BL$61:BL$2089,MATCH($C75,C_SourceStreams!$C$61:$C$2089,0)))</f>
        <v/>
      </c>
      <c r="I75" s="836" t="str">
        <f>IF($BA75,"",INDEX(C_SourceStreams!BM$61:BM$2089,MATCH($C75,C_SourceStreams!$C$61:$C$2089,0)))</f>
        <v/>
      </c>
      <c r="J75" s="838" t="str">
        <f>IF($BA75,"",INDEX(C_SourceStreams!BJ$61:BJ$2089,MATCH($C75,C_SourceStreams!$C$61:$C$2089,0)))</f>
        <v/>
      </c>
      <c r="K75" s="836" t="str">
        <f>IF($BA75,"",INDEX(C_SourceStreams!BK$61:BK$2089,MATCH($C75,C_SourceStreams!$C$61:$C$2089,0)))</f>
        <v/>
      </c>
      <c r="L75" s="836" t="str">
        <f>IF($BA75,"",INDEX(C_SourceStreams!BP$61:BP$2089,MATCH($C75,C_SourceStreams!$C$61:$C$2089,0)))</f>
        <v/>
      </c>
      <c r="M75" s="836" t="str">
        <f>IF($BA75,"",INDEX(C_SourceStreams!BQ$61:BQ$2089,MATCH($C75,C_SourceStreams!$C$61:$C$2089,0)))</f>
        <v/>
      </c>
      <c r="N75" s="838" t="str">
        <f>IF($BA75,"",INDEX(C_SourceStreams!BN$61:BN$2089,MATCH($C75,C_SourceStreams!$C$61:$C$2089,0))*100)</f>
        <v/>
      </c>
      <c r="O75" s="839" t="str">
        <f t="shared" si="4"/>
        <v/>
      </c>
      <c r="P75" s="838" t="str">
        <f>IF($BA75,"",INDEX(C_SourceStreams!BO$61:BO$2089,MATCH($C75,C_SourceStreams!$C$61:$C$2089,0))*100)</f>
        <v/>
      </c>
      <c r="Q75" s="839" t="str">
        <f t="shared" si="5"/>
        <v/>
      </c>
      <c r="R75" s="838" t="str">
        <f>IF($BA75,"",INDEX(C_SourceStreams!BR$61:BR$2089,MATCH($C75,C_SourceStreams!$C$61:$C$2089,0))*100)</f>
        <v/>
      </c>
      <c r="S75" s="839" t="str">
        <f t="shared" si="6"/>
        <v/>
      </c>
      <c r="T75" s="838" t="str">
        <f>IF($BA75,"",INDEX(C_SourceStreams!BS$61:BS$2089,MATCH($C75,C_SourceStreams!$C$61:$C$2089,0))*100)</f>
        <v/>
      </c>
      <c r="U75" s="839" t="str">
        <f t="shared" si="7"/>
        <v/>
      </c>
      <c r="V75" s="1006"/>
      <c r="W75" s="1006"/>
      <c r="X75" s="1006"/>
      <c r="Y75" s="1006"/>
      <c r="Z75" s="1006"/>
      <c r="AA75" s="1006"/>
      <c r="AB75" s="1006"/>
      <c r="AC75" s="1006"/>
      <c r="AD75" s="1006"/>
      <c r="AE75" s="1006"/>
      <c r="AF75" s="1006"/>
      <c r="AG75" s="1006"/>
      <c r="AH75" s="1006"/>
      <c r="AI75" s="1006"/>
      <c r="AJ75" s="1006"/>
      <c r="AK75" s="1006"/>
      <c r="AL75" s="1006"/>
      <c r="AM75" s="1006"/>
      <c r="AN75" s="1006"/>
      <c r="AO75" s="1006"/>
      <c r="AP75" s="1006"/>
      <c r="AQ75" s="1006"/>
      <c r="AR75" s="1006"/>
      <c r="AS75" s="1006"/>
      <c r="AT75" s="1006"/>
      <c r="AU75" s="1001" t="str">
        <f>IF($BA75,"",INDEX(C_SourceStreams!BT$61:BT$2089,MATCH($C75,C_SourceStreams!$C$61:$C$2089,0)))</f>
        <v/>
      </c>
      <c r="AV75" s="1001" t="str">
        <f>IF($BA75,"",INDEX(C_SourceStreams!BU$61:BU$2089,MATCH($C75,C_SourceStreams!$C$61:$C$2089,0)))</f>
        <v/>
      </c>
      <c r="AW75" s="1001" t="str">
        <f>IF($BA75,"",INDEX(C_SourceStreams!BV$61:BV$2089,MATCH($C75,C_SourceStreams!$C$61:$C$2089,0)))</f>
        <v/>
      </c>
      <c r="AX75" s="838" t="str">
        <f>IF($BA75,"",INDEX(C_SourceStreams!BW$61:BW$2089,MATCH($C75,C_SourceStreams!$C$61:$C$2089,0)))</f>
        <v/>
      </c>
      <c r="AY75" s="838" t="str">
        <f>IF($BA75,"",INDEX(C_SourceStreams!BX$61:BX$2089,MATCH($C75,C_SourceStreams!$C$61:$C$2089,0)))</f>
        <v/>
      </c>
      <c r="BA75" s="72" t="b">
        <f>IF(ISERROR(INDEX(C_SourceStreams!$K$28:$K$11971,MATCH(C75,C_SourceStreams!$C$28:$C$11971,0))),TRUE,INDEX(C_SourceStreams!$K$28:$K$11971,MATCH(C75,C_SourceStreams!$C$28:$C$11971,0))="")</f>
        <v>1</v>
      </c>
    </row>
    <row r="76" spans="3:53" x14ac:dyDescent="0.2">
      <c r="C76" s="835">
        <v>73</v>
      </c>
      <c r="D76" s="837" t="str">
        <f>IF($BA76,"",INDEX(C_SourceStreams!$K$61:$K$2089,MATCH($C76,C_SourceStreams!$C$61:$C$2089,0)))</f>
        <v/>
      </c>
      <c r="E76" s="837" t="str">
        <f>IF($BA76,"",INDEX(C_SourceStreams!$E$61:$E$2089,MATCH($C76,C_SourceStreams!$C$61:$C$2089,0)))</f>
        <v/>
      </c>
      <c r="F76" s="838" t="str">
        <f>IF($BA76,"",INDEX(C_SourceStreams!BH$61:BH$2089,MATCH($C76,C_SourceStreams!$C$61:$C$2089,0)))</f>
        <v/>
      </c>
      <c r="G76" s="836" t="str">
        <f>IF($BA76,"",INDEX(C_SourceStreams!BI$61:BI$2089,MATCH($C76,C_SourceStreams!$C$61:$C$2089,0)))</f>
        <v/>
      </c>
      <c r="H76" s="838" t="str">
        <f>IF($BA76,"",INDEX(C_SourceStreams!BL$61:BL$2089,MATCH($C76,C_SourceStreams!$C$61:$C$2089,0)))</f>
        <v/>
      </c>
      <c r="I76" s="836" t="str">
        <f>IF($BA76,"",INDEX(C_SourceStreams!BM$61:BM$2089,MATCH($C76,C_SourceStreams!$C$61:$C$2089,0)))</f>
        <v/>
      </c>
      <c r="J76" s="838" t="str">
        <f>IF($BA76,"",INDEX(C_SourceStreams!BJ$61:BJ$2089,MATCH($C76,C_SourceStreams!$C$61:$C$2089,0)))</f>
        <v/>
      </c>
      <c r="K76" s="836" t="str">
        <f>IF($BA76,"",INDEX(C_SourceStreams!BK$61:BK$2089,MATCH($C76,C_SourceStreams!$C$61:$C$2089,0)))</f>
        <v/>
      </c>
      <c r="L76" s="836" t="str">
        <f>IF($BA76,"",INDEX(C_SourceStreams!BP$61:BP$2089,MATCH($C76,C_SourceStreams!$C$61:$C$2089,0)))</f>
        <v/>
      </c>
      <c r="M76" s="836" t="str">
        <f>IF($BA76,"",INDEX(C_SourceStreams!BQ$61:BQ$2089,MATCH($C76,C_SourceStreams!$C$61:$C$2089,0)))</f>
        <v/>
      </c>
      <c r="N76" s="838" t="str">
        <f>IF($BA76,"",INDEX(C_SourceStreams!BN$61:BN$2089,MATCH($C76,C_SourceStreams!$C$61:$C$2089,0))*100)</f>
        <v/>
      </c>
      <c r="O76" s="839" t="str">
        <f t="shared" si="4"/>
        <v/>
      </c>
      <c r="P76" s="838" t="str">
        <f>IF($BA76,"",INDEX(C_SourceStreams!BO$61:BO$2089,MATCH($C76,C_SourceStreams!$C$61:$C$2089,0))*100)</f>
        <v/>
      </c>
      <c r="Q76" s="839" t="str">
        <f t="shared" si="5"/>
        <v/>
      </c>
      <c r="R76" s="838" t="str">
        <f>IF($BA76,"",INDEX(C_SourceStreams!BR$61:BR$2089,MATCH($C76,C_SourceStreams!$C$61:$C$2089,0))*100)</f>
        <v/>
      </c>
      <c r="S76" s="839" t="str">
        <f t="shared" si="6"/>
        <v/>
      </c>
      <c r="T76" s="838" t="str">
        <f>IF($BA76,"",INDEX(C_SourceStreams!BS$61:BS$2089,MATCH($C76,C_SourceStreams!$C$61:$C$2089,0))*100)</f>
        <v/>
      </c>
      <c r="U76" s="839" t="str">
        <f t="shared" si="7"/>
        <v/>
      </c>
      <c r="V76" s="1006"/>
      <c r="W76" s="1006"/>
      <c r="X76" s="1006"/>
      <c r="Y76" s="1006"/>
      <c r="Z76" s="1006"/>
      <c r="AA76" s="1006"/>
      <c r="AB76" s="1006"/>
      <c r="AC76" s="1006"/>
      <c r="AD76" s="1006"/>
      <c r="AE76" s="1006"/>
      <c r="AF76" s="1006"/>
      <c r="AG76" s="1006"/>
      <c r="AH76" s="1006"/>
      <c r="AI76" s="1006"/>
      <c r="AJ76" s="1006"/>
      <c r="AK76" s="1006"/>
      <c r="AL76" s="1006"/>
      <c r="AM76" s="1006"/>
      <c r="AN76" s="1006"/>
      <c r="AO76" s="1006"/>
      <c r="AP76" s="1006"/>
      <c r="AQ76" s="1006"/>
      <c r="AR76" s="1006"/>
      <c r="AS76" s="1006"/>
      <c r="AT76" s="1006"/>
      <c r="AU76" s="1001" t="str">
        <f>IF($BA76,"",INDEX(C_SourceStreams!BT$61:BT$2089,MATCH($C76,C_SourceStreams!$C$61:$C$2089,0)))</f>
        <v/>
      </c>
      <c r="AV76" s="1001" t="str">
        <f>IF($BA76,"",INDEX(C_SourceStreams!BU$61:BU$2089,MATCH($C76,C_SourceStreams!$C$61:$C$2089,0)))</f>
        <v/>
      </c>
      <c r="AW76" s="1001" t="str">
        <f>IF($BA76,"",INDEX(C_SourceStreams!BV$61:BV$2089,MATCH($C76,C_SourceStreams!$C$61:$C$2089,0)))</f>
        <v/>
      </c>
      <c r="AX76" s="838" t="str">
        <f>IF($BA76,"",INDEX(C_SourceStreams!BW$61:BW$2089,MATCH($C76,C_SourceStreams!$C$61:$C$2089,0)))</f>
        <v/>
      </c>
      <c r="AY76" s="838" t="str">
        <f>IF($BA76,"",INDEX(C_SourceStreams!BX$61:BX$2089,MATCH($C76,C_SourceStreams!$C$61:$C$2089,0)))</f>
        <v/>
      </c>
      <c r="BA76" s="72" t="b">
        <f>IF(ISERROR(INDEX(C_SourceStreams!$K$28:$K$11971,MATCH(C76,C_SourceStreams!$C$28:$C$11971,0))),TRUE,INDEX(C_SourceStreams!$K$28:$K$11971,MATCH(C76,C_SourceStreams!$C$28:$C$11971,0))="")</f>
        <v>1</v>
      </c>
    </row>
    <row r="77" spans="3:53" x14ac:dyDescent="0.2">
      <c r="C77" s="835">
        <v>74</v>
      </c>
      <c r="D77" s="837" t="str">
        <f>IF($BA77,"",INDEX(C_SourceStreams!$K$61:$K$2089,MATCH($C77,C_SourceStreams!$C$61:$C$2089,0)))</f>
        <v/>
      </c>
      <c r="E77" s="837" t="str">
        <f>IF($BA77,"",INDEX(C_SourceStreams!$E$61:$E$2089,MATCH($C77,C_SourceStreams!$C$61:$C$2089,0)))</f>
        <v/>
      </c>
      <c r="F77" s="838" t="str">
        <f>IF($BA77,"",INDEX(C_SourceStreams!BH$61:BH$2089,MATCH($C77,C_SourceStreams!$C$61:$C$2089,0)))</f>
        <v/>
      </c>
      <c r="G77" s="836" t="str">
        <f>IF($BA77,"",INDEX(C_SourceStreams!BI$61:BI$2089,MATCH($C77,C_SourceStreams!$C$61:$C$2089,0)))</f>
        <v/>
      </c>
      <c r="H77" s="838" t="str">
        <f>IF($BA77,"",INDEX(C_SourceStreams!BL$61:BL$2089,MATCH($C77,C_SourceStreams!$C$61:$C$2089,0)))</f>
        <v/>
      </c>
      <c r="I77" s="836" t="str">
        <f>IF($BA77,"",INDEX(C_SourceStreams!BM$61:BM$2089,MATCH($C77,C_SourceStreams!$C$61:$C$2089,0)))</f>
        <v/>
      </c>
      <c r="J77" s="838" t="str">
        <f>IF($BA77,"",INDEX(C_SourceStreams!BJ$61:BJ$2089,MATCH($C77,C_SourceStreams!$C$61:$C$2089,0)))</f>
        <v/>
      </c>
      <c r="K77" s="836" t="str">
        <f>IF($BA77,"",INDEX(C_SourceStreams!BK$61:BK$2089,MATCH($C77,C_SourceStreams!$C$61:$C$2089,0)))</f>
        <v/>
      </c>
      <c r="L77" s="836" t="str">
        <f>IF($BA77,"",INDEX(C_SourceStreams!BP$61:BP$2089,MATCH($C77,C_SourceStreams!$C$61:$C$2089,0)))</f>
        <v/>
      </c>
      <c r="M77" s="836" t="str">
        <f>IF($BA77,"",INDEX(C_SourceStreams!BQ$61:BQ$2089,MATCH($C77,C_SourceStreams!$C$61:$C$2089,0)))</f>
        <v/>
      </c>
      <c r="N77" s="838" t="str">
        <f>IF($BA77,"",INDEX(C_SourceStreams!BN$61:BN$2089,MATCH($C77,C_SourceStreams!$C$61:$C$2089,0))*100)</f>
        <v/>
      </c>
      <c r="O77" s="839" t="str">
        <f t="shared" si="4"/>
        <v/>
      </c>
      <c r="P77" s="838" t="str">
        <f>IF($BA77,"",INDEX(C_SourceStreams!BO$61:BO$2089,MATCH($C77,C_SourceStreams!$C$61:$C$2089,0))*100)</f>
        <v/>
      </c>
      <c r="Q77" s="839" t="str">
        <f t="shared" si="5"/>
        <v/>
      </c>
      <c r="R77" s="838" t="str">
        <f>IF($BA77,"",INDEX(C_SourceStreams!BR$61:BR$2089,MATCH($C77,C_SourceStreams!$C$61:$C$2089,0))*100)</f>
        <v/>
      </c>
      <c r="S77" s="839" t="str">
        <f t="shared" si="6"/>
        <v/>
      </c>
      <c r="T77" s="838" t="str">
        <f>IF($BA77,"",INDEX(C_SourceStreams!BS$61:BS$2089,MATCH($C77,C_SourceStreams!$C$61:$C$2089,0))*100)</f>
        <v/>
      </c>
      <c r="U77" s="839" t="str">
        <f t="shared" si="7"/>
        <v/>
      </c>
      <c r="V77" s="1006"/>
      <c r="W77" s="1006"/>
      <c r="X77" s="1006"/>
      <c r="Y77" s="1006"/>
      <c r="Z77" s="1006"/>
      <c r="AA77" s="1006"/>
      <c r="AB77" s="1006"/>
      <c r="AC77" s="1006"/>
      <c r="AD77" s="1006"/>
      <c r="AE77" s="1006"/>
      <c r="AF77" s="1006"/>
      <c r="AG77" s="1006"/>
      <c r="AH77" s="1006"/>
      <c r="AI77" s="1006"/>
      <c r="AJ77" s="1006"/>
      <c r="AK77" s="1006"/>
      <c r="AL77" s="1006"/>
      <c r="AM77" s="1006"/>
      <c r="AN77" s="1006"/>
      <c r="AO77" s="1006"/>
      <c r="AP77" s="1006"/>
      <c r="AQ77" s="1006"/>
      <c r="AR77" s="1006"/>
      <c r="AS77" s="1006"/>
      <c r="AT77" s="1006"/>
      <c r="AU77" s="1001" t="str">
        <f>IF($BA77,"",INDEX(C_SourceStreams!BT$61:BT$2089,MATCH($C77,C_SourceStreams!$C$61:$C$2089,0)))</f>
        <v/>
      </c>
      <c r="AV77" s="1001" t="str">
        <f>IF($BA77,"",INDEX(C_SourceStreams!BU$61:BU$2089,MATCH($C77,C_SourceStreams!$C$61:$C$2089,0)))</f>
        <v/>
      </c>
      <c r="AW77" s="1001" t="str">
        <f>IF($BA77,"",INDEX(C_SourceStreams!BV$61:BV$2089,MATCH($C77,C_SourceStreams!$C$61:$C$2089,0)))</f>
        <v/>
      </c>
      <c r="AX77" s="838" t="str">
        <f>IF($BA77,"",INDEX(C_SourceStreams!BW$61:BW$2089,MATCH($C77,C_SourceStreams!$C$61:$C$2089,0)))</f>
        <v/>
      </c>
      <c r="AY77" s="838" t="str">
        <f>IF($BA77,"",INDEX(C_SourceStreams!BX$61:BX$2089,MATCH($C77,C_SourceStreams!$C$61:$C$2089,0)))</f>
        <v/>
      </c>
      <c r="BA77" s="72" t="b">
        <f>IF(ISERROR(INDEX(C_SourceStreams!$K$28:$K$11971,MATCH(C77,C_SourceStreams!$C$28:$C$11971,0))),TRUE,INDEX(C_SourceStreams!$K$28:$K$11971,MATCH(C77,C_SourceStreams!$C$28:$C$11971,0))="")</f>
        <v>1</v>
      </c>
    </row>
    <row r="78" spans="3:53" x14ac:dyDescent="0.2">
      <c r="C78" s="835">
        <v>75</v>
      </c>
      <c r="D78" s="837" t="str">
        <f>IF($BA78,"",INDEX(C_SourceStreams!$K$61:$K$2089,MATCH($C78,C_SourceStreams!$C$61:$C$2089,0)))</f>
        <v/>
      </c>
      <c r="E78" s="837" t="str">
        <f>IF($BA78,"",INDEX(C_SourceStreams!$E$61:$E$2089,MATCH($C78,C_SourceStreams!$C$61:$C$2089,0)))</f>
        <v/>
      </c>
      <c r="F78" s="838" t="str">
        <f>IF($BA78,"",INDEX(C_SourceStreams!BH$61:BH$2089,MATCH($C78,C_SourceStreams!$C$61:$C$2089,0)))</f>
        <v/>
      </c>
      <c r="G78" s="836" t="str">
        <f>IF($BA78,"",INDEX(C_SourceStreams!BI$61:BI$2089,MATCH($C78,C_SourceStreams!$C$61:$C$2089,0)))</f>
        <v/>
      </c>
      <c r="H78" s="838" t="str">
        <f>IF($BA78,"",INDEX(C_SourceStreams!BL$61:BL$2089,MATCH($C78,C_SourceStreams!$C$61:$C$2089,0)))</f>
        <v/>
      </c>
      <c r="I78" s="836" t="str">
        <f>IF($BA78,"",INDEX(C_SourceStreams!BM$61:BM$2089,MATCH($C78,C_SourceStreams!$C$61:$C$2089,0)))</f>
        <v/>
      </c>
      <c r="J78" s="838" t="str">
        <f>IF($BA78,"",INDEX(C_SourceStreams!BJ$61:BJ$2089,MATCH($C78,C_SourceStreams!$C$61:$C$2089,0)))</f>
        <v/>
      </c>
      <c r="K78" s="836" t="str">
        <f>IF($BA78,"",INDEX(C_SourceStreams!BK$61:BK$2089,MATCH($C78,C_SourceStreams!$C$61:$C$2089,0)))</f>
        <v/>
      </c>
      <c r="L78" s="836" t="str">
        <f>IF($BA78,"",INDEX(C_SourceStreams!BP$61:BP$2089,MATCH($C78,C_SourceStreams!$C$61:$C$2089,0)))</f>
        <v/>
      </c>
      <c r="M78" s="836" t="str">
        <f>IF($BA78,"",INDEX(C_SourceStreams!BQ$61:BQ$2089,MATCH($C78,C_SourceStreams!$C$61:$C$2089,0)))</f>
        <v/>
      </c>
      <c r="N78" s="838" t="str">
        <f>IF($BA78,"",INDEX(C_SourceStreams!BN$61:BN$2089,MATCH($C78,C_SourceStreams!$C$61:$C$2089,0))*100)</f>
        <v/>
      </c>
      <c r="O78" s="839" t="str">
        <f t="shared" si="4"/>
        <v/>
      </c>
      <c r="P78" s="838" t="str">
        <f>IF($BA78,"",INDEX(C_SourceStreams!BO$61:BO$2089,MATCH($C78,C_SourceStreams!$C$61:$C$2089,0))*100)</f>
        <v/>
      </c>
      <c r="Q78" s="839" t="str">
        <f t="shared" si="5"/>
        <v/>
      </c>
      <c r="R78" s="838" t="str">
        <f>IF($BA78,"",INDEX(C_SourceStreams!BR$61:BR$2089,MATCH($C78,C_SourceStreams!$C$61:$C$2089,0))*100)</f>
        <v/>
      </c>
      <c r="S78" s="839" t="str">
        <f t="shared" si="6"/>
        <v/>
      </c>
      <c r="T78" s="838" t="str">
        <f>IF($BA78,"",INDEX(C_SourceStreams!BS$61:BS$2089,MATCH($C78,C_SourceStreams!$C$61:$C$2089,0))*100)</f>
        <v/>
      </c>
      <c r="U78" s="839" t="str">
        <f t="shared" si="7"/>
        <v/>
      </c>
      <c r="V78" s="1006"/>
      <c r="W78" s="1006"/>
      <c r="X78" s="1006"/>
      <c r="Y78" s="1006"/>
      <c r="Z78" s="1006"/>
      <c r="AA78" s="1006"/>
      <c r="AB78" s="1006"/>
      <c r="AC78" s="1006"/>
      <c r="AD78" s="1006"/>
      <c r="AE78" s="1006"/>
      <c r="AF78" s="1006"/>
      <c r="AG78" s="1006"/>
      <c r="AH78" s="1006"/>
      <c r="AI78" s="1006"/>
      <c r="AJ78" s="1006"/>
      <c r="AK78" s="1006"/>
      <c r="AL78" s="1006"/>
      <c r="AM78" s="1006"/>
      <c r="AN78" s="1006"/>
      <c r="AO78" s="1006"/>
      <c r="AP78" s="1006"/>
      <c r="AQ78" s="1006"/>
      <c r="AR78" s="1006"/>
      <c r="AS78" s="1006"/>
      <c r="AT78" s="1006"/>
      <c r="AU78" s="1001" t="str">
        <f>IF($BA78,"",INDEX(C_SourceStreams!BT$61:BT$2089,MATCH($C78,C_SourceStreams!$C$61:$C$2089,0)))</f>
        <v/>
      </c>
      <c r="AV78" s="1001" t="str">
        <f>IF($BA78,"",INDEX(C_SourceStreams!BU$61:BU$2089,MATCH($C78,C_SourceStreams!$C$61:$C$2089,0)))</f>
        <v/>
      </c>
      <c r="AW78" s="1001" t="str">
        <f>IF($BA78,"",INDEX(C_SourceStreams!BV$61:BV$2089,MATCH($C78,C_SourceStreams!$C$61:$C$2089,0)))</f>
        <v/>
      </c>
      <c r="AX78" s="838" t="str">
        <f>IF($BA78,"",INDEX(C_SourceStreams!BW$61:BW$2089,MATCH($C78,C_SourceStreams!$C$61:$C$2089,0)))</f>
        <v/>
      </c>
      <c r="AY78" s="838" t="str">
        <f>IF($BA78,"",INDEX(C_SourceStreams!BX$61:BX$2089,MATCH($C78,C_SourceStreams!$C$61:$C$2089,0)))</f>
        <v/>
      </c>
      <c r="BA78" s="72" t="b">
        <f>IF(ISERROR(INDEX(C_SourceStreams!$K$28:$K$11971,MATCH(C78,C_SourceStreams!$C$28:$C$11971,0))),TRUE,INDEX(C_SourceStreams!$K$28:$K$11971,MATCH(C78,C_SourceStreams!$C$28:$C$11971,0))="")</f>
        <v>1</v>
      </c>
    </row>
    <row r="79" spans="3:53" x14ac:dyDescent="0.2">
      <c r="BA79" s="56"/>
    </row>
    <row r="80" spans="3:53" ht="50.1" customHeight="1" thickBot="1" x14ac:dyDescent="0.45">
      <c r="D80" s="848" t="str">
        <f>Translations!$B$835</f>
        <v>PFC sukėlikliai</v>
      </c>
      <c r="BA80" s="56"/>
    </row>
    <row r="81" spans="3:53" ht="50.1" customHeight="1" thickBot="1" x14ac:dyDescent="0.25">
      <c r="C81" s="841" t="str">
        <f t="shared" ref="C81:AH81" si="8">C3</f>
        <v>#</v>
      </c>
      <c r="D81" s="842" t="str">
        <f t="shared" si="8"/>
        <v>Metodas</v>
      </c>
      <c r="E81" s="842" t="str">
        <f t="shared" si="8"/>
        <v>Pavadinimas</v>
      </c>
      <c r="F81" s="843" t="str">
        <f t="shared" si="8"/>
        <v>Veiklos duomenys</v>
      </c>
      <c r="G81" s="843" t="str">
        <f t="shared" si="8"/>
        <v>VD mato vienetas</v>
      </c>
      <c r="H81" s="843" t="str">
        <f t="shared" si="8"/>
        <v>GŠV</v>
      </c>
      <c r="I81" s="843" t="str">
        <f t="shared" si="8"/>
        <v>GŠV mato vienetas</v>
      </c>
      <c r="J81" s="843" t="str">
        <f t="shared" si="8"/>
        <v>ITF</v>
      </c>
      <c r="K81" s="843" t="str">
        <f t="shared" si="8"/>
        <v>ITF mato vienetas</v>
      </c>
      <c r="L81" s="843" t="str">
        <f t="shared" si="8"/>
        <v>C-turinys</v>
      </c>
      <c r="M81" s="843" t="str">
        <f t="shared" si="8"/>
        <v>C kiekio mato vienetas</v>
      </c>
      <c r="N81" s="843" t="str">
        <f t="shared" si="8"/>
        <v>Oksid. koeficientas</v>
      </c>
      <c r="O81" s="843" t="str">
        <f t="shared" si="8"/>
        <v>OksK mato vienetas</v>
      </c>
      <c r="P81" s="843" t="str">
        <f t="shared" si="8"/>
        <v>Konv. koeficientas</v>
      </c>
      <c r="Q81" s="843" t="str">
        <f t="shared" si="8"/>
        <v>KonvK mato vienetas</v>
      </c>
      <c r="R81" s="843" t="str">
        <f t="shared" si="8"/>
        <v>Biomasės kiekis</v>
      </c>
      <c r="S81" s="843" t="str">
        <f t="shared" si="8"/>
        <v>BioC mato vienetas</v>
      </c>
      <c r="T81" s="843" t="str">
        <f t="shared" si="8"/>
        <v>netvarios BioC</v>
      </c>
      <c r="U81" s="843" t="str">
        <f t="shared" si="8"/>
        <v>netvarios BioC mato vienetas</v>
      </c>
      <c r="V81" s="843" t="str">
        <f t="shared" si="8"/>
        <v>valandinės ŠESD konc. vidurkis</v>
      </c>
      <c r="W81" s="843" t="str">
        <f t="shared" si="8"/>
        <v>valandinės ŠESD konc. mato vienetas</v>
      </c>
      <c r="X81" s="843" t="str">
        <f t="shared" si="8"/>
        <v>veikimo valandos</v>
      </c>
      <c r="Y81" s="843" t="str">
        <f t="shared" si="8"/>
        <v>veikimo valandų mato vienetas</v>
      </c>
      <c r="Z81" s="843" t="str">
        <f t="shared" si="8"/>
        <v>Kaminų dujos (vidurkis)</v>
      </c>
      <c r="AA81" s="843" t="str">
        <f t="shared" si="8"/>
        <v>Kaminų dujų (vidurkio) mato vienetas</v>
      </c>
      <c r="AB81" s="843" t="str">
        <f t="shared" si="8"/>
        <v>Kaminų dujos (iš viso)</v>
      </c>
      <c r="AC81" s="843" t="str">
        <f t="shared" si="8"/>
        <v>Kaminų dujų (viso kiekio) mato vienetas</v>
      </c>
      <c r="AD81" s="843" t="str">
        <f t="shared" si="8"/>
        <v>Metinis ŠESD kiekis</v>
      </c>
      <c r="AE81" s="843" t="str">
        <f t="shared" si="8"/>
        <v>Metinio ŠESD kiekio mato vienetas</v>
      </c>
      <c r="AF81" s="843" t="str">
        <f t="shared" si="8"/>
        <v>VAP (t CO2(e)/t)</v>
      </c>
      <c r="AG81" s="843" t="str">
        <f t="shared" si="8"/>
        <v>A. Dažnis</v>
      </c>
      <c r="AH81" s="843" t="str">
        <f t="shared" si="8"/>
        <v>A. Trukmė</v>
      </c>
      <c r="AI81" s="843" t="str">
        <f t="shared" ref="AI81:AY81" si="9">AI3</f>
        <v>A. NITF(CF4)</v>
      </c>
      <c r="AJ81" s="843" t="str">
        <f t="shared" si="9"/>
        <v>B. AEV</v>
      </c>
      <c r="AK81" s="843" t="str">
        <f t="shared" si="9"/>
        <v>B. EN</v>
      </c>
      <c r="AL81" s="843" t="str">
        <f t="shared" si="9"/>
        <v>B. VĮK</v>
      </c>
      <c r="AM81" s="843" t="str">
        <f t="shared" si="9"/>
        <v>F(C2F6)</v>
      </c>
      <c r="AN81" s="843" t="str">
        <f t="shared" si="9"/>
        <v>Išmestas CF4 kiekis (t CF4)</v>
      </c>
      <c r="AO81" s="843" t="str">
        <f t="shared" si="9"/>
        <v>Išmestas C2F6 kiekis (t C2F6)</v>
      </c>
      <c r="AP81" s="843" t="str">
        <f t="shared" si="9"/>
        <v>VAP (CF4) (t CO2(e)/t)</v>
      </c>
      <c r="AQ81" s="843" t="str">
        <f t="shared" si="9"/>
        <v>VAP (C2F6) (t CO2(e)/t)</v>
      </c>
      <c r="AR81" s="843" t="str">
        <f t="shared" si="9"/>
        <v>Išmestas CF4 kiekis (CO2(e) tonos)</v>
      </c>
      <c r="AS81" s="843" t="str">
        <f t="shared" si="9"/>
        <v>Išmestas C2F6 kiekis (CO2(e) tonos)</v>
      </c>
      <c r="AT81" s="843" t="str">
        <f t="shared" si="9"/>
        <v>Surinkimo veiksmingumas, proc.</v>
      </c>
      <c r="AU81" s="843" t="str">
        <f t="shared" si="9"/>
        <v>Iškastinio kuro kilmės CO2(e) (t)</v>
      </c>
      <c r="AV81" s="843" t="str">
        <f t="shared" si="9"/>
        <v>Biomasės kilmės CO2(e) (t)</v>
      </c>
      <c r="AW81" s="843" t="str">
        <f t="shared" si="9"/>
        <v>Netvarios biomasės kilmės CO2(e) (t)</v>
      </c>
      <c r="AX81" s="844" t="str">
        <f t="shared" si="9"/>
        <v>Energetinė vertė (iškast. kuras), TJ</v>
      </c>
      <c r="AY81" s="845" t="str">
        <f t="shared" si="9"/>
        <v>Energetinė vertė (biomasė), TJ</v>
      </c>
      <c r="BA81" s="56"/>
    </row>
    <row r="82" spans="3:53" x14ac:dyDescent="0.2">
      <c r="C82" s="836">
        <v>1</v>
      </c>
      <c r="D82" s="837" t="str">
        <f t="shared" ref="D82:D91" si="10">IF($BA82,"",EUconst_ProcessPFC)</f>
        <v/>
      </c>
      <c r="E82" s="837" t="str">
        <f>IF($BA82,"",INDEX(F_PFC!$E$58:$E$1258,MATCH($C82,F_PFC!$C$58:$C$1258,0)))</f>
        <v/>
      </c>
      <c r="F82" s="838" t="str">
        <f>IF($BA82,"",INDEX(F_PFC!AS$58:AS$1258,MATCH($C82,F_PFC!$C$58:$C$1258,0)))</f>
        <v/>
      </c>
      <c r="G82" s="836" t="str">
        <f t="shared" ref="G82:G91" si="11">IF($BA82,"",EUconst_t)</f>
        <v/>
      </c>
      <c r="H82" s="1007"/>
      <c r="I82" s="1008"/>
      <c r="J82" s="1007"/>
      <c r="K82" s="1008"/>
      <c r="L82" s="1008"/>
      <c r="M82" s="1008"/>
      <c r="N82" s="1007"/>
      <c r="O82" s="1006"/>
      <c r="P82" s="1007"/>
      <c r="Q82" s="1006"/>
      <c r="R82" s="1007"/>
      <c r="S82" s="1006"/>
      <c r="T82" s="1007"/>
      <c r="U82" s="1006"/>
      <c r="V82" s="1006"/>
      <c r="W82" s="1006"/>
      <c r="X82" s="1006"/>
      <c r="Y82" s="1006"/>
      <c r="Z82" s="1006"/>
      <c r="AA82" s="1006"/>
      <c r="AB82" s="1006"/>
      <c r="AC82" s="1006"/>
      <c r="AD82" s="1006"/>
      <c r="AE82" s="1006"/>
      <c r="AF82" s="1006"/>
      <c r="AG82" s="838" t="str">
        <f>IF($BA82,"",INDEX(F_PFC!AT$58:AT$1258,MATCH($C82,F_PFC!$C$58:$C$1258,0))*100)</f>
        <v/>
      </c>
      <c r="AH82" s="838" t="str">
        <f>IF($BA82,"",INDEX(F_PFC!AU$58:AU$1258,MATCH($C82,F_PFC!$C$58:$C$1258,0)))</f>
        <v/>
      </c>
      <c r="AI82" s="838" t="str">
        <f>IF($BA82,"",INDEX(F_PFC!AV$58:AV$1258,MATCH($C82,F_PFC!$C$58:$C$1258,0)))</f>
        <v/>
      </c>
      <c r="AJ82" s="838" t="str">
        <f>IF($BA82,"",INDEX(F_PFC!AW$58:AW$1258,MATCH($C82,F_PFC!$C$58:$C$1258,0)))</f>
        <v/>
      </c>
      <c r="AK82" s="838" t="str">
        <f>IF($BA82,"",INDEX(F_PFC!AX$58:AX$1258,MATCH($C82,F_PFC!$C$58:$C$1258,0))*100)</f>
        <v/>
      </c>
      <c r="AL82" s="838" t="str">
        <f>IF($BA82,"",INDEX(F_PFC!AY$58:AY$1258,MATCH($C82,F_PFC!$C$58:$C$1258,0)))</f>
        <v/>
      </c>
      <c r="AM82" s="838" t="str">
        <f>IF($BA82,"",INDEX(F_PFC!AZ$58:AZ$1258,MATCH($C82,F_PFC!$C$58:$C$1258,0)))</f>
        <v/>
      </c>
      <c r="AN82" s="838" t="str">
        <f>IF($BA82,"",INDEX(F_PFC!BA$58:BA$1258,MATCH($C82,F_PFC!$C$58:$C$1258,0)))</f>
        <v/>
      </c>
      <c r="AO82" s="838" t="str">
        <f>IF($BA82,"",INDEX(F_PFC!BB$58:BB$1258,MATCH($C82,F_PFC!$C$58:$C$1258,0)))</f>
        <v/>
      </c>
      <c r="AP82" s="840" t="str">
        <f>IF($BA82,"",INDEX(F_PFC!BC$58:BC$1258,MATCH($C82,F_PFC!$C$58:$C$1258,0)))</f>
        <v/>
      </c>
      <c r="AQ82" s="840" t="str">
        <f>IF($BA82,"",INDEX(F_PFC!BD$58:BD$1258,MATCH($C82,F_PFC!$C$58:$C$1258,0)))</f>
        <v/>
      </c>
      <c r="AR82" s="840" t="str">
        <f>IF($BA82,"",INDEX(F_PFC!BE$58:BE$1258,MATCH($C82,F_PFC!$C$58:$C$1258,0)))</f>
        <v/>
      </c>
      <c r="AS82" s="840" t="str">
        <f>IF($BA82,"",INDEX(F_PFC!BF$58:BF$1258,MATCH($C82,F_PFC!$C$58:$C$1258,0)))</f>
        <v/>
      </c>
      <c r="AT82" s="838" t="str">
        <f>IF($BA82,"",INDEX(F_PFC!BG$58:BG$1258,MATCH($C82,F_PFC!$C$58:$C$1258,0))*100)</f>
        <v/>
      </c>
      <c r="AU82" s="1001" t="str">
        <f>IF($BA82,"",INDEX(F_PFC!BH$58:BH$1258,MATCH($C82,F_PFC!$C$58:$C$1258,0)))</f>
        <v/>
      </c>
      <c r="AV82" s="1001"/>
      <c r="AW82" s="1001"/>
      <c r="AX82" s="838"/>
      <c r="AY82" s="838"/>
      <c r="BA82" s="72" t="b">
        <f>IF(ISERROR(INDEX(F_PFC!$E$58:$E$1258,MATCH(C82,F_PFC!$C$58:$C$1258,0))),TRUE,INDEX(F_PFC!$E$58:$E$1258,MATCH(C82,F_PFC!$C$58:$C$1258,0))="")</f>
        <v>1</v>
      </c>
    </row>
    <row r="83" spans="3:53" x14ac:dyDescent="0.2">
      <c r="C83" s="835">
        <v>2</v>
      </c>
      <c r="D83" s="837" t="str">
        <f t="shared" si="10"/>
        <v/>
      </c>
      <c r="E83" s="837" t="str">
        <f>IF($BA83,"",INDEX(F_PFC!$E$58:$E$1258,MATCH($C83,F_PFC!$C$58:$C$1258,0)))</f>
        <v/>
      </c>
      <c r="F83" s="838" t="str">
        <f>IF($BA83,"",INDEX(F_PFC!AS$58:AS$1258,MATCH($C83,F_PFC!$C$58:$C$1258,0)))</f>
        <v/>
      </c>
      <c r="G83" s="836" t="str">
        <f t="shared" si="11"/>
        <v/>
      </c>
      <c r="H83" s="1007"/>
      <c r="I83" s="1008"/>
      <c r="J83" s="1007"/>
      <c r="K83" s="1008"/>
      <c r="L83" s="1008"/>
      <c r="M83" s="1008"/>
      <c r="N83" s="1007"/>
      <c r="O83" s="1006"/>
      <c r="P83" s="1007"/>
      <c r="Q83" s="1006"/>
      <c r="R83" s="1007"/>
      <c r="S83" s="1006"/>
      <c r="T83" s="1007"/>
      <c r="U83" s="1006"/>
      <c r="V83" s="1006"/>
      <c r="W83" s="1006"/>
      <c r="X83" s="1006"/>
      <c r="Y83" s="1006"/>
      <c r="Z83" s="1006"/>
      <c r="AA83" s="1006"/>
      <c r="AB83" s="1006"/>
      <c r="AC83" s="1006"/>
      <c r="AD83" s="1006"/>
      <c r="AE83" s="1006"/>
      <c r="AF83" s="1006"/>
      <c r="AG83" s="838" t="str">
        <f>IF($BA83,"",INDEX(F_PFC!AT$58:AT$1258,MATCH($C83,F_PFC!$C$58:$C$1258,0))*100)</f>
        <v/>
      </c>
      <c r="AH83" s="838" t="str">
        <f>IF($BA83,"",INDEX(F_PFC!AU$58:AU$1258,MATCH($C83,F_PFC!$C$58:$C$1258,0)))</f>
        <v/>
      </c>
      <c r="AI83" s="838" t="str">
        <f>IF($BA83,"",INDEX(F_PFC!AV$58:AV$1258,MATCH($C83,F_PFC!$C$58:$C$1258,0)))</f>
        <v/>
      </c>
      <c r="AJ83" s="838" t="str">
        <f>IF($BA83,"",INDEX(F_PFC!AW$58:AW$1258,MATCH($C83,F_PFC!$C$58:$C$1258,0)))</f>
        <v/>
      </c>
      <c r="AK83" s="838" t="str">
        <f>IF($BA83,"",INDEX(F_PFC!AX$58:AX$1258,MATCH($C83,F_PFC!$C$58:$C$1258,0))*100)</f>
        <v/>
      </c>
      <c r="AL83" s="838" t="str">
        <f>IF($BA83,"",INDEX(F_PFC!AY$58:AY$1258,MATCH($C83,F_PFC!$C$58:$C$1258,0)))</f>
        <v/>
      </c>
      <c r="AM83" s="838" t="str">
        <f>IF($BA83,"",INDEX(F_PFC!AZ$58:AZ$1258,MATCH($C83,F_PFC!$C$58:$C$1258,0)))</f>
        <v/>
      </c>
      <c r="AN83" s="838" t="str">
        <f>IF($BA83,"",INDEX(F_PFC!BA$58:BA$1258,MATCH($C83,F_PFC!$C$58:$C$1258,0)))</f>
        <v/>
      </c>
      <c r="AO83" s="838" t="str">
        <f>IF($BA83,"",INDEX(F_PFC!BB$58:BB$1258,MATCH($C83,F_PFC!$C$58:$C$1258,0)))</f>
        <v/>
      </c>
      <c r="AP83" s="840" t="str">
        <f>IF($BA83,"",INDEX(F_PFC!BC$58:BC$1258,MATCH($C83,F_PFC!$C$58:$C$1258,0)))</f>
        <v/>
      </c>
      <c r="AQ83" s="840" t="str">
        <f>IF($BA83,"",INDEX(F_PFC!BD$58:BD$1258,MATCH($C83,F_PFC!$C$58:$C$1258,0)))</f>
        <v/>
      </c>
      <c r="AR83" s="840" t="str">
        <f>IF($BA83,"",INDEX(F_PFC!BE$58:BE$1258,MATCH($C83,F_PFC!$C$58:$C$1258,0)))</f>
        <v/>
      </c>
      <c r="AS83" s="840" t="str">
        <f>IF($BA83,"",INDEX(F_PFC!BF$58:BF$1258,MATCH($C83,F_PFC!$C$58:$C$1258,0)))</f>
        <v/>
      </c>
      <c r="AT83" s="838" t="str">
        <f>IF($BA83,"",INDEX(F_PFC!BG$58:BG$1258,MATCH($C83,F_PFC!$C$58:$C$1258,0))*100)</f>
        <v/>
      </c>
      <c r="AU83" s="1001" t="str">
        <f>IF($BA83,"",INDEX(F_PFC!BH$58:BH$1258,MATCH($C83,F_PFC!$C$58:$C$1258,0)))</f>
        <v/>
      </c>
      <c r="AV83" s="1001"/>
      <c r="AW83" s="1001"/>
      <c r="AX83" s="838"/>
      <c r="AY83" s="838"/>
      <c r="BA83" s="72" t="b">
        <f>IF(ISERROR(INDEX(F_PFC!$E$58:$E$1258,MATCH(C83,F_PFC!$C$58:$C$1258,0))),TRUE,INDEX(F_PFC!$E$58:$E$1258,MATCH(C83,F_PFC!$C$58:$C$1258,0))="")</f>
        <v>1</v>
      </c>
    </row>
    <row r="84" spans="3:53" x14ac:dyDescent="0.2">
      <c r="C84" s="835">
        <v>3</v>
      </c>
      <c r="D84" s="837" t="str">
        <f t="shared" si="10"/>
        <v/>
      </c>
      <c r="E84" s="837" t="str">
        <f>IF($BA84,"",INDEX(F_PFC!$E$58:$E$1258,MATCH($C84,F_PFC!$C$58:$C$1258,0)))</f>
        <v/>
      </c>
      <c r="F84" s="838" t="str">
        <f>IF($BA84,"",INDEX(F_PFC!AS$58:AS$1258,MATCH($C84,F_PFC!$C$58:$C$1258,0)))</f>
        <v/>
      </c>
      <c r="G84" s="836" t="str">
        <f t="shared" si="11"/>
        <v/>
      </c>
      <c r="H84" s="1007"/>
      <c r="I84" s="1008"/>
      <c r="J84" s="1007"/>
      <c r="K84" s="1008"/>
      <c r="L84" s="1008"/>
      <c r="M84" s="1008"/>
      <c r="N84" s="1007"/>
      <c r="O84" s="1006"/>
      <c r="P84" s="1007"/>
      <c r="Q84" s="1006"/>
      <c r="R84" s="1007"/>
      <c r="S84" s="1006"/>
      <c r="T84" s="1007"/>
      <c r="U84" s="1006"/>
      <c r="V84" s="1006"/>
      <c r="W84" s="1006"/>
      <c r="X84" s="1006"/>
      <c r="Y84" s="1006"/>
      <c r="Z84" s="1006"/>
      <c r="AA84" s="1006"/>
      <c r="AB84" s="1006"/>
      <c r="AC84" s="1006"/>
      <c r="AD84" s="1006"/>
      <c r="AE84" s="1006"/>
      <c r="AF84" s="1006"/>
      <c r="AG84" s="838" t="str">
        <f>IF($BA84,"",INDEX(F_PFC!AT$58:AT$1258,MATCH($C84,F_PFC!$C$58:$C$1258,0))*100)</f>
        <v/>
      </c>
      <c r="AH84" s="838" t="str">
        <f>IF($BA84,"",INDEX(F_PFC!AU$58:AU$1258,MATCH($C84,F_PFC!$C$58:$C$1258,0)))</f>
        <v/>
      </c>
      <c r="AI84" s="838" t="str">
        <f>IF($BA84,"",INDEX(F_PFC!AV$58:AV$1258,MATCH($C84,F_PFC!$C$58:$C$1258,0)))</f>
        <v/>
      </c>
      <c r="AJ84" s="838" t="str">
        <f>IF($BA84,"",INDEX(F_PFC!AW$58:AW$1258,MATCH($C84,F_PFC!$C$58:$C$1258,0)))</f>
        <v/>
      </c>
      <c r="AK84" s="838" t="str">
        <f>IF($BA84,"",INDEX(F_PFC!AX$58:AX$1258,MATCH($C84,F_PFC!$C$58:$C$1258,0))*100)</f>
        <v/>
      </c>
      <c r="AL84" s="838" t="str">
        <f>IF($BA84,"",INDEX(F_PFC!AY$58:AY$1258,MATCH($C84,F_PFC!$C$58:$C$1258,0)))</f>
        <v/>
      </c>
      <c r="AM84" s="838" t="str">
        <f>IF($BA84,"",INDEX(F_PFC!AZ$58:AZ$1258,MATCH($C84,F_PFC!$C$58:$C$1258,0)))</f>
        <v/>
      </c>
      <c r="AN84" s="838" t="str">
        <f>IF($BA84,"",INDEX(F_PFC!BA$58:BA$1258,MATCH($C84,F_PFC!$C$58:$C$1258,0)))</f>
        <v/>
      </c>
      <c r="AO84" s="838" t="str">
        <f>IF($BA84,"",INDEX(F_PFC!BB$58:BB$1258,MATCH($C84,F_PFC!$C$58:$C$1258,0)))</f>
        <v/>
      </c>
      <c r="AP84" s="840" t="str">
        <f>IF($BA84,"",INDEX(F_PFC!BC$58:BC$1258,MATCH($C84,F_PFC!$C$58:$C$1258,0)))</f>
        <v/>
      </c>
      <c r="AQ84" s="840" t="str">
        <f>IF($BA84,"",INDEX(F_PFC!BD$58:BD$1258,MATCH($C84,F_PFC!$C$58:$C$1258,0)))</f>
        <v/>
      </c>
      <c r="AR84" s="840" t="str">
        <f>IF($BA84,"",INDEX(F_PFC!BE$58:BE$1258,MATCH($C84,F_PFC!$C$58:$C$1258,0)))</f>
        <v/>
      </c>
      <c r="AS84" s="840" t="str">
        <f>IF($BA84,"",INDEX(F_PFC!BF$58:BF$1258,MATCH($C84,F_PFC!$C$58:$C$1258,0)))</f>
        <v/>
      </c>
      <c r="AT84" s="838" t="str">
        <f>IF($BA84,"",INDEX(F_PFC!BG$58:BG$1258,MATCH($C84,F_PFC!$C$58:$C$1258,0))*100)</f>
        <v/>
      </c>
      <c r="AU84" s="1001" t="str">
        <f>IF($BA84,"",INDEX(F_PFC!BH$58:BH$1258,MATCH($C84,F_PFC!$C$58:$C$1258,0)))</f>
        <v/>
      </c>
      <c r="AV84" s="1001"/>
      <c r="AW84" s="1001"/>
      <c r="AX84" s="838"/>
      <c r="AY84" s="838"/>
      <c r="BA84" s="72" t="b">
        <f>IF(ISERROR(INDEX(F_PFC!$E$58:$E$1258,MATCH(C84,F_PFC!$C$58:$C$1258,0))),TRUE,INDEX(F_PFC!$E$58:$E$1258,MATCH(C84,F_PFC!$C$58:$C$1258,0))="")</f>
        <v>1</v>
      </c>
    </row>
    <row r="85" spans="3:53" x14ac:dyDescent="0.2">
      <c r="C85" s="835">
        <v>4</v>
      </c>
      <c r="D85" s="837" t="str">
        <f t="shared" si="10"/>
        <v/>
      </c>
      <c r="E85" s="837" t="str">
        <f>IF($BA85,"",INDEX(F_PFC!$E$58:$E$1258,MATCH($C85,F_PFC!$C$58:$C$1258,0)))</f>
        <v/>
      </c>
      <c r="F85" s="838" t="str">
        <f>IF($BA85,"",INDEX(F_PFC!AS$58:AS$1258,MATCH($C85,F_PFC!$C$58:$C$1258,0)))</f>
        <v/>
      </c>
      <c r="G85" s="836" t="str">
        <f t="shared" si="11"/>
        <v/>
      </c>
      <c r="H85" s="1007"/>
      <c r="I85" s="1008"/>
      <c r="J85" s="1007"/>
      <c r="K85" s="1008"/>
      <c r="L85" s="1008"/>
      <c r="M85" s="1008"/>
      <c r="N85" s="1007"/>
      <c r="O85" s="1006"/>
      <c r="P85" s="1007"/>
      <c r="Q85" s="1006"/>
      <c r="R85" s="1007"/>
      <c r="S85" s="1006"/>
      <c r="T85" s="1007"/>
      <c r="U85" s="1006"/>
      <c r="V85" s="1006"/>
      <c r="W85" s="1006"/>
      <c r="X85" s="1006"/>
      <c r="Y85" s="1006"/>
      <c r="Z85" s="1006"/>
      <c r="AA85" s="1006"/>
      <c r="AB85" s="1006"/>
      <c r="AC85" s="1006"/>
      <c r="AD85" s="1006"/>
      <c r="AE85" s="1006"/>
      <c r="AF85" s="1006"/>
      <c r="AG85" s="838" t="str">
        <f>IF($BA85,"",INDEX(F_PFC!AT$58:AT$1258,MATCH($C85,F_PFC!$C$58:$C$1258,0))*100)</f>
        <v/>
      </c>
      <c r="AH85" s="838" t="str">
        <f>IF($BA85,"",INDEX(F_PFC!AU$58:AU$1258,MATCH($C85,F_PFC!$C$58:$C$1258,0)))</f>
        <v/>
      </c>
      <c r="AI85" s="838" t="str">
        <f>IF($BA85,"",INDEX(F_PFC!AV$58:AV$1258,MATCH($C85,F_PFC!$C$58:$C$1258,0)))</f>
        <v/>
      </c>
      <c r="AJ85" s="838" t="str">
        <f>IF($BA85,"",INDEX(F_PFC!AW$58:AW$1258,MATCH($C85,F_PFC!$C$58:$C$1258,0)))</f>
        <v/>
      </c>
      <c r="AK85" s="838" t="str">
        <f>IF($BA85,"",INDEX(F_PFC!AX$58:AX$1258,MATCH($C85,F_PFC!$C$58:$C$1258,0))*100)</f>
        <v/>
      </c>
      <c r="AL85" s="838" t="str">
        <f>IF($BA85,"",INDEX(F_PFC!AY$58:AY$1258,MATCH($C85,F_PFC!$C$58:$C$1258,0)))</f>
        <v/>
      </c>
      <c r="AM85" s="838" t="str">
        <f>IF($BA85,"",INDEX(F_PFC!AZ$58:AZ$1258,MATCH($C85,F_PFC!$C$58:$C$1258,0)))</f>
        <v/>
      </c>
      <c r="AN85" s="838" t="str">
        <f>IF($BA85,"",INDEX(F_PFC!BA$58:BA$1258,MATCH($C85,F_PFC!$C$58:$C$1258,0)))</f>
        <v/>
      </c>
      <c r="AO85" s="838" t="str">
        <f>IF($BA85,"",INDEX(F_PFC!BB$58:BB$1258,MATCH($C85,F_PFC!$C$58:$C$1258,0)))</f>
        <v/>
      </c>
      <c r="AP85" s="840" t="str">
        <f>IF($BA85,"",INDEX(F_PFC!BC$58:BC$1258,MATCH($C85,F_PFC!$C$58:$C$1258,0)))</f>
        <v/>
      </c>
      <c r="AQ85" s="840" t="str">
        <f>IF($BA85,"",INDEX(F_PFC!BD$58:BD$1258,MATCH($C85,F_PFC!$C$58:$C$1258,0)))</f>
        <v/>
      </c>
      <c r="AR85" s="840" t="str">
        <f>IF($BA85,"",INDEX(F_PFC!BE$58:BE$1258,MATCH($C85,F_PFC!$C$58:$C$1258,0)))</f>
        <v/>
      </c>
      <c r="AS85" s="840" t="str">
        <f>IF($BA85,"",INDEX(F_PFC!BF$58:BF$1258,MATCH($C85,F_PFC!$C$58:$C$1258,0)))</f>
        <v/>
      </c>
      <c r="AT85" s="838" t="str">
        <f>IF($BA85,"",INDEX(F_PFC!BG$58:BG$1258,MATCH($C85,F_PFC!$C$58:$C$1258,0))*100)</f>
        <v/>
      </c>
      <c r="AU85" s="1001" t="str">
        <f>IF($BA85,"",INDEX(F_PFC!BH$58:BH$1258,MATCH($C85,F_PFC!$C$58:$C$1258,0)))</f>
        <v/>
      </c>
      <c r="AV85" s="1001"/>
      <c r="AW85" s="1001"/>
      <c r="AX85" s="838"/>
      <c r="AY85" s="838"/>
      <c r="BA85" s="72" t="b">
        <f>IF(ISERROR(INDEX(F_PFC!$E$58:$E$1258,MATCH(C85,F_PFC!$C$58:$C$1258,0))),TRUE,INDEX(F_PFC!$E$58:$E$1258,MATCH(C85,F_PFC!$C$58:$C$1258,0))="")</f>
        <v>1</v>
      </c>
    </row>
    <row r="86" spans="3:53" x14ac:dyDescent="0.2">
      <c r="C86" s="835">
        <v>5</v>
      </c>
      <c r="D86" s="837" t="str">
        <f t="shared" si="10"/>
        <v/>
      </c>
      <c r="E86" s="837" t="str">
        <f>IF($BA86,"",INDEX(F_PFC!$E$58:$E$1258,MATCH($C86,F_PFC!$C$58:$C$1258,0)))</f>
        <v/>
      </c>
      <c r="F86" s="838" t="str">
        <f>IF($BA86,"",INDEX(F_PFC!AS$58:AS$1258,MATCH($C86,F_PFC!$C$58:$C$1258,0)))</f>
        <v/>
      </c>
      <c r="G86" s="836" t="str">
        <f t="shared" si="11"/>
        <v/>
      </c>
      <c r="H86" s="1007"/>
      <c r="I86" s="1008"/>
      <c r="J86" s="1007"/>
      <c r="K86" s="1008"/>
      <c r="L86" s="1008"/>
      <c r="M86" s="1008"/>
      <c r="N86" s="1007"/>
      <c r="O86" s="1006"/>
      <c r="P86" s="1007"/>
      <c r="Q86" s="1006"/>
      <c r="R86" s="1007"/>
      <c r="S86" s="1006"/>
      <c r="T86" s="1007"/>
      <c r="U86" s="1006"/>
      <c r="V86" s="1006"/>
      <c r="W86" s="1006"/>
      <c r="X86" s="1006"/>
      <c r="Y86" s="1006"/>
      <c r="Z86" s="1006"/>
      <c r="AA86" s="1006"/>
      <c r="AB86" s="1006"/>
      <c r="AC86" s="1006"/>
      <c r="AD86" s="1006"/>
      <c r="AE86" s="1006"/>
      <c r="AF86" s="1006"/>
      <c r="AG86" s="838" t="str">
        <f>IF($BA86,"",INDEX(F_PFC!AT$58:AT$1258,MATCH($C86,F_PFC!$C$58:$C$1258,0))*100)</f>
        <v/>
      </c>
      <c r="AH86" s="838" t="str">
        <f>IF($BA86,"",INDEX(F_PFC!AU$58:AU$1258,MATCH($C86,F_PFC!$C$58:$C$1258,0)))</f>
        <v/>
      </c>
      <c r="AI86" s="838" t="str">
        <f>IF($BA86,"",INDEX(F_PFC!AV$58:AV$1258,MATCH($C86,F_PFC!$C$58:$C$1258,0)))</f>
        <v/>
      </c>
      <c r="AJ86" s="838" t="str">
        <f>IF($BA86,"",INDEX(F_PFC!AW$58:AW$1258,MATCH($C86,F_PFC!$C$58:$C$1258,0)))</f>
        <v/>
      </c>
      <c r="AK86" s="838" t="str">
        <f>IF($BA86,"",INDEX(F_PFC!AX$58:AX$1258,MATCH($C86,F_PFC!$C$58:$C$1258,0))*100)</f>
        <v/>
      </c>
      <c r="AL86" s="838" t="str">
        <f>IF($BA86,"",INDEX(F_PFC!AY$58:AY$1258,MATCH($C86,F_PFC!$C$58:$C$1258,0)))</f>
        <v/>
      </c>
      <c r="AM86" s="838" t="str">
        <f>IF($BA86,"",INDEX(F_PFC!AZ$58:AZ$1258,MATCH($C86,F_PFC!$C$58:$C$1258,0)))</f>
        <v/>
      </c>
      <c r="AN86" s="838" t="str">
        <f>IF($BA86,"",INDEX(F_PFC!BA$58:BA$1258,MATCH($C86,F_PFC!$C$58:$C$1258,0)))</f>
        <v/>
      </c>
      <c r="AO86" s="838" t="str">
        <f>IF($BA86,"",INDEX(F_PFC!BB$58:BB$1258,MATCH($C86,F_PFC!$C$58:$C$1258,0)))</f>
        <v/>
      </c>
      <c r="AP86" s="840" t="str">
        <f>IF($BA86,"",INDEX(F_PFC!BC$58:BC$1258,MATCH($C86,F_PFC!$C$58:$C$1258,0)))</f>
        <v/>
      </c>
      <c r="AQ86" s="840" t="str">
        <f>IF($BA86,"",INDEX(F_PFC!BD$58:BD$1258,MATCH($C86,F_PFC!$C$58:$C$1258,0)))</f>
        <v/>
      </c>
      <c r="AR86" s="840" t="str">
        <f>IF($BA86,"",INDEX(F_PFC!BE$58:BE$1258,MATCH($C86,F_PFC!$C$58:$C$1258,0)))</f>
        <v/>
      </c>
      <c r="AS86" s="840" t="str">
        <f>IF($BA86,"",INDEX(F_PFC!BF$58:BF$1258,MATCH($C86,F_PFC!$C$58:$C$1258,0)))</f>
        <v/>
      </c>
      <c r="AT86" s="838" t="str">
        <f>IF($BA86,"",INDEX(F_PFC!BG$58:BG$1258,MATCH($C86,F_PFC!$C$58:$C$1258,0))*100)</f>
        <v/>
      </c>
      <c r="AU86" s="1001" t="str">
        <f>IF($BA86,"",INDEX(F_PFC!BH$58:BH$1258,MATCH($C86,F_PFC!$C$58:$C$1258,0)))</f>
        <v/>
      </c>
      <c r="AV86" s="1001"/>
      <c r="AW86" s="1001"/>
      <c r="AX86" s="838"/>
      <c r="AY86" s="838"/>
      <c r="BA86" s="72" t="b">
        <f>IF(ISERROR(INDEX(F_PFC!$E$58:$E$1258,MATCH(C86,F_PFC!$C$58:$C$1258,0))),TRUE,INDEX(F_PFC!$E$58:$E$1258,MATCH(C86,F_PFC!$C$58:$C$1258,0))="")</f>
        <v>1</v>
      </c>
    </row>
    <row r="87" spans="3:53" x14ac:dyDescent="0.2">
      <c r="C87" s="835">
        <v>6</v>
      </c>
      <c r="D87" s="837" t="str">
        <f t="shared" si="10"/>
        <v/>
      </c>
      <c r="E87" s="837" t="str">
        <f>IF($BA87,"",INDEX(F_PFC!$E$58:$E$1258,MATCH($C87,F_PFC!$C$58:$C$1258,0)))</f>
        <v/>
      </c>
      <c r="F87" s="838" t="str">
        <f>IF($BA87,"",INDEX(F_PFC!AS$58:AS$1258,MATCH($C87,F_PFC!$C$58:$C$1258,0)))</f>
        <v/>
      </c>
      <c r="G87" s="836" t="str">
        <f t="shared" si="11"/>
        <v/>
      </c>
      <c r="H87" s="1007"/>
      <c r="I87" s="1008"/>
      <c r="J87" s="1007"/>
      <c r="K87" s="1008"/>
      <c r="L87" s="1008"/>
      <c r="M87" s="1008"/>
      <c r="N87" s="1007"/>
      <c r="O87" s="1006"/>
      <c r="P87" s="1007"/>
      <c r="Q87" s="1006"/>
      <c r="R87" s="1007"/>
      <c r="S87" s="1006"/>
      <c r="T87" s="1007"/>
      <c r="U87" s="1006"/>
      <c r="V87" s="1006"/>
      <c r="W87" s="1006"/>
      <c r="X87" s="1006"/>
      <c r="Y87" s="1006"/>
      <c r="Z87" s="1006"/>
      <c r="AA87" s="1006"/>
      <c r="AB87" s="1006"/>
      <c r="AC87" s="1006"/>
      <c r="AD87" s="1006"/>
      <c r="AE87" s="1006"/>
      <c r="AF87" s="1006"/>
      <c r="AG87" s="838" t="str">
        <f>IF($BA87,"",INDEX(F_PFC!AT$58:AT$1258,MATCH($C87,F_PFC!$C$58:$C$1258,0))*100)</f>
        <v/>
      </c>
      <c r="AH87" s="838" t="str">
        <f>IF($BA87,"",INDEX(F_PFC!AU$58:AU$1258,MATCH($C87,F_PFC!$C$58:$C$1258,0)))</f>
        <v/>
      </c>
      <c r="AI87" s="838" t="str">
        <f>IF($BA87,"",INDEX(F_PFC!AV$58:AV$1258,MATCH($C87,F_PFC!$C$58:$C$1258,0)))</f>
        <v/>
      </c>
      <c r="AJ87" s="838" t="str">
        <f>IF($BA87,"",INDEX(F_PFC!AW$58:AW$1258,MATCH($C87,F_PFC!$C$58:$C$1258,0)))</f>
        <v/>
      </c>
      <c r="AK87" s="838" t="str">
        <f>IF($BA87,"",INDEX(F_PFC!AX$58:AX$1258,MATCH($C87,F_PFC!$C$58:$C$1258,0))*100)</f>
        <v/>
      </c>
      <c r="AL87" s="838" t="str">
        <f>IF($BA87,"",INDEX(F_PFC!AY$58:AY$1258,MATCH($C87,F_PFC!$C$58:$C$1258,0)))</f>
        <v/>
      </c>
      <c r="AM87" s="838" t="str">
        <f>IF($BA87,"",INDEX(F_PFC!AZ$58:AZ$1258,MATCH($C87,F_PFC!$C$58:$C$1258,0)))</f>
        <v/>
      </c>
      <c r="AN87" s="838" t="str">
        <f>IF($BA87,"",INDEX(F_PFC!BA$58:BA$1258,MATCH($C87,F_PFC!$C$58:$C$1258,0)))</f>
        <v/>
      </c>
      <c r="AO87" s="838" t="str">
        <f>IF($BA87,"",INDEX(F_PFC!BB$58:BB$1258,MATCH($C87,F_PFC!$C$58:$C$1258,0)))</f>
        <v/>
      </c>
      <c r="AP87" s="840" t="str">
        <f>IF($BA87,"",INDEX(F_PFC!BC$58:BC$1258,MATCH($C87,F_PFC!$C$58:$C$1258,0)))</f>
        <v/>
      </c>
      <c r="AQ87" s="840" t="str">
        <f>IF($BA87,"",INDEX(F_PFC!BD$58:BD$1258,MATCH($C87,F_PFC!$C$58:$C$1258,0)))</f>
        <v/>
      </c>
      <c r="AR87" s="840" t="str">
        <f>IF($BA87,"",INDEX(F_PFC!BE$58:BE$1258,MATCH($C87,F_PFC!$C$58:$C$1258,0)))</f>
        <v/>
      </c>
      <c r="AS87" s="840" t="str">
        <f>IF($BA87,"",INDEX(F_PFC!BF$58:BF$1258,MATCH($C87,F_PFC!$C$58:$C$1258,0)))</f>
        <v/>
      </c>
      <c r="AT87" s="838" t="str">
        <f>IF($BA87,"",INDEX(F_PFC!BG$58:BG$1258,MATCH($C87,F_PFC!$C$58:$C$1258,0))*100)</f>
        <v/>
      </c>
      <c r="AU87" s="1001" t="str">
        <f>IF($BA87,"",INDEX(F_PFC!BH$58:BH$1258,MATCH($C87,F_PFC!$C$58:$C$1258,0)))</f>
        <v/>
      </c>
      <c r="AV87" s="1001"/>
      <c r="AW87" s="1001"/>
      <c r="AX87" s="838"/>
      <c r="AY87" s="838"/>
      <c r="BA87" s="72" t="b">
        <f>IF(ISERROR(INDEX(F_PFC!$E$58:$E$1258,MATCH(C87,F_PFC!$C$58:$C$1258,0))),TRUE,INDEX(F_PFC!$E$58:$E$1258,MATCH(C87,F_PFC!$C$58:$C$1258,0))="")</f>
        <v>1</v>
      </c>
    </row>
    <row r="88" spans="3:53" x14ac:dyDescent="0.2">
      <c r="C88" s="835">
        <v>7</v>
      </c>
      <c r="D88" s="837" t="str">
        <f t="shared" si="10"/>
        <v/>
      </c>
      <c r="E88" s="837" t="str">
        <f>IF($BA88,"",INDEX(F_PFC!$E$58:$E$1258,MATCH($C88,F_PFC!$C$58:$C$1258,0)))</f>
        <v/>
      </c>
      <c r="F88" s="838" t="str">
        <f>IF($BA88,"",INDEX(F_PFC!AS$58:AS$1258,MATCH($C88,F_PFC!$C$58:$C$1258,0)))</f>
        <v/>
      </c>
      <c r="G88" s="836" t="str">
        <f t="shared" si="11"/>
        <v/>
      </c>
      <c r="H88" s="1007"/>
      <c r="I88" s="1008"/>
      <c r="J88" s="1007"/>
      <c r="K88" s="1008"/>
      <c r="L88" s="1008"/>
      <c r="M88" s="1008"/>
      <c r="N88" s="1007"/>
      <c r="O88" s="1006"/>
      <c r="P88" s="1007"/>
      <c r="Q88" s="1006"/>
      <c r="R88" s="1007"/>
      <c r="S88" s="1006"/>
      <c r="T88" s="1007"/>
      <c r="U88" s="1006"/>
      <c r="V88" s="1006"/>
      <c r="W88" s="1006"/>
      <c r="X88" s="1006"/>
      <c r="Y88" s="1006"/>
      <c r="Z88" s="1006"/>
      <c r="AA88" s="1006"/>
      <c r="AB88" s="1006"/>
      <c r="AC88" s="1006"/>
      <c r="AD88" s="1006"/>
      <c r="AE88" s="1006"/>
      <c r="AF88" s="1006"/>
      <c r="AG88" s="838" t="str">
        <f>IF($BA88,"",INDEX(F_PFC!AT$58:AT$1258,MATCH($C88,F_PFC!$C$58:$C$1258,0))*100)</f>
        <v/>
      </c>
      <c r="AH88" s="838" t="str">
        <f>IF($BA88,"",INDEX(F_PFC!AU$58:AU$1258,MATCH($C88,F_PFC!$C$58:$C$1258,0)))</f>
        <v/>
      </c>
      <c r="AI88" s="838" t="str">
        <f>IF($BA88,"",INDEX(F_PFC!AV$58:AV$1258,MATCH($C88,F_PFC!$C$58:$C$1258,0)))</f>
        <v/>
      </c>
      <c r="AJ88" s="838" t="str">
        <f>IF($BA88,"",INDEX(F_PFC!AW$58:AW$1258,MATCH($C88,F_PFC!$C$58:$C$1258,0)))</f>
        <v/>
      </c>
      <c r="AK88" s="838" t="str">
        <f>IF($BA88,"",INDEX(F_PFC!AX$58:AX$1258,MATCH($C88,F_PFC!$C$58:$C$1258,0))*100)</f>
        <v/>
      </c>
      <c r="AL88" s="838" t="str">
        <f>IF($BA88,"",INDEX(F_PFC!AY$58:AY$1258,MATCH($C88,F_PFC!$C$58:$C$1258,0)))</f>
        <v/>
      </c>
      <c r="AM88" s="838" t="str">
        <f>IF($BA88,"",INDEX(F_PFC!AZ$58:AZ$1258,MATCH($C88,F_PFC!$C$58:$C$1258,0)))</f>
        <v/>
      </c>
      <c r="AN88" s="838" t="str">
        <f>IF($BA88,"",INDEX(F_PFC!BA$58:BA$1258,MATCH($C88,F_PFC!$C$58:$C$1258,0)))</f>
        <v/>
      </c>
      <c r="AO88" s="838" t="str">
        <f>IF($BA88,"",INDEX(F_PFC!BB$58:BB$1258,MATCH($C88,F_PFC!$C$58:$C$1258,0)))</f>
        <v/>
      </c>
      <c r="AP88" s="840" t="str">
        <f>IF($BA88,"",INDEX(F_PFC!BC$58:BC$1258,MATCH($C88,F_PFC!$C$58:$C$1258,0)))</f>
        <v/>
      </c>
      <c r="AQ88" s="840" t="str">
        <f>IF($BA88,"",INDEX(F_PFC!BD$58:BD$1258,MATCH($C88,F_PFC!$C$58:$C$1258,0)))</f>
        <v/>
      </c>
      <c r="AR88" s="840" t="str">
        <f>IF($BA88,"",INDEX(F_PFC!BE$58:BE$1258,MATCH($C88,F_PFC!$C$58:$C$1258,0)))</f>
        <v/>
      </c>
      <c r="AS88" s="840" t="str">
        <f>IF($BA88,"",INDEX(F_PFC!BF$58:BF$1258,MATCH($C88,F_PFC!$C$58:$C$1258,0)))</f>
        <v/>
      </c>
      <c r="AT88" s="838" t="str">
        <f>IF($BA88,"",INDEX(F_PFC!BG$58:BG$1258,MATCH($C88,F_PFC!$C$58:$C$1258,0))*100)</f>
        <v/>
      </c>
      <c r="AU88" s="1001" t="str">
        <f>IF($BA88,"",INDEX(F_PFC!BH$58:BH$1258,MATCH($C88,F_PFC!$C$58:$C$1258,0)))</f>
        <v/>
      </c>
      <c r="AV88" s="1001"/>
      <c r="AW88" s="1001"/>
      <c r="AX88" s="838"/>
      <c r="AY88" s="838"/>
      <c r="BA88" s="72" t="b">
        <f>IF(ISERROR(INDEX(F_PFC!$E$58:$E$1258,MATCH(C88,F_PFC!$C$58:$C$1258,0))),TRUE,INDEX(F_PFC!$E$58:$E$1258,MATCH(C88,F_PFC!$C$58:$C$1258,0))="")</f>
        <v>1</v>
      </c>
    </row>
    <row r="89" spans="3:53" x14ac:dyDescent="0.2">
      <c r="C89" s="835">
        <v>8</v>
      </c>
      <c r="D89" s="837" t="str">
        <f t="shared" si="10"/>
        <v/>
      </c>
      <c r="E89" s="837" t="str">
        <f>IF($BA89,"",INDEX(F_PFC!$E$58:$E$1258,MATCH($C89,F_PFC!$C$58:$C$1258,0)))</f>
        <v/>
      </c>
      <c r="F89" s="838" t="str">
        <f>IF($BA89,"",INDEX(F_PFC!AS$58:AS$1258,MATCH($C89,F_PFC!$C$58:$C$1258,0)))</f>
        <v/>
      </c>
      <c r="G89" s="836" t="str">
        <f t="shared" si="11"/>
        <v/>
      </c>
      <c r="H89" s="1007"/>
      <c r="I89" s="1008"/>
      <c r="J89" s="1007"/>
      <c r="K89" s="1008"/>
      <c r="L89" s="1008"/>
      <c r="M89" s="1008"/>
      <c r="N89" s="1007"/>
      <c r="O89" s="1006"/>
      <c r="P89" s="1007"/>
      <c r="Q89" s="1006"/>
      <c r="R89" s="1007"/>
      <c r="S89" s="1006"/>
      <c r="T89" s="1007"/>
      <c r="U89" s="1006"/>
      <c r="V89" s="1006"/>
      <c r="W89" s="1006"/>
      <c r="X89" s="1006"/>
      <c r="Y89" s="1006"/>
      <c r="Z89" s="1006"/>
      <c r="AA89" s="1006"/>
      <c r="AB89" s="1006"/>
      <c r="AC89" s="1006"/>
      <c r="AD89" s="1006"/>
      <c r="AE89" s="1006"/>
      <c r="AF89" s="1006"/>
      <c r="AG89" s="838" t="str">
        <f>IF($BA89,"",INDEX(F_PFC!AT$58:AT$1258,MATCH($C89,F_PFC!$C$58:$C$1258,0))*100)</f>
        <v/>
      </c>
      <c r="AH89" s="838" t="str">
        <f>IF($BA89,"",INDEX(F_PFC!AU$58:AU$1258,MATCH($C89,F_PFC!$C$58:$C$1258,0)))</f>
        <v/>
      </c>
      <c r="AI89" s="838" t="str">
        <f>IF($BA89,"",INDEX(F_PFC!AV$58:AV$1258,MATCH($C89,F_PFC!$C$58:$C$1258,0)))</f>
        <v/>
      </c>
      <c r="AJ89" s="838" t="str">
        <f>IF($BA89,"",INDEX(F_PFC!AW$58:AW$1258,MATCH($C89,F_PFC!$C$58:$C$1258,0)))</f>
        <v/>
      </c>
      <c r="AK89" s="838" t="str">
        <f>IF($BA89,"",INDEX(F_PFC!AX$58:AX$1258,MATCH($C89,F_PFC!$C$58:$C$1258,0))*100)</f>
        <v/>
      </c>
      <c r="AL89" s="838" t="str">
        <f>IF($BA89,"",INDEX(F_PFC!AY$58:AY$1258,MATCH($C89,F_PFC!$C$58:$C$1258,0)))</f>
        <v/>
      </c>
      <c r="AM89" s="838" t="str">
        <f>IF($BA89,"",INDEX(F_PFC!AZ$58:AZ$1258,MATCH($C89,F_PFC!$C$58:$C$1258,0)))</f>
        <v/>
      </c>
      <c r="AN89" s="838" t="str">
        <f>IF($BA89,"",INDEX(F_PFC!BA$58:BA$1258,MATCH($C89,F_PFC!$C$58:$C$1258,0)))</f>
        <v/>
      </c>
      <c r="AO89" s="838" t="str">
        <f>IF($BA89,"",INDEX(F_PFC!BB$58:BB$1258,MATCH($C89,F_PFC!$C$58:$C$1258,0)))</f>
        <v/>
      </c>
      <c r="AP89" s="840" t="str">
        <f>IF($BA89,"",INDEX(F_PFC!BC$58:BC$1258,MATCH($C89,F_PFC!$C$58:$C$1258,0)))</f>
        <v/>
      </c>
      <c r="AQ89" s="840" t="str">
        <f>IF($BA89,"",INDEX(F_PFC!BD$58:BD$1258,MATCH($C89,F_PFC!$C$58:$C$1258,0)))</f>
        <v/>
      </c>
      <c r="AR89" s="840" t="str">
        <f>IF($BA89,"",INDEX(F_PFC!BE$58:BE$1258,MATCH($C89,F_PFC!$C$58:$C$1258,0)))</f>
        <v/>
      </c>
      <c r="AS89" s="840" t="str">
        <f>IF($BA89,"",INDEX(F_PFC!BF$58:BF$1258,MATCH($C89,F_PFC!$C$58:$C$1258,0)))</f>
        <v/>
      </c>
      <c r="AT89" s="838" t="str">
        <f>IF($BA89,"",INDEX(F_PFC!BG$58:BG$1258,MATCH($C89,F_PFC!$C$58:$C$1258,0))*100)</f>
        <v/>
      </c>
      <c r="AU89" s="1001" t="str">
        <f>IF($BA89,"",INDEX(F_PFC!BH$58:BH$1258,MATCH($C89,F_PFC!$C$58:$C$1258,0)))</f>
        <v/>
      </c>
      <c r="AV89" s="1001"/>
      <c r="AW89" s="1001"/>
      <c r="AX89" s="838"/>
      <c r="AY89" s="838"/>
      <c r="BA89" s="72" t="b">
        <f>IF(ISERROR(INDEX(F_PFC!$E$58:$E$1258,MATCH(C89,F_PFC!$C$58:$C$1258,0))),TRUE,INDEX(F_PFC!$E$58:$E$1258,MATCH(C89,F_PFC!$C$58:$C$1258,0))="")</f>
        <v>1</v>
      </c>
    </row>
    <row r="90" spans="3:53" x14ac:dyDescent="0.2">
      <c r="C90" s="835">
        <v>9</v>
      </c>
      <c r="D90" s="837" t="str">
        <f t="shared" si="10"/>
        <v/>
      </c>
      <c r="E90" s="837" t="str">
        <f>IF($BA90,"",INDEX(F_PFC!$E$58:$E$1258,MATCH($C90,F_PFC!$C$58:$C$1258,0)))</f>
        <v/>
      </c>
      <c r="F90" s="838" t="str">
        <f>IF($BA90,"",INDEX(F_PFC!AS$58:AS$1258,MATCH($C90,F_PFC!$C$58:$C$1258,0)))</f>
        <v/>
      </c>
      <c r="G90" s="836" t="str">
        <f t="shared" si="11"/>
        <v/>
      </c>
      <c r="H90" s="1007"/>
      <c r="I90" s="1008"/>
      <c r="J90" s="1007"/>
      <c r="K90" s="1008"/>
      <c r="L90" s="1008"/>
      <c r="M90" s="1008"/>
      <c r="N90" s="1007"/>
      <c r="O90" s="1006"/>
      <c r="P90" s="1007"/>
      <c r="Q90" s="1006"/>
      <c r="R90" s="1007"/>
      <c r="S90" s="1006"/>
      <c r="T90" s="1007"/>
      <c r="U90" s="1006"/>
      <c r="V90" s="1006"/>
      <c r="W90" s="1006"/>
      <c r="X90" s="1006"/>
      <c r="Y90" s="1006"/>
      <c r="Z90" s="1006"/>
      <c r="AA90" s="1006"/>
      <c r="AB90" s="1006"/>
      <c r="AC90" s="1006"/>
      <c r="AD90" s="1006"/>
      <c r="AE90" s="1006"/>
      <c r="AF90" s="1006"/>
      <c r="AG90" s="838" t="str">
        <f>IF($BA90,"",INDEX(F_PFC!AT$58:AT$1258,MATCH($C90,F_PFC!$C$58:$C$1258,0))*100)</f>
        <v/>
      </c>
      <c r="AH90" s="838" t="str">
        <f>IF($BA90,"",INDEX(F_PFC!AU$58:AU$1258,MATCH($C90,F_PFC!$C$58:$C$1258,0)))</f>
        <v/>
      </c>
      <c r="AI90" s="838" t="str">
        <f>IF($BA90,"",INDEX(F_PFC!AV$58:AV$1258,MATCH($C90,F_PFC!$C$58:$C$1258,0)))</f>
        <v/>
      </c>
      <c r="AJ90" s="838" t="str">
        <f>IF($BA90,"",INDEX(F_PFC!AW$58:AW$1258,MATCH($C90,F_PFC!$C$58:$C$1258,0)))</f>
        <v/>
      </c>
      <c r="AK90" s="838" t="str">
        <f>IF($BA90,"",INDEX(F_PFC!AX$58:AX$1258,MATCH($C90,F_PFC!$C$58:$C$1258,0))*100)</f>
        <v/>
      </c>
      <c r="AL90" s="838" t="str">
        <f>IF($BA90,"",INDEX(F_PFC!AY$58:AY$1258,MATCH($C90,F_PFC!$C$58:$C$1258,0)))</f>
        <v/>
      </c>
      <c r="AM90" s="838" t="str">
        <f>IF($BA90,"",INDEX(F_PFC!AZ$58:AZ$1258,MATCH($C90,F_PFC!$C$58:$C$1258,0)))</f>
        <v/>
      </c>
      <c r="AN90" s="838" t="str">
        <f>IF($BA90,"",INDEX(F_PFC!BA$58:BA$1258,MATCH($C90,F_PFC!$C$58:$C$1258,0)))</f>
        <v/>
      </c>
      <c r="AO90" s="838" t="str">
        <f>IF($BA90,"",INDEX(F_PFC!BB$58:BB$1258,MATCH($C90,F_PFC!$C$58:$C$1258,0)))</f>
        <v/>
      </c>
      <c r="AP90" s="840" t="str">
        <f>IF($BA90,"",INDEX(F_PFC!BC$58:BC$1258,MATCH($C90,F_PFC!$C$58:$C$1258,0)))</f>
        <v/>
      </c>
      <c r="AQ90" s="840" t="str">
        <f>IF($BA90,"",INDEX(F_PFC!BD$58:BD$1258,MATCH($C90,F_PFC!$C$58:$C$1258,0)))</f>
        <v/>
      </c>
      <c r="AR90" s="840" t="str">
        <f>IF($BA90,"",INDEX(F_PFC!BE$58:BE$1258,MATCH($C90,F_PFC!$C$58:$C$1258,0)))</f>
        <v/>
      </c>
      <c r="AS90" s="840" t="str">
        <f>IF($BA90,"",INDEX(F_PFC!BF$58:BF$1258,MATCH($C90,F_PFC!$C$58:$C$1258,0)))</f>
        <v/>
      </c>
      <c r="AT90" s="838" t="str">
        <f>IF($BA90,"",INDEX(F_PFC!BG$58:BG$1258,MATCH($C90,F_PFC!$C$58:$C$1258,0))*100)</f>
        <v/>
      </c>
      <c r="AU90" s="1001" t="str">
        <f>IF($BA90,"",INDEX(F_PFC!BH$58:BH$1258,MATCH($C90,F_PFC!$C$58:$C$1258,0)))</f>
        <v/>
      </c>
      <c r="AV90" s="1001"/>
      <c r="AW90" s="1001"/>
      <c r="AX90" s="838"/>
      <c r="AY90" s="838"/>
      <c r="BA90" s="72" t="b">
        <f>IF(ISERROR(INDEX(F_PFC!$E$58:$E$1258,MATCH(C90,F_PFC!$C$58:$C$1258,0))),TRUE,INDEX(F_PFC!$E$58:$E$1258,MATCH(C90,F_PFC!$C$58:$C$1258,0))="")</f>
        <v>1</v>
      </c>
    </row>
    <row r="91" spans="3:53" x14ac:dyDescent="0.2">
      <c r="C91" s="835">
        <v>10</v>
      </c>
      <c r="D91" s="837" t="str">
        <f t="shared" si="10"/>
        <v/>
      </c>
      <c r="E91" s="837" t="str">
        <f>IF($BA91,"",INDEX(F_PFC!$E$58:$E$1258,MATCH($C91,F_PFC!$C$58:$C$1258,0)))</f>
        <v/>
      </c>
      <c r="F91" s="838" t="str">
        <f>IF($BA91,"",INDEX(F_PFC!AS$58:AS$1258,MATCH($C91,F_PFC!$C$58:$C$1258,0)))</f>
        <v/>
      </c>
      <c r="G91" s="836" t="str">
        <f t="shared" si="11"/>
        <v/>
      </c>
      <c r="H91" s="1007"/>
      <c r="I91" s="1008"/>
      <c r="J91" s="1007"/>
      <c r="K91" s="1008"/>
      <c r="L91" s="1008"/>
      <c r="M91" s="1008"/>
      <c r="N91" s="1007"/>
      <c r="O91" s="1006"/>
      <c r="P91" s="1007"/>
      <c r="Q91" s="1006"/>
      <c r="R91" s="1007"/>
      <c r="S91" s="1006"/>
      <c r="T91" s="1007"/>
      <c r="U91" s="1006"/>
      <c r="V91" s="1006"/>
      <c r="W91" s="1006"/>
      <c r="X91" s="1006"/>
      <c r="Y91" s="1006"/>
      <c r="Z91" s="1006"/>
      <c r="AA91" s="1006"/>
      <c r="AB91" s="1006"/>
      <c r="AC91" s="1006"/>
      <c r="AD91" s="1006"/>
      <c r="AE91" s="1006"/>
      <c r="AF91" s="1006"/>
      <c r="AG91" s="838" t="str">
        <f>IF($BA91,"",INDEX(F_PFC!AT$58:AT$1258,MATCH($C91,F_PFC!$C$58:$C$1258,0))*100)</f>
        <v/>
      </c>
      <c r="AH91" s="838" t="str">
        <f>IF($BA91,"",INDEX(F_PFC!AU$58:AU$1258,MATCH($C91,F_PFC!$C$58:$C$1258,0)))</f>
        <v/>
      </c>
      <c r="AI91" s="838" t="str">
        <f>IF($BA91,"",INDEX(F_PFC!AV$58:AV$1258,MATCH($C91,F_PFC!$C$58:$C$1258,0)))</f>
        <v/>
      </c>
      <c r="AJ91" s="838" t="str">
        <f>IF($BA91,"",INDEX(F_PFC!AW$58:AW$1258,MATCH($C91,F_PFC!$C$58:$C$1258,0)))</f>
        <v/>
      </c>
      <c r="AK91" s="838" t="str">
        <f>IF($BA91,"",INDEX(F_PFC!AX$58:AX$1258,MATCH($C91,F_PFC!$C$58:$C$1258,0))*100)</f>
        <v/>
      </c>
      <c r="AL91" s="838" t="str">
        <f>IF($BA91,"",INDEX(F_PFC!AY$58:AY$1258,MATCH($C91,F_PFC!$C$58:$C$1258,0)))</f>
        <v/>
      </c>
      <c r="AM91" s="838" t="str">
        <f>IF($BA91,"",INDEX(F_PFC!AZ$58:AZ$1258,MATCH($C91,F_PFC!$C$58:$C$1258,0)))</f>
        <v/>
      </c>
      <c r="AN91" s="838" t="str">
        <f>IF($BA91,"",INDEX(F_PFC!BA$58:BA$1258,MATCH($C91,F_PFC!$C$58:$C$1258,0)))</f>
        <v/>
      </c>
      <c r="AO91" s="838" t="str">
        <f>IF($BA91,"",INDEX(F_PFC!BB$58:BB$1258,MATCH($C91,F_PFC!$C$58:$C$1258,0)))</f>
        <v/>
      </c>
      <c r="AP91" s="840" t="str">
        <f>IF($BA91,"",INDEX(F_PFC!BC$58:BC$1258,MATCH($C91,F_PFC!$C$58:$C$1258,0)))</f>
        <v/>
      </c>
      <c r="AQ91" s="840" t="str">
        <f>IF($BA91,"",INDEX(F_PFC!BD$58:BD$1258,MATCH($C91,F_PFC!$C$58:$C$1258,0)))</f>
        <v/>
      </c>
      <c r="AR91" s="840" t="str">
        <f>IF($BA91,"",INDEX(F_PFC!BE$58:BE$1258,MATCH($C91,F_PFC!$C$58:$C$1258,0)))</f>
        <v/>
      </c>
      <c r="AS91" s="840" t="str">
        <f>IF($BA91,"",INDEX(F_PFC!BF$58:BF$1258,MATCH($C91,F_PFC!$C$58:$C$1258,0)))</f>
        <v/>
      </c>
      <c r="AT91" s="838" t="str">
        <f>IF($BA91,"",INDEX(F_PFC!BG$58:BG$1258,MATCH($C91,F_PFC!$C$58:$C$1258,0))*100)</f>
        <v/>
      </c>
      <c r="AU91" s="1001" t="str">
        <f>IF($BA91,"",INDEX(F_PFC!BH$58:BH$1258,MATCH($C91,F_PFC!$C$58:$C$1258,0)))</f>
        <v/>
      </c>
      <c r="AV91" s="1001"/>
      <c r="AW91" s="1001"/>
      <c r="AX91" s="838"/>
      <c r="AY91" s="838"/>
      <c r="BA91" s="72" t="b">
        <f>IF(ISERROR(INDEX(F_PFC!$E$58:$E$1258,MATCH(C91,F_PFC!$C$58:$C$1258,0))),TRUE,INDEX(F_PFC!$E$58:$E$1258,MATCH(C91,F_PFC!$C$58:$C$1258,0))="")</f>
        <v>1</v>
      </c>
    </row>
    <row r="92" spans="3:53" x14ac:dyDescent="0.2">
      <c r="C92" s="6"/>
      <c r="D92" s="200"/>
      <c r="E92" s="200"/>
      <c r="F92" s="862"/>
      <c r="G92" s="6"/>
      <c r="H92" s="862"/>
      <c r="I92" s="6"/>
      <c r="J92" s="862"/>
      <c r="K92" s="6"/>
      <c r="L92" s="6"/>
      <c r="M92" s="6"/>
      <c r="N92" s="862"/>
      <c r="O92" s="863"/>
      <c r="P92" s="862"/>
      <c r="Q92" s="863"/>
      <c r="R92" s="862"/>
      <c r="S92" s="863"/>
      <c r="T92" s="862"/>
      <c r="U92" s="863"/>
      <c r="V92" s="863"/>
      <c r="W92" s="863"/>
      <c r="X92" s="863"/>
      <c r="Y92" s="863"/>
      <c r="Z92" s="863"/>
      <c r="AA92" s="863"/>
      <c r="AB92" s="863"/>
      <c r="AC92" s="863"/>
      <c r="AD92" s="863"/>
      <c r="AE92" s="863"/>
      <c r="AF92" s="863"/>
      <c r="AG92" s="863"/>
      <c r="AH92" s="863"/>
      <c r="AI92" s="863"/>
      <c r="AJ92" s="863"/>
      <c r="AK92" s="863"/>
      <c r="AL92" s="863"/>
      <c r="AM92" s="863"/>
      <c r="AN92" s="863"/>
      <c r="AO92" s="863"/>
      <c r="AP92" s="863"/>
      <c r="AQ92" s="863"/>
      <c r="AR92" s="863"/>
      <c r="AS92" s="863"/>
      <c r="AT92" s="863"/>
      <c r="AU92" s="864"/>
      <c r="AV92" s="864"/>
      <c r="AW92" s="864"/>
      <c r="AX92" s="862"/>
      <c r="AY92" s="862"/>
      <c r="BA92" s="71"/>
    </row>
    <row r="93" spans="3:53" ht="50.1" customHeight="1" thickBot="1" x14ac:dyDescent="0.45">
      <c r="D93" s="848" t="str">
        <f>Translations!$B$836</f>
        <v>Taršos šaltiniai (matavimu grindžiami metodai)</v>
      </c>
      <c r="BA93" s="56"/>
    </row>
    <row r="94" spans="3:53" ht="50.1" customHeight="1" thickBot="1" x14ac:dyDescent="0.25">
      <c r="C94" s="841" t="str">
        <f t="shared" ref="C94:AY94" si="12">C3</f>
        <v>#</v>
      </c>
      <c r="D94" s="842" t="str">
        <f t="shared" si="12"/>
        <v>Metodas</v>
      </c>
      <c r="E94" s="842" t="str">
        <f t="shared" si="12"/>
        <v>Pavadinimas</v>
      </c>
      <c r="F94" s="843" t="str">
        <f t="shared" si="12"/>
        <v>Veiklos duomenys</v>
      </c>
      <c r="G94" s="843" t="str">
        <f t="shared" si="12"/>
        <v>VD mato vienetas</v>
      </c>
      <c r="H94" s="843" t="str">
        <f t="shared" si="12"/>
        <v>GŠV</v>
      </c>
      <c r="I94" s="843" t="str">
        <f t="shared" si="12"/>
        <v>GŠV mato vienetas</v>
      </c>
      <c r="J94" s="843" t="str">
        <f t="shared" si="12"/>
        <v>ITF</v>
      </c>
      <c r="K94" s="843" t="str">
        <f t="shared" si="12"/>
        <v>ITF mato vienetas</v>
      </c>
      <c r="L94" s="843" t="str">
        <f t="shared" si="12"/>
        <v>C-turinys</v>
      </c>
      <c r="M94" s="843" t="str">
        <f t="shared" si="12"/>
        <v>C kiekio mato vienetas</v>
      </c>
      <c r="N94" s="843" t="str">
        <f t="shared" si="12"/>
        <v>Oksid. koeficientas</v>
      </c>
      <c r="O94" s="843" t="str">
        <f t="shared" si="12"/>
        <v>OksK mato vienetas</v>
      </c>
      <c r="P94" s="843" t="str">
        <f t="shared" si="12"/>
        <v>Konv. koeficientas</v>
      </c>
      <c r="Q94" s="843" t="str">
        <f t="shared" si="12"/>
        <v>KonvK mato vienetas</v>
      </c>
      <c r="R94" s="843" t="str">
        <f t="shared" si="12"/>
        <v>Biomasės kiekis</v>
      </c>
      <c r="S94" s="843" t="str">
        <f t="shared" si="12"/>
        <v>BioC mato vienetas</v>
      </c>
      <c r="T94" s="843" t="str">
        <f t="shared" si="12"/>
        <v>netvarios BioC</v>
      </c>
      <c r="U94" s="843" t="str">
        <f t="shared" si="12"/>
        <v>netvarios BioC mato vienetas</v>
      </c>
      <c r="V94" s="843" t="str">
        <f t="shared" si="12"/>
        <v>valandinės ŠESD konc. vidurkis</v>
      </c>
      <c r="W94" s="843" t="str">
        <f t="shared" si="12"/>
        <v>valandinės ŠESD konc. mato vienetas</v>
      </c>
      <c r="X94" s="843" t="str">
        <f t="shared" si="12"/>
        <v>veikimo valandos</v>
      </c>
      <c r="Y94" s="843" t="str">
        <f t="shared" si="12"/>
        <v>veikimo valandų mato vienetas</v>
      </c>
      <c r="Z94" s="843" t="str">
        <f t="shared" si="12"/>
        <v>Kaminų dujos (vidurkis)</v>
      </c>
      <c r="AA94" s="843" t="str">
        <f t="shared" si="12"/>
        <v>Kaminų dujų (vidurkio) mato vienetas</v>
      </c>
      <c r="AB94" s="843" t="str">
        <f t="shared" si="12"/>
        <v>Kaminų dujos (iš viso)</v>
      </c>
      <c r="AC94" s="843" t="str">
        <f t="shared" si="12"/>
        <v>Kaminų dujų (viso kiekio) mato vienetas</v>
      </c>
      <c r="AD94" s="843" t="str">
        <f t="shared" si="12"/>
        <v>Metinis ŠESD kiekis</v>
      </c>
      <c r="AE94" s="843" t="str">
        <f t="shared" si="12"/>
        <v>Metinio ŠESD kiekio mato vienetas</v>
      </c>
      <c r="AF94" s="843" t="str">
        <f t="shared" si="12"/>
        <v>VAP (t CO2(e)/t)</v>
      </c>
      <c r="AG94" s="843" t="str">
        <f t="shared" ref="AG94:AT94" si="13">AG3</f>
        <v>A. Dažnis</v>
      </c>
      <c r="AH94" s="843" t="str">
        <f t="shared" si="13"/>
        <v>A. Trukmė</v>
      </c>
      <c r="AI94" s="843" t="str">
        <f t="shared" si="13"/>
        <v>A. NITF(CF4)</v>
      </c>
      <c r="AJ94" s="843" t="str">
        <f t="shared" si="13"/>
        <v>B. AEV</v>
      </c>
      <c r="AK94" s="843" t="str">
        <f t="shared" si="13"/>
        <v>B. EN</v>
      </c>
      <c r="AL94" s="843" t="str">
        <f t="shared" si="13"/>
        <v>B. VĮK</v>
      </c>
      <c r="AM94" s="843" t="str">
        <f t="shared" si="13"/>
        <v>F(C2F6)</v>
      </c>
      <c r="AN94" s="843" t="str">
        <f t="shared" si="13"/>
        <v>Išmestas CF4 kiekis (t CF4)</v>
      </c>
      <c r="AO94" s="843" t="str">
        <f t="shared" si="13"/>
        <v>Išmestas C2F6 kiekis (t C2F6)</v>
      </c>
      <c r="AP94" s="843" t="str">
        <f t="shared" si="13"/>
        <v>VAP (CF4) (t CO2(e)/t)</v>
      </c>
      <c r="AQ94" s="843" t="str">
        <f t="shared" si="13"/>
        <v>VAP (C2F6) (t CO2(e)/t)</v>
      </c>
      <c r="AR94" s="843" t="str">
        <f>AR3</f>
        <v>Išmestas CF4 kiekis (CO2(e) tonos)</v>
      </c>
      <c r="AS94" s="843" t="str">
        <f t="shared" si="13"/>
        <v>Išmestas C2F6 kiekis (CO2(e) tonos)</v>
      </c>
      <c r="AT94" s="843" t="str">
        <f t="shared" si="13"/>
        <v>Surinkimo veiksmingumas, proc.</v>
      </c>
      <c r="AU94" s="843" t="str">
        <f t="shared" si="12"/>
        <v>Iškastinio kuro kilmės CO2(e) (t)</v>
      </c>
      <c r="AV94" s="843" t="str">
        <f t="shared" si="12"/>
        <v>Biomasės kilmės CO2(e) (t)</v>
      </c>
      <c r="AW94" s="843" t="str">
        <f t="shared" si="12"/>
        <v>Netvarios biomasės kilmės CO2(e) (t)</v>
      </c>
      <c r="AX94" s="844" t="str">
        <f t="shared" si="12"/>
        <v>Energetinė vertė (iškast. kuras), TJ</v>
      </c>
      <c r="AY94" s="845" t="str">
        <f t="shared" si="12"/>
        <v>Energetinė vertė (biomasė), TJ</v>
      </c>
      <c r="BA94" s="56"/>
    </row>
    <row r="95" spans="3:53" x14ac:dyDescent="0.2">
      <c r="C95" s="835">
        <v>1</v>
      </c>
      <c r="D95" s="837" t="str">
        <f>IF($BA95,"",INDEX(D_MeasurementBasedApproaches!$E$21:$E$400,MATCH($C95,D_MeasurementBasedApproaches!$C$21:$C$400,0)))</f>
        <v/>
      </c>
      <c r="E95" s="837" t="str">
        <f>IF($BA95,"",INDEX(D_MeasurementBasedApproaches!$G$21:$G$400,MATCH($C95,D_MeasurementBasedApproaches!$C$21:$C$400,0)))</f>
        <v/>
      </c>
      <c r="F95" s="1007"/>
      <c r="G95" s="1008"/>
      <c r="H95" s="1007"/>
      <c r="I95" s="1008"/>
      <c r="J95" s="1007"/>
      <c r="K95" s="1008"/>
      <c r="L95" s="1008"/>
      <c r="M95" s="1008"/>
      <c r="N95" s="1007"/>
      <c r="O95" s="1006"/>
      <c r="P95" s="1007"/>
      <c r="Q95" s="1006"/>
      <c r="R95" s="840" t="str">
        <f>IF($BA95,"",INDEX(D_MeasurementBasedApproaches!Y$21:Y$400,MATCH($C95,D_MeasurementBasedApproaches!$C$21:$C$400,0))*100)</f>
        <v/>
      </c>
      <c r="S95" s="839" t="str">
        <f t="shared" ref="S95:U104" si="14">IF($BA95,"","%")</f>
        <v/>
      </c>
      <c r="T95" s="840" t="str">
        <f>IF($BA95,"",INDEX(D_MeasurementBasedApproaches!Z$21:Z$400,MATCH($C95,D_MeasurementBasedApproaches!$C$21:$C$400,0))*100)</f>
        <v/>
      </c>
      <c r="U95" s="839" t="str">
        <f t="shared" si="14"/>
        <v/>
      </c>
      <c r="V95" s="840" t="str">
        <f>IF($BA95,"",INDEX(D_MeasurementBasedApproaches!X$21:X$400,MATCH($C95,D_MeasurementBasedApproaches!$C$21:$C$400,0)))</f>
        <v/>
      </c>
      <c r="W95" s="839" t="str">
        <f t="shared" ref="W95:W104" si="15">IF($BA95,"",EUconst_gpNm3)</f>
        <v/>
      </c>
      <c r="X95" s="840" t="str">
        <f>IF($BA95,"",INDEX(D_MeasurementBasedApproaches!AA$21:AA$400,MATCH($C95,D_MeasurementBasedApproaches!$C$21:$C$400,0)))</f>
        <v/>
      </c>
      <c r="Y95" s="839" t="str">
        <f t="shared" ref="Y95:Y104" si="16">IF($BA95,"",EUconst_hpa)</f>
        <v/>
      </c>
      <c r="Z95" s="840" t="str">
        <f>IF($BA95,"",INDEX(D_MeasurementBasedApproaches!AB$21:AB$400,MATCH($C95,D_MeasurementBasedApproaches!$C$21:$C$400,0)))</f>
        <v/>
      </c>
      <c r="AA95" s="839" t="str">
        <f t="shared" ref="AA95:AA104" si="17">IF($BA95,"",EUconst_Nm3ph)</f>
        <v/>
      </c>
      <c r="AB95" s="840" t="str">
        <f>IF($BA95,"",INDEX(D_MeasurementBasedApproaches!AC$21:AC$400,MATCH($C95,D_MeasurementBasedApproaches!$C$21:$C$400,0)))</f>
        <v/>
      </c>
      <c r="AC95" s="839" t="str">
        <f t="shared" ref="AC95:AC104" si="18">IF($BA95,"",EUconst_kNm3pa)</f>
        <v/>
      </c>
      <c r="AD95" s="840" t="str">
        <f>IF($BA95,"",INDEX(D_MeasurementBasedApproaches!AD$21:AD$400,MATCH($C95,D_MeasurementBasedApproaches!$C$21:$C$400,0)))</f>
        <v/>
      </c>
      <c r="AE95" s="839" t="str">
        <f t="shared" ref="AE95:AE104" si="19">IF($BA95,"",EUconst_t)</f>
        <v/>
      </c>
      <c r="AF95" s="840" t="str">
        <f>IF($BA95,"",INDEX(D_MeasurementBasedApproaches!AE$21:AE$400,MATCH($C95,D_MeasurementBasedApproaches!$C$21:$C$400,0)))</f>
        <v/>
      </c>
      <c r="AG95" s="1009"/>
      <c r="AH95" s="1009"/>
      <c r="AI95" s="1009"/>
      <c r="AJ95" s="1009"/>
      <c r="AK95" s="1009"/>
      <c r="AL95" s="1009"/>
      <c r="AM95" s="1009"/>
      <c r="AN95" s="1009"/>
      <c r="AO95" s="1009"/>
      <c r="AP95" s="1009"/>
      <c r="AQ95" s="1009"/>
      <c r="AR95" s="1009"/>
      <c r="AS95" s="1009"/>
      <c r="AT95" s="1009"/>
      <c r="AU95" s="1001" t="str">
        <f>IF($BA95,"",INDEX(D_MeasurementBasedApproaches!AF$21:AF$400,MATCH($C95,D_MeasurementBasedApproaches!$C$21:$C$400,0)))</f>
        <v/>
      </c>
      <c r="AV95" s="1001" t="str">
        <f>IF($BA95,"",INDEX(D_MeasurementBasedApproaches!AG$21:AG$400,MATCH($C95,D_MeasurementBasedApproaches!$C$21:$C$400,0)))</f>
        <v/>
      </c>
      <c r="AW95" s="1001" t="str">
        <f>IF($BA95,"",INDEX(D_MeasurementBasedApproaches!AH$21:AH$400,MATCH($C95,D_MeasurementBasedApproaches!$C$21:$C$400,0)))</f>
        <v/>
      </c>
      <c r="AX95" s="840" t="str">
        <f>IF($BA95,"",INDEX(D_MeasurementBasedApproaches!AI$21:AI$400,MATCH($C95,D_MeasurementBasedApproaches!$C$21:$C$400,0)))</f>
        <v/>
      </c>
      <c r="AY95" s="840" t="str">
        <f>IF($BA95,"",INDEX(D_MeasurementBasedApproaches!AJ$21:AJ$400,MATCH($C95,D_MeasurementBasedApproaches!$C$21:$C$400,0)))</f>
        <v/>
      </c>
      <c r="BA95" s="823" t="b">
        <f>IF(ISERROR(INDEX(D_MeasurementBasedApproaches!$E$21:$E$400,MATCH(C95,D_MeasurementBasedApproaches!$C$21:$C$400,0))),TRUE,INDEX(D_MeasurementBasedApproaches!$E$21:$E$400,MATCH(C95,D_MeasurementBasedApproaches!$C$21:$C$400,0))="")</f>
        <v>1</v>
      </c>
    </row>
    <row r="96" spans="3:53" x14ac:dyDescent="0.2">
      <c r="C96" s="835">
        <v>2</v>
      </c>
      <c r="D96" s="837" t="str">
        <f>IF($BA96,"",INDEX(D_MeasurementBasedApproaches!$E$21:$E$400,MATCH($C96,D_MeasurementBasedApproaches!$C$21:$C$400,0)))</f>
        <v/>
      </c>
      <c r="E96" s="837" t="str">
        <f>IF($BA96,"",INDEX(D_MeasurementBasedApproaches!$G$21:$G$400,MATCH($C96,D_MeasurementBasedApproaches!$C$21:$C$400,0)))</f>
        <v/>
      </c>
      <c r="F96" s="1007"/>
      <c r="G96" s="1008"/>
      <c r="H96" s="1007"/>
      <c r="I96" s="1008"/>
      <c r="J96" s="1007"/>
      <c r="K96" s="1008"/>
      <c r="L96" s="1008"/>
      <c r="M96" s="1008"/>
      <c r="N96" s="1007"/>
      <c r="O96" s="1006"/>
      <c r="P96" s="1007"/>
      <c r="Q96" s="1006"/>
      <c r="R96" s="840" t="str">
        <f>IF($BA96,"",INDEX(D_MeasurementBasedApproaches!Y$21:Y$400,MATCH($C96,D_MeasurementBasedApproaches!$C$21:$C$400,0))*100)</f>
        <v/>
      </c>
      <c r="S96" s="839" t="str">
        <f t="shared" si="14"/>
        <v/>
      </c>
      <c r="T96" s="840" t="str">
        <f>IF($BA96,"",INDEX(D_MeasurementBasedApproaches!Z$21:Z$400,MATCH($C96,D_MeasurementBasedApproaches!$C$21:$C$400,0))*100)</f>
        <v/>
      </c>
      <c r="U96" s="839" t="str">
        <f t="shared" si="14"/>
        <v/>
      </c>
      <c r="V96" s="840" t="str">
        <f>IF($BA96,"",INDEX(D_MeasurementBasedApproaches!X$21:X$400,MATCH($C96,D_MeasurementBasedApproaches!$C$21:$C$400,0)))</f>
        <v/>
      </c>
      <c r="W96" s="839" t="str">
        <f t="shared" si="15"/>
        <v/>
      </c>
      <c r="X96" s="840" t="str">
        <f>IF($BA96,"",INDEX(D_MeasurementBasedApproaches!AA$21:AA$400,MATCH($C96,D_MeasurementBasedApproaches!$C$21:$C$400,0)))</f>
        <v/>
      </c>
      <c r="Y96" s="839" t="str">
        <f t="shared" si="16"/>
        <v/>
      </c>
      <c r="Z96" s="840" t="str">
        <f>IF($BA96,"",INDEX(D_MeasurementBasedApproaches!AB$21:AB$400,MATCH($C96,D_MeasurementBasedApproaches!$C$21:$C$400,0)))</f>
        <v/>
      </c>
      <c r="AA96" s="839" t="str">
        <f t="shared" si="17"/>
        <v/>
      </c>
      <c r="AB96" s="840" t="str">
        <f>IF($BA96,"",INDEX(D_MeasurementBasedApproaches!AC$21:AC$400,MATCH($C96,D_MeasurementBasedApproaches!$C$21:$C$400,0)))</f>
        <v/>
      </c>
      <c r="AC96" s="839" t="str">
        <f t="shared" si="18"/>
        <v/>
      </c>
      <c r="AD96" s="840" t="str">
        <f>IF($BA96,"",INDEX(D_MeasurementBasedApproaches!AD$21:AD$400,MATCH($C96,D_MeasurementBasedApproaches!$C$21:$C$400,0)))</f>
        <v/>
      </c>
      <c r="AE96" s="839" t="str">
        <f t="shared" si="19"/>
        <v/>
      </c>
      <c r="AF96" s="840" t="str">
        <f>IF($BA96,"",INDEX(D_MeasurementBasedApproaches!AE$21:AE$400,MATCH($C96,D_MeasurementBasedApproaches!$C$21:$C$400,0)))</f>
        <v/>
      </c>
      <c r="AG96" s="1009"/>
      <c r="AH96" s="1009"/>
      <c r="AI96" s="1009"/>
      <c r="AJ96" s="1009"/>
      <c r="AK96" s="1009"/>
      <c r="AL96" s="1009"/>
      <c r="AM96" s="1009"/>
      <c r="AN96" s="1009"/>
      <c r="AO96" s="1009"/>
      <c r="AP96" s="1009"/>
      <c r="AQ96" s="1009"/>
      <c r="AR96" s="1009"/>
      <c r="AS96" s="1009"/>
      <c r="AT96" s="1009"/>
      <c r="AU96" s="1001" t="str">
        <f>IF($BA96,"",INDEX(D_MeasurementBasedApproaches!AF$21:AF$400,MATCH($C96,D_MeasurementBasedApproaches!$C$21:$C$400,0)))</f>
        <v/>
      </c>
      <c r="AV96" s="1001" t="str">
        <f>IF($BA96,"",INDEX(D_MeasurementBasedApproaches!AG$21:AG$400,MATCH($C96,D_MeasurementBasedApproaches!$C$21:$C$400,0)))</f>
        <v/>
      </c>
      <c r="AW96" s="1001" t="str">
        <f>IF($BA96,"",INDEX(D_MeasurementBasedApproaches!AH$21:AH$400,MATCH($C96,D_MeasurementBasedApproaches!$C$21:$C$400,0)))</f>
        <v/>
      </c>
      <c r="AX96" s="840" t="str">
        <f>IF($BA96,"",INDEX(D_MeasurementBasedApproaches!AI$21:AI$400,MATCH($C96,D_MeasurementBasedApproaches!$C$21:$C$400,0)))</f>
        <v/>
      </c>
      <c r="AY96" s="840" t="str">
        <f>IF($BA96,"",INDEX(D_MeasurementBasedApproaches!AJ$21:AJ$400,MATCH($C96,D_MeasurementBasedApproaches!$C$21:$C$400,0)))</f>
        <v/>
      </c>
      <c r="BA96" s="823" t="b">
        <f>IF(ISERROR(INDEX(D_MeasurementBasedApproaches!$E$21:$E$400,MATCH(C96,D_MeasurementBasedApproaches!$C$21:$C$400,0))),TRUE,INDEX(D_MeasurementBasedApproaches!$E$21:$E$400,MATCH(C96,D_MeasurementBasedApproaches!$C$21:$C$400,0))="")</f>
        <v>1</v>
      </c>
    </row>
    <row r="97" spans="3:53" x14ac:dyDescent="0.2">
      <c r="C97" s="835">
        <v>3</v>
      </c>
      <c r="D97" s="837" t="str">
        <f>IF($BA97,"",INDEX(D_MeasurementBasedApproaches!$E$21:$E$400,MATCH($C97,D_MeasurementBasedApproaches!$C$21:$C$400,0)))</f>
        <v/>
      </c>
      <c r="E97" s="837" t="str">
        <f>IF($BA97,"",INDEX(D_MeasurementBasedApproaches!$G$21:$G$400,MATCH($C97,D_MeasurementBasedApproaches!$C$21:$C$400,0)))</f>
        <v/>
      </c>
      <c r="F97" s="1007"/>
      <c r="G97" s="1008"/>
      <c r="H97" s="1007"/>
      <c r="I97" s="1008"/>
      <c r="J97" s="1007"/>
      <c r="K97" s="1008"/>
      <c r="L97" s="1008"/>
      <c r="M97" s="1008"/>
      <c r="N97" s="1007"/>
      <c r="O97" s="1006"/>
      <c r="P97" s="1007"/>
      <c r="Q97" s="1006"/>
      <c r="R97" s="840" t="str">
        <f>IF($BA97,"",INDEX(D_MeasurementBasedApproaches!Y$21:Y$400,MATCH($C97,D_MeasurementBasedApproaches!$C$21:$C$400,0))*100)</f>
        <v/>
      </c>
      <c r="S97" s="839" t="str">
        <f t="shared" si="14"/>
        <v/>
      </c>
      <c r="T97" s="840" t="str">
        <f>IF($BA97,"",INDEX(D_MeasurementBasedApproaches!Z$21:Z$400,MATCH($C97,D_MeasurementBasedApproaches!$C$21:$C$400,0))*100)</f>
        <v/>
      </c>
      <c r="U97" s="839" t="str">
        <f t="shared" si="14"/>
        <v/>
      </c>
      <c r="V97" s="840" t="str">
        <f>IF($BA97,"",INDEX(D_MeasurementBasedApproaches!X$21:X$400,MATCH($C97,D_MeasurementBasedApproaches!$C$21:$C$400,0)))</f>
        <v/>
      </c>
      <c r="W97" s="839" t="str">
        <f t="shared" si="15"/>
        <v/>
      </c>
      <c r="X97" s="840" t="str">
        <f>IF($BA97,"",INDEX(D_MeasurementBasedApproaches!AA$21:AA$400,MATCH($C97,D_MeasurementBasedApproaches!$C$21:$C$400,0)))</f>
        <v/>
      </c>
      <c r="Y97" s="839" t="str">
        <f t="shared" si="16"/>
        <v/>
      </c>
      <c r="Z97" s="840" t="str">
        <f>IF($BA97,"",INDEX(D_MeasurementBasedApproaches!AB$21:AB$400,MATCH($C97,D_MeasurementBasedApproaches!$C$21:$C$400,0)))</f>
        <v/>
      </c>
      <c r="AA97" s="839" t="str">
        <f t="shared" si="17"/>
        <v/>
      </c>
      <c r="AB97" s="840" t="str">
        <f>IF($BA97,"",INDEX(D_MeasurementBasedApproaches!AC$21:AC$400,MATCH($C97,D_MeasurementBasedApproaches!$C$21:$C$400,0)))</f>
        <v/>
      </c>
      <c r="AC97" s="839" t="str">
        <f t="shared" si="18"/>
        <v/>
      </c>
      <c r="AD97" s="840" t="str">
        <f>IF($BA97,"",INDEX(D_MeasurementBasedApproaches!AD$21:AD$400,MATCH($C97,D_MeasurementBasedApproaches!$C$21:$C$400,0)))</f>
        <v/>
      </c>
      <c r="AE97" s="839" t="str">
        <f t="shared" si="19"/>
        <v/>
      </c>
      <c r="AF97" s="840" t="str">
        <f>IF($BA97,"",INDEX(D_MeasurementBasedApproaches!AE$21:AE$400,MATCH($C97,D_MeasurementBasedApproaches!$C$21:$C$400,0)))</f>
        <v/>
      </c>
      <c r="AG97" s="1009"/>
      <c r="AH97" s="1009"/>
      <c r="AI97" s="1009"/>
      <c r="AJ97" s="1009"/>
      <c r="AK97" s="1009"/>
      <c r="AL97" s="1009"/>
      <c r="AM97" s="1009"/>
      <c r="AN97" s="1009"/>
      <c r="AO97" s="1009"/>
      <c r="AP97" s="1009"/>
      <c r="AQ97" s="1009"/>
      <c r="AR97" s="1009"/>
      <c r="AS97" s="1009"/>
      <c r="AT97" s="1009"/>
      <c r="AU97" s="1001" t="str">
        <f>IF($BA97,"",INDEX(D_MeasurementBasedApproaches!AF$21:AF$400,MATCH($C97,D_MeasurementBasedApproaches!$C$21:$C$400,0)))</f>
        <v/>
      </c>
      <c r="AV97" s="1001" t="str">
        <f>IF($BA97,"",INDEX(D_MeasurementBasedApproaches!AG$21:AG$400,MATCH($C97,D_MeasurementBasedApproaches!$C$21:$C$400,0)))</f>
        <v/>
      </c>
      <c r="AW97" s="1001" t="str">
        <f>IF($BA97,"",INDEX(D_MeasurementBasedApproaches!AH$21:AH$400,MATCH($C97,D_MeasurementBasedApproaches!$C$21:$C$400,0)))</f>
        <v/>
      </c>
      <c r="AX97" s="840" t="str">
        <f>IF($BA97,"",INDEX(D_MeasurementBasedApproaches!AI$21:AI$400,MATCH($C97,D_MeasurementBasedApproaches!$C$21:$C$400,0)))</f>
        <v/>
      </c>
      <c r="AY97" s="840" t="str">
        <f>IF($BA97,"",INDEX(D_MeasurementBasedApproaches!AJ$21:AJ$400,MATCH($C97,D_MeasurementBasedApproaches!$C$21:$C$400,0)))</f>
        <v/>
      </c>
      <c r="BA97" s="823" t="b">
        <f>IF(ISERROR(INDEX(D_MeasurementBasedApproaches!$E$21:$E$400,MATCH(C97,D_MeasurementBasedApproaches!$C$21:$C$400,0))),TRUE,INDEX(D_MeasurementBasedApproaches!$E$21:$E$400,MATCH(C97,D_MeasurementBasedApproaches!$C$21:$C$400,0))="")</f>
        <v>1</v>
      </c>
    </row>
    <row r="98" spans="3:53" x14ac:dyDescent="0.2">
      <c r="C98" s="835">
        <v>4</v>
      </c>
      <c r="D98" s="837" t="str">
        <f>IF($BA98,"",INDEX(D_MeasurementBasedApproaches!$E$21:$E$400,MATCH($C98,D_MeasurementBasedApproaches!$C$21:$C$400,0)))</f>
        <v/>
      </c>
      <c r="E98" s="837" t="str">
        <f>IF($BA98,"",INDEX(D_MeasurementBasedApproaches!$G$21:$G$400,MATCH($C98,D_MeasurementBasedApproaches!$C$21:$C$400,0)))</f>
        <v/>
      </c>
      <c r="F98" s="1007"/>
      <c r="G98" s="1008"/>
      <c r="H98" s="1007"/>
      <c r="I98" s="1008"/>
      <c r="J98" s="1007"/>
      <c r="K98" s="1008"/>
      <c r="L98" s="1008"/>
      <c r="M98" s="1008"/>
      <c r="N98" s="1007"/>
      <c r="O98" s="1006"/>
      <c r="P98" s="1007"/>
      <c r="Q98" s="1006"/>
      <c r="R98" s="840" t="str">
        <f>IF($BA98,"",INDEX(D_MeasurementBasedApproaches!Y$21:Y$400,MATCH($C98,D_MeasurementBasedApproaches!$C$21:$C$400,0))*100)</f>
        <v/>
      </c>
      <c r="S98" s="839" t="str">
        <f t="shared" si="14"/>
        <v/>
      </c>
      <c r="T98" s="840" t="str">
        <f>IF($BA98,"",INDEX(D_MeasurementBasedApproaches!Z$21:Z$400,MATCH($C98,D_MeasurementBasedApproaches!$C$21:$C$400,0))*100)</f>
        <v/>
      </c>
      <c r="U98" s="839" t="str">
        <f t="shared" si="14"/>
        <v/>
      </c>
      <c r="V98" s="840" t="str">
        <f>IF($BA98,"",INDEX(D_MeasurementBasedApproaches!X$21:X$400,MATCH($C98,D_MeasurementBasedApproaches!$C$21:$C$400,0)))</f>
        <v/>
      </c>
      <c r="W98" s="839" t="str">
        <f t="shared" si="15"/>
        <v/>
      </c>
      <c r="X98" s="840" t="str">
        <f>IF($BA98,"",INDEX(D_MeasurementBasedApproaches!AA$21:AA$400,MATCH($C98,D_MeasurementBasedApproaches!$C$21:$C$400,0)))</f>
        <v/>
      </c>
      <c r="Y98" s="839" t="str">
        <f t="shared" si="16"/>
        <v/>
      </c>
      <c r="Z98" s="840" t="str">
        <f>IF($BA98,"",INDEX(D_MeasurementBasedApproaches!AB$21:AB$400,MATCH($C98,D_MeasurementBasedApproaches!$C$21:$C$400,0)))</f>
        <v/>
      </c>
      <c r="AA98" s="839" t="str">
        <f t="shared" si="17"/>
        <v/>
      </c>
      <c r="AB98" s="840" t="str">
        <f>IF($BA98,"",INDEX(D_MeasurementBasedApproaches!AC$21:AC$400,MATCH($C98,D_MeasurementBasedApproaches!$C$21:$C$400,0)))</f>
        <v/>
      </c>
      <c r="AC98" s="839" t="str">
        <f t="shared" si="18"/>
        <v/>
      </c>
      <c r="AD98" s="840" t="str">
        <f>IF($BA98,"",INDEX(D_MeasurementBasedApproaches!AD$21:AD$400,MATCH($C98,D_MeasurementBasedApproaches!$C$21:$C$400,0)))</f>
        <v/>
      </c>
      <c r="AE98" s="839" t="str">
        <f t="shared" si="19"/>
        <v/>
      </c>
      <c r="AF98" s="840" t="str">
        <f>IF($BA98,"",INDEX(D_MeasurementBasedApproaches!AE$21:AE$400,MATCH($C98,D_MeasurementBasedApproaches!$C$21:$C$400,0)))</f>
        <v/>
      </c>
      <c r="AG98" s="1009"/>
      <c r="AH98" s="1009"/>
      <c r="AI98" s="1009"/>
      <c r="AJ98" s="1009"/>
      <c r="AK98" s="1009"/>
      <c r="AL98" s="1009"/>
      <c r="AM98" s="1009"/>
      <c r="AN98" s="1009"/>
      <c r="AO98" s="1009"/>
      <c r="AP98" s="1009"/>
      <c r="AQ98" s="1009"/>
      <c r="AR98" s="1009"/>
      <c r="AS98" s="1009"/>
      <c r="AT98" s="1009"/>
      <c r="AU98" s="1001" t="str">
        <f>IF($BA98,"",INDEX(D_MeasurementBasedApproaches!AF$21:AF$400,MATCH($C98,D_MeasurementBasedApproaches!$C$21:$C$400,0)))</f>
        <v/>
      </c>
      <c r="AV98" s="1001" t="str">
        <f>IF($BA98,"",INDEX(D_MeasurementBasedApproaches!AG$21:AG$400,MATCH($C98,D_MeasurementBasedApproaches!$C$21:$C$400,0)))</f>
        <v/>
      </c>
      <c r="AW98" s="1001" t="str">
        <f>IF($BA98,"",INDEX(D_MeasurementBasedApproaches!AH$21:AH$400,MATCH($C98,D_MeasurementBasedApproaches!$C$21:$C$400,0)))</f>
        <v/>
      </c>
      <c r="AX98" s="840" t="str">
        <f>IF($BA98,"",INDEX(D_MeasurementBasedApproaches!AI$21:AI$400,MATCH($C98,D_MeasurementBasedApproaches!$C$21:$C$400,0)))</f>
        <v/>
      </c>
      <c r="AY98" s="840" t="str">
        <f>IF($BA98,"",INDEX(D_MeasurementBasedApproaches!AJ$21:AJ$400,MATCH($C98,D_MeasurementBasedApproaches!$C$21:$C$400,0)))</f>
        <v/>
      </c>
      <c r="BA98" s="823" t="b">
        <f>IF(ISERROR(INDEX(D_MeasurementBasedApproaches!$E$21:$E$400,MATCH(C98,D_MeasurementBasedApproaches!$C$21:$C$400,0))),TRUE,INDEX(D_MeasurementBasedApproaches!$E$21:$E$400,MATCH(C98,D_MeasurementBasedApproaches!$C$21:$C$400,0))="")</f>
        <v>1</v>
      </c>
    </row>
    <row r="99" spans="3:53" x14ac:dyDescent="0.2">
      <c r="C99" s="835">
        <v>5</v>
      </c>
      <c r="D99" s="837" t="str">
        <f>IF($BA99,"",INDEX(D_MeasurementBasedApproaches!$E$21:$E$400,MATCH($C99,D_MeasurementBasedApproaches!$C$21:$C$400,0)))</f>
        <v/>
      </c>
      <c r="E99" s="837" t="str">
        <f>IF($BA99,"",INDEX(D_MeasurementBasedApproaches!$G$21:$G$400,MATCH($C99,D_MeasurementBasedApproaches!$C$21:$C$400,0)))</f>
        <v/>
      </c>
      <c r="F99" s="1007"/>
      <c r="G99" s="1008"/>
      <c r="H99" s="1007"/>
      <c r="I99" s="1008"/>
      <c r="J99" s="1007"/>
      <c r="K99" s="1008"/>
      <c r="L99" s="1008"/>
      <c r="M99" s="1008"/>
      <c r="N99" s="1007"/>
      <c r="O99" s="1006"/>
      <c r="P99" s="1007"/>
      <c r="Q99" s="1006"/>
      <c r="R99" s="840" t="str">
        <f>IF($BA99,"",INDEX(D_MeasurementBasedApproaches!Y$21:Y$400,MATCH($C99,D_MeasurementBasedApproaches!$C$21:$C$400,0))*100)</f>
        <v/>
      </c>
      <c r="S99" s="839" t="str">
        <f t="shared" si="14"/>
        <v/>
      </c>
      <c r="T99" s="840" t="str">
        <f>IF($BA99,"",INDEX(D_MeasurementBasedApproaches!Z$21:Z$400,MATCH($C99,D_MeasurementBasedApproaches!$C$21:$C$400,0))*100)</f>
        <v/>
      </c>
      <c r="U99" s="839" t="str">
        <f t="shared" si="14"/>
        <v/>
      </c>
      <c r="V99" s="840" t="str">
        <f>IF($BA99,"",INDEX(D_MeasurementBasedApproaches!X$21:X$400,MATCH($C99,D_MeasurementBasedApproaches!$C$21:$C$400,0)))</f>
        <v/>
      </c>
      <c r="W99" s="839" t="str">
        <f t="shared" si="15"/>
        <v/>
      </c>
      <c r="X99" s="840" t="str">
        <f>IF($BA99,"",INDEX(D_MeasurementBasedApproaches!AA$21:AA$400,MATCH($C99,D_MeasurementBasedApproaches!$C$21:$C$400,0)))</f>
        <v/>
      </c>
      <c r="Y99" s="839" t="str">
        <f t="shared" si="16"/>
        <v/>
      </c>
      <c r="Z99" s="840" t="str">
        <f>IF($BA99,"",INDEX(D_MeasurementBasedApproaches!AB$21:AB$400,MATCH($C99,D_MeasurementBasedApproaches!$C$21:$C$400,0)))</f>
        <v/>
      </c>
      <c r="AA99" s="839" t="str">
        <f t="shared" si="17"/>
        <v/>
      </c>
      <c r="AB99" s="840" t="str">
        <f>IF($BA99,"",INDEX(D_MeasurementBasedApproaches!AC$21:AC$400,MATCH($C99,D_MeasurementBasedApproaches!$C$21:$C$400,0)))</f>
        <v/>
      </c>
      <c r="AC99" s="839" t="str">
        <f t="shared" si="18"/>
        <v/>
      </c>
      <c r="AD99" s="840" t="str">
        <f>IF($BA99,"",INDEX(D_MeasurementBasedApproaches!AD$21:AD$400,MATCH($C99,D_MeasurementBasedApproaches!$C$21:$C$400,0)))</f>
        <v/>
      </c>
      <c r="AE99" s="839" t="str">
        <f t="shared" si="19"/>
        <v/>
      </c>
      <c r="AF99" s="840" t="str">
        <f>IF($BA99,"",INDEX(D_MeasurementBasedApproaches!AE$21:AE$400,MATCH($C99,D_MeasurementBasedApproaches!$C$21:$C$400,0)))</f>
        <v/>
      </c>
      <c r="AG99" s="1009"/>
      <c r="AH99" s="1009"/>
      <c r="AI99" s="1009"/>
      <c r="AJ99" s="1009"/>
      <c r="AK99" s="1009"/>
      <c r="AL99" s="1009"/>
      <c r="AM99" s="1009"/>
      <c r="AN99" s="1009"/>
      <c r="AO99" s="1009"/>
      <c r="AP99" s="1009"/>
      <c r="AQ99" s="1009"/>
      <c r="AR99" s="1009"/>
      <c r="AS99" s="1009"/>
      <c r="AT99" s="1009"/>
      <c r="AU99" s="1001" t="str">
        <f>IF($BA99,"",INDEX(D_MeasurementBasedApproaches!AF$21:AF$400,MATCH($C99,D_MeasurementBasedApproaches!$C$21:$C$400,0)))</f>
        <v/>
      </c>
      <c r="AV99" s="1001" t="str">
        <f>IF($BA99,"",INDEX(D_MeasurementBasedApproaches!AG$21:AG$400,MATCH($C99,D_MeasurementBasedApproaches!$C$21:$C$400,0)))</f>
        <v/>
      </c>
      <c r="AW99" s="1001" t="str">
        <f>IF($BA99,"",INDEX(D_MeasurementBasedApproaches!AH$21:AH$400,MATCH($C99,D_MeasurementBasedApproaches!$C$21:$C$400,0)))</f>
        <v/>
      </c>
      <c r="AX99" s="840" t="str">
        <f>IF($BA99,"",INDEX(D_MeasurementBasedApproaches!AI$21:AI$400,MATCH($C99,D_MeasurementBasedApproaches!$C$21:$C$400,0)))</f>
        <v/>
      </c>
      <c r="AY99" s="840" t="str">
        <f>IF($BA99,"",INDEX(D_MeasurementBasedApproaches!AJ$21:AJ$400,MATCH($C99,D_MeasurementBasedApproaches!$C$21:$C$400,0)))</f>
        <v/>
      </c>
      <c r="BA99" s="823" t="b">
        <f>IF(ISERROR(INDEX(D_MeasurementBasedApproaches!$E$21:$E$400,MATCH(C99,D_MeasurementBasedApproaches!$C$21:$C$400,0))),TRUE,INDEX(D_MeasurementBasedApproaches!$E$21:$E$400,MATCH(C99,D_MeasurementBasedApproaches!$C$21:$C$400,0))="")</f>
        <v>1</v>
      </c>
    </row>
    <row r="100" spans="3:53" x14ac:dyDescent="0.2">
      <c r="C100" s="835">
        <v>6</v>
      </c>
      <c r="D100" s="837" t="str">
        <f>IF($BA100,"",INDEX(D_MeasurementBasedApproaches!$E$21:$E$400,MATCH($C100,D_MeasurementBasedApproaches!$C$21:$C$400,0)))</f>
        <v/>
      </c>
      <c r="E100" s="837" t="str">
        <f>IF($BA100,"",INDEX(D_MeasurementBasedApproaches!$G$21:$G$400,MATCH($C100,D_MeasurementBasedApproaches!$C$21:$C$400,0)))</f>
        <v/>
      </c>
      <c r="F100" s="1007"/>
      <c r="G100" s="1008"/>
      <c r="H100" s="1007"/>
      <c r="I100" s="1008"/>
      <c r="J100" s="1007"/>
      <c r="K100" s="1008"/>
      <c r="L100" s="1008"/>
      <c r="M100" s="1008"/>
      <c r="N100" s="1007"/>
      <c r="O100" s="1006"/>
      <c r="P100" s="1007"/>
      <c r="Q100" s="1006"/>
      <c r="R100" s="840" t="str">
        <f>IF($BA100,"",INDEX(D_MeasurementBasedApproaches!Y$21:Y$400,MATCH($C100,D_MeasurementBasedApproaches!$C$21:$C$400,0))*100)</f>
        <v/>
      </c>
      <c r="S100" s="839" t="str">
        <f t="shared" si="14"/>
        <v/>
      </c>
      <c r="T100" s="840" t="str">
        <f>IF($BA100,"",INDEX(D_MeasurementBasedApproaches!Z$21:Z$400,MATCH($C100,D_MeasurementBasedApproaches!$C$21:$C$400,0))*100)</f>
        <v/>
      </c>
      <c r="U100" s="839" t="str">
        <f t="shared" si="14"/>
        <v/>
      </c>
      <c r="V100" s="840" t="str">
        <f>IF($BA100,"",INDEX(D_MeasurementBasedApproaches!X$21:X$400,MATCH($C100,D_MeasurementBasedApproaches!$C$21:$C$400,0)))</f>
        <v/>
      </c>
      <c r="W100" s="839" t="str">
        <f t="shared" si="15"/>
        <v/>
      </c>
      <c r="X100" s="840" t="str">
        <f>IF($BA100,"",INDEX(D_MeasurementBasedApproaches!AA$21:AA$400,MATCH($C100,D_MeasurementBasedApproaches!$C$21:$C$400,0)))</f>
        <v/>
      </c>
      <c r="Y100" s="839" t="str">
        <f t="shared" si="16"/>
        <v/>
      </c>
      <c r="Z100" s="840" t="str">
        <f>IF($BA100,"",INDEX(D_MeasurementBasedApproaches!AB$21:AB$400,MATCH($C100,D_MeasurementBasedApproaches!$C$21:$C$400,0)))</f>
        <v/>
      </c>
      <c r="AA100" s="839" t="str">
        <f t="shared" si="17"/>
        <v/>
      </c>
      <c r="AB100" s="840" t="str">
        <f>IF($BA100,"",INDEX(D_MeasurementBasedApproaches!AC$21:AC$400,MATCH($C100,D_MeasurementBasedApproaches!$C$21:$C$400,0)))</f>
        <v/>
      </c>
      <c r="AC100" s="839" t="str">
        <f t="shared" si="18"/>
        <v/>
      </c>
      <c r="AD100" s="840" t="str">
        <f>IF($BA100,"",INDEX(D_MeasurementBasedApproaches!AD$21:AD$400,MATCH($C100,D_MeasurementBasedApproaches!$C$21:$C$400,0)))</f>
        <v/>
      </c>
      <c r="AE100" s="839" t="str">
        <f t="shared" si="19"/>
        <v/>
      </c>
      <c r="AF100" s="840" t="str">
        <f>IF($BA100,"",INDEX(D_MeasurementBasedApproaches!AE$21:AE$400,MATCH($C100,D_MeasurementBasedApproaches!$C$21:$C$400,0)))</f>
        <v/>
      </c>
      <c r="AG100" s="1009"/>
      <c r="AH100" s="1009"/>
      <c r="AI100" s="1009"/>
      <c r="AJ100" s="1009"/>
      <c r="AK100" s="1009"/>
      <c r="AL100" s="1009"/>
      <c r="AM100" s="1009"/>
      <c r="AN100" s="1009"/>
      <c r="AO100" s="1009"/>
      <c r="AP100" s="1009"/>
      <c r="AQ100" s="1009"/>
      <c r="AR100" s="1009"/>
      <c r="AS100" s="1009"/>
      <c r="AT100" s="1009"/>
      <c r="AU100" s="1001" t="str">
        <f>IF($BA100,"",INDEX(D_MeasurementBasedApproaches!AF$21:AF$400,MATCH($C100,D_MeasurementBasedApproaches!$C$21:$C$400,0)))</f>
        <v/>
      </c>
      <c r="AV100" s="1001" t="str">
        <f>IF($BA100,"",INDEX(D_MeasurementBasedApproaches!AG$21:AG$400,MATCH($C100,D_MeasurementBasedApproaches!$C$21:$C$400,0)))</f>
        <v/>
      </c>
      <c r="AW100" s="1001" t="str">
        <f>IF($BA100,"",INDEX(D_MeasurementBasedApproaches!AH$21:AH$400,MATCH($C100,D_MeasurementBasedApproaches!$C$21:$C$400,0)))</f>
        <v/>
      </c>
      <c r="AX100" s="840" t="str">
        <f>IF($BA100,"",INDEX(D_MeasurementBasedApproaches!AI$21:AI$400,MATCH($C100,D_MeasurementBasedApproaches!$C$21:$C$400,0)))</f>
        <v/>
      </c>
      <c r="AY100" s="840" t="str">
        <f>IF($BA100,"",INDEX(D_MeasurementBasedApproaches!AJ$21:AJ$400,MATCH($C100,D_MeasurementBasedApproaches!$C$21:$C$400,0)))</f>
        <v/>
      </c>
      <c r="BA100" s="823" t="b">
        <f>IF(ISERROR(INDEX(D_MeasurementBasedApproaches!$E$21:$E$400,MATCH(C100,D_MeasurementBasedApproaches!$C$21:$C$400,0))),TRUE,INDEX(D_MeasurementBasedApproaches!$E$21:$E$400,MATCH(C100,D_MeasurementBasedApproaches!$C$21:$C$400,0))="")</f>
        <v>1</v>
      </c>
    </row>
    <row r="101" spans="3:53" x14ac:dyDescent="0.2">
      <c r="C101" s="835">
        <v>7</v>
      </c>
      <c r="D101" s="837" t="str">
        <f>IF($BA101,"",INDEX(D_MeasurementBasedApproaches!$E$21:$E$400,MATCH($C101,D_MeasurementBasedApproaches!$C$21:$C$400,0)))</f>
        <v/>
      </c>
      <c r="E101" s="837" t="str">
        <f>IF($BA101,"",INDEX(D_MeasurementBasedApproaches!$G$21:$G$400,MATCH($C101,D_MeasurementBasedApproaches!$C$21:$C$400,0)))</f>
        <v/>
      </c>
      <c r="F101" s="1007"/>
      <c r="G101" s="1008"/>
      <c r="H101" s="1007"/>
      <c r="I101" s="1008"/>
      <c r="J101" s="1007"/>
      <c r="K101" s="1008"/>
      <c r="L101" s="1008"/>
      <c r="M101" s="1008"/>
      <c r="N101" s="1007"/>
      <c r="O101" s="1006"/>
      <c r="P101" s="1007"/>
      <c r="Q101" s="1006"/>
      <c r="R101" s="840" t="str">
        <f>IF($BA101,"",INDEX(D_MeasurementBasedApproaches!Y$21:Y$400,MATCH($C101,D_MeasurementBasedApproaches!$C$21:$C$400,0))*100)</f>
        <v/>
      </c>
      <c r="S101" s="839" t="str">
        <f t="shared" si="14"/>
        <v/>
      </c>
      <c r="T101" s="840" t="str">
        <f>IF($BA101,"",INDEX(D_MeasurementBasedApproaches!Z$21:Z$400,MATCH($C101,D_MeasurementBasedApproaches!$C$21:$C$400,0))*100)</f>
        <v/>
      </c>
      <c r="U101" s="839" t="str">
        <f t="shared" si="14"/>
        <v/>
      </c>
      <c r="V101" s="840" t="str">
        <f>IF($BA101,"",INDEX(D_MeasurementBasedApproaches!X$21:X$400,MATCH($C101,D_MeasurementBasedApproaches!$C$21:$C$400,0)))</f>
        <v/>
      </c>
      <c r="W101" s="839" t="str">
        <f t="shared" si="15"/>
        <v/>
      </c>
      <c r="X101" s="840" t="str">
        <f>IF($BA101,"",INDEX(D_MeasurementBasedApproaches!AA$21:AA$400,MATCH($C101,D_MeasurementBasedApproaches!$C$21:$C$400,0)))</f>
        <v/>
      </c>
      <c r="Y101" s="839" t="str">
        <f t="shared" si="16"/>
        <v/>
      </c>
      <c r="Z101" s="840" t="str">
        <f>IF($BA101,"",INDEX(D_MeasurementBasedApproaches!AB$21:AB$400,MATCH($C101,D_MeasurementBasedApproaches!$C$21:$C$400,0)))</f>
        <v/>
      </c>
      <c r="AA101" s="839" t="str">
        <f t="shared" si="17"/>
        <v/>
      </c>
      <c r="AB101" s="840" t="str">
        <f>IF($BA101,"",INDEX(D_MeasurementBasedApproaches!AC$21:AC$400,MATCH($C101,D_MeasurementBasedApproaches!$C$21:$C$400,0)))</f>
        <v/>
      </c>
      <c r="AC101" s="839" t="str">
        <f t="shared" si="18"/>
        <v/>
      </c>
      <c r="AD101" s="840" t="str">
        <f>IF($BA101,"",INDEX(D_MeasurementBasedApproaches!AD$21:AD$400,MATCH($C101,D_MeasurementBasedApproaches!$C$21:$C$400,0)))</f>
        <v/>
      </c>
      <c r="AE101" s="839" t="str">
        <f t="shared" si="19"/>
        <v/>
      </c>
      <c r="AF101" s="840" t="str">
        <f>IF($BA101,"",INDEX(D_MeasurementBasedApproaches!AE$21:AE$400,MATCH($C101,D_MeasurementBasedApproaches!$C$21:$C$400,0)))</f>
        <v/>
      </c>
      <c r="AG101" s="1009"/>
      <c r="AH101" s="1009"/>
      <c r="AI101" s="1009"/>
      <c r="AJ101" s="1009"/>
      <c r="AK101" s="1009"/>
      <c r="AL101" s="1009"/>
      <c r="AM101" s="1009"/>
      <c r="AN101" s="1009"/>
      <c r="AO101" s="1009"/>
      <c r="AP101" s="1009"/>
      <c r="AQ101" s="1009"/>
      <c r="AR101" s="1009"/>
      <c r="AS101" s="1009"/>
      <c r="AT101" s="1009"/>
      <c r="AU101" s="1001" t="str">
        <f>IF($BA101,"",INDEX(D_MeasurementBasedApproaches!AF$21:AF$400,MATCH($C101,D_MeasurementBasedApproaches!$C$21:$C$400,0)))</f>
        <v/>
      </c>
      <c r="AV101" s="1001" t="str">
        <f>IF($BA101,"",INDEX(D_MeasurementBasedApproaches!AG$21:AG$400,MATCH($C101,D_MeasurementBasedApproaches!$C$21:$C$400,0)))</f>
        <v/>
      </c>
      <c r="AW101" s="1001" t="str">
        <f>IF($BA101,"",INDEX(D_MeasurementBasedApproaches!AH$21:AH$400,MATCH($C101,D_MeasurementBasedApproaches!$C$21:$C$400,0)))</f>
        <v/>
      </c>
      <c r="AX101" s="840" t="str">
        <f>IF($BA101,"",INDEX(D_MeasurementBasedApproaches!AI$21:AI$400,MATCH($C101,D_MeasurementBasedApproaches!$C$21:$C$400,0)))</f>
        <v/>
      </c>
      <c r="AY101" s="840" t="str">
        <f>IF($BA101,"",INDEX(D_MeasurementBasedApproaches!AJ$21:AJ$400,MATCH($C101,D_MeasurementBasedApproaches!$C$21:$C$400,0)))</f>
        <v/>
      </c>
      <c r="BA101" s="823" t="b">
        <f>IF(ISERROR(INDEX(D_MeasurementBasedApproaches!$E$21:$E$400,MATCH(C101,D_MeasurementBasedApproaches!$C$21:$C$400,0))),TRUE,INDEX(D_MeasurementBasedApproaches!$E$21:$E$400,MATCH(C101,D_MeasurementBasedApproaches!$C$21:$C$400,0))="")</f>
        <v>1</v>
      </c>
    </row>
    <row r="102" spans="3:53" x14ac:dyDescent="0.2">
      <c r="C102" s="835">
        <v>8</v>
      </c>
      <c r="D102" s="837" t="str">
        <f>IF($BA102,"",INDEX(D_MeasurementBasedApproaches!$E$21:$E$400,MATCH($C102,D_MeasurementBasedApproaches!$C$21:$C$400,0)))</f>
        <v/>
      </c>
      <c r="E102" s="837" t="str">
        <f>IF($BA102,"",INDEX(D_MeasurementBasedApproaches!$G$21:$G$400,MATCH($C102,D_MeasurementBasedApproaches!$C$21:$C$400,0)))</f>
        <v/>
      </c>
      <c r="F102" s="1007"/>
      <c r="G102" s="1008"/>
      <c r="H102" s="1007"/>
      <c r="I102" s="1008"/>
      <c r="J102" s="1007"/>
      <c r="K102" s="1008"/>
      <c r="L102" s="1008"/>
      <c r="M102" s="1008"/>
      <c r="N102" s="1007"/>
      <c r="O102" s="1006"/>
      <c r="P102" s="1007"/>
      <c r="Q102" s="1006"/>
      <c r="R102" s="840" t="str">
        <f>IF($BA102,"",INDEX(D_MeasurementBasedApproaches!Y$21:Y$400,MATCH($C102,D_MeasurementBasedApproaches!$C$21:$C$400,0))*100)</f>
        <v/>
      </c>
      <c r="S102" s="839" t="str">
        <f t="shared" si="14"/>
        <v/>
      </c>
      <c r="T102" s="840" t="str">
        <f>IF($BA102,"",INDEX(D_MeasurementBasedApproaches!Z$21:Z$400,MATCH($C102,D_MeasurementBasedApproaches!$C$21:$C$400,0))*100)</f>
        <v/>
      </c>
      <c r="U102" s="839" t="str">
        <f t="shared" si="14"/>
        <v/>
      </c>
      <c r="V102" s="840" t="str">
        <f>IF($BA102,"",INDEX(D_MeasurementBasedApproaches!X$21:X$400,MATCH($C102,D_MeasurementBasedApproaches!$C$21:$C$400,0)))</f>
        <v/>
      </c>
      <c r="W102" s="839" t="str">
        <f t="shared" si="15"/>
        <v/>
      </c>
      <c r="X102" s="840" t="str">
        <f>IF($BA102,"",INDEX(D_MeasurementBasedApproaches!AA$21:AA$400,MATCH($C102,D_MeasurementBasedApproaches!$C$21:$C$400,0)))</f>
        <v/>
      </c>
      <c r="Y102" s="839" t="str">
        <f t="shared" si="16"/>
        <v/>
      </c>
      <c r="Z102" s="840" t="str">
        <f>IF($BA102,"",INDEX(D_MeasurementBasedApproaches!AB$21:AB$400,MATCH($C102,D_MeasurementBasedApproaches!$C$21:$C$400,0)))</f>
        <v/>
      </c>
      <c r="AA102" s="839" t="str">
        <f t="shared" si="17"/>
        <v/>
      </c>
      <c r="AB102" s="840" t="str">
        <f>IF($BA102,"",INDEX(D_MeasurementBasedApproaches!AC$21:AC$400,MATCH($C102,D_MeasurementBasedApproaches!$C$21:$C$400,0)))</f>
        <v/>
      </c>
      <c r="AC102" s="839" t="str">
        <f t="shared" si="18"/>
        <v/>
      </c>
      <c r="AD102" s="840" t="str">
        <f>IF($BA102,"",INDEX(D_MeasurementBasedApproaches!AD$21:AD$400,MATCH($C102,D_MeasurementBasedApproaches!$C$21:$C$400,0)))</f>
        <v/>
      </c>
      <c r="AE102" s="839" t="str">
        <f t="shared" si="19"/>
        <v/>
      </c>
      <c r="AF102" s="840" t="str">
        <f>IF($BA102,"",INDEX(D_MeasurementBasedApproaches!AE$21:AE$400,MATCH($C102,D_MeasurementBasedApproaches!$C$21:$C$400,0)))</f>
        <v/>
      </c>
      <c r="AG102" s="1009"/>
      <c r="AH102" s="1009"/>
      <c r="AI102" s="1009"/>
      <c r="AJ102" s="1009"/>
      <c r="AK102" s="1009"/>
      <c r="AL102" s="1009"/>
      <c r="AM102" s="1009"/>
      <c r="AN102" s="1009"/>
      <c r="AO102" s="1009"/>
      <c r="AP102" s="1009"/>
      <c r="AQ102" s="1009"/>
      <c r="AR102" s="1009"/>
      <c r="AS102" s="1009"/>
      <c r="AT102" s="1009"/>
      <c r="AU102" s="1001" t="str">
        <f>IF($BA102,"",INDEX(D_MeasurementBasedApproaches!AF$21:AF$400,MATCH($C102,D_MeasurementBasedApproaches!$C$21:$C$400,0)))</f>
        <v/>
      </c>
      <c r="AV102" s="1001" t="str">
        <f>IF($BA102,"",INDEX(D_MeasurementBasedApproaches!AG$21:AG$400,MATCH($C102,D_MeasurementBasedApproaches!$C$21:$C$400,0)))</f>
        <v/>
      </c>
      <c r="AW102" s="1001" t="str">
        <f>IF($BA102,"",INDEX(D_MeasurementBasedApproaches!AH$21:AH$400,MATCH($C102,D_MeasurementBasedApproaches!$C$21:$C$400,0)))</f>
        <v/>
      </c>
      <c r="AX102" s="840" t="str">
        <f>IF($BA102,"",INDEX(D_MeasurementBasedApproaches!AI$21:AI$400,MATCH($C102,D_MeasurementBasedApproaches!$C$21:$C$400,0)))</f>
        <v/>
      </c>
      <c r="AY102" s="840" t="str">
        <f>IF($BA102,"",INDEX(D_MeasurementBasedApproaches!AJ$21:AJ$400,MATCH($C102,D_MeasurementBasedApproaches!$C$21:$C$400,0)))</f>
        <v/>
      </c>
      <c r="BA102" s="823" t="b">
        <f>IF(ISERROR(INDEX(D_MeasurementBasedApproaches!$E$21:$E$400,MATCH(C102,D_MeasurementBasedApproaches!$C$21:$C$400,0))),TRUE,INDEX(D_MeasurementBasedApproaches!$E$21:$E$400,MATCH(C102,D_MeasurementBasedApproaches!$C$21:$C$400,0))="")</f>
        <v>1</v>
      </c>
    </row>
    <row r="103" spans="3:53" x14ac:dyDescent="0.2">
      <c r="C103" s="835">
        <v>9</v>
      </c>
      <c r="D103" s="837" t="str">
        <f>IF($BA103,"",INDEX(D_MeasurementBasedApproaches!$E$21:$E$400,MATCH($C103,D_MeasurementBasedApproaches!$C$21:$C$400,0)))</f>
        <v/>
      </c>
      <c r="E103" s="837" t="str">
        <f>IF($BA103,"",INDEX(D_MeasurementBasedApproaches!$G$21:$G$400,MATCH($C103,D_MeasurementBasedApproaches!$C$21:$C$400,0)))</f>
        <v/>
      </c>
      <c r="F103" s="1007"/>
      <c r="G103" s="1008"/>
      <c r="H103" s="1007"/>
      <c r="I103" s="1008"/>
      <c r="J103" s="1007"/>
      <c r="K103" s="1008"/>
      <c r="L103" s="1008"/>
      <c r="M103" s="1008"/>
      <c r="N103" s="1007"/>
      <c r="O103" s="1006"/>
      <c r="P103" s="1007"/>
      <c r="Q103" s="1006"/>
      <c r="R103" s="840" t="str">
        <f>IF($BA103,"",INDEX(D_MeasurementBasedApproaches!Y$21:Y$400,MATCH($C103,D_MeasurementBasedApproaches!$C$21:$C$400,0))*100)</f>
        <v/>
      </c>
      <c r="S103" s="839" t="str">
        <f t="shared" si="14"/>
        <v/>
      </c>
      <c r="T103" s="840" t="str">
        <f>IF($BA103,"",INDEX(D_MeasurementBasedApproaches!Z$21:Z$400,MATCH($C103,D_MeasurementBasedApproaches!$C$21:$C$400,0))*100)</f>
        <v/>
      </c>
      <c r="U103" s="839" t="str">
        <f t="shared" si="14"/>
        <v/>
      </c>
      <c r="V103" s="840" t="str">
        <f>IF($BA103,"",INDEX(D_MeasurementBasedApproaches!X$21:X$400,MATCH($C103,D_MeasurementBasedApproaches!$C$21:$C$400,0)))</f>
        <v/>
      </c>
      <c r="W103" s="839" t="str">
        <f t="shared" si="15"/>
        <v/>
      </c>
      <c r="X103" s="840" t="str">
        <f>IF($BA103,"",INDEX(D_MeasurementBasedApproaches!AA$21:AA$400,MATCH($C103,D_MeasurementBasedApproaches!$C$21:$C$400,0)))</f>
        <v/>
      </c>
      <c r="Y103" s="839" t="str">
        <f t="shared" si="16"/>
        <v/>
      </c>
      <c r="Z103" s="840" t="str">
        <f>IF($BA103,"",INDEX(D_MeasurementBasedApproaches!AB$21:AB$400,MATCH($C103,D_MeasurementBasedApproaches!$C$21:$C$400,0)))</f>
        <v/>
      </c>
      <c r="AA103" s="839" t="str">
        <f t="shared" si="17"/>
        <v/>
      </c>
      <c r="AB103" s="840" t="str">
        <f>IF($BA103,"",INDEX(D_MeasurementBasedApproaches!AC$21:AC$400,MATCH($C103,D_MeasurementBasedApproaches!$C$21:$C$400,0)))</f>
        <v/>
      </c>
      <c r="AC103" s="839" t="str">
        <f t="shared" si="18"/>
        <v/>
      </c>
      <c r="AD103" s="840" t="str">
        <f>IF($BA103,"",INDEX(D_MeasurementBasedApproaches!AD$21:AD$400,MATCH($C103,D_MeasurementBasedApproaches!$C$21:$C$400,0)))</f>
        <v/>
      </c>
      <c r="AE103" s="839" t="str">
        <f t="shared" si="19"/>
        <v/>
      </c>
      <c r="AF103" s="840" t="str">
        <f>IF($BA103,"",INDEX(D_MeasurementBasedApproaches!AE$21:AE$400,MATCH($C103,D_MeasurementBasedApproaches!$C$21:$C$400,0)))</f>
        <v/>
      </c>
      <c r="AG103" s="1009"/>
      <c r="AH103" s="1009"/>
      <c r="AI103" s="1009"/>
      <c r="AJ103" s="1009"/>
      <c r="AK103" s="1009"/>
      <c r="AL103" s="1009"/>
      <c r="AM103" s="1009"/>
      <c r="AN103" s="1009"/>
      <c r="AO103" s="1009"/>
      <c r="AP103" s="1009"/>
      <c r="AQ103" s="1009"/>
      <c r="AR103" s="1009"/>
      <c r="AS103" s="1009"/>
      <c r="AT103" s="1009"/>
      <c r="AU103" s="1001" t="str">
        <f>IF($BA103,"",INDEX(D_MeasurementBasedApproaches!AF$21:AF$400,MATCH($C103,D_MeasurementBasedApproaches!$C$21:$C$400,0)))</f>
        <v/>
      </c>
      <c r="AV103" s="1001" t="str">
        <f>IF($BA103,"",INDEX(D_MeasurementBasedApproaches!AG$21:AG$400,MATCH($C103,D_MeasurementBasedApproaches!$C$21:$C$400,0)))</f>
        <v/>
      </c>
      <c r="AW103" s="1001" t="str">
        <f>IF($BA103,"",INDEX(D_MeasurementBasedApproaches!AH$21:AH$400,MATCH($C103,D_MeasurementBasedApproaches!$C$21:$C$400,0)))</f>
        <v/>
      </c>
      <c r="AX103" s="840" t="str">
        <f>IF($BA103,"",INDEX(D_MeasurementBasedApproaches!AI$21:AI$400,MATCH($C103,D_MeasurementBasedApproaches!$C$21:$C$400,0)))</f>
        <v/>
      </c>
      <c r="AY103" s="840" t="str">
        <f>IF($BA103,"",INDEX(D_MeasurementBasedApproaches!AJ$21:AJ$400,MATCH($C103,D_MeasurementBasedApproaches!$C$21:$C$400,0)))</f>
        <v/>
      </c>
      <c r="BA103" s="823" t="b">
        <f>IF(ISERROR(INDEX(D_MeasurementBasedApproaches!$E$21:$E$400,MATCH(C103,D_MeasurementBasedApproaches!$C$21:$C$400,0))),TRUE,INDEX(D_MeasurementBasedApproaches!$E$21:$E$400,MATCH(C103,D_MeasurementBasedApproaches!$C$21:$C$400,0))="")</f>
        <v>1</v>
      </c>
    </row>
    <row r="104" spans="3:53" x14ac:dyDescent="0.2">
      <c r="C104" s="835">
        <v>10</v>
      </c>
      <c r="D104" s="837" t="str">
        <f>IF($BA104,"",INDEX(D_MeasurementBasedApproaches!$E$21:$E$400,MATCH($C104,D_MeasurementBasedApproaches!$C$21:$C$400,0)))</f>
        <v/>
      </c>
      <c r="E104" s="837" t="str">
        <f>IF($BA104,"",INDEX(D_MeasurementBasedApproaches!$G$21:$G$400,MATCH($C104,D_MeasurementBasedApproaches!$C$21:$C$400,0)))</f>
        <v/>
      </c>
      <c r="F104" s="1007"/>
      <c r="G104" s="1008"/>
      <c r="H104" s="1007"/>
      <c r="I104" s="1008"/>
      <c r="J104" s="1007"/>
      <c r="K104" s="1008"/>
      <c r="L104" s="1008"/>
      <c r="M104" s="1008"/>
      <c r="N104" s="1007"/>
      <c r="O104" s="1006"/>
      <c r="P104" s="1007"/>
      <c r="Q104" s="1006"/>
      <c r="R104" s="840" t="str">
        <f>IF($BA104,"",INDEX(D_MeasurementBasedApproaches!Y$21:Y$400,MATCH($C104,D_MeasurementBasedApproaches!$C$21:$C$400,0))*100)</f>
        <v/>
      </c>
      <c r="S104" s="839" t="str">
        <f t="shared" si="14"/>
        <v/>
      </c>
      <c r="T104" s="840" t="str">
        <f>IF($BA104,"",INDEX(D_MeasurementBasedApproaches!Z$21:Z$400,MATCH($C104,D_MeasurementBasedApproaches!$C$21:$C$400,0))*100)</f>
        <v/>
      </c>
      <c r="U104" s="839" t="str">
        <f t="shared" si="14"/>
        <v/>
      </c>
      <c r="V104" s="840" t="str">
        <f>IF($BA104,"",INDEX(D_MeasurementBasedApproaches!X$21:X$400,MATCH($C104,D_MeasurementBasedApproaches!$C$21:$C$400,0)))</f>
        <v/>
      </c>
      <c r="W104" s="839" t="str">
        <f t="shared" si="15"/>
        <v/>
      </c>
      <c r="X104" s="840" t="str">
        <f>IF($BA104,"",INDEX(D_MeasurementBasedApproaches!AA$21:AA$400,MATCH($C104,D_MeasurementBasedApproaches!$C$21:$C$400,0)))</f>
        <v/>
      </c>
      <c r="Y104" s="839" t="str">
        <f t="shared" si="16"/>
        <v/>
      </c>
      <c r="Z104" s="840" t="str">
        <f>IF($BA104,"",INDEX(D_MeasurementBasedApproaches!AB$21:AB$400,MATCH($C104,D_MeasurementBasedApproaches!$C$21:$C$400,0)))</f>
        <v/>
      </c>
      <c r="AA104" s="839" t="str">
        <f t="shared" si="17"/>
        <v/>
      </c>
      <c r="AB104" s="840" t="str">
        <f>IF($BA104,"",INDEX(D_MeasurementBasedApproaches!AC$21:AC$400,MATCH($C104,D_MeasurementBasedApproaches!$C$21:$C$400,0)))</f>
        <v/>
      </c>
      <c r="AC104" s="839" t="str">
        <f t="shared" si="18"/>
        <v/>
      </c>
      <c r="AD104" s="840" t="str">
        <f>IF($BA104,"",INDEX(D_MeasurementBasedApproaches!AD$21:AD$400,MATCH($C104,D_MeasurementBasedApproaches!$C$21:$C$400,0)))</f>
        <v/>
      </c>
      <c r="AE104" s="839" t="str">
        <f t="shared" si="19"/>
        <v/>
      </c>
      <c r="AF104" s="840" t="str">
        <f>IF($BA104,"",INDEX(D_MeasurementBasedApproaches!AE$21:AE$400,MATCH($C104,D_MeasurementBasedApproaches!$C$21:$C$400,0)))</f>
        <v/>
      </c>
      <c r="AG104" s="1009"/>
      <c r="AH104" s="1009"/>
      <c r="AI104" s="1009"/>
      <c r="AJ104" s="1009"/>
      <c r="AK104" s="1009"/>
      <c r="AL104" s="1009"/>
      <c r="AM104" s="1009"/>
      <c r="AN104" s="1009"/>
      <c r="AO104" s="1009"/>
      <c r="AP104" s="1009"/>
      <c r="AQ104" s="1009"/>
      <c r="AR104" s="1009"/>
      <c r="AS104" s="1009"/>
      <c r="AT104" s="1009"/>
      <c r="AU104" s="1001" t="str">
        <f>IF($BA104,"",INDEX(D_MeasurementBasedApproaches!AF$21:AF$400,MATCH($C104,D_MeasurementBasedApproaches!$C$21:$C$400,0)))</f>
        <v/>
      </c>
      <c r="AV104" s="1001" t="str">
        <f>IF($BA104,"",INDEX(D_MeasurementBasedApproaches!AG$21:AG$400,MATCH($C104,D_MeasurementBasedApproaches!$C$21:$C$400,0)))</f>
        <v/>
      </c>
      <c r="AW104" s="1001" t="str">
        <f>IF($BA104,"",INDEX(D_MeasurementBasedApproaches!AH$21:AH$400,MATCH($C104,D_MeasurementBasedApproaches!$C$21:$C$400,0)))</f>
        <v/>
      </c>
      <c r="AX104" s="840" t="str">
        <f>IF($BA104,"",INDEX(D_MeasurementBasedApproaches!AI$21:AI$400,MATCH($C104,D_MeasurementBasedApproaches!$C$21:$C$400,0)))</f>
        <v/>
      </c>
      <c r="AY104" s="840" t="str">
        <f>IF($BA104,"",INDEX(D_MeasurementBasedApproaches!AJ$21:AJ$400,MATCH($C104,D_MeasurementBasedApproaches!$C$21:$C$400,0)))</f>
        <v/>
      </c>
      <c r="BA104" s="823" t="b">
        <f>IF(ISERROR(INDEX(D_MeasurementBasedApproaches!$E$21:$E$400,MATCH(C104,D_MeasurementBasedApproaches!$C$21:$C$400,0))),TRUE,INDEX(D_MeasurementBasedApproaches!$E$21:$E$400,MATCH(C104,D_MeasurementBasedApproaches!$C$21:$C$400,0))="")</f>
        <v>1</v>
      </c>
    </row>
    <row r="105" spans="3:53" x14ac:dyDescent="0.2">
      <c r="BA105" s="56"/>
    </row>
    <row r="106" spans="3:53" ht="50.1" customHeight="1" thickBot="1" x14ac:dyDescent="0.45">
      <c r="D106" s="848" t="str">
        <f>Translations!$B$837</f>
        <v>Alternatyvus metodas</v>
      </c>
      <c r="BA106" s="56"/>
    </row>
    <row r="107" spans="3:53" ht="50.1" customHeight="1" thickBot="1" x14ac:dyDescent="0.25">
      <c r="C107" s="841" t="str">
        <f t="shared" ref="C107:AY107" si="20">C3</f>
        <v>#</v>
      </c>
      <c r="D107" s="842" t="str">
        <f t="shared" si="20"/>
        <v>Metodas</v>
      </c>
      <c r="E107" s="842" t="str">
        <f t="shared" si="20"/>
        <v>Pavadinimas</v>
      </c>
      <c r="F107" s="843" t="str">
        <f t="shared" si="20"/>
        <v>Veiklos duomenys</v>
      </c>
      <c r="G107" s="843" t="str">
        <f t="shared" si="20"/>
        <v>VD mato vienetas</v>
      </c>
      <c r="H107" s="843" t="str">
        <f t="shared" si="20"/>
        <v>GŠV</v>
      </c>
      <c r="I107" s="843" t="str">
        <f t="shared" si="20"/>
        <v>GŠV mato vienetas</v>
      </c>
      <c r="J107" s="843" t="str">
        <f t="shared" si="20"/>
        <v>ITF</v>
      </c>
      <c r="K107" s="843" t="str">
        <f t="shared" si="20"/>
        <v>ITF mato vienetas</v>
      </c>
      <c r="L107" s="843" t="str">
        <f t="shared" si="20"/>
        <v>C-turinys</v>
      </c>
      <c r="M107" s="843" t="str">
        <f t="shared" si="20"/>
        <v>C kiekio mato vienetas</v>
      </c>
      <c r="N107" s="843" t="str">
        <f t="shared" si="20"/>
        <v>Oksid. koeficientas</v>
      </c>
      <c r="O107" s="843" t="str">
        <f t="shared" si="20"/>
        <v>OksK mato vienetas</v>
      </c>
      <c r="P107" s="843" t="str">
        <f t="shared" si="20"/>
        <v>Konv. koeficientas</v>
      </c>
      <c r="Q107" s="843" t="str">
        <f t="shared" si="20"/>
        <v>KonvK mato vienetas</v>
      </c>
      <c r="R107" s="843" t="str">
        <f t="shared" si="20"/>
        <v>Biomasės kiekis</v>
      </c>
      <c r="S107" s="843" t="str">
        <f t="shared" si="20"/>
        <v>BioC mato vienetas</v>
      </c>
      <c r="T107" s="843" t="str">
        <f t="shared" si="20"/>
        <v>netvarios BioC</v>
      </c>
      <c r="U107" s="843" t="str">
        <f t="shared" si="20"/>
        <v>netvarios BioC mato vienetas</v>
      </c>
      <c r="V107" s="843" t="str">
        <f t="shared" si="20"/>
        <v>valandinės ŠESD konc. vidurkis</v>
      </c>
      <c r="W107" s="843" t="str">
        <f t="shared" si="20"/>
        <v>valandinės ŠESD konc. mato vienetas</v>
      </c>
      <c r="X107" s="843" t="str">
        <f t="shared" si="20"/>
        <v>veikimo valandos</v>
      </c>
      <c r="Y107" s="843" t="str">
        <f t="shared" si="20"/>
        <v>veikimo valandų mato vienetas</v>
      </c>
      <c r="Z107" s="843" t="str">
        <f t="shared" si="20"/>
        <v>Kaminų dujos (vidurkis)</v>
      </c>
      <c r="AA107" s="843" t="str">
        <f t="shared" si="20"/>
        <v>Kaminų dujų (vidurkio) mato vienetas</v>
      </c>
      <c r="AB107" s="843" t="str">
        <f t="shared" si="20"/>
        <v>Kaminų dujos (iš viso)</v>
      </c>
      <c r="AC107" s="843" t="str">
        <f t="shared" si="20"/>
        <v>Kaminų dujų (viso kiekio) mato vienetas</v>
      </c>
      <c r="AD107" s="843" t="str">
        <f t="shared" si="20"/>
        <v>Metinis ŠESD kiekis</v>
      </c>
      <c r="AE107" s="843" t="str">
        <f t="shared" si="20"/>
        <v>Metinio ŠESD kiekio mato vienetas</v>
      </c>
      <c r="AF107" s="843" t="str">
        <f t="shared" si="20"/>
        <v>VAP (t CO2(e)/t)</v>
      </c>
      <c r="AG107" s="843" t="str">
        <f t="shared" ref="AG107:AT107" si="21">AG3</f>
        <v>A. Dažnis</v>
      </c>
      <c r="AH107" s="843" t="str">
        <f t="shared" si="21"/>
        <v>A. Trukmė</v>
      </c>
      <c r="AI107" s="843" t="str">
        <f t="shared" si="21"/>
        <v>A. NITF(CF4)</v>
      </c>
      <c r="AJ107" s="843" t="str">
        <f t="shared" si="21"/>
        <v>B. AEV</v>
      </c>
      <c r="AK107" s="843" t="str">
        <f t="shared" si="21"/>
        <v>B. EN</v>
      </c>
      <c r="AL107" s="843" t="str">
        <f t="shared" si="21"/>
        <v>B. VĮK</v>
      </c>
      <c r="AM107" s="843" t="str">
        <f t="shared" si="21"/>
        <v>F(C2F6)</v>
      </c>
      <c r="AN107" s="843" t="str">
        <f t="shared" si="21"/>
        <v>Išmestas CF4 kiekis (t CF4)</v>
      </c>
      <c r="AO107" s="843" t="str">
        <f t="shared" si="21"/>
        <v>Išmestas C2F6 kiekis (t C2F6)</v>
      </c>
      <c r="AP107" s="843" t="str">
        <f t="shared" si="21"/>
        <v>VAP (CF4) (t CO2(e)/t)</v>
      </c>
      <c r="AQ107" s="843" t="str">
        <f t="shared" si="21"/>
        <v>VAP (C2F6) (t CO2(e)/t)</v>
      </c>
      <c r="AR107" s="843" t="str">
        <f t="shared" si="21"/>
        <v>Išmestas CF4 kiekis (CO2(e) tonos)</v>
      </c>
      <c r="AS107" s="843" t="str">
        <f t="shared" si="21"/>
        <v>Išmestas C2F6 kiekis (CO2(e) tonos)</v>
      </c>
      <c r="AT107" s="843" t="str">
        <f t="shared" si="21"/>
        <v>Surinkimo veiksmingumas, proc.</v>
      </c>
      <c r="AU107" s="843" t="str">
        <f t="shared" si="20"/>
        <v>Iškastinio kuro kilmės CO2(e) (t)</v>
      </c>
      <c r="AV107" s="843" t="str">
        <f t="shared" si="20"/>
        <v>Biomasės kilmės CO2(e) (t)</v>
      </c>
      <c r="AW107" s="843" t="str">
        <f t="shared" si="20"/>
        <v>Netvarios biomasės kilmės CO2(e) (t)</v>
      </c>
      <c r="AX107" s="844" t="str">
        <f t="shared" si="20"/>
        <v>Energetinė vertė (iškast. kuras), TJ</v>
      </c>
      <c r="AY107" s="845" t="str">
        <f t="shared" si="20"/>
        <v>Energetinė vertė (biomasė), TJ</v>
      </c>
      <c r="BA107" s="56"/>
    </row>
    <row r="108" spans="3:53" x14ac:dyDescent="0.2">
      <c r="C108" s="835">
        <v>1</v>
      </c>
      <c r="D108" s="837" t="str">
        <f>EUconst_FallBack</f>
        <v>Alternatyvus metodas</v>
      </c>
      <c r="E108" s="1010"/>
      <c r="F108" s="1007"/>
      <c r="G108" s="1008"/>
      <c r="H108" s="1007"/>
      <c r="I108" s="1008"/>
      <c r="J108" s="1007"/>
      <c r="K108" s="1008"/>
      <c r="L108" s="1008"/>
      <c r="M108" s="1008"/>
      <c r="N108" s="1007"/>
      <c r="O108" s="1006"/>
      <c r="P108" s="1007"/>
      <c r="Q108" s="1006"/>
      <c r="R108" s="1007"/>
      <c r="S108" s="1006"/>
      <c r="T108" s="1007"/>
      <c r="U108" s="1006"/>
      <c r="V108" s="1006"/>
      <c r="W108" s="1006"/>
      <c r="X108" s="1006"/>
      <c r="Y108" s="1006"/>
      <c r="Z108" s="1006"/>
      <c r="AA108" s="1006"/>
      <c r="AB108" s="1006"/>
      <c r="AC108" s="1006"/>
      <c r="AD108" s="1006"/>
      <c r="AE108" s="1006"/>
      <c r="AF108" s="1006"/>
      <c r="AG108" s="1006"/>
      <c r="AH108" s="1006"/>
      <c r="AI108" s="1006"/>
      <c r="AJ108" s="1006"/>
      <c r="AK108" s="1006"/>
      <c r="AL108" s="1006"/>
      <c r="AM108" s="1006"/>
      <c r="AN108" s="1006"/>
      <c r="AO108" s="1006"/>
      <c r="AP108" s="1006"/>
      <c r="AQ108" s="1006"/>
      <c r="AR108" s="1006"/>
      <c r="AS108" s="1006"/>
      <c r="AT108" s="1006"/>
      <c r="AU108" s="1001" t="str">
        <f>IF($BA108,"",'E_Fall-backApproach'!S23)</f>
        <v/>
      </c>
      <c r="AV108" s="1001" t="str">
        <f>IF($BA108,"",'E_Fall-backApproach'!T23)</f>
        <v/>
      </c>
      <c r="AW108" s="1001" t="str">
        <f>IF($BA108,"",'E_Fall-backApproach'!U23)</f>
        <v/>
      </c>
      <c r="AX108" s="840" t="str">
        <f>IF($BA108,"",'E_Fall-backApproach'!V23)</f>
        <v/>
      </c>
      <c r="AY108" s="840" t="str">
        <f>IF($BA108,"",'E_Fall-backApproach'!W23)</f>
        <v/>
      </c>
      <c r="BA108" s="823" t="b">
        <f>OR(CNTR_FallBackRelevant=EUconst_NotRelevant, COUNT('E_Fall-backApproach'!$N$23:$N$29)=0)</f>
        <v>1</v>
      </c>
    </row>
    <row r="109" spans="3:53" x14ac:dyDescent="0.2">
      <c r="BA109" s="56"/>
    </row>
  </sheetData>
  <sheetProtection formatCells="0" formatColumns="0" formatRows="0"/>
  <phoneticPr fontId="98"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59" customWidth="1"/>
    <col min="2" max="3" width="27.85546875" style="59" customWidth="1"/>
    <col min="4" max="42" width="12.7109375" style="59" customWidth="1"/>
    <col min="43" max="16384" width="11.42578125" style="59"/>
  </cols>
  <sheetData>
    <row r="2" spans="1:9" x14ac:dyDescent="0.2">
      <c r="A2" s="55" t="s">
        <v>200</v>
      </c>
      <c r="B2" s="55" t="b">
        <v>1</v>
      </c>
      <c r="C2" s="55" t="b">
        <v>0</v>
      </c>
    </row>
    <row r="3" spans="1:9" x14ac:dyDescent="0.2">
      <c r="A3" s="55" t="s">
        <v>326</v>
      </c>
      <c r="B3" s="70">
        <v>2013</v>
      </c>
      <c r="C3" s="70">
        <v>2014</v>
      </c>
      <c r="D3" s="70">
        <v>2015</v>
      </c>
      <c r="E3" s="70">
        <v>2016</v>
      </c>
      <c r="F3" s="70">
        <v>2017</v>
      </c>
      <c r="G3" s="70">
        <v>2018</v>
      </c>
      <c r="H3" s="70">
        <v>2019</v>
      </c>
      <c r="I3" s="70">
        <v>2020</v>
      </c>
    </row>
    <row r="4" spans="1:9" x14ac:dyDescent="0.2">
      <c r="A4" s="55" t="s">
        <v>271</v>
      </c>
      <c r="B4" s="55" t="str">
        <f>Translations!$B$342</f>
        <v>Degimas</v>
      </c>
    </row>
    <row r="5" spans="1:9" x14ac:dyDescent="0.2">
      <c r="A5" s="55" t="s">
        <v>272</v>
      </c>
      <c r="B5" s="55" t="str">
        <f>Translations!$B$838</f>
        <v>Proceso metu išsiskiriančios ŠESD</v>
      </c>
    </row>
    <row r="6" spans="1:9" x14ac:dyDescent="0.2">
      <c r="A6" s="55" t="s">
        <v>273</v>
      </c>
      <c r="B6" s="55" t="str">
        <f>Translations!$B$362</f>
        <v>Masės balansas</v>
      </c>
    </row>
    <row r="7" spans="1:9" x14ac:dyDescent="0.2">
      <c r="A7" s="55" t="s">
        <v>248</v>
      </c>
      <c r="B7" s="55" t="s">
        <v>249</v>
      </c>
    </row>
    <row r="8" spans="1:9" x14ac:dyDescent="0.2">
      <c r="A8" s="55" t="s">
        <v>76</v>
      </c>
      <c r="B8" s="55" t="s">
        <v>6</v>
      </c>
    </row>
    <row r="9" spans="1:9" x14ac:dyDescent="0.2">
      <c r="A9" s="55" t="s">
        <v>7</v>
      </c>
      <c r="B9" s="55" t="s">
        <v>8</v>
      </c>
    </row>
    <row r="10" spans="1:9" x14ac:dyDescent="0.2">
      <c r="A10" s="55" t="s">
        <v>9</v>
      </c>
      <c r="B10" s="55" t="s">
        <v>16</v>
      </c>
    </row>
    <row r="11" spans="1:9" x14ac:dyDescent="0.2">
      <c r="A11" s="55" t="s">
        <v>10</v>
      </c>
      <c r="B11" s="55" t="s">
        <v>15</v>
      </c>
    </row>
    <row r="12" spans="1:9" x14ac:dyDescent="0.2">
      <c r="A12" s="55" t="s">
        <v>484</v>
      </c>
      <c r="B12" s="55" t="s">
        <v>485</v>
      </c>
    </row>
    <row r="13" spans="1:9" x14ac:dyDescent="0.2">
      <c r="A13" s="55" t="s">
        <v>11</v>
      </c>
      <c r="B13" s="55" t="s">
        <v>14</v>
      </c>
    </row>
    <row r="14" spans="1:9" x14ac:dyDescent="0.2">
      <c r="A14" s="55" t="s">
        <v>12</v>
      </c>
      <c r="B14" s="55" t="s">
        <v>13</v>
      </c>
    </row>
    <row r="15" spans="1:9" x14ac:dyDescent="0.2">
      <c r="A15" s="55" t="s">
        <v>228</v>
      </c>
      <c r="B15" s="55" t="str">
        <f>Translations!$B$673</f>
        <v>Vertė</v>
      </c>
    </row>
    <row r="16" spans="1:9" x14ac:dyDescent="0.2">
      <c r="A16" s="55" t="s">
        <v>229</v>
      </c>
      <c r="B16" s="55" t="str">
        <f>Translations!$B$158</f>
        <v>Vienetas</v>
      </c>
    </row>
    <row r="17" spans="1:7" x14ac:dyDescent="0.2">
      <c r="A17" s="55" t="s">
        <v>342</v>
      </c>
      <c r="B17" s="55" t="s">
        <v>343</v>
      </c>
    </row>
    <row r="18" spans="1:7" x14ac:dyDescent="0.2">
      <c r="A18" s="55" t="s">
        <v>106</v>
      </c>
      <c r="B18" s="55" t="s">
        <v>108</v>
      </c>
    </row>
    <row r="19" spans="1:7" x14ac:dyDescent="0.2">
      <c r="A19" s="55" t="s">
        <v>107</v>
      </c>
      <c r="B19" s="55" t="s">
        <v>109</v>
      </c>
    </row>
    <row r="20" spans="1:7" x14ac:dyDescent="0.2">
      <c r="A20" s="55" t="s">
        <v>331</v>
      </c>
      <c r="B20" s="55" t="s">
        <v>332</v>
      </c>
    </row>
    <row r="21" spans="1:7" x14ac:dyDescent="0.2">
      <c r="A21" s="55" t="s">
        <v>333</v>
      </c>
      <c r="B21" s="55" t="s">
        <v>334</v>
      </c>
    </row>
    <row r="22" spans="1:7" x14ac:dyDescent="0.2">
      <c r="A22" s="55" t="s">
        <v>293</v>
      </c>
      <c r="B22" s="55" t="s">
        <v>294</v>
      </c>
    </row>
    <row r="23" spans="1:7" x14ac:dyDescent="0.2">
      <c r="A23" s="55" t="s">
        <v>581</v>
      </c>
      <c r="B23" s="55" t="s">
        <v>582</v>
      </c>
    </row>
    <row r="24" spans="1:7" x14ac:dyDescent="0.2">
      <c r="A24" s="55" t="s">
        <v>585</v>
      </c>
      <c r="B24" s="55" t="s">
        <v>583</v>
      </c>
    </row>
    <row r="25" spans="1:7" x14ac:dyDescent="0.2">
      <c r="A25" s="55" t="s">
        <v>586</v>
      </c>
      <c r="B25" s="55" t="s">
        <v>584</v>
      </c>
    </row>
    <row r="26" spans="1:7" x14ac:dyDescent="0.2">
      <c r="A26" s="55" t="s">
        <v>227</v>
      </c>
      <c r="B26" s="2" t="str">
        <f>Translations!$B$653</f>
        <v>I tipas</v>
      </c>
      <c r="C26" s="2" t="str">
        <f>Translations!$B$654</f>
        <v>II tipas</v>
      </c>
    </row>
    <row r="27" spans="1:7" x14ac:dyDescent="0.2">
      <c r="A27" s="55" t="s">
        <v>307</v>
      </c>
      <c r="B27" s="2" t="str">
        <f>Translations!$B$659</f>
        <v>I tipas, biol.</v>
      </c>
      <c r="C27" s="2" t="str">
        <f>Translations!$B$661</f>
        <v>II tipas, biol.</v>
      </c>
    </row>
    <row r="28" spans="1:7" x14ac:dyDescent="0.2">
      <c r="A28" s="55"/>
      <c r="B28" s="55"/>
    </row>
    <row r="29" spans="1:7" s="46" customFormat="1" x14ac:dyDescent="0.2">
      <c r="A29" s="55" t="s">
        <v>278</v>
      </c>
      <c r="B29" s="45" t="s">
        <v>279</v>
      </c>
    </row>
    <row r="30" spans="1:7" s="46" customFormat="1" x14ac:dyDescent="0.2">
      <c r="A30" s="55" t="s">
        <v>280</v>
      </c>
      <c r="B30" s="45" t="s">
        <v>281</v>
      </c>
    </row>
    <row r="31" spans="1:7" s="46" customFormat="1" x14ac:dyDescent="0.2">
      <c r="A31" s="56" t="s">
        <v>276</v>
      </c>
      <c r="B31" s="45" t="s">
        <v>277</v>
      </c>
    </row>
    <row r="32" spans="1:7" s="46" customFormat="1" x14ac:dyDescent="0.2">
      <c r="A32" s="55" t="s">
        <v>284</v>
      </c>
      <c r="B32" s="2" t="str">
        <f>Translations!$B$839</f>
        <v>1 000 Nm3</v>
      </c>
      <c r="C32" s="336"/>
      <c r="D32" s="51"/>
      <c r="E32" s="51"/>
      <c r="F32" s="51"/>
      <c r="G32" s="51"/>
    </row>
    <row r="33" spans="1:7" s="46" customFormat="1" x14ac:dyDescent="0.2">
      <c r="A33" s="55" t="s">
        <v>283</v>
      </c>
      <c r="B33" s="45" t="str">
        <f>EUconst_GJ &amp; "/" &amp;EUconst_t</f>
        <v>GJ/t</v>
      </c>
    </row>
    <row r="34" spans="1:7" s="46" customFormat="1" x14ac:dyDescent="0.2">
      <c r="A34" s="55" t="s">
        <v>282</v>
      </c>
      <c r="B34" s="45" t="str">
        <f>"tCO2/"&amp;EUconst_t</f>
        <v>tCO2/t</v>
      </c>
    </row>
    <row r="35" spans="1:7" s="46" customFormat="1" x14ac:dyDescent="0.2">
      <c r="A35" s="55" t="s">
        <v>286</v>
      </c>
      <c r="B35" s="45" t="str">
        <f>"tCO2/"&amp;EUconst_TJ</f>
        <v>tCO2/TJ</v>
      </c>
    </row>
    <row r="36" spans="1:7" s="46" customFormat="1" x14ac:dyDescent="0.2">
      <c r="A36" s="55" t="s">
        <v>317</v>
      </c>
      <c r="B36" s="45" t="str">
        <f>"tCO2/"&amp;EUconst_kNm3</f>
        <v>tCO2/1 000 Nm3</v>
      </c>
    </row>
    <row r="37" spans="1:7" s="46" customFormat="1" x14ac:dyDescent="0.2">
      <c r="A37" s="55" t="s">
        <v>285</v>
      </c>
      <c r="B37" s="2" t="str">
        <f>Translations!$B$840</f>
        <v>GJ/1 000 Nm3</v>
      </c>
      <c r="C37" s="336"/>
      <c r="D37" s="51"/>
      <c r="E37" s="51"/>
      <c r="F37" s="51"/>
      <c r="G37" s="51"/>
    </row>
    <row r="38" spans="1:7" s="46" customFormat="1" x14ac:dyDescent="0.2">
      <c r="A38" s="55" t="s">
        <v>26</v>
      </c>
      <c r="B38" s="2" t="str">
        <f>Translations!$B$841</f>
        <v>t C</v>
      </c>
      <c r="C38" s="336"/>
      <c r="D38" s="51"/>
      <c r="E38" s="51"/>
      <c r="F38" s="51"/>
      <c r="G38" s="51"/>
    </row>
    <row r="39" spans="1:7" s="46" customFormat="1" x14ac:dyDescent="0.2">
      <c r="A39" s="55" t="s">
        <v>308</v>
      </c>
      <c r="B39" s="2" t="str">
        <f>Translations!$B$842</f>
        <v>t C/t</v>
      </c>
      <c r="C39" s="336"/>
      <c r="D39" s="51"/>
      <c r="E39" s="51"/>
      <c r="F39" s="51"/>
      <c r="G39" s="51"/>
    </row>
    <row r="40" spans="1:7" s="46" customFormat="1" x14ac:dyDescent="0.2">
      <c r="A40" s="55" t="s">
        <v>24</v>
      </c>
      <c r="B40" s="2" t="str">
        <f>Translations!$B$843</f>
        <v>t C/1 000 Nm3</v>
      </c>
      <c r="C40" s="336"/>
      <c r="D40" s="51"/>
      <c r="E40" s="51"/>
      <c r="F40" s="51"/>
      <c r="G40" s="51"/>
    </row>
    <row r="41" spans="1:7" s="46" customFormat="1" x14ac:dyDescent="0.2">
      <c r="A41" s="55" t="s">
        <v>288</v>
      </c>
      <c r="B41" s="2" t="str">
        <f>EUconst_t</f>
        <v>t</v>
      </c>
      <c r="C41" s="2" t="str">
        <f>EUconst_kNm3</f>
        <v>1 000 Nm3</v>
      </c>
      <c r="D41" s="51"/>
      <c r="E41" s="51"/>
      <c r="F41" s="51"/>
      <c r="G41" s="51"/>
    </row>
    <row r="42" spans="1:7" s="46" customFormat="1" x14ac:dyDescent="0.2">
      <c r="A42" s="55" t="s">
        <v>226</v>
      </c>
      <c r="B42" s="2" t="str">
        <f>EUconst_t</f>
        <v>t</v>
      </c>
      <c r="C42" s="2" t="str">
        <f>EUconst_kNm3</f>
        <v>1 000 Nm3</v>
      </c>
      <c r="D42" s="2" t="str">
        <f>EUconst_NA</f>
        <v>netaik.</v>
      </c>
      <c r="E42" s="51"/>
      <c r="F42" s="51"/>
      <c r="G42" s="51"/>
    </row>
    <row r="43" spans="1:7" s="46" customFormat="1" x14ac:dyDescent="0.2">
      <c r="A43" s="55" t="s">
        <v>315</v>
      </c>
      <c r="B43" s="2" t="str">
        <f>EUconst_tCO2pTJ</f>
        <v>tCO2/TJ</v>
      </c>
      <c r="C43" s="2" t="str">
        <f>EUconst_tCO2pt</f>
        <v>tCO2/t</v>
      </c>
      <c r="D43" s="2" t="str">
        <f>EUconst_NA</f>
        <v>netaik.</v>
      </c>
      <c r="E43" s="51"/>
      <c r="F43" s="51"/>
      <c r="G43" s="51"/>
    </row>
    <row r="44" spans="1:7" s="46" customFormat="1" x14ac:dyDescent="0.2">
      <c r="A44" s="55" t="s">
        <v>133</v>
      </c>
      <c r="B44" s="2" t="str">
        <f>Translations!$B$842</f>
        <v>t C/t</v>
      </c>
      <c r="C44" s="2" t="str">
        <f>Translations!$B$843</f>
        <v>t C/1 000 Nm3</v>
      </c>
      <c r="D44" s="2" t="str">
        <f>EUconst_NA</f>
        <v>netaik.</v>
      </c>
      <c r="E44" s="51"/>
      <c r="F44" s="51"/>
      <c r="G44" s="51"/>
    </row>
    <row r="45" spans="1:7" s="46" customFormat="1" x14ac:dyDescent="0.2">
      <c r="A45" s="55" t="s">
        <v>25</v>
      </c>
      <c r="B45" s="2" t="str">
        <f>Translations!$B$842</f>
        <v>t C/t</v>
      </c>
      <c r="C45" s="2" t="str">
        <f>Translations!$B$843</f>
        <v>t C/1 000 Nm3</v>
      </c>
      <c r="D45" s="51"/>
      <c r="E45" s="51"/>
      <c r="F45" s="51"/>
      <c r="G45" s="51"/>
    </row>
    <row r="46" spans="1:7" s="46" customFormat="1" x14ac:dyDescent="0.2">
      <c r="A46" s="55" t="s">
        <v>322</v>
      </c>
      <c r="B46" s="47" t="str">
        <f>Translations!$B$844</f>
        <v>val./metai</v>
      </c>
      <c r="C46" s="2"/>
      <c r="D46" s="2"/>
      <c r="E46" s="51"/>
      <c r="F46" s="51"/>
      <c r="G46" s="51"/>
    </row>
    <row r="47" spans="1:7" s="46" customFormat="1" x14ac:dyDescent="0.2">
      <c r="A47" s="55" t="s">
        <v>318</v>
      </c>
      <c r="B47" s="47" t="str">
        <f>Translations!$B$845</f>
        <v>1 000 Nm3/h</v>
      </c>
      <c r="C47" s="2"/>
      <c r="D47" s="2"/>
      <c r="E47" s="51"/>
      <c r="F47" s="51"/>
      <c r="G47" s="51"/>
    </row>
    <row r="48" spans="1:7" s="46" customFormat="1" x14ac:dyDescent="0.2">
      <c r="A48" s="55" t="s">
        <v>319</v>
      </c>
      <c r="B48" s="47" t="str">
        <f>Translations!$B$846</f>
        <v>g/Nm3</v>
      </c>
      <c r="C48" s="2"/>
      <c r="D48" s="2"/>
      <c r="E48" s="51"/>
      <c r="F48" s="51"/>
      <c r="G48" s="51"/>
    </row>
    <row r="49" spans="1:7" s="46" customFormat="1" x14ac:dyDescent="0.2">
      <c r="A49" s="55" t="s">
        <v>323</v>
      </c>
      <c r="B49" s="47" t="str">
        <f>Translations!$B$847</f>
        <v>1 000 Nm3/m.</v>
      </c>
      <c r="C49" s="2"/>
      <c r="D49" s="2"/>
      <c r="E49" s="51"/>
      <c r="F49" s="51"/>
      <c r="G49" s="51"/>
    </row>
    <row r="50" spans="1:7" s="46" customFormat="1" x14ac:dyDescent="0.2">
      <c r="A50" s="56"/>
      <c r="B50" s="2"/>
      <c r="C50" s="336"/>
      <c r="D50" s="51"/>
      <c r="E50" s="51"/>
      <c r="F50" s="51"/>
      <c r="G50" s="51"/>
    </row>
    <row r="51" spans="1:7" s="46" customFormat="1" x14ac:dyDescent="0.2">
      <c r="A51" s="56"/>
      <c r="B51" s="2"/>
      <c r="C51" s="336"/>
      <c r="D51" s="51"/>
      <c r="E51" s="51"/>
      <c r="F51" s="51"/>
      <c r="G51" s="51"/>
    </row>
    <row r="52" spans="1:7" s="46" customFormat="1" x14ac:dyDescent="0.2">
      <c r="A52" s="56"/>
      <c r="B52" s="2"/>
      <c r="C52" s="336"/>
      <c r="D52" s="51"/>
      <c r="E52" s="51"/>
      <c r="F52" s="51"/>
      <c r="G52" s="51"/>
    </row>
    <row r="53" spans="1:7" s="46" customFormat="1" x14ac:dyDescent="0.2">
      <c r="A53" s="55" t="s">
        <v>201</v>
      </c>
      <c r="B53" s="2" t="s">
        <v>202</v>
      </c>
      <c r="C53" s="336"/>
      <c r="D53" s="51"/>
      <c r="E53" s="51"/>
      <c r="F53" s="51"/>
      <c r="G53" s="51"/>
    </row>
    <row r="54" spans="1:7" s="46" customFormat="1" x14ac:dyDescent="0.2">
      <c r="A54" s="55" t="s">
        <v>203</v>
      </c>
      <c r="B54" s="2" t="s">
        <v>204</v>
      </c>
      <c r="C54" s="336"/>
      <c r="D54" s="51"/>
      <c r="E54" s="51"/>
      <c r="F54" s="51"/>
      <c r="G54" s="51"/>
    </row>
    <row r="55" spans="1:7" s="46" customFormat="1" x14ac:dyDescent="0.2">
      <c r="A55" s="55" t="s">
        <v>456</v>
      </c>
      <c r="B55" s="2" t="s">
        <v>457</v>
      </c>
      <c r="C55" s="336"/>
      <c r="D55" s="51"/>
      <c r="E55" s="51"/>
      <c r="F55" s="51"/>
      <c r="G55" s="51"/>
    </row>
    <row r="56" spans="1:7" s="46" customFormat="1" x14ac:dyDescent="0.2">
      <c r="A56" s="55" t="s">
        <v>205</v>
      </c>
      <c r="B56" s="2" t="s">
        <v>206</v>
      </c>
      <c r="C56" s="336"/>
      <c r="D56" s="51"/>
      <c r="E56" s="51"/>
      <c r="F56" s="51"/>
      <c r="G56" s="51"/>
    </row>
    <row r="57" spans="1:7" s="46" customFormat="1" x14ac:dyDescent="0.2">
      <c r="A57" s="55" t="s">
        <v>479</v>
      </c>
      <c r="B57" s="2" t="s">
        <v>480</v>
      </c>
      <c r="C57" s="336"/>
      <c r="D57" s="51"/>
      <c r="E57" s="51"/>
      <c r="F57" s="51"/>
      <c r="G57" s="51"/>
    </row>
    <row r="58" spans="1:7" s="46" customFormat="1" x14ac:dyDescent="0.2">
      <c r="A58" s="55" t="s">
        <v>207</v>
      </c>
      <c r="B58" s="2" t="s">
        <v>208</v>
      </c>
      <c r="C58" s="336"/>
      <c r="D58" s="51"/>
      <c r="E58" s="51"/>
      <c r="F58" s="51"/>
      <c r="G58" s="51"/>
    </row>
    <row r="59" spans="1:7" s="46" customFormat="1" x14ac:dyDescent="0.2">
      <c r="A59" s="55" t="s">
        <v>209</v>
      </c>
      <c r="B59" s="2" t="s">
        <v>210</v>
      </c>
      <c r="C59" s="336"/>
      <c r="D59" s="51"/>
      <c r="E59" s="51"/>
      <c r="F59" s="51"/>
      <c r="G59" s="51"/>
    </row>
    <row r="60" spans="1:7" x14ac:dyDescent="0.2">
      <c r="A60" s="55" t="s">
        <v>17</v>
      </c>
      <c r="B60" s="55" t="str">
        <f>Translations!$B$177</f>
        <v xml:space="preserve">&lt;&lt;&lt; Į kitą lapą pereisite paspaudę čia &gt;&gt;&gt; </v>
      </c>
    </row>
    <row r="61" spans="1:7" x14ac:dyDescent="0.2">
      <c r="A61" s="55" t="s">
        <v>234</v>
      </c>
      <c r="B61" s="55" t="str">
        <f>Translations!$B$178</f>
        <v>Sukėliklis</v>
      </c>
    </row>
    <row r="62" spans="1:7" x14ac:dyDescent="0.2">
      <c r="A62" s="55" t="s">
        <v>235</v>
      </c>
      <c r="B62" s="55" t="str">
        <f>Translations!$B$179</f>
        <v>Matavimo vieta</v>
      </c>
    </row>
    <row r="63" spans="1:7" x14ac:dyDescent="0.2">
      <c r="A63" s="55" t="s">
        <v>336</v>
      </c>
      <c r="B63" s="55" t="str">
        <f>Translations!$B$74</f>
        <v>Veiklos vykdytojas</v>
      </c>
      <c r="C63" s="55" t="str">
        <f>Translations!$B$180</f>
        <v>Prekybos partneris</v>
      </c>
    </row>
    <row r="64" spans="1:7" x14ac:dyDescent="0.2">
      <c r="A64" s="55" t="s">
        <v>90</v>
      </c>
      <c r="B64" s="55" t="str">
        <f>Translations!$B$181</f>
        <v>Partija</v>
      </c>
      <c r="C64" s="55" t="str">
        <f>Translations!$B$142</f>
        <v>Nuolatinio matavimo</v>
      </c>
    </row>
    <row r="65" spans="1:3" x14ac:dyDescent="0.2">
      <c r="A65" s="55" t="s">
        <v>256</v>
      </c>
      <c r="B65" s="55" t="str">
        <f>Translations!$B$848</f>
        <v xml:space="preserve">Išsamios duomenų įvedimo naudojantis šia priemone instrukcijos pateiktos šio lapo viršuje. </v>
      </c>
      <c r="C65" s="55"/>
    </row>
    <row r="66" spans="1:3" x14ac:dyDescent="0.2">
      <c r="A66" s="55" t="s">
        <v>73</v>
      </c>
      <c r="B66" s="55" t="str">
        <f>Translations!$B$157</f>
        <v>netaik.</v>
      </c>
    </row>
    <row r="67" spans="1:3" x14ac:dyDescent="0.2">
      <c r="A67" s="55" t="s">
        <v>295</v>
      </c>
      <c r="B67" s="55" t="str">
        <f>Translations!$B$182</f>
        <v>svarbu</v>
      </c>
    </row>
    <row r="68" spans="1:3" x14ac:dyDescent="0.2">
      <c r="A68" s="55" t="s">
        <v>296</v>
      </c>
      <c r="B68" s="55" t="str">
        <f>Translations!$B$183</f>
        <v>nesvarbu</v>
      </c>
    </row>
    <row r="69" spans="1:3" x14ac:dyDescent="0.2">
      <c r="A69" s="55" t="s">
        <v>338</v>
      </c>
      <c r="B69" s="55" t="str">
        <f>Translations!$B$184</f>
        <v>Netaikoma!</v>
      </c>
    </row>
    <row r="70" spans="1:3" x14ac:dyDescent="0.2">
      <c r="A70" s="55" t="s">
        <v>339</v>
      </c>
      <c r="B70" s="55" t="str">
        <f>Translations!$B$849</f>
        <v>Neapibrėžtis</v>
      </c>
    </row>
    <row r="71" spans="1:3" x14ac:dyDescent="0.2">
      <c r="A71" s="55" t="s">
        <v>92</v>
      </c>
      <c r="B71" s="55" t="str">
        <f>Translations!$B$185</f>
        <v>(netaik.; naudoti geriausia patirtimi grįstą apskaičiavimą)</v>
      </c>
    </row>
    <row r="72" spans="1:3" x14ac:dyDescent="0.2">
      <c r="A72" s="55" t="s">
        <v>17</v>
      </c>
      <c r="B72" s="55" t="str">
        <f>Translations!$B$177</f>
        <v xml:space="preserve">&lt;&lt;&lt; Į kitą lapą pereisite paspaudę čia &gt;&gt;&gt; </v>
      </c>
    </row>
    <row r="73" spans="1:3" x14ac:dyDescent="0.2">
      <c r="A73" s="55" t="s">
        <v>388</v>
      </c>
      <c r="B73" s="55" t="str">
        <f>Translations!$B$850</f>
        <v>Norėdami gauti išsamių rekomendacijų, spustelėkite čia ir Jums bus pateiktas lapo viršuje esantis tekstas!</v>
      </c>
    </row>
    <row r="74" spans="1:3" x14ac:dyDescent="0.2">
      <c r="A74" s="55" t="s">
        <v>18</v>
      </c>
      <c r="B74" s="55" t="str">
        <f>Translations!$B$186</f>
        <v>Įvesti duomenis į šį skirsnį</v>
      </c>
    </row>
    <row r="75" spans="1:3" x14ac:dyDescent="0.2">
      <c r="A75" s="55" t="s">
        <v>237</v>
      </c>
      <c r="B75" s="55" t="str">
        <f>Translations!$B$187</f>
        <v>Prašome pildyti tolesnius punktus</v>
      </c>
    </row>
    <row r="76" spans="1:3" x14ac:dyDescent="0.2">
      <c r="A76" s="55" t="s">
        <v>389</v>
      </c>
      <c r="B76" s="55" t="str">
        <f>Translations!$B$851</f>
        <v>Pereikite į šiam sukėlikliui skirtą lapą „F_PFC“.</v>
      </c>
    </row>
    <row r="77" spans="1:3" x14ac:dyDescent="0.2">
      <c r="A77" s="55" t="s">
        <v>190</v>
      </c>
      <c r="B77" s="55" t="str">
        <f>Translations!$B$188</f>
        <v>Pateisinti, kodėl nėra istorinių duomenų ar jie netinka</v>
      </c>
    </row>
    <row r="78" spans="1:3" x14ac:dyDescent="0.2">
      <c r="A78" s="55" t="s">
        <v>340</v>
      </c>
      <c r="B78" s="55" t="str">
        <f>Translations!$B$189</f>
        <v>Nėra pakopos</v>
      </c>
    </row>
    <row r="79" spans="1:3" x14ac:dyDescent="0.2">
      <c r="A79" s="55" t="s">
        <v>311</v>
      </c>
      <c r="B79" s="55" t="str">
        <f>Translations!$B$852</f>
        <v>Nenuoseklu!</v>
      </c>
    </row>
    <row r="80" spans="1:3" x14ac:dyDescent="0.2">
      <c r="A80" s="55" t="s">
        <v>312</v>
      </c>
      <c r="B80" s="55" t="str">
        <f>Translations!$B$853</f>
        <v>Nebaigta!</v>
      </c>
    </row>
    <row r="81" spans="1:32" x14ac:dyDescent="0.2">
      <c r="A81" s="55" t="s">
        <v>189</v>
      </c>
      <c r="B81" s="55" t="str">
        <f>Translations!$B$190</f>
        <v>Ši taisyklė netaikoma įrenginiams, kurių veikla siejasi su N2O!</v>
      </c>
    </row>
    <row r="82" spans="1:32" x14ac:dyDescent="0.2">
      <c r="A82" s="55" t="s">
        <v>128</v>
      </c>
      <c r="B82" s="55" t="str">
        <f>Translations!$B$191</f>
        <v>Viršyta labai mažo sukėliklio riba!</v>
      </c>
    </row>
    <row r="83" spans="1:32" x14ac:dyDescent="0.2">
      <c r="A83" s="55" t="s">
        <v>129</v>
      </c>
      <c r="B83" s="55" t="str">
        <f>Translations!$B$192</f>
        <v>Viršyta mažo sukėliklio riba!</v>
      </c>
    </row>
    <row r="84" spans="1:32" x14ac:dyDescent="0.2">
      <c r="A84" s="55" t="s">
        <v>545</v>
      </c>
      <c r="B84" s="55" t="str">
        <f>Translations!$B$193</f>
        <v>Nesumuoti, jei mažiau nei 5% metinio išmetimo (6.c skirsnis)!</v>
      </c>
    </row>
    <row r="85" spans="1:32" x14ac:dyDescent="0.2">
      <c r="A85" s="55" t="s">
        <v>551</v>
      </c>
      <c r="B85" s="55" t="str">
        <f>Translations!$B$194</f>
        <v>Pildo tik kompetentinga institucija</v>
      </c>
      <c r="C85" s="55" t="str">
        <f>Translations!$B$195</f>
        <v>Pildo veiklos vykdytojas</v>
      </c>
      <c r="E85" s="79"/>
    </row>
    <row r="86" spans="1:32" s="46" customFormat="1" x14ac:dyDescent="0.2">
      <c r="A86" s="55" t="s">
        <v>191</v>
      </c>
      <c r="B86" s="2" t="str">
        <f>Translations!$B$196</f>
        <v>Austrija</v>
      </c>
      <c r="C86" s="2" t="str">
        <f>Translations!$B$197</f>
        <v>Belgija</v>
      </c>
      <c r="D86" s="45" t="str">
        <f>Translations!$B$198</f>
        <v>Bulgarija</v>
      </c>
      <c r="E86" s="47" t="str">
        <f>Translations!$B$199</f>
        <v>Kroatija</v>
      </c>
      <c r="F86" s="45" t="str">
        <f>Translations!$B$200</f>
        <v>Kipras</v>
      </c>
      <c r="G86" s="45" t="str">
        <f>Translations!$B$201</f>
        <v>Čekija</v>
      </c>
      <c r="H86" s="45" t="str">
        <f>Translations!$B$202</f>
        <v>Danija</v>
      </c>
      <c r="I86" s="45" t="str">
        <f>Translations!$B$203</f>
        <v>Estija</v>
      </c>
      <c r="J86" s="45" t="str">
        <f>Translations!$B$204</f>
        <v>Suomija</v>
      </c>
      <c r="K86" s="45" t="str">
        <f>Translations!$B$205</f>
        <v>Prancūzija</v>
      </c>
      <c r="L86" s="45" t="str">
        <f>Translations!$B$206</f>
        <v>Vokietija</v>
      </c>
      <c r="M86" s="45" t="str">
        <f>Translations!$B$207</f>
        <v>Graikija</v>
      </c>
      <c r="N86" s="45" t="str">
        <f>Translations!$B$208</f>
        <v>Vengrija</v>
      </c>
      <c r="O86" s="45" t="str">
        <f>Translations!$B$209</f>
        <v>Islandija</v>
      </c>
      <c r="P86" s="45" t="str">
        <f>Translations!$B$210</f>
        <v>Airija</v>
      </c>
      <c r="Q86" s="45" t="str">
        <f>Translations!$B$211</f>
        <v>Italija</v>
      </c>
      <c r="R86" s="45" t="str">
        <f>Translations!$B$212</f>
        <v>Latvija</v>
      </c>
      <c r="S86" s="45" t="str">
        <f>Translations!$B$213</f>
        <v>Lichtenšteinas</v>
      </c>
      <c r="T86" s="45" t="str">
        <f>Translations!$B$214</f>
        <v>Lietuva</v>
      </c>
      <c r="U86" s="45" t="str">
        <f>Translations!$B$215</f>
        <v>Liuksemburgas</v>
      </c>
      <c r="V86" s="45" t="str">
        <f>Translations!$B$216</f>
        <v>Lenkija</v>
      </c>
      <c r="W86" s="45" t="str">
        <f>Translations!$B$217</f>
        <v>Nyderlandai</v>
      </c>
      <c r="X86" s="45" t="str">
        <f>Translations!$B$218</f>
        <v>Norvegija</v>
      </c>
      <c r="Y86" s="45" t="str">
        <f>Translations!$B$219</f>
        <v>Lenkija</v>
      </c>
      <c r="Z86" s="45" t="str">
        <f>Translations!$B$220</f>
        <v>Portugalija</v>
      </c>
      <c r="AA86" s="45" t="str">
        <f>Translations!$B$221</f>
        <v>Rumunija</v>
      </c>
      <c r="AB86" s="45" t="str">
        <f>Translations!$B$222</f>
        <v>Slovakija</v>
      </c>
      <c r="AC86" s="45" t="str">
        <f>Translations!$B$223</f>
        <v>Slovėnija</v>
      </c>
      <c r="AD86" s="45" t="str">
        <f>Translations!$B$224</f>
        <v>Ispanija</v>
      </c>
      <c r="AE86" s="45" t="str">
        <f>Translations!$B$225</f>
        <v>Švedija</v>
      </c>
      <c r="AF86" s="45" t="str">
        <f>Translations!$B$226</f>
        <v>Jungtinė Karalystė</v>
      </c>
    </row>
    <row r="87" spans="1:32" s="46" customFormat="1" x14ac:dyDescent="0.2">
      <c r="A87" s="55" t="s">
        <v>192</v>
      </c>
      <c r="B87" s="2" t="s">
        <v>174</v>
      </c>
      <c r="C87" s="2" t="s">
        <v>175</v>
      </c>
      <c r="D87" s="45" t="s">
        <v>176</v>
      </c>
      <c r="E87" s="47" t="s">
        <v>116</v>
      </c>
      <c r="F87" s="45" t="s">
        <v>177</v>
      </c>
      <c r="G87" s="45" t="s">
        <v>178</v>
      </c>
      <c r="H87" s="45" t="s">
        <v>179</v>
      </c>
      <c r="I87" s="45" t="s">
        <v>180</v>
      </c>
      <c r="J87" s="45" t="s">
        <v>181</v>
      </c>
      <c r="K87" s="45" t="s">
        <v>182</v>
      </c>
      <c r="L87" s="45" t="s">
        <v>183</v>
      </c>
      <c r="M87" s="45" t="s">
        <v>184</v>
      </c>
      <c r="N87" s="45" t="s">
        <v>185</v>
      </c>
      <c r="O87" s="45" t="s">
        <v>193</v>
      </c>
      <c r="P87" s="45" t="s">
        <v>186</v>
      </c>
      <c r="Q87" s="45" t="s">
        <v>187</v>
      </c>
      <c r="R87" s="45" t="s">
        <v>188</v>
      </c>
      <c r="S87" s="45" t="s">
        <v>120</v>
      </c>
      <c r="T87" s="45" t="s">
        <v>53</v>
      </c>
      <c r="U87" s="45" t="s">
        <v>54</v>
      </c>
      <c r="V87" s="45" t="s">
        <v>55</v>
      </c>
      <c r="W87" s="45" t="s">
        <v>56</v>
      </c>
      <c r="X87" s="45" t="s">
        <v>65</v>
      </c>
      <c r="Y87" s="45" t="s">
        <v>57</v>
      </c>
      <c r="Z87" s="45" t="s">
        <v>58</v>
      </c>
      <c r="AA87" s="45" t="s">
        <v>59</v>
      </c>
      <c r="AB87" s="45" t="s">
        <v>60</v>
      </c>
      <c r="AC87" s="45" t="s">
        <v>61</v>
      </c>
      <c r="AD87" s="45" t="s">
        <v>62</v>
      </c>
      <c r="AE87" s="45" t="s">
        <v>63</v>
      </c>
      <c r="AF87" s="45" t="s">
        <v>64</v>
      </c>
    </row>
    <row r="88" spans="1:32" x14ac:dyDescent="0.2">
      <c r="A88" s="55" t="s">
        <v>240</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
      <c r="A89" s="55" t="s">
        <v>79</v>
      </c>
      <c r="B89" s="55" t="str">
        <f>Translations!$B$854</f>
        <v>Aktualūs skirsniai: 7 skirsnio b punktas, 8 skirsnis.</v>
      </c>
    </row>
    <row r="90" spans="1:32" x14ac:dyDescent="0.2">
      <c r="A90" s="55" t="s">
        <v>80</v>
      </c>
      <c r="B90" s="55" t="str">
        <f>Translations!$B$855</f>
        <v>Aktualūs skirsniai: 7 skirsnio c punktas, 9 skirsnis.</v>
      </c>
    </row>
    <row r="91" spans="1:32" x14ac:dyDescent="0.2">
      <c r="A91" s="55" t="s">
        <v>81</v>
      </c>
      <c r="B91" s="55" t="str">
        <f>Translations!$B$856</f>
        <v>Aktualūs skirsniai: 10 skirsnis.</v>
      </c>
    </row>
    <row r="92" spans="1:32" x14ac:dyDescent="0.2">
      <c r="A92" s="55" t="s">
        <v>82</v>
      </c>
      <c r="B92" s="55" t="str">
        <f>Translations!$B$855</f>
        <v>Aktualūs skirsniai: 7 skirsnio c punktas, 9 skirsnis.</v>
      </c>
    </row>
    <row r="93" spans="1:32" x14ac:dyDescent="0.2">
      <c r="A93" s="55" t="s">
        <v>83</v>
      </c>
      <c r="B93" s="55" t="str">
        <f>Translations!$B$857</f>
        <v>Aktualūs skirsniai: 7 skirsnio b punktas, 11 ir 12 skirsniai.</v>
      </c>
    </row>
    <row r="94" spans="1:32" x14ac:dyDescent="0.2">
      <c r="A94" s="55" t="s">
        <v>84</v>
      </c>
      <c r="B94" s="55" t="str">
        <f>Translations!$B$855</f>
        <v>Aktualūs skirsniai: 7 skirsnio c punktas, 9 skirsnis.</v>
      </c>
    </row>
    <row r="95" spans="1:32" x14ac:dyDescent="0.2">
      <c r="A95" s="55" t="s">
        <v>255</v>
      </c>
      <c r="B95" s="56" t="s">
        <v>20</v>
      </c>
      <c r="C95" s="55" t="s">
        <v>21</v>
      </c>
      <c r="D95" s="237" t="str">
        <f>Translations!$B$229</f>
        <v>CO2 perdavimas</v>
      </c>
    </row>
    <row r="96" spans="1:32" x14ac:dyDescent="0.2">
      <c r="A96" s="55" t="s">
        <v>66</v>
      </c>
      <c r="B96" s="237" t="str">
        <f>Translations!$B$858</f>
        <v>Išmetamas PFC kiekis</v>
      </c>
    </row>
    <row r="97" spans="1:6" x14ac:dyDescent="0.2">
      <c r="A97" s="55" t="s">
        <v>478</v>
      </c>
      <c r="B97" s="55" t="str">
        <f>Translations!$B$837</f>
        <v>Alternatyvus metodas</v>
      </c>
    </row>
    <row r="98" spans="1:6" x14ac:dyDescent="0.2">
      <c r="A98" s="55" t="s">
        <v>86</v>
      </c>
      <c r="B98" s="274" t="str">
        <f>Translations!$B$230</f>
        <v>Būdingojo CO2 priėmimas</v>
      </c>
      <c r="C98" s="274" t="str">
        <f>Translations!$B$231</f>
        <v>Būdingojo CO2 perkėlimas į ATLPS įrenginį</v>
      </c>
      <c r="D98" s="274" t="str">
        <f>Translations!$B$232</f>
        <v>Būdingojo CO2 perkėlimas vartotojui, kuriam ATLPS netaikoma</v>
      </c>
      <c r="E98" s="274" t="str">
        <f>Translations!$B$233</f>
        <v>Perduoto būdingojo CO2 priėmimas</v>
      </c>
      <c r="F98" s="274" t="str">
        <f>Translations!$B$234</f>
        <v>Perduoto būdingojo CO2 perkėlimas</v>
      </c>
    </row>
    <row r="99" spans="1:6" x14ac:dyDescent="0.2">
      <c r="A99" s="55" t="s">
        <v>87</v>
      </c>
      <c r="B99" s="274" t="str">
        <f>Translations!$B$235</f>
        <v>Savų priemonių naudojimas</v>
      </c>
      <c r="C99" s="274" t="str">
        <f>Translations!$B$236</f>
        <v>kito įrenginių priemonių naudojimas</v>
      </c>
      <c r="D99" s="274" t="str">
        <f>Translations!$B$237</f>
        <v>Abiejų partnerių instrumentų naudojimas</v>
      </c>
    </row>
    <row r="100" spans="1:6" x14ac:dyDescent="0.2">
      <c r="A100" s="55" t="s">
        <v>383</v>
      </c>
      <c r="B100" s="237" t="str">
        <f>Translations!$B$238</f>
        <v>A metodas</v>
      </c>
      <c r="C100" s="47" t="str">
        <f>Translations!$B$239</f>
        <v>B Metodas</v>
      </c>
    </row>
    <row r="103" spans="1:6" s="80" customFormat="1" x14ac:dyDescent="0.2"/>
    <row r="105" spans="1:6" s="46" customFormat="1" x14ac:dyDescent="0.2">
      <c r="A105" s="81" t="str">
        <f>Translations!$B$240</f>
        <v>I priedo veikla</v>
      </c>
    </row>
    <row r="106" spans="1:6" s="46" customFormat="1" x14ac:dyDescent="0.2">
      <c r="A106" s="55" t="str">
        <f>Translations!$B$113</f>
        <v>Kuro deginimas</v>
      </c>
    </row>
    <row r="107" spans="1:6" s="46" customFormat="1" x14ac:dyDescent="0.2">
      <c r="A107" s="56" t="str">
        <f>Translations!$B$241</f>
        <v xml:space="preserve">Naftos perdirbimas </v>
      </c>
    </row>
    <row r="108" spans="1:6" s="46" customFormat="1" x14ac:dyDescent="0.2">
      <c r="A108" s="56" t="str">
        <f>Translations!$B$242</f>
        <v>Kokso gamyba</v>
      </c>
    </row>
    <row r="109" spans="1:6" s="46" customFormat="1" x14ac:dyDescent="0.2">
      <c r="A109" s="56" t="str">
        <f>Translations!$B$243</f>
        <v>Metalo rūdų deginimas arba kepinimas</v>
      </c>
    </row>
    <row r="110" spans="1:6" s="46" customFormat="1" x14ac:dyDescent="0.2">
      <c r="A110" s="56" t="str">
        <f>Translations!$B$244</f>
        <v>Ketaus arba plieno gamyba</v>
      </c>
    </row>
    <row r="111" spans="1:6" s="46" customFormat="1" x14ac:dyDescent="0.2">
      <c r="A111" s="56" t="str">
        <f>Translations!$B$245</f>
        <v>Juodųjų metalų gamyba ar apdirbimas</v>
      </c>
    </row>
    <row r="112" spans="1:6" s="46" customFormat="1" x14ac:dyDescent="0.2">
      <c r="A112" s="56" t="str">
        <f>Translations!$B$246</f>
        <v>Pirminio aliuminio gamyba</v>
      </c>
    </row>
    <row r="113" spans="1:1" s="46" customFormat="1" x14ac:dyDescent="0.2">
      <c r="A113" s="56" t="str">
        <f>Translations!$B$247</f>
        <v>Antrinio aliuminio gamyba</v>
      </c>
    </row>
    <row r="114" spans="1:1" s="46" customFormat="1" x14ac:dyDescent="0.2">
      <c r="A114" s="56" t="str">
        <f>Translations!$B$248</f>
        <v>Spalvotųjų metalų gamyba ar apdirbimas</v>
      </c>
    </row>
    <row r="115" spans="1:1" s="46" customFormat="1" x14ac:dyDescent="0.2">
      <c r="A115" s="56" t="str">
        <f>Translations!$B$111</f>
        <v>Cemento klinkerio gamyba</v>
      </c>
    </row>
    <row r="116" spans="1:1" s="46" customFormat="1" x14ac:dyDescent="0.2">
      <c r="A116" s="56" t="str">
        <f>Translations!$B$249</f>
        <v>Kalkių gamyba arba dolomito ar magnezito kalcinavimas</v>
      </c>
    </row>
    <row r="117" spans="1:1" s="46" customFormat="1" x14ac:dyDescent="0.2">
      <c r="A117" s="56" t="str">
        <f>Translations!$B$250</f>
        <v>Stiklo gamyba</v>
      </c>
    </row>
    <row r="118" spans="1:1" s="46" customFormat="1" x14ac:dyDescent="0.2">
      <c r="A118" s="56" t="str">
        <f>Translations!$B$251</f>
        <v>Keraminių gaminių gamyba</v>
      </c>
    </row>
    <row r="119" spans="1:1" s="46" customFormat="1" x14ac:dyDescent="0.2">
      <c r="A119" s="56" t="str">
        <f>Translations!$B$252</f>
        <v>Akmens vatos gamyba</v>
      </c>
    </row>
    <row r="120" spans="1:1" s="46" customFormat="1" x14ac:dyDescent="0.2">
      <c r="A120" s="56" t="str">
        <f>Translations!$B$253</f>
        <v>Gipso ir gipso kartoninių plokščių gamyba ar apdirbimas</v>
      </c>
    </row>
    <row r="121" spans="1:1" s="46" customFormat="1" x14ac:dyDescent="0.2">
      <c r="A121" s="56" t="str">
        <f>Translations!$B$254</f>
        <v>Celiuliozės gamyba</v>
      </c>
    </row>
    <row r="122" spans="1:1" s="46" customFormat="1" x14ac:dyDescent="0.2">
      <c r="A122" s="56" t="str">
        <f>Translations!$B$255</f>
        <v>Popieriaus ir kartono gamyba</v>
      </c>
    </row>
    <row r="123" spans="1:1" s="46" customFormat="1" x14ac:dyDescent="0.2">
      <c r="A123" s="56" t="str">
        <f>Translations!$B$256</f>
        <v>Suodžių gamyba</v>
      </c>
    </row>
    <row r="124" spans="1:1" s="46" customFormat="1" x14ac:dyDescent="0.2">
      <c r="A124" s="56" t="str">
        <f>Translations!$B$257</f>
        <v>Azoto rūgšties gamyba</v>
      </c>
    </row>
    <row r="125" spans="1:1" s="46" customFormat="1" x14ac:dyDescent="0.2">
      <c r="A125" s="56" t="str">
        <f>Translations!$B$258</f>
        <v>Adipo rūgšties gamyba</v>
      </c>
    </row>
    <row r="126" spans="1:1" s="46" customFormat="1" x14ac:dyDescent="0.2">
      <c r="A126" s="56" t="str">
        <f>Translations!$B$259</f>
        <v>Glioksilo ir glioksilo rūgšties gamyba</v>
      </c>
    </row>
    <row r="127" spans="1:1" s="46" customFormat="1" x14ac:dyDescent="0.2">
      <c r="A127" s="56" t="str">
        <f>Translations!$B$260</f>
        <v>Amoniako gamyba</v>
      </c>
    </row>
    <row r="128" spans="1:1" s="46" customFormat="1" x14ac:dyDescent="0.2">
      <c r="A128" s="55" t="str">
        <f>Translations!$B$261</f>
        <v>Biriųjų cheminių medžiagų gamyba</v>
      </c>
    </row>
    <row r="129" spans="1:1" s="46" customFormat="1" x14ac:dyDescent="0.2">
      <c r="A129" s="56" t="str">
        <f>Translations!$B$262</f>
        <v>Vandenilio ar sintezės dujų gamyba</v>
      </c>
    </row>
    <row r="130" spans="1:1" s="46" customFormat="1" x14ac:dyDescent="0.2">
      <c r="A130" s="56" t="str">
        <f>Translations!$B$263</f>
        <v>Natrio karbonato ir natrio hidrokarbonato gamyba</v>
      </c>
    </row>
    <row r="131" spans="1:1" s="46" customFormat="1" x14ac:dyDescent="0.2">
      <c r="A131" s="56" t="str">
        <f>Translations!$B$264</f>
        <v>ŠESD gaudymas pagal Direktyvą 2009/31/EB</v>
      </c>
    </row>
    <row r="132" spans="1:1" s="46" customFormat="1" x14ac:dyDescent="0.2">
      <c r="A132" s="56" t="str">
        <f>Translations!$B$265</f>
        <v>ŠESD transportavimas pagal Direktyvą 2009/31/EB</v>
      </c>
    </row>
    <row r="133" spans="1:1" s="46" customFormat="1" x14ac:dyDescent="0.2">
      <c r="A133" s="56" t="str">
        <f>Translations!$B$266</f>
        <v>ŠESD saugojimas pagal Direktyvą 2009/31/EB</v>
      </c>
    </row>
    <row r="134" spans="1:1" s="46" customFormat="1" x14ac:dyDescent="0.2">
      <c r="A134" s="51"/>
    </row>
    <row r="135" spans="1:1" s="46" customFormat="1" x14ac:dyDescent="0.2">
      <c r="A135" s="79" t="str">
        <f>Translations!$B$267</f>
        <v>SpecifiedEmissions2</v>
      </c>
    </row>
    <row r="136" spans="1:1" s="46" customFormat="1" x14ac:dyDescent="0.2">
      <c r="A136" s="56" t="s">
        <v>20</v>
      </c>
    </row>
    <row r="137" spans="1:1" s="46" customFormat="1" x14ac:dyDescent="0.2">
      <c r="A137" s="56" t="s">
        <v>21</v>
      </c>
    </row>
    <row r="138" spans="1:1" s="46" customFormat="1" x14ac:dyDescent="0.2">
      <c r="A138" s="56" t="str">
        <f>Translations!$B$268</f>
        <v>PFC</v>
      </c>
    </row>
    <row r="139" spans="1:1" s="46" customFormat="1" x14ac:dyDescent="0.2">
      <c r="A139" s="56" t="str">
        <f>Translations!$B$269</f>
        <v>CO2 ir N2O</v>
      </c>
    </row>
    <row r="140" spans="1:1" s="46" customFormat="1" x14ac:dyDescent="0.2">
      <c r="A140" s="56" t="str">
        <f>Translations!$B$270</f>
        <v>CO2 ir PFC</v>
      </c>
    </row>
    <row r="141" spans="1:1" s="46" customFormat="1" x14ac:dyDescent="0.2"/>
    <row r="142" spans="1:1" s="46" customFormat="1" x14ac:dyDescent="0.2">
      <c r="A142" s="79" t="str">
        <f>Translations!$B$271</f>
        <v>SourceCategory</v>
      </c>
    </row>
    <row r="143" spans="1:1" s="46" customFormat="1" x14ac:dyDescent="0.2">
      <c r="A143" s="56" t="str">
        <f>Translations!$B$135</f>
        <v>Didelis</v>
      </c>
    </row>
    <row r="144" spans="1:1" s="46" customFormat="1" x14ac:dyDescent="0.2">
      <c r="A144" s="56" t="str">
        <f>Translations!$B$272</f>
        <v>Mažas</v>
      </c>
    </row>
    <row r="145" spans="1:3" s="46" customFormat="1" x14ac:dyDescent="0.2">
      <c r="A145" s="56" t="str">
        <f>Translations!$B$273</f>
        <v>Labai mažas</v>
      </c>
    </row>
    <row r="146" spans="1:3" s="46" customFormat="1" x14ac:dyDescent="0.2"/>
    <row r="147" spans="1:3" s="46" customFormat="1" x14ac:dyDescent="0.2">
      <c r="A147" s="79" t="str">
        <f>Translations!$B$274</f>
        <v>SourceCategoryCEMS</v>
      </c>
    </row>
    <row r="148" spans="1:3" s="46" customFormat="1" x14ac:dyDescent="0.2">
      <c r="A148" s="56" t="str">
        <f>Translations!$B$135</f>
        <v>Didelis</v>
      </c>
    </row>
    <row r="149" spans="1:3" s="46" customFormat="1" x14ac:dyDescent="0.2">
      <c r="A149" s="56" t="str">
        <f>Translations!$B$272</f>
        <v>Mažas</v>
      </c>
    </row>
    <row r="150" spans="1:3" s="46" customFormat="1" x14ac:dyDescent="0.2">
      <c r="A150" s="79"/>
    </row>
    <row r="151" spans="1:3" s="46" customFormat="1" x14ac:dyDescent="0.2">
      <c r="A151" s="79"/>
    </row>
    <row r="152" spans="1:3" s="46" customFormat="1" x14ac:dyDescent="0.2">
      <c r="A152" s="79" t="str">
        <f>Translations!$B$275</f>
        <v>AnalysisFrequency</v>
      </c>
    </row>
    <row r="153" spans="1:3" s="46" customFormat="1" x14ac:dyDescent="0.2">
      <c r="A153" s="56" t="str">
        <f>Translations!$B$276</f>
        <v>Nuolat</v>
      </c>
      <c r="C153" s="51"/>
    </row>
    <row r="154" spans="1:3" s="46" customFormat="1" x14ac:dyDescent="0.2">
      <c r="A154" s="56" t="str">
        <f>Translations!$B$277</f>
        <v>kasdien</v>
      </c>
    </row>
    <row r="155" spans="1:3" s="46" customFormat="1" x14ac:dyDescent="0.2">
      <c r="A155" s="56" t="str">
        <f>Translations!$B$159</f>
        <v>kartą per savaitę</v>
      </c>
    </row>
    <row r="156" spans="1:3" s="46" customFormat="1" x14ac:dyDescent="0.2">
      <c r="A156" s="56" t="str">
        <f>Translations!$B$278</f>
        <v>kas mėnesį</v>
      </c>
    </row>
    <row r="157" spans="1:3" s="46" customFormat="1" x14ac:dyDescent="0.2">
      <c r="A157" s="56" t="str">
        <f>Translations!$B$279</f>
        <v>kas ketvirtį</v>
      </c>
    </row>
    <row r="158" spans="1:3" s="46" customFormat="1" x14ac:dyDescent="0.2">
      <c r="A158" s="56" t="str">
        <f>Translations!$B$280</f>
        <v>Dukart per metus</v>
      </c>
    </row>
    <row r="159" spans="1:3" s="46" customFormat="1" x14ac:dyDescent="0.2">
      <c r="A159" s="56" t="str">
        <f>Translations!$B$281</f>
        <v>kasmet</v>
      </c>
    </row>
    <row r="160" spans="1:3" s="46" customFormat="1" x14ac:dyDescent="0.2">
      <c r="A160" s="56"/>
    </row>
    <row r="161" spans="1:1" s="46" customFormat="1" x14ac:dyDescent="0.2">
      <c r="A161" s="51"/>
    </row>
    <row r="162" spans="1:1" s="46" customFormat="1" x14ac:dyDescent="0.2">
      <c r="A162" s="79" t="str">
        <f>Translations!$B$282</f>
        <v>OperationType</v>
      </c>
    </row>
    <row r="163" spans="1:1" s="46" customFormat="1" x14ac:dyDescent="0.2">
      <c r="A163" s="56" t="str">
        <f>Translations!$B$283</f>
        <v>Įprastas režimas</v>
      </c>
    </row>
    <row r="164" spans="1:1" s="46" customFormat="1" x14ac:dyDescent="0.2">
      <c r="A164" s="56" t="str">
        <f>Translations!$B$284</f>
        <v>Neįprastas režimas</v>
      </c>
    </row>
    <row r="165" spans="1:1" s="46" customFormat="1" x14ac:dyDescent="0.2">
      <c r="A165" s="56" t="str">
        <f>Translations!$B$161</f>
        <v>Įprastas ir neįprastas režimas</v>
      </c>
    </row>
    <row r="166" spans="1:1" s="46" customFormat="1" x14ac:dyDescent="0.2"/>
    <row r="167" spans="1:1" s="46" customFormat="1" x14ac:dyDescent="0.2">
      <c r="A167" s="79" t="str">
        <f>Translations!$B$285</f>
        <v>PFCMethods</v>
      </c>
    </row>
    <row r="168" spans="1:1" s="46" customFormat="1" x14ac:dyDescent="0.2">
      <c r="A168" s="56" t="str">
        <f>Translations!$B$286</f>
        <v>A metodas = nuolydžio metodas</v>
      </c>
    </row>
    <row r="169" spans="1:1" s="46" customFormat="1" x14ac:dyDescent="0.2">
      <c r="A169" s="56" t="str">
        <f>Translations!$B$287</f>
        <v>B metodas = viršįtampio metodas</v>
      </c>
    </row>
    <row r="170" spans="1:1" s="46" customFormat="1" x14ac:dyDescent="0.2"/>
    <row r="171" spans="1:1" s="46" customFormat="1" x14ac:dyDescent="0.2">
      <c r="A171" s="79" t="str">
        <f>Translations!$B$288</f>
        <v>PFCCellTypes</v>
      </c>
    </row>
    <row r="172" spans="1:1" s="46" customFormat="1" x14ac:dyDescent="0.2">
      <c r="A172" s="113" t="str">
        <f>Translations!$B$859</f>
        <v>Medžiaga – Tiekimas į vonių su termiškai apdorotais perforuotais anodais centrą (CWPB)</v>
      </c>
    </row>
    <row r="173" spans="1:1" s="46" customFormat="1" x14ac:dyDescent="0.2">
      <c r="A173" s="113" t="str">
        <f>Translations!$B$860</f>
        <v>Medžiaga – Sioderbergo vonia su vertikaliais strypais (VSS)</v>
      </c>
    </row>
    <row r="174" spans="1:1" s="46" customFormat="1" x14ac:dyDescent="0.2">
      <c r="A174" s="113" t="str">
        <f>Translations!$B$861</f>
        <v>Medžiaga – Tiekimas į vonių su termiškai apdorotais perforuotais anodais kraštą (SWPB)</v>
      </c>
    </row>
    <row r="175" spans="1:1" s="46" customFormat="1" x14ac:dyDescent="0.2">
      <c r="A175" s="113" t="str">
        <f>Translations!$B$862</f>
        <v>Medžiaga – Sioderbergo vonia su horizontaliais strypais (HSS)</v>
      </c>
    </row>
    <row r="176" spans="1:1" s="46" customFormat="1" x14ac:dyDescent="0.2"/>
    <row r="177" spans="1:3" s="46" customFormat="1" x14ac:dyDescent="0.2">
      <c r="A177" s="79" t="s">
        <v>432</v>
      </c>
    </row>
    <row r="178" spans="1:3" s="46" customFormat="1" x14ac:dyDescent="0.2">
      <c r="A178" s="55" t="str">
        <f>Translations!$B$863</f>
        <v>1/(vienoje elektrolizės vonioje per parą)</v>
      </c>
    </row>
    <row r="179" spans="1:3" s="46" customFormat="1" x14ac:dyDescent="0.2">
      <c r="A179" s="55" t="str">
        <f>Translations!$B$864</f>
        <v>min.</v>
      </c>
    </row>
    <row r="180" spans="1:3" s="46" customFormat="1" x14ac:dyDescent="0.2">
      <c r="A180" s="55" t="str">
        <f>Translations!$B$865</f>
        <v>(kg CF4/t Al)/(min./vienoje elektrolizės vonioje per parą)</v>
      </c>
    </row>
    <row r="181" spans="1:3" s="46" customFormat="1" x14ac:dyDescent="0.2">
      <c r="A181" s="55" t="s">
        <v>433</v>
      </c>
    </row>
    <row r="182" spans="1:3" s="46" customFormat="1" x14ac:dyDescent="0.2">
      <c r="A182" s="55" t="s">
        <v>0</v>
      </c>
    </row>
    <row r="183" spans="1:3" s="46" customFormat="1" x14ac:dyDescent="0.2">
      <c r="A183" s="55" t="str">
        <f>Translations!$B$866</f>
        <v>(kg CF4)/(t Al mV)</v>
      </c>
    </row>
    <row r="184" spans="1:3" s="46" customFormat="1" x14ac:dyDescent="0.2">
      <c r="A184" s="55" t="str">
        <f>Translations!$B$867</f>
        <v>t C2F6/t CF4</v>
      </c>
    </row>
    <row r="185" spans="1:3" s="46" customFormat="1" x14ac:dyDescent="0.2"/>
    <row r="186" spans="1:3" s="46" customFormat="1" x14ac:dyDescent="0.2">
      <c r="A186" s="81" t="str">
        <f>Translations!$B$289</f>
        <v>MeteringDevices</v>
      </c>
    </row>
    <row r="187" spans="1:3" s="46" customFormat="1" x14ac:dyDescent="0.2">
      <c r="A187" s="56" t="str">
        <f>Translations!$B$136</f>
        <v>Sukusis skaitiklis</v>
      </c>
      <c r="C187" s="51"/>
    </row>
    <row r="188" spans="1:3" s="46" customFormat="1" x14ac:dyDescent="0.2">
      <c r="A188" s="56" t="str">
        <f>Translations!$B$290</f>
        <v>Turbininis skaitiklis</v>
      </c>
      <c r="C188" s="51"/>
    </row>
    <row r="189" spans="1:3" s="46" customFormat="1" x14ac:dyDescent="0.2">
      <c r="A189" s="56" t="str">
        <f>Translations!$B$291</f>
        <v>Dumblinis skaitiklis</v>
      </c>
      <c r="C189" s="51"/>
    </row>
    <row r="190" spans="1:3" s="46" customFormat="1" x14ac:dyDescent="0.2">
      <c r="A190" s="56" t="str">
        <f>Translations!$B$292</f>
        <v>Matavimas tūta</v>
      </c>
      <c r="C190" s="51"/>
    </row>
    <row r="191" spans="1:3" s="46" customFormat="1" x14ac:dyDescent="0.2">
      <c r="A191" s="56" t="str">
        <f>Translations!$B$293</f>
        <v>Venturi debitmatis</v>
      </c>
      <c r="C191" s="51"/>
    </row>
    <row r="192" spans="1:3" s="46" customFormat="1" x14ac:dyDescent="0.2">
      <c r="A192" s="56" t="str">
        <f>Translations!$B$294</f>
        <v>Ultragarsinis skaitiklis</v>
      </c>
      <c r="C192" s="51"/>
    </row>
    <row r="193" spans="1:3" s="46" customFormat="1" x14ac:dyDescent="0.2">
      <c r="A193" s="56" t="str">
        <f>Translations!$B$295</f>
        <v>Sukūrinis skaitiklis</v>
      </c>
      <c r="C193" s="84"/>
    </row>
    <row r="194" spans="1:3" s="46" customFormat="1" x14ac:dyDescent="0.2">
      <c r="A194" s="56" t="str">
        <f>Translations!$B$296</f>
        <v>Coriolis matuoklis</v>
      </c>
    </row>
    <row r="195" spans="1:3" s="46" customFormat="1" x14ac:dyDescent="0.2">
      <c r="A195" s="56" t="str">
        <f>Translations!$B$868</f>
        <v>Ovalinių krumplinių pavarų matuoklis</v>
      </c>
    </row>
    <row r="196" spans="1:3" s="46" customFormat="1" x14ac:dyDescent="0.2">
      <c r="A196" s="56" t="str">
        <f>Translations!$B$297</f>
        <v>Elektroninė tūrio konvertavimo priemonė (EVCI)</v>
      </c>
    </row>
    <row r="197" spans="1:3" s="46" customFormat="1" x14ac:dyDescent="0.2">
      <c r="A197" s="56" t="str">
        <f>Translations!$B$298</f>
        <v>dujų chromatografas</v>
      </c>
    </row>
    <row r="198" spans="1:3" s="46" customFormat="1" x14ac:dyDescent="0.2">
      <c r="A198" s="55" t="str">
        <f>Translations!$B$137</f>
        <v>Tiltinės svarstyklės</v>
      </c>
    </row>
    <row r="199" spans="1:3" s="46" customFormat="1" x14ac:dyDescent="0.2">
      <c r="A199" s="55" t="str">
        <f>Translations!$B$299</f>
        <v>Sveriančioji konvejerio juosta</v>
      </c>
    </row>
    <row r="200" spans="1:3" s="46" customFormat="1" x14ac:dyDescent="0.2">
      <c r="A200" s="56"/>
    </row>
    <row r="201" spans="1:3" s="46" customFormat="1" x14ac:dyDescent="0.2"/>
    <row r="202" spans="1:3" s="46" customFormat="1" x14ac:dyDescent="0.2">
      <c r="A202" s="79" t="str">
        <f>Translations!$B$300</f>
        <v>MeasurementTiers</v>
      </c>
    </row>
    <row r="203" spans="1:3" s="46" customFormat="1" x14ac:dyDescent="0.2">
      <c r="A203" s="57">
        <v>1</v>
      </c>
    </row>
    <row r="204" spans="1:3" s="46" customFormat="1" x14ac:dyDescent="0.2">
      <c r="A204" s="57">
        <v>2</v>
      </c>
    </row>
    <row r="205" spans="1:3" s="46" customFormat="1" x14ac:dyDescent="0.2">
      <c r="A205" s="57">
        <v>3</v>
      </c>
    </row>
    <row r="206" spans="1:3" s="46" customFormat="1" x14ac:dyDescent="0.2">
      <c r="A206" s="57">
        <v>4</v>
      </c>
    </row>
    <row r="207" spans="1:3" s="46" customFormat="1" x14ac:dyDescent="0.2"/>
    <row r="208" spans="1:3" s="46" customFormat="1" x14ac:dyDescent="0.2">
      <c r="A208" s="79" t="str">
        <f>Translations!$B$301</f>
        <v>PFCTiers</v>
      </c>
    </row>
    <row r="209" spans="1:3" s="46" customFormat="1" x14ac:dyDescent="0.2">
      <c r="A209" s="57">
        <v>1</v>
      </c>
    </row>
    <row r="210" spans="1:3" s="46" customFormat="1" x14ac:dyDescent="0.2">
      <c r="A210" s="57">
        <v>2</v>
      </c>
    </row>
    <row r="211" spans="1:3" s="46" customFormat="1" x14ac:dyDescent="0.2"/>
    <row r="212" spans="1:3" s="46" customFormat="1" x14ac:dyDescent="0.2">
      <c r="A212" s="79" t="str">
        <f>Translations!$B$302</f>
        <v>BiomassTiers</v>
      </c>
    </row>
    <row r="213" spans="1:3" s="46" customFormat="1" x14ac:dyDescent="0.2">
      <c r="A213" s="57">
        <v>1</v>
      </c>
    </row>
    <row r="214" spans="1:3" s="46" customFormat="1" x14ac:dyDescent="0.2">
      <c r="A214" s="57">
        <v>2</v>
      </c>
    </row>
    <row r="215" spans="1:3" s="46" customFormat="1" x14ac:dyDescent="0.2">
      <c r="A215" s="56" t="str">
        <f>EUconst_NoTier</f>
        <v>Nėra pakopos</v>
      </c>
    </row>
    <row r="216" spans="1:3" s="46" customFormat="1" x14ac:dyDescent="0.2">
      <c r="A216" s="56" t="str">
        <f>EUconst_NA</f>
        <v>netaik.</v>
      </c>
    </row>
    <row r="217" spans="1:3" s="46" customFormat="1" x14ac:dyDescent="0.2">
      <c r="A217" s="82"/>
    </row>
    <row r="218" spans="1:3" s="46" customFormat="1" x14ac:dyDescent="0.2">
      <c r="A218" s="79" t="str">
        <f>Translations!$B$303</f>
        <v>ConversionFactorTiers</v>
      </c>
    </row>
    <row r="219" spans="1:3" s="46" customFormat="1" x14ac:dyDescent="0.2">
      <c r="A219" s="57">
        <v>1</v>
      </c>
    </row>
    <row r="220" spans="1:3" s="46" customFormat="1" x14ac:dyDescent="0.2">
      <c r="A220" s="57">
        <v>2</v>
      </c>
    </row>
    <row r="221" spans="1:3" x14ac:dyDescent="0.2">
      <c r="A221" s="56" t="str">
        <f>EUconst_NoTier</f>
        <v>Nėra pakopos</v>
      </c>
      <c r="C221" s="46"/>
    </row>
    <row r="222" spans="1:3" x14ac:dyDescent="0.2">
      <c r="A222" s="56" t="str">
        <f>EUconst_NA</f>
        <v>netaik.</v>
      </c>
      <c r="C222" s="46"/>
    </row>
    <row r="224" spans="1:3" x14ac:dyDescent="0.2">
      <c r="A224" s="79" t="str">
        <f>Translations!$B$304</f>
        <v>ActivityDataTiers</v>
      </c>
    </row>
    <row r="225" spans="1:1" x14ac:dyDescent="0.2">
      <c r="A225" s="83">
        <v>1</v>
      </c>
    </row>
    <row r="226" spans="1:1" x14ac:dyDescent="0.2">
      <c r="A226" s="57">
        <v>2</v>
      </c>
    </row>
    <row r="227" spans="1:1" x14ac:dyDescent="0.2">
      <c r="A227" s="57">
        <v>3</v>
      </c>
    </row>
    <row r="228" spans="1:1" x14ac:dyDescent="0.2">
      <c r="A228" s="57">
        <v>4</v>
      </c>
    </row>
    <row r="229" spans="1:1" x14ac:dyDescent="0.2">
      <c r="A229" s="56" t="str">
        <f>EUconst_NoTier</f>
        <v>Nėra pakopos</v>
      </c>
    </row>
    <row r="230" spans="1:1" x14ac:dyDescent="0.2">
      <c r="A230" s="56" t="str">
        <f>EUconst_NA</f>
        <v>netaik.</v>
      </c>
    </row>
    <row r="231" spans="1:1" x14ac:dyDescent="0.2">
      <c r="A231" s="46"/>
    </row>
    <row r="232" spans="1:1" x14ac:dyDescent="0.2">
      <c r="A232" s="79" t="str">
        <f>Translations!$B$305</f>
        <v>NCVTiers</v>
      </c>
    </row>
    <row r="233" spans="1:1" x14ac:dyDescent="0.2">
      <c r="A233" s="57">
        <v>1</v>
      </c>
    </row>
    <row r="234" spans="1:1" x14ac:dyDescent="0.2">
      <c r="A234" s="56" t="s">
        <v>262</v>
      </c>
    </row>
    <row r="235" spans="1:1" x14ac:dyDescent="0.2">
      <c r="A235" s="56" t="str">
        <f>Translations!$B$306</f>
        <v>2b</v>
      </c>
    </row>
    <row r="236" spans="1:1" x14ac:dyDescent="0.2">
      <c r="A236" s="57">
        <v>3</v>
      </c>
    </row>
    <row r="237" spans="1:1" x14ac:dyDescent="0.2">
      <c r="A237" s="56" t="str">
        <f>EUconst_NoTier</f>
        <v>Nėra pakopos</v>
      </c>
    </row>
    <row r="238" spans="1:1" x14ac:dyDescent="0.2">
      <c r="A238" s="56" t="str">
        <f>EUconst_NA</f>
        <v>netaik.</v>
      </c>
    </row>
    <row r="239" spans="1:1" x14ac:dyDescent="0.2">
      <c r="A239" s="51"/>
    </row>
    <row r="240" spans="1:1" x14ac:dyDescent="0.2">
      <c r="A240" s="79" t="str">
        <f>Translations!$B$307</f>
        <v>EFTiers</v>
      </c>
    </row>
    <row r="241" spans="1:1" x14ac:dyDescent="0.2">
      <c r="A241" s="57">
        <v>1</v>
      </c>
    </row>
    <row r="242" spans="1:1" x14ac:dyDescent="0.2">
      <c r="A242" s="57">
        <v>2</v>
      </c>
    </row>
    <row r="243" spans="1:1" x14ac:dyDescent="0.2">
      <c r="A243" s="56" t="s">
        <v>262</v>
      </c>
    </row>
    <row r="244" spans="1:1" x14ac:dyDescent="0.2">
      <c r="A244" s="56" t="str">
        <f>Translations!$B$306</f>
        <v>2b</v>
      </c>
    </row>
    <row r="245" spans="1:1" x14ac:dyDescent="0.2">
      <c r="A245" s="57">
        <v>3</v>
      </c>
    </row>
    <row r="246" spans="1:1" x14ac:dyDescent="0.2">
      <c r="A246" s="56" t="str">
        <f>EUconst_NoTier</f>
        <v>Nėra pakopos</v>
      </c>
    </row>
    <row r="248" spans="1:1" x14ac:dyDescent="0.2">
      <c r="A248" s="79" t="str">
        <f>Translations!$B$308</f>
        <v>CarbonContentTiers</v>
      </c>
    </row>
    <row r="249" spans="1:1" x14ac:dyDescent="0.2">
      <c r="A249" s="57">
        <v>1</v>
      </c>
    </row>
    <row r="250" spans="1:1" x14ac:dyDescent="0.2">
      <c r="A250" s="56" t="s">
        <v>262</v>
      </c>
    </row>
    <row r="251" spans="1:1" x14ac:dyDescent="0.2">
      <c r="A251" s="56" t="str">
        <f>Translations!$B$306</f>
        <v>2b</v>
      </c>
    </row>
    <row r="252" spans="1:1" x14ac:dyDescent="0.2">
      <c r="A252" s="57">
        <v>3</v>
      </c>
    </row>
    <row r="253" spans="1:1" x14ac:dyDescent="0.2">
      <c r="A253" s="56" t="str">
        <f>EUconst_NoTier</f>
        <v>Nėra pakopos</v>
      </c>
    </row>
    <row r="254" spans="1:1" x14ac:dyDescent="0.2">
      <c r="A254" s="56" t="str">
        <f>EUconst_NA</f>
        <v>netaik.</v>
      </c>
    </row>
    <row r="256" spans="1:1" x14ac:dyDescent="0.2">
      <c r="A256" s="59" t="s">
        <v>540</v>
      </c>
    </row>
    <row r="257" spans="1:1" x14ac:dyDescent="0.2">
      <c r="A257" s="63" t="str">
        <f>EUconst_GJpt</f>
        <v>GJ/t</v>
      </c>
    </row>
    <row r="258" spans="1:1" x14ac:dyDescent="0.2">
      <c r="A258" s="63" t="str">
        <f>EUconst_GJpkNm3</f>
        <v>GJ/1 000 Nm3</v>
      </c>
    </row>
    <row r="259" spans="1:1" x14ac:dyDescent="0.2">
      <c r="A259" s="57" t="str">
        <f>EUconst_NA</f>
        <v>netaik.</v>
      </c>
    </row>
    <row r="261" spans="1:1" x14ac:dyDescent="0.2">
      <c r="A261" s="59" t="s">
        <v>539</v>
      </c>
    </row>
    <row r="262" spans="1:1" x14ac:dyDescent="0.2">
      <c r="A262" s="63" t="str">
        <f>EUconst_tCO2pTJ</f>
        <v>tCO2/TJ</v>
      </c>
    </row>
    <row r="263" spans="1:1" x14ac:dyDescent="0.2">
      <c r="A263" s="63" t="str">
        <f>EUconst_tCO2pt</f>
        <v>tCO2/t</v>
      </c>
    </row>
    <row r="264" spans="1:1" x14ac:dyDescent="0.2">
      <c r="A264" s="63" t="str">
        <f>EUconst_tCO2pkNm3</f>
        <v>tCO2/1 000 Nm3</v>
      </c>
    </row>
    <row r="266" spans="1:1" x14ac:dyDescent="0.2">
      <c r="A266" s="59" t="s">
        <v>344</v>
      </c>
    </row>
    <row r="267" spans="1:1" x14ac:dyDescent="0.2">
      <c r="A267" s="63" t="s">
        <v>0</v>
      </c>
    </row>
    <row r="268" spans="1:1" x14ac:dyDescent="0.2">
      <c r="A268" s="63"/>
    </row>
    <row r="271" spans="1:1" s="80" customFormat="1" x14ac:dyDescent="0.2"/>
    <row r="273" spans="1:12" ht="13.5" thickBot="1" x14ac:dyDescent="0.25">
      <c r="B273" s="59" t="str">
        <f>Translations!$B$309</f>
        <v>Directive Annex I</v>
      </c>
      <c r="D273" s="46"/>
      <c r="E273" s="1772" t="str">
        <f>Translations!$B$310</f>
        <v>Special activities</v>
      </c>
      <c r="F273" s="1772"/>
      <c r="G273" s="1772"/>
      <c r="H273" s="1772"/>
      <c r="I273" s="59" t="str">
        <f>Translations!$B$110</f>
        <v>Išmestos ŠESD</v>
      </c>
      <c r="J273" s="85" t="s">
        <v>575</v>
      </c>
    </row>
    <row r="274" spans="1:12" x14ac:dyDescent="0.2">
      <c r="A274" s="19">
        <v>1</v>
      </c>
      <c r="B274" s="408" t="str">
        <f>IF(LEN(Translations!$B$311)&gt;250,LEFT(Translations!$B$311,250),Translations!$B$311)</f>
        <v>Kuro deginimas įrenginiuose, kurių visas nominalus šiluminis našumas didesnis nei 20 MW (išskyrus pavojingų arba komunalinių atliekų deginimo įrenginius)</v>
      </c>
      <c r="C274" s="409" t="str">
        <f t="shared" ref="C274:C301" si="0">INDEX(AnnexIActivities,A274)</f>
        <v>Kuro deginimas</v>
      </c>
      <c r="D274" s="410"/>
      <c r="E274" s="416"/>
      <c r="F274" s="417"/>
      <c r="G274" s="417"/>
      <c r="H274" s="418"/>
      <c r="I274" s="1031" t="s">
        <v>20</v>
      </c>
      <c r="J274" s="1034">
        <v>1</v>
      </c>
      <c r="K274" s="46"/>
      <c r="L274" s="46"/>
    </row>
    <row r="275" spans="1:12" x14ac:dyDescent="0.2">
      <c r="A275" s="20">
        <v>2</v>
      </c>
      <c r="B275" s="411" t="str">
        <f>Translations!$B$241</f>
        <v xml:space="preserve">Naftos perdirbimas </v>
      </c>
      <c r="C275" s="372" t="str">
        <f t="shared" si="0"/>
        <v xml:space="preserve">Naftos perdirbimas </v>
      </c>
      <c r="D275" s="412"/>
      <c r="E275" s="419" t="str">
        <f>O360</f>
        <v>Naftos perdirbimo įrenginiai: Masės balansas</v>
      </c>
      <c r="F275" s="331" t="str">
        <f>O361</f>
        <v>Naftos perdirbimo įrenginiai: Regeneravimas katalizinio krekingo įrenginiu</v>
      </c>
      <c r="G275" s="331" t="str">
        <f>O362</f>
        <v>Naftos perdirbimo įrenginiai: Vandenilio gamyba</v>
      </c>
      <c r="H275" s="420"/>
      <c r="I275" s="1032" t="s">
        <v>20</v>
      </c>
      <c r="J275" s="1035">
        <v>2</v>
      </c>
      <c r="K275" s="46"/>
      <c r="L275" s="65"/>
    </row>
    <row r="276" spans="1:12" x14ac:dyDescent="0.2">
      <c r="A276" s="20">
        <v>3</v>
      </c>
      <c r="B276" s="411" t="str">
        <f>Translations!$B$242</f>
        <v>Kokso gamyba</v>
      </c>
      <c r="C276" s="372" t="str">
        <f t="shared" si="0"/>
        <v>Kokso gamyba</v>
      </c>
      <c r="D276" s="412"/>
      <c r="E276" s="419" t="str">
        <f>O363</f>
        <v>Koksas: Kuras kaip proceso žaliava</v>
      </c>
      <c r="F276" s="331" t="str">
        <f>O364</f>
        <v>Koksas: Karbonatų sąnaudos (A metodas)</v>
      </c>
      <c r="G276" s="331" t="str">
        <f>O365</f>
        <v>Koksas: Oksido išeiga (B metodas)</v>
      </c>
      <c r="H276" s="420" t="str">
        <f>O366</f>
        <v>Koksas: Masės balansas</v>
      </c>
      <c r="I276" s="1032" t="s">
        <v>20</v>
      </c>
      <c r="J276" s="1035">
        <v>2</v>
      </c>
      <c r="K276" s="46"/>
      <c r="L276" s="50"/>
    </row>
    <row r="277" spans="1:12" x14ac:dyDescent="0.2">
      <c r="A277" s="20">
        <v>4</v>
      </c>
      <c r="B277" s="411" t="str">
        <f>IF(LEN(Translations!$B$312)&gt;250,LEFT(Translations!$B$312,250),Translations!$B$312)</f>
        <v xml:space="preserve">Metalo rūdos (įskaitant sulfidinę rūdą) deginimas arba kaitinimas, įskaitant granuliavimą </v>
      </c>
      <c r="C277" s="372" t="str">
        <f t="shared" si="0"/>
        <v>Metalo rūdų deginimas arba kepinimas</v>
      </c>
      <c r="D277" s="412"/>
      <c r="E277" s="419" t="str">
        <f>O367</f>
        <v>Metalų rūda: Karbonatų sąnaudos</v>
      </c>
      <c r="F277" s="331" t="str">
        <f>O368</f>
        <v>Metalų rūda: Masės balansas</v>
      </c>
      <c r="G277" s="331"/>
      <c r="H277" s="420"/>
      <c r="I277" s="1032" t="s">
        <v>20</v>
      </c>
      <c r="J277" s="1035">
        <v>2</v>
      </c>
      <c r="K277" s="46"/>
      <c r="L277" s="65"/>
    </row>
    <row r="278" spans="1:12" x14ac:dyDescent="0.2">
      <c r="A278" s="20">
        <v>5</v>
      </c>
      <c r="B278" s="411" t="str">
        <f>IF(LEN(Translations!$B$313)&gt;250,LEFT(Translations!$B$313,250),Translations!$B$313)</f>
        <v xml:space="preserve">Luitinio ketaus arba plieno gamyba (pirminis arba antrinis liejimas), įskaitant tolydinį liejimą, kai pajėgumas didesnis nei 2,5 tonos per valandą </v>
      </c>
      <c r="C278" s="372" t="str">
        <f t="shared" si="0"/>
        <v>Ketaus arba plieno gamyba</v>
      </c>
      <c r="D278" s="412"/>
      <c r="E278" s="419" t="str">
        <f>O369</f>
        <v>Geležis ir plienas: Kuras kaip proceso žaliava</v>
      </c>
      <c r="F278" s="331" t="str">
        <f>O370</f>
        <v>Geležis ir plienas: Karbonatų sąnaudos</v>
      </c>
      <c r="G278" s="331" t="str">
        <f>O371</f>
        <v>Geležis ir plienas: Masės balansas</v>
      </c>
      <c r="H278" s="420"/>
      <c r="I278" s="1032" t="s">
        <v>20</v>
      </c>
      <c r="J278" s="1035">
        <v>2</v>
      </c>
      <c r="K278" s="46"/>
      <c r="L278" s="65"/>
    </row>
    <row r="279" spans="1:12" x14ac:dyDescent="0.2">
      <c r="A279" s="20">
        <v>6</v>
      </c>
      <c r="B279" s="411"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2" t="str">
        <f t="shared" si="0"/>
        <v>Juodųjų metalų gamyba ar apdirbimas</v>
      </c>
      <c r="D279" s="412"/>
      <c r="E279" s="419" t="str">
        <f>O389</f>
        <v>(Ne)spalvotieji, antrinis aliuminis: Proceso metu išsiskiriančios ŠESD</v>
      </c>
      <c r="F279" s="331" t="str">
        <f>O390</f>
        <v>(Ne)spalvotieji, antrinis aliuminis: Masės balanso metodika</v>
      </c>
      <c r="G279" s="331"/>
      <c r="H279" s="420"/>
      <c r="I279" s="1032" t="s">
        <v>20</v>
      </c>
      <c r="J279" s="1035">
        <v>2</v>
      </c>
      <c r="K279" s="46"/>
      <c r="L279" s="65"/>
    </row>
    <row r="280" spans="1:12" x14ac:dyDescent="0.2">
      <c r="A280" s="20">
        <v>7</v>
      </c>
      <c r="B280" s="411" t="str">
        <f>Translations!$B$246</f>
        <v>Pirminio aliuminio gamyba</v>
      </c>
      <c r="C280" s="372" t="str">
        <f t="shared" si="0"/>
        <v>Pirminio aliuminio gamyba</v>
      </c>
      <c r="D280" s="412"/>
      <c r="E280" s="419" t="str">
        <f>O392</f>
        <v>Pirminis aliuminis: Masės balanso metodika</v>
      </c>
      <c r="F280" s="331" t="str">
        <f>O393</f>
        <v>Pirminis aliuminis: Išmetamas PFC kiekis (nuolydžio metodas)</v>
      </c>
      <c r="G280" s="331" t="str">
        <f>O394</f>
        <v>Pirminis aliuminis: Išmetamas PFC kiekis (viršįtampio metodas)</v>
      </c>
      <c r="H280" s="420"/>
      <c r="I280" s="1032" t="str">
        <f>Translations!$B$270</f>
        <v>CO2 ir PFC</v>
      </c>
      <c r="J280" s="1035">
        <v>2</v>
      </c>
      <c r="K280" s="46"/>
      <c r="L280" s="65"/>
    </row>
    <row r="281" spans="1:12" x14ac:dyDescent="0.2">
      <c r="A281" s="20">
        <v>8</v>
      </c>
      <c r="B281" s="411" t="str">
        <f>IF(LEN(Translations!$B$315)&gt;250,LEFT(Translations!$B$315,250),Translations!$B$315)</f>
        <v>Antrinio aliuminio gamyba, kai eksploatuojami kuro deginimo įrenginiai, kurių visas nominalus šiluminis našumas didesnis nei 20 MW</v>
      </c>
      <c r="C281" s="372" t="str">
        <f t="shared" si="0"/>
        <v>Antrinio aliuminio gamyba</v>
      </c>
      <c r="D281" s="412"/>
      <c r="E281" s="419" t="str">
        <f>E279</f>
        <v>(Ne)spalvotieji, antrinis aliuminis: Proceso metu išsiskiriančios ŠESD</v>
      </c>
      <c r="F281" s="331" t="str">
        <f>F279</f>
        <v>(Ne)spalvotieji, antrinis aliuminis: Masės balanso metodika</v>
      </c>
      <c r="G281" s="331"/>
      <c r="H281" s="420"/>
      <c r="I281" s="1032" t="s">
        <v>20</v>
      </c>
      <c r="J281" s="1035">
        <v>2</v>
      </c>
      <c r="K281" s="46"/>
      <c r="L281" s="65"/>
    </row>
    <row r="282" spans="1:12" x14ac:dyDescent="0.2">
      <c r="A282" s="20">
        <v>9</v>
      </c>
      <c r="B282" s="411"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2" t="str">
        <f t="shared" si="0"/>
        <v>Spalvotųjų metalų gamyba ar apdirbimas</v>
      </c>
      <c r="D282" s="412"/>
      <c r="E282" s="419" t="str">
        <f>E279</f>
        <v>(Ne)spalvotieji, antrinis aliuminis: Proceso metu išsiskiriančios ŠESD</v>
      </c>
      <c r="F282" s="331" t="str">
        <f>F279</f>
        <v>(Ne)spalvotieji, antrinis aliuminis: Masės balanso metodika</v>
      </c>
      <c r="G282" s="331"/>
      <c r="H282" s="420"/>
      <c r="I282" s="1032" t="s">
        <v>20</v>
      </c>
      <c r="J282" s="1035">
        <v>2</v>
      </c>
      <c r="K282" s="46"/>
      <c r="L282" s="65"/>
    </row>
    <row r="283" spans="1:12" x14ac:dyDescent="0.2">
      <c r="A283" s="20">
        <v>10</v>
      </c>
      <c r="B283" s="411"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2" t="str">
        <f t="shared" si="0"/>
        <v>Cemento klinkerio gamyba</v>
      </c>
      <c r="D283" s="412"/>
      <c r="E283" s="419" t="str">
        <f>O372</f>
        <v>Cemento klinkeriai: Grindžiamas krosnies žaliava (A metodas)</v>
      </c>
      <c r="F283" s="331" t="str">
        <f>O373</f>
        <v>Cemento klinkeriai: Klinkerio išeiga (B metodas)</v>
      </c>
      <c r="G283" s="331" t="str">
        <f>O374</f>
        <v>Cemento klinkeriai: Cemento degimo krosnių dulkės</v>
      </c>
      <c r="H283" s="420" t="str">
        <f>O375</f>
        <v>Cemento klinkeriai: Nekarbonatinė anglis</v>
      </c>
      <c r="I283" s="1032" t="s">
        <v>20</v>
      </c>
      <c r="J283" s="1035">
        <v>2</v>
      </c>
      <c r="K283" s="46"/>
      <c r="L283" s="65"/>
    </row>
    <row r="284" spans="1:12" x14ac:dyDescent="0.2">
      <c r="A284" s="20">
        <v>11</v>
      </c>
      <c r="B284" s="411" t="str">
        <f>IF(LEN(Translations!$B$318)&gt;250,LEFT(Translations!$B$318,250),Translations!$B$318)</f>
        <v xml:space="preserve">Kalkių gamyba arba dolomito ar magnezito kalcinavimas rotacinėse krosnyse arba kitose krosnyse, kurių gamybos pajėgumas didesnis kaip 50 tonų per dieną </v>
      </c>
      <c r="C284" s="372" t="str">
        <f t="shared" si="0"/>
        <v>Kalkių gamyba arba dolomito ar magnezito kalcinavimas</v>
      </c>
      <c r="D284" s="412"/>
      <c r="E284" s="419" t="str">
        <f>O376</f>
        <v>Kalkės, dolomitas, magnezitas: Karbonatai (A metodas)</v>
      </c>
      <c r="F284" s="331" t="str">
        <f>O377</f>
        <v>Kalkės, dolomitas, magnezitas: Šarminių žemių metalų oksidas (B metodas)</v>
      </c>
      <c r="G284" s="331" t="str">
        <f>O378</f>
        <v>Kalkės, dolomitas, magnezitas: Degimo krosnių dulkės (B metodas)</v>
      </c>
      <c r="H284" s="420"/>
      <c r="I284" s="1032" t="s">
        <v>20</v>
      </c>
      <c r="J284" s="1035">
        <v>2</v>
      </c>
      <c r="K284" s="46"/>
      <c r="L284" s="65"/>
    </row>
    <row r="285" spans="1:12" x14ac:dyDescent="0.2">
      <c r="A285" s="20">
        <v>12</v>
      </c>
      <c r="B285" s="411" t="str">
        <f>IF(LEN(Translations!$B$319)&gt;250,LEFT(Translations!$B$319,250),Translations!$B$319)</f>
        <v xml:space="preserve">Stiklo, įskaitant stiklo pluoštą, gamyba, kai lydymo pajėgumas didesnis kaip 20 tonų per dieną </v>
      </c>
      <c r="C285" s="372" t="str">
        <f t="shared" si="0"/>
        <v>Stiklo gamyba</v>
      </c>
      <c r="D285" s="412"/>
      <c r="E285" s="419" t="str">
        <f>O379</f>
        <v>Stiklas ir mineralinė vata: Karbonatai (žaliava)</v>
      </c>
      <c r="F285" s="331"/>
      <c r="G285" s="331"/>
      <c r="H285" s="420"/>
      <c r="I285" s="1032" t="s">
        <v>20</v>
      </c>
      <c r="J285" s="1035">
        <v>2</v>
      </c>
      <c r="K285" s="46"/>
      <c r="L285" s="65"/>
    </row>
    <row r="286" spans="1:12" x14ac:dyDescent="0.2">
      <c r="A286" s="20">
        <v>13</v>
      </c>
      <c r="B286" s="411"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2" t="str">
        <f t="shared" si="0"/>
        <v>Keraminių gaminių gamyba</v>
      </c>
      <c r="D286" s="412"/>
      <c r="E286" s="419" t="str">
        <f>O380</f>
        <v>Keramikos dirbiniai.: Anglies sąnaudos (A metodas)</v>
      </c>
      <c r="F286" s="331" t="str">
        <f>O381</f>
        <v>Keramikos dirbiniai.: Šarminių metalų oksidas (B metodas)</v>
      </c>
      <c r="G286" s="331" t="str">
        <f>O382</f>
        <v>Keramikos dirbiniai.: Dujų plovimas</v>
      </c>
      <c r="H286" s="420"/>
      <c r="I286" s="1032" t="s">
        <v>20</v>
      </c>
      <c r="J286" s="1035">
        <v>2</v>
      </c>
      <c r="K286" s="46"/>
      <c r="L286" s="65"/>
    </row>
    <row r="287" spans="1:12" x14ac:dyDescent="0.2">
      <c r="A287" s="20">
        <v>14</v>
      </c>
      <c r="B287" s="411" t="str">
        <f>IF(LEN(Translations!$B$321)&gt;250,LEFT(Translations!$B$321,250),Translations!$B$321)</f>
        <v xml:space="preserve">Akmens vatos gamyba, naudojant stiklą, uolienas arba šlaką, kai lydymo pajėgumas didesnis kaip 20 tonų per dieną </v>
      </c>
      <c r="C287" s="372" t="str">
        <f t="shared" si="0"/>
        <v>Akmens vatos gamyba</v>
      </c>
      <c r="D287" s="412"/>
      <c r="E287" s="419" t="str">
        <f>O379</f>
        <v>Stiklas ir mineralinė vata: Karbonatai (žaliava)</v>
      </c>
      <c r="F287" s="331"/>
      <c r="G287" s="331"/>
      <c r="H287" s="420"/>
      <c r="I287" s="1032" t="s">
        <v>20</v>
      </c>
      <c r="J287" s="1035">
        <v>2</v>
      </c>
      <c r="K287" s="46"/>
      <c r="L287" s="65"/>
    </row>
    <row r="288" spans="1:12" x14ac:dyDescent="0.2">
      <c r="A288" s="20">
        <v>15</v>
      </c>
      <c r="B288" s="411"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2" t="str">
        <f t="shared" si="0"/>
        <v>Gipso ir gipso kartoninių plokščių gamyba ar apdirbimas</v>
      </c>
      <c r="D288" s="412"/>
      <c r="E288" s="419"/>
      <c r="F288" s="331"/>
      <c r="G288" s="331"/>
      <c r="H288" s="420"/>
      <c r="I288" s="1032" t="s">
        <v>20</v>
      </c>
      <c r="J288" s="1035">
        <v>2</v>
      </c>
      <c r="K288" s="46"/>
      <c r="L288" s="65"/>
    </row>
    <row r="289" spans="1:12" x14ac:dyDescent="0.2">
      <c r="A289" s="20">
        <v>16</v>
      </c>
      <c r="B289" s="411" t="str">
        <f>Translations!$B$323</f>
        <v xml:space="preserve">Celiuliozės iš medienos arba kitų pluoštinių medžiagų gamyba </v>
      </c>
      <c r="C289" s="372" t="str">
        <f t="shared" si="0"/>
        <v>Celiuliozės gamyba</v>
      </c>
      <c r="D289" s="412"/>
      <c r="E289" s="419" t="str">
        <f>O383</f>
        <v>Celiuliozė ir popierius: Sudėtinės cheminės medžiagos</v>
      </c>
      <c r="F289" s="331"/>
      <c r="G289" s="331"/>
      <c r="H289" s="420"/>
      <c r="I289" s="1032" t="s">
        <v>20</v>
      </c>
      <c r="J289" s="1035">
        <v>2</v>
      </c>
      <c r="K289" s="46"/>
      <c r="L289" s="65"/>
    </row>
    <row r="290" spans="1:12" x14ac:dyDescent="0.2">
      <c r="A290" s="20">
        <v>17</v>
      </c>
      <c r="B290" s="411" t="str">
        <f>IF(LEN(Translations!$B$324)&gt;250,LEFT(Translations!$B$324,250),Translations!$B$324)</f>
        <v xml:space="preserve">Popieriaus ir kartono gamyba, kai gamybos pajėgumas yra didesnis nei 20 tonų per dieną </v>
      </c>
      <c r="C290" s="372" t="str">
        <f t="shared" si="0"/>
        <v>Popieriaus ir kartono gamyba</v>
      </c>
      <c r="D290" s="412"/>
      <c r="E290" s="419" t="str">
        <f>O383</f>
        <v>Celiuliozė ir popierius: Sudėtinės cheminės medžiagos</v>
      </c>
      <c r="F290" s="331"/>
      <c r="G290" s="331"/>
      <c r="H290" s="420"/>
      <c r="I290" s="1032" t="s">
        <v>20</v>
      </c>
      <c r="J290" s="1035">
        <v>2</v>
      </c>
      <c r="K290" s="46"/>
      <c r="L290" s="65"/>
    </row>
    <row r="291" spans="1:12" x14ac:dyDescent="0.2">
      <c r="A291" s="20">
        <v>18</v>
      </c>
      <c r="B291" s="411"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2" t="str">
        <f t="shared" si="0"/>
        <v>Suodžių gamyba</v>
      </c>
      <c r="D291" s="412"/>
      <c r="E291" s="419" t="str">
        <f>O384</f>
        <v>Padengtas kartonas Suodžiai: Masės balanso metodika</v>
      </c>
      <c r="F291" s="331"/>
      <c r="G291" s="331"/>
      <c r="H291" s="420"/>
      <c r="I291" s="1032" t="s">
        <v>20</v>
      </c>
      <c r="J291" s="1035">
        <v>2</v>
      </c>
      <c r="K291" s="46"/>
      <c r="L291" s="65"/>
    </row>
    <row r="292" spans="1:12" x14ac:dyDescent="0.2">
      <c r="A292" s="20">
        <v>19</v>
      </c>
      <c r="B292" s="411" t="str">
        <f>Translations!$B$257</f>
        <v>Azoto rūgšties gamyba</v>
      </c>
      <c r="C292" s="372" t="str">
        <f t="shared" si="0"/>
        <v>Azoto rūgšties gamyba</v>
      </c>
      <c r="D292" s="412"/>
      <c r="E292" s="419"/>
      <c r="F292" s="331"/>
      <c r="G292" s="331"/>
      <c r="H292" s="420"/>
      <c r="I292" s="1032" t="str">
        <f>Translations!$B$269</f>
        <v>CO2 ir N2O</v>
      </c>
      <c r="J292" s="1036">
        <v>2</v>
      </c>
      <c r="K292" s="46"/>
      <c r="L292" s="65"/>
    </row>
    <row r="293" spans="1:12" x14ac:dyDescent="0.2">
      <c r="A293" s="20">
        <v>20</v>
      </c>
      <c r="B293" s="411" t="str">
        <f>Translations!$B$258</f>
        <v>Adipo rūgšties gamyba</v>
      </c>
      <c r="C293" s="372" t="str">
        <f t="shared" si="0"/>
        <v>Adipo rūgšties gamyba</v>
      </c>
      <c r="D293" s="412"/>
      <c r="E293" s="419"/>
      <c r="F293" s="331"/>
      <c r="G293" s="331"/>
      <c r="H293" s="420"/>
      <c r="I293" s="1032" t="str">
        <f>Translations!$B$269</f>
        <v>CO2 ir N2O</v>
      </c>
      <c r="J293" s="1036">
        <v>2</v>
      </c>
      <c r="K293" s="46"/>
      <c r="L293" s="65"/>
    </row>
    <row r="294" spans="1:12" x14ac:dyDescent="0.2">
      <c r="A294" s="20">
        <v>21</v>
      </c>
      <c r="B294" s="411" t="str">
        <f>Translations!$B$259</f>
        <v>Glioksilo ir glioksilo rūgšties gamyba</v>
      </c>
      <c r="C294" s="372" t="str">
        <f t="shared" si="0"/>
        <v>Glioksilo ir glioksilo rūgšties gamyba</v>
      </c>
      <c r="D294" s="412"/>
      <c r="E294" s="419"/>
      <c r="F294" s="331"/>
      <c r="G294" s="331"/>
      <c r="H294" s="420"/>
      <c r="I294" s="1032" t="str">
        <f>Translations!$B$269</f>
        <v>CO2 ir N2O</v>
      </c>
      <c r="J294" s="1036">
        <v>2</v>
      </c>
      <c r="K294" s="46"/>
      <c r="L294" s="65"/>
    </row>
    <row r="295" spans="1:12" x14ac:dyDescent="0.2">
      <c r="A295" s="20">
        <v>22</v>
      </c>
      <c r="B295" s="411" t="str">
        <f>Translations!$B$260</f>
        <v>Amoniako gamyba</v>
      </c>
      <c r="C295" s="372" t="str">
        <f t="shared" si="0"/>
        <v>Amoniako gamyba</v>
      </c>
      <c r="D295" s="412"/>
      <c r="E295" s="419" t="str">
        <f>O385</f>
        <v>Amoniakas: Kuras kaip proceso žaliava</v>
      </c>
      <c r="F295" s="331"/>
      <c r="G295" s="331"/>
      <c r="H295" s="420"/>
      <c r="I295" s="1032" t="s">
        <v>20</v>
      </c>
      <c r="J295" s="1035">
        <v>2</v>
      </c>
      <c r="K295" s="46"/>
      <c r="L295" s="65"/>
    </row>
    <row r="296" spans="1:12" x14ac:dyDescent="0.2">
      <c r="A296" s="20">
        <v>23</v>
      </c>
      <c r="B296" s="411"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2" t="str">
        <f t="shared" si="0"/>
        <v>Biriųjų cheminių medžiagų gamyba</v>
      </c>
      <c r="D296" s="412"/>
      <c r="E296" s="419" t="str">
        <f>O388</f>
        <v>Didelio masto organinių cheminių medžiagų gamyba: Masės balanso metodika</v>
      </c>
      <c r="F296" s="331"/>
      <c r="G296" s="331"/>
      <c r="H296" s="420"/>
      <c r="I296" s="1032" t="s">
        <v>20</v>
      </c>
      <c r="J296" s="1035">
        <v>2</v>
      </c>
      <c r="K296" s="46"/>
      <c r="L296" s="65"/>
    </row>
    <row r="297" spans="1:12" x14ac:dyDescent="0.2">
      <c r="A297" s="20">
        <v>24</v>
      </c>
      <c r="B297" s="411" t="str">
        <f>IF(LEN(Translations!$B$327)&gt;250,LEFT(Translations!$B$327,250),Translations!$B$327)</f>
        <v xml:space="preserve">Vandenilio (H2) ir sintezės dujų gamyba taikant riformingą arba dalinę oksidaciją, kai gamybos pajėgumas didesnis nei 25 tonos per dieną </v>
      </c>
      <c r="C297" s="372" t="str">
        <f t="shared" si="0"/>
        <v>Vandenilio ar sintezės dujų gamyba</v>
      </c>
      <c r="D297" s="412"/>
      <c r="E297" s="419" t="str">
        <f>$O$386</f>
        <v>Vandenilis ir sintezės dujos: Kuras kaip proceso žaliava</v>
      </c>
      <c r="F297" s="331" t="str">
        <f>O387</f>
        <v>Vandenilis ir sintezės dujos: Masės balanso metodika</v>
      </c>
      <c r="G297" s="331"/>
      <c r="H297" s="420"/>
      <c r="I297" s="1032" t="s">
        <v>20</v>
      </c>
      <c r="J297" s="1035">
        <v>2</v>
      </c>
      <c r="K297" s="46"/>
      <c r="L297" s="65"/>
    </row>
    <row r="298" spans="1:12" x14ac:dyDescent="0.2">
      <c r="A298" s="20">
        <v>25</v>
      </c>
      <c r="B298" s="411" t="str">
        <f>Translations!$B$328</f>
        <v xml:space="preserve">Natrio karbonato ((Na2CO3) ir natrio hidrokarbonato (NaHCO3) gamyba </v>
      </c>
      <c r="C298" s="372" t="str">
        <f t="shared" si="0"/>
        <v>Natrio karbonato ir natrio hidrokarbonato gamyba</v>
      </c>
      <c r="D298" s="412"/>
      <c r="E298" s="419" t="str">
        <f>O391</f>
        <v>Natrio karbonatas / natrio hidrokarbonatas: Masės balanso metodika</v>
      </c>
      <c r="F298" s="331"/>
      <c r="G298" s="331"/>
      <c r="H298" s="420"/>
      <c r="I298" s="1032" t="s">
        <v>20</v>
      </c>
      <c r="J298" s="1035"/>
      <c r="K298" s="46"/>
      <c r="L298" s="65"/>
    </row>
    <row r="299" spans="1:12" x14ac:dyDescent="0.2">
      <c r="A299" s="20">
        <v>26</v>
      </c>
      <c r="B299" s="411"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2" t="str">
        <f t="shared" si="0"/>
        <v>ŠESD gaudymas pagal Direktyvą 2009/31/EB</v>
      </c>
      <c r="D299" s="412"/>
      <c r="E299" s="419"/>
      <c r="F299" s="331"/>
      <c r="G299" s="331"/>
      <c r="H299" s="420"/>
      <c r="I299" s="1032" t="s">
        <v>20</v>
      </c>
      <c r="J299" s="1035"/>
      <c r="K299" s="46"/>
      <c r="L299" s="65"/>
    </row>
    <row r="300" spans="1:12" x14ac:dyDescent="0.2">
      <c r="A300" s="20">
        <v>27</v>
      </c>
      <c r="B300" s="411" t="str">
        <f>IF(LEN(Translations!$B$330)&gt;250,LEFT(Translations!$B$330,250),Translations!$B$330)</f>
        <v>ŠESD transportavimas vamzdynais geologiniam saugojimui į saugojimo vietą, patvirtintą pagal Direktyvą 2009/31/EB</v>
      </c>
      <c r="C300" s="372" t="str">
        <f t="shared" si="0"/>
        <v>ŠESD transportavimas pagal Direktyvą 2009/31/EB</v>
      </c>
      <c r="D300" s="412"/>
      <c r="E300" s="419"/>
      <c r="F300" s="331"/>
      <c r="G300" s="331"/>
      <c r="H300" s="420"/>
      <c r="I300" s="1032" t="s">
        <v>20</v>
      </c>
      <c r="J300" s="1035"/>
      <c r="K300" s="46"/>
      <c r="L300" s="65"/>
    </row>
    <row r="301" spans="1:12" ht="13.5" thickBot="1" x14ac:dyDescent="0.25">
      <c r="A301" s="20">
        <v>28</v>
      </c>
      <c r="B301" s="413" t="str">
        <f>IF(LEN(Translations!$B$331)&gt;250,LEFT(Translations!$B$331,250),Translations!$B$331)</f>
        <v>ŠESD geologinis saugojimas pagal Direktyvą 2009/31/EB patvirtintoje saugojimo vietoje</v>
      </c>
      <c r="C301" s="414" t="str">
        <f t="shared" si="0"/>
        <v>ŠESD saugojimas pagal Direktyvą 2009/31/EB</v>
      </c>
      <c r="D301" s="415"/>
      <c r="E301" s="421"/>
      <c r="F301" s="422"/>
      <c r="G301" s="422"/>
      <c r="H301" s="423"/>
      <c r="I301" s="1033" t="s">
        <v>20</v>
      </c>
      <c r="J301" s="1037"/>
      <c r="K301" s="46"/>
      <c r="L301" s="65"/>
    </row>
    <row r="304" spans="1:12" s="80" customFormat="1" x14ac:dyDescent="0.2"/>
    <row r="306" spans="2:5" ht="13.5" thickBot="1" x14ac:dyDescent="0.25">
      <c r="B306" s="59" t="s">
        <v>573</v>
      </c>
      <c r="C306" s="59" t="s">
        <v>574</v>
      </c>
      <c r="E306" s="59" t="s">
        <v>593</v>
      </c>
    </row>
    <row r="307" spans="2:5" x14ac:dyDescent="0.2">
      <c r="B307" s="1228" t="str">
        <f>Translations!B1152</f>
        <v>1A1a - Energija - Viešoji elektros ir šilumos gamyba</v>
      </c>
      <c r="C307" s="1028" t="str">
        <f>Translations!B1182</f>
        <v>2A1 - Procesas - Cemento gamyba</v>
      </c>
      <c r="E307" s="1028" t="str">
        <f>Translations!$B$114</f>
        <v>MW(šil)</v>
      </c>
    </row>
    <row r="308" spans="2:5" x14ac:dyDescent="0.2">
      <c r="B308" s="1229" t="str">
        <f>Translations!B1153</f>
        <v>1A1b - Energija - Naftos perdirbimas</v>
      </c>
      <c r="C308" s="1029" t="str">
        <f>Translations!B1183</f>
        <v>2A2 - Procesas - Kalkių gamyba</v>
      </c>
      <c r="E308" s="1029" t="str">
        <f>Translations!$B$112</f>
        <v>t per dieną</v>
      </c>
    </row>
    <row r="309" spans="2:5" x14ac:dyDescent="0.2">
      <c r="B309" s="1229" t="str">
        <f>Translations!B1154</f>
        <v>1A1c - Energija - Kieto kuro gamyba ir kitos energetikos pramonės</v>
      </c>
      <c r="C309" s="1029" t="str">
        <f>Translations!B1184</f>
        <v>2A3 - Procesas - Stiklo gamyba</v>
      </c>
      <c r="E309" s="1029" t="str">
        <f>Translations!$B$873</f>
        <v>CO2 svorinių tonų per parą</v>
      </c>
    </row>
    <row r="310" spans="2:5" ht="13.5" thickBot="1" x14ac:dyDescent="0.25">
      <c r="B310" s="1229" t="str">
        <f>Translations!B1155</f>
        <v>1A2a - Energija - Geležies ir plieno gamyba</v>
      </c>
      <c r="C310" s="1029" t="str">
        <f>Translations!B1185</f>
        <v>2A4 - Procesas - Kiti mineralų pramonės procesai naudojantys karbonatus (nurodykite tiksliai)</v>
      </c>
      <c r="D310" s="46"/>
      <c r="E310" s="1030"/>
    </row>
    <row r="311" spans="2:5" x14ac:dyDescent="0.2">
      <c r="B311" s="1229" t="str">
        <f>Translations!B1156</f>
        <v>1A2b - Energija - Spalvotųjų metalų gamyba arba perdirbimas</v>
      </c>
      <c r="C311" s="1029" t="str">
        <f>Translations!B1186</f>
        <v>2B1 - Procesas - Amoniako gamyba</v>
      </c>
      <c r="D311" s="46"/>
    </row>
    <row r="312" spans="2:5" x14ac:dyDescent="0.2">
      <c r="B312" s="1229" t="str">
        <f>Translations!B1157</f>
        <v>1A2c - Energija - Chemijos pramonė</v>
      </c>
      <c r="C312" s="1029" t="str">
        <f>Translations!B1187</f>
        <v>2B2 - Procesas - Azoto rūgšties gamyba</v>
      </c>
      <c r="D312" s="46"/>
    </row>
    <row r="313" spans="2:5" x14ac:dyDescent="0.2">
      <c r="B313" s="1229" t="str">
        <f>Translations!B1158</f>
        <v>1A2d - Energija - Popieriaus ir popieriaus masės gamyba</v>
      </c>
      <c r="C313" s="1029" t="str">
        <f>Translations!B1188</f>
        <v>2B3 - Procesas - Adipo rūgšties gamyba</v>
      </c>
      <c r="D313" s="46"/>
    </row>
    <row r="314" spans="2:5" x14ac:dyDescent="0.2">
      <c r="B314" s="1229" t="str">
        <f>Translations!B1159</f>
        <v>1A2e - Energija - Maisto perdirbimo, gėrimų, tabako gamyba</v>
      </c>
      <c r="C314" s="1029" t="str">
        <f>Translations!B1189</f>
        <v>2B4 - Procesas - Kaprolaktamo, glioksalio ir glioksilo rūgšties gamyba</v>
      </c>
    </row>
    <row r="315" spans="2:5" x14ac:dyDescent="0.2">
      <c r="B315" s="1229" t="str">
        <f>Translations!B1160</f>
        <v>1A2f - Energija - Nemetalų mineralų produktų gamyba</v>
      </c>
      <c r="C315" s="1029" t="str">
        <f>Translations!B1190</f>
        <v>2B5 - Procesas - Karbido gamyba</v>
      </c>
    </row>
    <row r="316" spans="2:5" x14ac:dyDescent="0.2">
      <c r="B316" s="1229" t="str">
        <f>Translations!B1161</f>
        <v>1A2g - Energija - Kita (nurodykite tiksliai)</v>
      </c>
      <c r="C316" s="1029" t="str">
        <f>Translations!B1191</f>
        <v>2B6 - Procesas - Titano dioksido gamyba</v>
      </c>
    </row>
    <row r="317" spans="2:5" x14ac:dyDescent="0.2">
      <c r="B317" s="1229" t="str">
        <f>Translations!B1162</f>
        <v>1A3a - Energija - Civilinės aviacijos sektorius (šalies viduje)</v>
      </c>
      <c r="C317" s="1029" t="str">
        <f>Translations!B1192</f>
        <v>2B7 - Procesas - Sodos gamyba</v>
      </c>
    </row>
    <row r="318" spans="2:5" x14ac:dyDescent="0.2">
      <c r="B318" s="1229" t="str">
        <f>Translations!B1163</f>
        <v>1A3b - Energija - Kelių transporto sektorius</v>
      </c>
      <c r="C318" s="1029" t="str">
        <f>Translations!B1193</f>
        <v>2B8 - Procesas - Naftos ir suodžių gamyba</v>
      </c>
    </row>
    <row r="319" spans="2:5" x14ac:dyDescent="0.2">
      <c r="B319" s="1229" t="str">
        <f>Translations!B1164</f>
        <v>1A3c - Energija - Geležinkelių sektorius</v>
      </c>
      <c r="C319" s="1029" t="str">
        <f>Translations!B1194</f>
        <v>2B9 - Procesas - Fluorintų cheminių medžiagų gamyba</v>
      </c>
    </row>
    <row r="320" spans="2:5" x14ac:dyDescent="0.2">
      <c r="B320" s="1229" t="str">
        <f>Translations!B1165</f>
        <v>1A3d - Energija - Laivybos sektorius (šalies viduje)</v>
      </c>
      <c r="C320" s="1029" t="str">
        <f>Translations!B1195</f>
        <v>2B10 - Procesas - Kiti chemijos pramonės procesai (nurodykite tiksliai)</v>
      </c>
    </row>
    <row r="321" spans="2:3" x14ac:dyDescent="0.2">
      <c r="B321" s="1229" t="str">
        <f>Translations!B1166</f>
        <v>1A3e - Energija - Kitos transporto rūšys</v>
      </c>
      <c r="C321" s="1029" t="str">
        <f>Translations!B1196</f>
        <v>2C1 - Procesas - Geležies ir plieno gamyba gamyba</v>
      </c>
    </row>
    <row r="322" spans="2:3" x14ac:dyDescent="0.2">
      <c r="B322" s="1229" t="str">
        <f>Translations!B1167</f>
        <v>1A4a - Energija - Komercijos/Institucinis sektorius</v>
      </c>
      <c r="C322" s="1029" t="str">
        <f>Translations!B1197</f>
        <v>2C2 - Procesas - Geležies lydinių gamyba</v>
      </c>
    </row>
    <row r="323" spans="2:3" x14ac:dyDescent="0.2">
      <c r="B323" s="1229" t="str">
        <f>Translations!B1168</f>
        <v>1A4b - Energija - Namų ūkio sektorius</v>
      </c>
      <c r="C323" s="1029" t="str">
        <f>Translations!B1198</f>
        <v>2C3 - Procesas - Aliuminio gamyba</v>
      </c>
    </row>
    <row r="324" spans="2:3" x14ac:dyDescent="0.2">
      <c r="B324" s="1229" t="str">
        <f>Translations!B1169</f>
        <v>1A4c - Energija - Žemės ūkio/Miškininkystės/Žvejybos sektorius</v>
      </c>
      <c r="C324" s="1029" t="str">
        <f>Translations!B1199</f>
        <v>2C4 - Procesas - Magnio gamyba</v>
      </c>
    </row>
    <row r="325" spans="2:3" x14ac:dyDescent="0.2">
      <c r="B325" s="1229" t="str">
        <f>Translations!B1170</f>
        <v>1A5a - Energija - Stacionarus kuro deginimas</v>
      </c>
      <c r="C325" s="1029" t="str">
        <f>Translations!B1200</f>
        <v>2C5 - Procesas - Švino gamyba</v>
      </c>
    </row>
    <row r="326" spans="2:3" x14ac:dyDescent="0.2">
      <c r="B326" s="1229" t="str">
        <f>Translations!B1171</f>
        <v>1A5b - Energija - Mobilus kuro deginimas (nurodykite tiksliai)</v>
      </c>
      <c r="C326" s="1029" t="str">
        <f>Translations!B1201</f>
        <v>2C6 - Procesas - Cinko gamyba</v>
      </c>
    </row>
    <row r="327" spans="2:3" x14ac:dyDescent="0.2">
      <c r="B327" s="1229" t="str">
        <f>Translations!B1172</f>
        <v>1B1a - Energija - Neorganizuoti ŠESD išmetimai anglių kasybos ir tolimesnio tvarkymo sektoriuje</v>
      </c>
      <c r="C327" s="1029" t="str">
        <f>Translations!B1202</f>
        <v>2C7 - Procesas - Kiti metalų pramonės procesai (nurodykite tiksliai)</v>
      </c>
    </row>
    <row r="328" spans="2:3" x14ac:dyDescent="0.2">
      <c r="B328" s="1229" t="str">
        <f>Translations!B1173</f>
        <v>1B1b - Energija - Neorganizuoti ŠESD išmetimai kietosios kuro perdirbimo metu</v>
      </c>
      <c r="C328" s="1029" t="str">
        <f>Translations!B1203</f>
        <v>2D1 - Procesas - Teplaų, alyvų naudojimas</v>
      </c>
    </row>
    <row r="329" spans="2:3" x14ac:dyDescent="0.2">
      <c r="B329" s="1229" t="str">
        <f>Translations!B1174</f>
        <v>1B1c - Energija - Kita (nurodykite tiksliai)</v>
      </c>
      <c r="C329" s="1029" t="str">
        <f>Translations!B1204</f>
        <v>2D2 - Procesas - Vaško, parafino naudojimas</v>
      </c>
    </row>
    <row r="330" spans="2:3" x14ac:dyDescent="0.2">
      <c r="B330" s="1229" t="str">
        <f>Translations!B1175</f>
        <v>1B2a - Energija - Neorganizuoti ŠESD išmetimai naftos gavybos metu</v>
      </c>
      <c r="C330" s="1029" t="str">
        <f>Translations!B1205</f>
        <v>2D3 - Procesas - Kiti neenergetiniai kuro ir tipiklių produktų gamybos procesai (nurodykite tiksliai)</v>
      </c>
    </row>
    <row r="331" spans="2:3" x14ac:dyDescent="0.2">
      <c r="B331" s="1229" t="str">
        <f>Translations!B1176</f>
        <v>1B2b - Energija - Neorganizuoti ŠESD išmetimai gamtinių dujų gavybos metu</v>
      </c>
      <c r="C331" s="1029" t="str">
        <f>Translations!B1206</f>
        <v>2E1 - Integruotų kontūrų ir puslaidininkių gamyba</v>
      </c>
    </row>
    <row r="332" spans="2:3" x14ac:dyDescent="0.2">
      <c r="B332" s="1229" t="str">
        <f>Translations!B1177</f>
        <v>1B2c - Energija - Neorganizuoti ŠESD išmetimai naftos ir/ar gamtinių dujų gavybos metu dujas ventiliuojant ar deginant degluose</v>
      </c>
      <c r="C332" s="1029" t="str">
        <f>Translations!B1207</f>
        <v>2E2 - TFT plokčiųjų ekranų gamyba</v>
      </c>
    </row>
    <row r="333" spans="2:3" x14ac:dyDescent="0.2">
      <c r="B333" s="1229" t="str">
        <f>Translations!B1178</f>
        <v>1B2d - Energija - Kiti neorganizuoti ŠESD išmetimai (nurodykite tiksliai)</v>
      </c>
      <c r="C333" s="1029" t="str">
        <f>Translations!B1208</f>
        <v>2E3 - Fotoelektros pramonė</v>
      </c>
    </row>
    <row r="334" spans="2:3" x14ac:dyDescent="0.2">
      <c r="B334" s="1229" t="str">
        <f>Translations!B1179</f>
        <v>1C1 - CO2 transportavimas geologiniam saugojimui</v>
      </c>
      <c r="C334" s="1029" t="str">
        <f>Translations!B1209</f>
        <v>2E4 - Šilumos pernešėjų gamyba</v>
      </c>
    </row>
    <row r="335" spans="2:3" x14ac:dyDescent="0.2">
      <c r="B335" s="1229" t="str">
        <f>Translations!B1180</f>
        <v>1C2 - CO2 geologinis saugojimas</v>
      </c>
      <c r="C335" s="1029" t="str">
        <f>Translations!B1210</f>
        <v>2E5 - Kita elektronikos pramonės šaka (nurodykite tiksliai)</v>
      </c>
    </row>
    <row r="336" spans="2:3" ht="13.5" thickBot="1" x14ac:dyDescent="0.25">
      <c r="B336" s="1230" t="str">
        <f>Translations!B1181</f>
        <v>5C - Atliekų deginimas</v>
      </c>
      <c r="C336" s="1029" t="str">
        <f>Translations!B1211</f>
        <v>2F1 - Šaldymo ir oro kondicionavimo sektorius</v>
      </c>
    </row>
    <row r="337" spans="2:24" x14ac:dyDescent="0.2">
      <c r="C337" s="1029" t="str">
        <f>Translations!B1212</f>
        <v>2F2 - Putų pūtimo agentų sektorius</v>
      </c>
    </row>
    <row r="338" spans="2:24" x14ac:dyDescent="0.2">
      <c r="C338" s="1029" t="str">
        <f>Translations!B1213</f>
        <v>2F3 - Priešgaisrinės apsaugos sektorius</v>
      </c>
    </row>
    <row r="339" spans="2:24" x14ac:dyDescent="0.2">
      <c r="C339" s="1029" t="str">
        <f>Translations!B1214</f>
        <v>2F4 - Aerosolių sektorius</v>
      </c>
    </row>
    <row r="340" spans="2:24" x14ac:dyDescent="0.2">
      <c r="C340" s="1029" t="str">
        <f>Translations!B1215</f>
        <v>2F5 - Tirpiklių sektorius</v>
      </c>
    </row>
    <row r="341" spans="2:24" x14ac:dyDescent="0.2">
      <c r="C341" s="1029" t="str">
        <f>Translations!B1216</f>
        <v xml:space="preserve">2F6 - Kiti sektoriai, naudojantys ozoną ardančių medžiagų pakaitalus </v>
      </c>
    </row>
    <row r="342" spans="2:24" x14ac:dyDescent="0.2">
      <c r="C342" s="1029" t="str">
        <f>Translations!B1217</f>
        <v>2G1 - Procesas - Elektros įrangos sektorius</v>
      </c>
    </row>
    <row r="343" spans="2:24" x14ac:dyDescent="0.2">
      <c r="C343" s="1029" t="str">
        <f>Translations!B1218</f>
        <v>2G2 - Procesas - SF6 ir PFC išmetimai naudojant kitus produktus</v>
      </c>
    </row>
    <row r="344" spans="2:24" x14ac:dyDescent="0.2">
      <c r="C344" s="1029" t="str">
        <f>Translations!B1219</f>
        <v>2G3 - Procesas - N2O išmetimai naudojant kitus produktus</v>
      </c>
    </row>
    <row r="345" spans="2:24" x14ac:dyDescent="0.2">
      <c r="C345" s="1029" t="str">
        <f>Translations!B1220</f>
        <v>2G4 - Procesas - ŠESD išmetimai kitų produktų gamyboje ir naudojime (nurodykite tiksliai)</v>
      </c>
    </row>
    <row r="346" spans="2:24" x14ac:dyDescent="0.2">
      <c r="C346" s="1029" t="str">
        <f>Translations!B1221</f>
        <v>2H1 - Procesas - Popieriaus ir porpieriaus masės gamyba</v>
      </c>
    </row>
    <row r="347" spans="2:24" x14ac:dyDescent="0.2">
      <c r="C347" s="1029" t="str">
        <f>Translations!B1222</f>
        <v>2H2 - Procesas - Maisto ir gėrimų gamyba</v>
      </c>
    </row>
    <row r="348" spans="2:24" ht="13.5" thickBot="1" x14ac:dyDescent="0.25">
      <c r="C348" s="1030" t="str">
        <f>Translations!B1223</f>
        <v>2H3 - Kiti pramonės procesai (nurodykite tiksliai)</v>
      </c>
    </row>
    <row r="349" spans="2:24" s="80" customFormat="1" x14ac:dyDescent="0.2"/>
    <row r="351" spans="2:24" s="86" customFormat="1" x14ac:dyDescent="0.2">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25">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262</v>
      </c>
      <c r="K352" s="89" t="str">
        <f>Translations!$B$306</f>
        <v>2b</v>
      </c>
      <c r="L352" s="89">
        <v>3</v>
      </c>
      <c r="M352" s="89">
        <v>4</v>
      </c>
      <c r="N352" s="89" t="str">
        <f>Translations!$B$339</f>
        <v>Didžiausia</v>
      </c>
      <c r="O352" s="328" t="s">
        <v>591</v>
      </c>
      <c r="X352" s="86" t="str">
        <f>Translations!$B$340</f>
        <v>Nudažyti pilkai?</v>
      </c>
    </row>
    <row r="353" spans="1:24" ht="12.75" customHeight="1" outlineLevel="1" x14ac:dyDescent="0.2">
      <c r="A353" s="59">
        <v>1</v>
      </c>
      <c r="B353" s="424" t="str">
        <f>Translations!$B$341</f>
        <v>Kuro deginimas ir kaip proceso žaliava naudojamas kuras</v>
      </c>
      <c r="C353" s="424" t="str">
        <f>Translations!$B$342</f>
        <v>Degimas</v>
      </c>
      <c r="D353" s="424" t="str">
        <f>Translations!$B$343</f>
        <v>Komercinis standartinių rūšių kuras</v>
      </c>
      <c r="E353" s="424" t="str">
        <f>Translations!$B$141</f>
        <v>Kuro kiekis [t] arba [Nm3]</v>
      </c>
      <c r="F353" s="424" t="str">
        <f>EUconst_Fuel</f>
        <v>Degimas</v>
      </c>
      <c r="G353" s="425">
        <v>2</v>
      </c>
      <c r="H353" s="426" t="str">
        <f>Translations!$B$344</f>
        <v>± 7,5%</v>
      </c>
      <c r="I353" s="426" t="str">
        <f>Translations!$B$345</f>
        <v>± 5,0%</v>
      </c>
      <c r="J353" s="72"/>
      <c r="K353" s="72"/>
      <c r="L353" s="426" t="str">
        <f>Translations!$B$346</f>
        <v>± 2,5%</v>
      </c>
      <c r="M353" s="426" t="str">
        <f>Translations!$B$347</f>
        <v>± 1,5%</v>
      </c>
      <c r="N353" s="1095">
        <f t="shared" ref="N353:N394" si="1">COUNTA(H353:M353)</f>
        <v>4</v>
      </c>
      <c r="O353" s="1097" t="str">
        <f>C353 &amp; ": " &amp;D353</f>
        <v>Degimas: Komercinis standartinių rūšių kuras</v>
      </c>
      <c r="P353" s="1096"/>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
      <c r="A354" s="59">
        <v>2</v>
      </c>
      <c r="B354" s="424" t="str">
        <f t="shared" ref="B354:C359" si="4">B353</f>
        <v>Kuro deginimas ir kaip proceso žaliava naudojamas kuras</v>
      </c>
      <c r="C354" s="424" t="str">
        <f t="shared" si="4"/>
        <v>Degimas</v>
      </c>
      <c r="D354" s="424" t="str">
        <f>Translations!$B$348</f>
        <v>Kitas dujinis ir skystasis kuras</v>
      </c>
      <c r="E354" s="424" t="str">
        <f>Translations!$B$141</f>
        <v>Kuro kiekis [t] arba [Nm3]</v>
      </c>
      <c r="F354" s="424" t="str">
        <f>$F$353</f>
        <v>Degimas</v>
      </c>
      <c r="G354" s="425">
        <v>2</v>
      </c>
      <c r="H354" s="426" t="str">
        <f>Translations!$B$344</f>
        <v>± 7,5%</v>
      </c>
      <c r="I354" s="426" t="str">
        <f>Translations!$B$345</f>
        <v>± 5,0%</v>
      </c>
      <c r="J354" s="72"/>
      <c r="K354" s="72"/>
      <c r="L354" s="426" t="str">
        <f>Translations!$B$346</f>
        <v>± 2,5%</v>
      </c>
      <c r="M354" s="426" t="str">
        <f>Translations!$B$347</f>
        <v>± 1,5%</v>
      </c>
      <c r="N354" s="1095">
        <f t="shared" si="1"/>
        <v>4</v>
      </c>
      <c r="O354" s="1098" t="str">
        <f t="shared" ref="O354:O394" si="5">C354 &amp; ": " &amp;D354</f>
        <v>Degimas: Kitas dujinis ir skystasis kuras</v>
      </c>
      <c r="P354" s="1096"/>
      <c r="Q354" s="72" t="str">
        <f t="shared" si="2"/>
        <v>ActivityData_Degimas: Kitas dujinis ir skystasis kuras</v>
      </c>
      <c r="X354" s="59" t="b">
        <f t="shared" si="3"/>
        <v>0</v>
      </c>
    </row>
    <row r="355" spans="1:24" ht="12.75" customHeight="1" outlineLevel="1" x14ac:dyDescent="0.2">
      <c r="A355" s="59">
        <v>3</v>
      </c>
      <c r="B355" s="424" t="str">
        <f t="shared" si="4"/>
        <v>Kuro deginimas ir kaip proceso žaliava naudojamas kuras</v>
      </c>
      <c r="C355" s="424" t="str">
        <f t="shared" si="4"/>
        <v>Degimas</v>
      </c>
      <c r="D355" s="424" t="str">
        <f>Translations!$B$349</f>
        <v>Kietasis kuras</v>
      </c>
      <c r="E355" s="424" t="str">
        <f>Translations!$B$350</f>
        <v>Kuro kiekis [t]</v>
      </c>
      <c r="F355" s="424" t="str">
        <f>$F$353</f>
        <v>Degimas</v>
      </c>
      <c r="G355" s="425">
        <v>1</v>
      </c>
      <c r="H355" s="426" t="str">
        <f>Translations!$B$344</f>
        <v>± 7,5%</v>
      </c>
      <c r="I355" s="426" t="str">
        <f>Translations!$B$345</f>
        <v>± 5,0%</v>
      </c>
      <c r="J355" s="72"/>
      <c r="K355" s="72"/>
      <c r="L355" s="426" t="str">
        <f>Translations!$B$346</f>
        <v>± 2,5%</v>
      </c>
      <c r="M355" s="426" t="str">
        <f>Translations!$B$347</f>
        <v>± 1,5%</v>
      </c>
      <c r="N355" s="1095">
        <f t="shared" si="1"/>
        <v>4</v>
      </c>
      <c r="O355" s="1098" t="str">
        <f>C355 &amp; ": " &amp;D355</f>
        <v>Degimas: Kietasis kuras</v>
      </c>
      <c r="P355" s="1096"/>
      <c r="Q355" s="72" t="str">
        <f t="shared" si="2"/>
        <v>ActivityData_Degimas: Kietasis kuras</v>
      </c>
      <c r="X355" s="59" t="b">
        <f t="shared" si="3"/>
        <v>0</v>
      </c>
    </row>
    <row r="356" spans="1:24" ht="12.75" customHeight="1" outlineLevel="1" x14ac:dyDescent="0.2">
      <c r="A356" s="59">
        <v>4</v>
      </c>
      <c r="B356" s="424" t="str">
        <f t="shared" si="4"/>
        <v>Kuro deginimas ir kaip proceso žaliava naudojamas kuras</v>
      </c>
      <c r="C356" s="424" t="str">
        <f>C355</f>
        <v>Degimas</v>
      </c>
      <c r="D356" s="424" t="str">
        <f>Translations!$B$351</f>
        <v>Dujų perdirbimo terminalai</v>
      </c>
      <c r="E356" s="424" t="str">
        <f>Translations!$B$352</f>
        <v>Kiekviena žaliava ir išeigos medžiaga [t]</v>
      </c>
      <c r="F356" s="424" t="str">
        <f>EUconst_MassBalance</f>
        <v>Masės balansas</v>
      </c>
      <c r="G356" s="425">
        <v>1</v>
      </c>
      <c r="H356" s="426" t="str">
        <f>Translations!$B$344</f>
        <v>± 7,5%</v>
      </c>
      <c r="I356" s="426" t="str">
        <f>Translations!$B$345</f>
        <v>± 5,0%</v>
      </c>
      <c r="J356" s="72"/>
      <c r="K356" s="72"/>
      <c r="L356" s="426" t="str">
        <f>Translations!$B$346</f>
        <v>± 2,5%</v>
      </c>
      <c r="M356" s="426" t="str">
        <f>Translations!$B$347</f>
        <v>± 1,5%</v>
      </c>
      <c r="N356" s="1095">
        <f t="shared" si="1"/>
        <v>4</v>
      </c>
      <c r="O356" s="1098" t="str">
        <f>C356 &amp; ": " &amp;D356</f>
        <v>Degimas: Dujų perdirbimo terminalai</v>
      </c>
      <c r="P356" s="1096"/>
      <c r="Q356" s="72" t="str">
        <f>EUconst_CNTR_ActivityData&amp;O356</f>
        <v>ActivityData_Degimas: Dujų perdirbimo terminalai</v>
      </c>
      <c r="U356" s="152"/>
      <c r="X356" s="59" t="b">
        <f t="shared" si="3"/>
        <v>0</v>
      </c>
    </row>
    <row r="357" spans="1:24" ht="12.75" customHeight="1" outlineLevel="1" x14ac:dyDescent="0.2">
      <c r="A357" s="59">
        <v>5</v>
      </c>
      <c r="B357" s="424" t="str">
        <f>B355</f>
        <v>Kuro deginimas ir kaip proceso žaliava naudojamas kuras</v>
      </c>
      <c r="C357" s="424" t="str">
        <f>C355</f>
        <v>Degimas</v>
      </c>
      <c r="D357" s="424" t="str">
        <f>Translations!$B$353</f>
        <v>Fakelai</v>
      </c>
      <c r="E357" s="424" t="str">
        <f>Translations!$B$354</f>
        <v>Fakelo dujų kiekis [Nm3]</v>
      </c>
      <c r="F357" s="424" t="str">
        <f>$F$353</f>
        <v>Degimas</v>
      </c>
      <c r="G357" s="425">
        <v>1</v>
      </c>
      <c r="H357" s="426" t="str">
        <f>Translations!$B$355</f>
        <v>± 17,5%</v>
      </c>
      <c r="I357" s="426" t="str">
        <f>Translations!$B$356</f>
        <v>± 12,5%</v>
      </c>
      <c r="J357" s="72"/>
      <c r="K357" s="72"/>
      <c r="L357" s="426" t="str">
        <f>Translations!$B$344</f>
        <v>± 7,5%</v>
      </c>
      <c r="M357" s="426"/>
      <c r="N357" s="1095">
        <f t="shared" si="1"/>
        <v>3</v>
      </c>
      <c r="O357" s="1098" t="str">
        <f t="shared" si="5"/>
        <v>Degimas: Fakelai</v>
      </c>
      <c r="P357" s="1096"/>
      <c r="Q357" s="72" t="str">
        <f t="shared" si="2"/>
        <v>ActivityData_Degimas: Fakelai</v>
      </c>
      <c r="X357" s="59" t="b">
        <f t="shared" si="3"/>
        <v>0</v>
      </c>
    </row>
    <row r="358" spans="1:24" ht="12.75" customHeight="1" outlineLevel="1" x14ac:dyDescent="0.2">
      <c r="A358" s="59">
        <v>6</v>
      </c>
      <c r="B358" s="424" t="str">
        <f t="shared" si="4"/>
        <v>Kuro deginimas ir kaip proceso žaliava naudojamas kuras</v>
      </c>
      <c r="C358" s="424" t="str">
        <f t="shared" si="4"/>
        <v>Degimas</v>
      </c>
      <c r="D358" s="424" t="str">
        <f>Translations!$B$357</f>
        <v>Dujų plovimas (karbonatai)</v>
      </c>
      <c r="E358" s="424" t="str">
        <f>Translations!$B$358</f>
        <v>Sunaudotų karbonatų kiekis [t]</v>
      </c>
      <c r="F358" s="424" t="str">
        <f>EUconst_ProcessCarbonate</f>
        <v>Proceso metu išsiskiriančios ŠESD</v>
      </c>
      <c r="G358" s="425">
        <v>1</v>
      </c>
      <c r="H358" s="426" t="str">
        <f>Translations!$B$344</f>
        <v>± 7,5%</v>
      </c>
      <c r="I358" s="428"/>
      <c r="J358" s="72"/>
      <c r="K358" s="72"/>
      <c r="L358" s="428"/>
      <c r="M358" s="428"/>
      <c r="N358" s="1095">
        <f t="shared" si="1"/>
        <v>1</v>
      </c>
      <c r="O358" s="1098" t="str">
        <f t="shared" si="5"/>
        <v>Degimas: Dujų plovimas (karbonatai)</v>
      </c>
      <c r="P358" s="1096"/>
      <c r="Q358" s="72" t="str">
        <f t="shared" si="2"/>
        <v>ActivityData_Degimas: Dujų plovimas (karbonatai)</v>
      </c>
      <c r="X358" s="59" t="b">
        <f t="shared" si="3"/>
        <v>0</v>
      </c>
    </row>
    <row r="359" spans="1:24" ht="12.75" customHeight="1" outlineLevel="1" x14ac:dyDescent="0.2">
      <c r="A359" s="59">
        <v>7</v>
      </c>
      <c r="B359" s="424" t="str">
        <f t="shared" si="4"/>
        <v>Kuro deginimas ir kaip proceso žaliava naudojamas kuras</v>
      </c>
      <c r="C359" s="424" t="str">
        <f t="shared" si="4"/>
        <v>Degimas</v>
      </c>
      <c r="D359" s="424" t="str">
        <f>Translations!$B$359</f>
        <v>Dujų plovimas (gipsas)</v>
      </c>
      <c r="E359" s="424" t="str">
        <f>Translations!$B$360</f>
        <v>Pagaminto gipso kiekis [t]</v>
      </c>
      <c r="F359" s="424" t="str">
        <f>$F$358</f>
        <v>Proceso metu išsiskiriančios ŠESD</v>
      </c>
      <c r="G359" s="425">
        <v>1</v>
      </c>
      <c r="H359" s="426" t="str">
        <f>Translations!$B$344</f>
        <v>± 7,5%</v>
      </c>
      <c r="I359" s="428"/>
      <c r="J359" s="72"/>
      <c r="K359" s="72"/>
      <c r="L359" s="428"/>
      <c r="M359" s="428"/>
      <c r="N359" s="1095">
        <f t="shared" si="1"/>
        <v>1</v>
      </c>
      <c r="O359" s="1098" t="str">
        <f t="shared" si="5"/>
        <v>Degimas: Dujų plovimas (gipsas)</v>
      </c>
      <c r="P359" s="1096"/>
      <c r="Q359" s="72" t="str">
        <f t="shared" si="2"/>
        <v>ActivityData_Degimas: Dujų plovimas (gipsas)</v>
      </c>
      <c r="X359" s="59" t="b">
        <f t="shared" si="3"/>
        <v>0</v>
      </c>
    </row>
    <row r="360" spans="1:24" ht="12.75" customHeight="1" outlineLevel="1" x14ac:dyDescent="0.2">
      <c r="A360" s="59">
        <v>8</v>
      </c>
      <c r="B360" s="424" t="str">
        <f>Translations!$B$241</f>
        <v xml:space="preserve">Naftos perdirbimas </v>
      </c>
      <c r="C360" s="424" t="str">
        <f>Translations!$B$361</f>
        <v>Naftos perdirbimo įrenginiai</v>
      </c>
      <c r="D360" s="424" t="str">
        <f>Translations!$B$362</f>
        <v>Masės balansas</v>
      </c>
      <c r="E360" s="424" t="str">
        <f>Translations!$B$352</f>
        <v>Kiekviena žaliava ir išeigos medžiaga [t]</v>
      </c>
      <c r="F360" s="424" t="str">
        <f>EUconst_MassBalance</f>
        <v>Masės balansas</v>
      </c>
      <c r="G360" s="425">
        <v>1</v>
      </c>
      <c r="H360" s="426" t="str">
        <f>Translations!$B$344</f>
        <v>± 7,5%</v>
      </c>
      <c r="I360" s="426" t="str">
        <f>Translations!$B$345</f>
        <v>± 5,0%</v>
      </c>
      <c r="J360" s="72"/>
      <c r="K360" s="72"/>
      <c r="L360" s="426" t="str">
        <f>Translations!$B$346</f>
        <v>± 2,5%</v>
      </c>
      <c r="M360" s="426" t="str">
        <f>Translations!$B$347</f>
        <v>± 1,5%</v>
      </c>
      <c r="N360" s="1095">
        <f t="shared" si="1"/>
        <v>4</v>
      </c>
      <c r="O360" s="1098" t="str">
        <f t="shared" si="5"/>
        <v>Naftos perdirbimo įrenginiai: Masės balansas</v>
      </c>
      <c r="P360" s="1096"/>
      <c r="Q360" s="72" t="str">
        <f t="shared" si="2"/>
        <v>ActivityData_Naftos perdirbimo įrenginiai: Masės balansas</v>
      </c>
      <c r="U360" s="152"/>
      <c r="X360" s="59" t="b">
        <f t="shared" si="3"/>
        <v>0</v>
      </c>
    </row>
    <row r="361" spans="1:24" ht="12.75" customHeight="1" outlineLevel="1" x14ac:dyDescent="0.2">
      <c r="A361" s="59">
        <v>9</v>
      </c>
      <c r="B361" s="424" t="str">
        <f>Translations!$B$241</f>
        <v xml:space="preserve">Naftos perdirbimas </v>
      </c>
      <c r="C361" s="424" t="str">
        <f>C360</f>
        <v>Naftos perdirbimo įrenginiai</v>
      </c>
      <c r="D361" s="424" t="str">
        <f>Translations!$B$363</f>
        <v>Regeneravimas katalizinio krekingo įrenginiu</v>
      </c>
      <c r="E361" s="424" t="str">
        <f>Translations!$B$364</f>
        <v>Neapibrėžties reikalavimai taikomi atskirai kiekvienam taršos šaltiniui</v>
      </c>
      <c r="F361" s="424" t="str">
        <f>EUconst_MassBalance</f>
        <v>Masės balansas</v>
      </c>
      <c r="G361" s="425">
        <v>1</v>
      </c>
      <c r="H361" s="426" t="str">
        <f>Translations!$B$907</f>
        <v>± 10,0 % (t CO2)</v>
      </c>
      <c r="I361" s="426" t="str">
        <f>Translations!$B$908</f>
        <v>± 7,5 % (t CO2)</v>
      </c>
      <c r="J361" s="72"/>
      <c r="K361" s="72"/>
      <c r="L361" s="426" t="str">
        <f>Translations!$B$909</f>
        <v>± 5,0 % (t CO2)</v>
      </c>
      <c r="M361" s="426" t="str">
        <f>Translations!$B$910</f>
        <v>± 2,5 % (t CO2)</v>
      </c>
      <c r="N361" s="1095">
        <f t="shared" si="1"/>
        <v>4</v>
      </c>
      <c r="O361" s="1098" t="str">
        <f t="shared" si="5"/>
        <v>Naftos perdirbimo įrenginiai: Regeneravimas katalizinio krekingo įrenginiu</v>
      </c>
      <c r="P361" s="1096"/>
      <c r="Q361" s="72" t="str">
        <f t="shared" si="2"/>
        <v>ActivityData_Naftos perdirbimo įrenginiai: Regeneravimas katalizinio krekingo įrenginiu</v>
      </c>
      <c r="X361" s="59" t="b">
        <f t="shared" si="3"/>
        <v>0</v>
      </c>
    </row>
    <row r="362" spans="1:24" ht="12.75" customHeight="1" outlineLevel="1" x14ac:dyDescent="0.2">
      <c r="A362" s="59">
        <v>10</v>
      </c>
      <c r="B362" s="424" t="str">
        <f>B361</f>
        <v xml:space="preserve">Naftos perdirbimas </v>
      </c>
      <c r="C362" s="424" t="str">
        <f>C361</f>
        <v>Naftos perdirbimo įrenginiai</v>
      </c>
      <c r="D362" s="424" t="str">
        <f>Translations!$B$365</f>
        <v>Vandenilio gamyba</v>
      </c>
      <c r="E362" s="424" t="str">
        <f>Translations!$B$366</f>
        <v>Angliavandenilių žaliava [t]</v>
      </c>
      <c r="F362" s="424" t="str">
        <f>$F$358</f>
        <v>Proceso metu išsiskiriančios ŠESD</v>
      </c>
      <c r="G362" s="425">
        <v>1</v>
      </c>
      <c r="H362" s="426" t="str">
        <f>Translations!$B$344</f>
        <v>± 7,5%</v>
      </c>
      <c r="I362" s="426" t="str">
        <f>Translations!$B$346</f>
        <v>± 2,5%</v>
      </c>
      <c r="J362" s="72"/>
      <c r="K362" s="72"/>
      <c r="L362" s="428"/>
      <c r="M362" s="428"/>
      <c r="N362" s="1095">
        <f t="shared" si="1"/>
        <v>2</v>
      </c>
      <c r="O362" s="1098" t="str">
        <f t="shared" si="5"/>
        <v>Naftos perdirbimo įrenginiai: Vandenilio gamyba</v>
      </c>
      <c r="P362" s="1096"/>
      <c r="Q362" s="72" t="str">
        <f t="shared" si="2"/>
        <v>ActivityData_Naftos perdirbimo įrenginiai: Vandenilio gamyba</v>
      </c>
      <c r="V362" s="52"/>
      <c r="X362" s="59" t="b">
        <f t="shared" si="3"/>
        <v>0</v>
      </c>
    </row>
    <row r="363" spans="1:24" ht="12.75" customHeight="1" outlineLevel="1" x14ac:dyDescent="0.2">
      <c r="A363" s="59">
        <v>11</v>
      </c>
      <c r="B363" s="424" t="str">
        <f>Translations!$B$242</f>
        <v>Kokso gamyba</v>
      </c>
      <c r="C363" s="424" t="str">
        <f>Translations!$B$367</f>
        <v>Koksas</v>
      </c>
      <c r="D363" s="424" t="str">
        <f>Translations!$B$368</f>
        <v>Kuras kaip proceso žaliava</v>
      </c>
      <c r="E363" s="424" t="str">
        <f>Translations!$B$141</f>
        <v>Kuro kiekis [t] arba [Nm3]</v>
      </c>
      <c r="F363" s="424" t="str">
        <f>EUconst_Fuel</f>
        <v>Degimas</v>
      </c>
      <c r="G363" s="425">
        <v>1</v>
      </c>
      <c r="H363" s="426" t="str">
        <f>Translations!$B$344</f>
        <v>± 7,5%</v>
      </c>
      <c r="I363" s="426" t="str">
        <f>Translations!$B$345</f>
        <v>± 5,0%</v>
      </c>
      <c r="J363" s="72"/>
      <c r="K363" s="72"/>
      <c r="L363" s="426" t="str">
        <f>Translations!$B$346</f>
        <v>± 2,5%</v>
      </c>
      <c r="M363" s="426" t="str">
        <f>Translations!$B$347</f>
        <v>± 1,5%</v>
      </c>
      <c r="N363" s="1095">
        <f t="shared" si="1"/>
        <v>4</v>
      </c>
      <c r="O363" s="1098" t="str">
        <f t="shared" si="5"/>
        <v>Koksas: Kuras kaip proceso žaliava</v>
      </c>
      <c r="P363" s="1096"/>
      <c r="Q363" s="72" t="str">
        <f t="shared" si="2"/>
        <v>ActivityData_Koksas: Kuras kaip proceso žaliava</v>
      </c>
      <c r="U363" s="152"/>
      <c r="V363" s="52"/>
      <c r="X363" s="59" t="b">
        <f t="shared" si="3"/>
        <v>0</v>
      </c>
    </row>
    <row r="364" spans="1:24" ht="12.75" customHeight="1" outlineLevel="1" x14ac:dyDescent="0.2">
      <c r="A364" s="59">
        <v>12</v>
      </c>
      <c r="B364" s="424" t="str">
        <f t="shared" ref="B364:C366" si="6">B363</f>
        <v>Kokso gamyba</v>
      </c>
      <c r="C364" s="424" t="str">
        <f t="shared" si="6"/>
        <v>Koksas</v>
      </c>
      <c r="D364" s="424" t="str">
        <f>Translations!$B$369</f>
        <v>Karbonatų sąnaudos (A metodas)</v>
      </c>
      <c r="E364" s="424" t="str">
        <f>Translations!$B$370</f>
        <v>Karbonatų sąnaudų medžiaga [t]</v>
      </c>
      <c r="F364" s="424" t="str">
        <f>EUconst_ProcessCarbonate</f>
        <v>Proceso metu išsiskiriančios ŠESD</v>
      </c>
      <c r="G364" s="425">
        <v>1</v>
      </c>
      <c r="H364" s="426" t="str">
        <f>Translations!$B$344</f>
        <v>± 7,5%</v>
      </c>
      <c r="I364" s="426" t="str">
        <f>Translations!$B$345</f>
        <v>± 5,0%</v>
      </c>
      <c r="J364" s="72"/>
      <c r="K364" s="72"/>
      <c r="L364" s="426" t="str">
        <f>Translations!$B$346</f>
        <v>± 2,5%</v>
      </c>
      <c r="M364" s="428"/>
      <c r="N364" s="1095">
        <f t="shared" si="1"/>
        <v>3</v>
      </c>
      <c r="O364" s="1098" t="str">
        <f t="shared" si="5"/>
        <v>Koksas: Karbonatų sąnaudos (A metodas)</v>
      </c>
      <c r="P364" s="1096"/>
      <c r="Q364" s="72" t="str">
        <f t="shared" si="2"/>
        <v>ActivityData_Koksas: Karbonatų sąnaudos (A metodas)</v>
      </c>
      <c r="U364" s="152"/>
      <c r="V364" s="52"/>
      <c r="X364" s="59" t="b">
        <f t="shared" si="3"/>
        <v>0</v>
      </c>
    </row>
    <row r="365" spans="1:24" ht="12.75" customHeight="1" outlineLevel="1" x14ac:dyDescent="0.2">
      <c r="A365" s="59">
        <v>13</v>
      </c>
      <c r="B365" s="424" t="str">
        <f t="shared" si="6"/>
        <v>Kokso gamyba</v>
      </c>
      <c r="C365" s="424" t="str">
        <f t="shared" si="6"/>
        <v>Koksas</v>
      </c>
      <c r="D365" s="424" t="str">
        <f>Translations!$B$371</f>
        <v>Oksido išeiga (B metodas)</v>
      </c>
      <c r="E365" s="424" t="str">
        <f>Translations!$B$372</f>
        <v>Oksido išeiga [t]</v>
      </c>
      <c r="F365" s="424" t="str">
        <f>EUconst_ProcessCarbonate</f>
        <v>Proceso metu išsiskiriančios ŠESD</v>
      </c>
      <c r="G365" s="425">
        <v>1</v>
      </c>
      <c r="H365" s="426" t="str">
        <f>Translations!$B$345</f>
        <v>± 5,0%</v>
      </c>
      <c r="I365" s="426" t="str">
        <f>Translations!$B$346</f>
        <v>± 2,5%</v>
      </c>
      <c r="J365" s="72"/>
      <c r="K365" s="72"/>
      <c r="L365" s="428"/>
      <c r="M365" s="428"/>
      <c r="N365" s="1095">
        <f t="shared" si="1"/>
        <v>2</v>
      </c>
      <c r="O365" s="1098" t="str">
        <f t="shared" si="5"/>
        <v>Koksas: Oksido išeiga (B metodas)</v>
      </c>
      <c r="P365" s="1096"/>
      <c r="Q365" s="72" t="str">
        <f t="shared" si="2"/>
        <v>ActivityData_Koksas: Oksido išeiga (B metodas)</v>
      </c>
      <c r="U365" s="152"/>
      <c r="V365" s="52"/>
      <c r="X365" s="59" t="b">
        <f t="shared" si="3"/>
        <v>0</v>
      </c>
    </row>
    <row r="366" spans="1:24" ht="12.75" customHeight="1" outlineLevel="1" x14ac:dyDescent="0.2">
      <c r="A366" s="59">
        <v>14</v>
      </c>
      <c r="B366" s="424" t="str">
        <f t="shared" si="6"/>
        <v>Kokso gamyba</v>
      </c>
      <c r="C366" s="424" t="str">
        <f t="shared" si="6"/>
        <v>Koksas</v>
      </c>
      <c r="D366" s="424" t="str">
        <f>Translations!$B$362</f>
        <v>Masės balansas</v>
      </c>
      <c r="E366" s="424" t="str">
        <f>Translations!$B$352</f>
        <v>Kiekviena žaliava ir išeigos medžiaga [t]</v>
      </c>
      <c r="F366" s="424" t="str">
        <f>EUconst_MassBalance</f>
        <v>Masės balansas</v>
      </c>
      <c r="G366" s="425">
        <v>1</v>
      </c>
      <c r="H366" s="426" t="str">
        <f>Translations!$B$344</f>
        <v>± 7,5%</v>
      </c>
      <c r="I366" s="426" t="str">
        <f>Translations!$B$345</f>
        <v>± 5,0%</v>
      </c>
      <c r="J366" s="72"/>
      <c r="K366" s="72"/>
      <c r="L366" s="426" t="str">
        <f>Translations!$B$346</f>
        <v>± 2,5%</v>
      </c>
      <c r="M366" s="426" t="str">
        <f>Translations!$B$347</f>
        <v>± 1,5%</v>
      </c>
      <c r="N366" s="1095">
        <f t="shared" si="1"/>
        <v>4</v>
      </c>
      <c r="O366" s="1098" t="str">
        <f t="shared" si="5"/>
        <v>Koksas: Masės balansas</v>
      </c>
      <c r="P366" s="1096"/>
      <c r="Q366" s="72" t="str">
        <f t="shared" si="2"/>
        <v>ActivityData_Koksas: Masės balansas</v>
      </c>
      <c r="V366" s="52"/>
      <c r="X366" s="59" t="b">
        <f t="shared" si="3"/>
        <v>0</v>
      </c>
    </row>
    <row r="367" spans="1:24" ht="12.75" customHeight="1" outlineLevel="1" x14ac:dyDescent="0.2">
      <c r="A367" s="59">
        <v>15</v>
      </c>
      <c r="B367" s="424" t="str">
        <f>Translations!$B$373</f>
        <v>Metalo rūdų deginimas ir kepinimas</v>
      </c>
      <c r="C367" s="424" t="str">
        <f>Translations!$B$374</f>
        <v>Metalų rūda</v>
      </c>
      <c r="D367" s="424" t="str">
        <f>Translations!$B$375</f>
        <v>Karbonatų sąnaudos</v>
      </c>
      <c r="E367" s="424" t="str">
        <f>Translations!$B$376</f>
        <v>Karbonatų žaliava ir proceso liekanos [t]</v>
      </c>
      <c r="F367" s="424" t="str">
        <f>$F$358</f>
        <v>Proceso metu išsiskiriančios ŠESD</v>
      </c>
      <c r="G367" s="425">
        <v>1</v>
      </c>
      <c r="H367" s="426" t="str">
        <f>Translations!$B$345</f>
        <v>± 5,0%</v>
      </c>
      <c r="I367" s="426" t="str">
        <f>Translations!$B$346</f>
        <v>± 2,5%</v>
      </c>
      <c r="J367" s="72"/>
      <c r="K367" s="72"/>
      <c r="L367" s="428"/>
      <c r="M367" s="428"/>
      <c r="N367" s="1095">
        <f t="shared" si="1"/>
        <v>2</v>
      </c>
      <c r="O367" s="1098" t="str">
        <f t="shared" si="5"/>
        <v>Metalų rūda: Karbonatų sąnaudos</v>
      </c>
      <c r="P367" s="1096"/>
      <c r="Q367" s="72" t="str">
        <f t="shared" si="2"/>
        <v>ActivityData_Metalų rūda: Karbonatų sąnaudos</v>
      </c>
      <c r="V367" s="52"/>
      <c r="X367" s="59" t="b">
        <f t="shared" si="3"/>
        <v>0</v>
      </c>
    </row>
    <row r="368" spans="1:24" ht="12.75" customHeight="1" outlineLevel="1" x14ac:dyDescent="0.2">
      <c r="A368" s="59">
        <v>16</v>
      </c>
      <c r="B368" s="424" t="str">
        <f>B367</f>
        <v>Metalo rūdų deginimas ir kepinimas</v>
      </c>
      <c r="C368" s="424" t="str">
        <f>C367</f>
        <v>Metalų rūda</v>
      </c>
      <c r="D368" s="424" t="str">
        <f>Translations!$B$362</f>
        <v>Masės balansas</v>
      </c>
      <c r="E368" s="424" t="str">
        <f>Translations!$B$352</f>
        <v>Kiekviena žaliava ir išeigos medžiaga [t]</v>
      </c>
      <c r="F368" s="424" t="str">
        <f>EUconst_MassBalance</f>
        <v>Masės balansas</v>
      </c>
      <c r="G368" s="425">
        <v>1</v>
      </c>
      <c r="H368" s="426" t="str">
        <f>Translations!$B$344</f>
        <v>± 7,5%</v>
      </c>
      <c r="I368" s="426" t="str">
        <f>Translations!$B$345</f>
        <v>± 5,0%</v>
      </c>
      <c r="J368" s="72"/>
      <c r="K368" s="72"/>
      <c r="L368" s="426" t="str">
        <f>Translations!$B$346</f>
        <v>± 2,5%</v>
      </c>
      <c r="M368" s="426" t="str">
        <f>Translations!$B$347</f>
        <v>± 1,5%</v>
      </c>
      <c r="N368" s="1095">
        <f t="shared" si="1"/>
        <v>4</v>
      </c>
      <c r="O368" s="1098" t="str">
        <f>C368 &amp; ": " &amp;D368</f>
        <v>Metalų rūda: Masės balansas</v>
      </c>
      <c r="P368" s="1096"/>
      <c r="Q368" s="72" t="str">
        <f t="shared" si="2"/>
        <v>ActivityData_Metalų rūda: Masės balansas</v>
      </c>
      <c r="V368" s="52"/>
      <c r="X368" s="59" t="b">
        <f t="shared" si="3"/>
        <v>0</v>
      </c>
    </row>
    <row r="369" spans="1:24" ht="12.75" customHeight="1" outlineLevel="1" x14ac:dyDescent="0.2">
      <c r="A369" s="59">
        <v>17</v>
      </c>
      <c r="B369" s="424" t="str">
        <f>Translations!$B$377</f>
        <v>Geležies ir plieno gamyba</v>
      </c>
      <c r="C369" s="424" t="str">
        <f>Translations!$B$378</f>
        <v>Geležis ir plienas</v>
      </c>
      <c r="D369" s="424" t="str">
        <f>Translations!$B$368</f>
        <v>Kuras kaip proceso žaliava</v>
      </c>
      <c r="E369" s="424" t="str">
        <f>Translations!$B$379</f>
        <v>Kiekvienas masės srautas į įrenginį ir iš jo [t]</v>
      </c>
      <c r="F369" s="424" t="str">
        <f>$F$353</f>
        <v>Degimas</v>
      </c>
      <c r="G369" s="425">
        <v>1</v>
      </c>
      <c r="H369" s="426" t="str">
        <f>Translations!$B$344</f>
        <v>± 7,5%</v>
      </c>
      <c r="I369" s="426" t="str">
        <f>Translations!$B$345</f>
        <v>± 5,0%</v>
      </c>
      <c r="J369" s="72"/>
      <c r="K369" s="72"/>
      <c r="L369" s="426" t="str">
        <f>Translations!$B$346</f>
        <v>± 2,5%</v>
      </c>
      <c r="M369" s="426" t="str">
        <f>Translations!$B$347</f>
        <v>± 1,5%</v>
      </c>
      <c r="N369" s="1095">
        <f t="shared" si="1"/>
        <v>4</v>
      </c>
      <c r="O369" s="1098" t="str">
        <f t="shared" si="5"/>
        <v>Geležis ir plienas: Kuras kaip proceso žaliava</v>
      </c>
      <c r="P369" s="1096"/>
      <c r="Q369" s="72" t="str">
        <f t="shared" si="2"/>
        <v>ActivityData_Geležis ir plienas: Kuras kaip proceso žaliava</v>
      </c>
      <c r="V369" s="52"/>
      <c r="X369" s="59" t="b">
        <f t="shared" si="3"/>
        <v>0</v>
      </c>
    </row>
    <row r="370" spans="1:24" ht="12.75" customHeight="1" outlineLevel="1" x14ac:dyDescent="0.2">
      <c r="A370" s="59">
        <v>18</v>
      </c>
      <c r="B370" s="424" t="str">
        <f>B369</f>
        <v>Geležies ir plieno gamyba</v>
      </c>
      <c r="C370" s="424" t="str">
        <f>C369</f>
        <v>Geležis ir plienas</v>
      </c>
      <c r="D370" s="424" t="str">
        <f>Translations!$B$375</f>
        <v>Karbonatų sąnaudos</v>
      </c>
      <c r="E370" s="424" t="str">
        <f>Translations!$B$370</f>
        <v>Karbonatų sąnaudų medžiaga [t]</v>
      </c>
      <c r="F370" s="424" t="str">
        <f>$F$358</f>
        <v>Proceso metu išsiskiriančios ŠESD</v>
      </c>
      <c r="G370" s="425">
        <v>1</v>
      </c>
      <c r="H370" s="426" t="str">
        <f>Translations!$B$344</f>
        <v>± 7,5%</v>
      </c>
      <c r="I370" s="426" t="str">
        <f>Translations!$B$345</f>
        <v>± 5,0%</v>
      </c>
      <c r="J370" s="72"/>
      <c r="K370" s="72"/>
      <c r="L370" s="426" t="str">
        <f>Translations!$B$346</f>
        <v>± 2,5%</v>
      </c>
      <c r="M370" s="426"/>
      <c r="N370" s="1095">
        <f t="shared" si="1"/>
        <v>3</v>
      </c>
      <c r="O370" s="1098" t="str">
        <f t="shared" si="5"/>
        <v>Geležis ir plienas: Karbonatų sąnaudos</v>
      </c>
      <c r="P370" s="1096"/>
      <c r="Q370" s="72" t="str">
        <f t="shared" si="2"/>
        <v>ActivityData_Geležis ir plienas: Karbonatų sąnaudos</v>
      </c>
      <c r="U370" s="152"/>
      <c r="V370" s="52"/>
      <c r="X370" s="59" t="b">
        <f t="shared" si="3"/>
        <v>0</v>
      </c>
    </row>
    <row r="371" spans="1:24" ht="12.75" customHeight="1" outlineLevel="1" x14ac:dyDescent="0.2">
      <c r="A371" s="59">
        <v>19</v>
      </c>
      <c r="B371" s="424" t="str">
        <f>B369</f>
        <v>Geležies ir plieno gamyba</v>
      </c>
      <c r="C371" s="424" t="str">
        <f>C369</f>
        <v>Geležis ir plienas</v>
      </c>
      <c r="D371" s="424" t="str">
        <f>Translations!$B$362</f>
        <v>Masės balansas</v>
      </c>
      <c r="E371" s="424" t="str">
        <f>Translations!$B$352</f>
        <v>Kiekviena žaliava ir išeigos medžiaga [t]</v>
      </c>
      <c r="F371" s="424" t="str">
        <f>EUconst_MassBalance</f>
        <v>Masės balansas</v>
      </c>
      <c r="G371" s="425">
        <v>1</v>
      </c>
      <c r="H371" s="426" t="str">
        <f>Translations!$B$344</f>
        <v>± 7,5%</v>
      </c>
      <c r="I371" s="426" t="str">
        <f>Translations!$B$345</f>
        <v>± 5,0%</v>
      </c>
      <c r="J371" s="72"/>
      <c r="K371" s="72"/>
      <c r="L371" s="426" t="str">
        <f>Translations!$B$346</f>
        <v>± 2,5%</v>
      </c>
      <c r="M371" s="426" t="str">
        <f>Translations!$B$347</f>
        <v>± 1,5%</v>
      </c>
      <c r="N371" s="1095">
        <f t="shared" si="1"/>
        <v>4</v>
      </c>
      <c r="O371" s="1098" t="str">
        <f t="shared" si="5"/>
        <v>Geležis ir plienas: Masės balansas</v>
      </c>
      <c r="P371" s="1096"/>
      <c r="Q371" s="72" t="str">
        <f t="shared" si="2"/>
        <v>ActivityData_Geležis ir plienas: Masės balansas</v>
      </c>
      <c r="V371" s="52"/>
      <c r="X371" s="59" t="b">
        <f t="shared" si="3"/>
        <v>0</v>
      </c>
    </row>
    <row r="372" spans="1:24" ht="12.75" customHeight="1" outlineLevel="1" x14ac:dyDescent="0.2">
      <c r="A372" s="59">
        <v>20</v>
      </c>
      <c r="B372" s="424" t="str">
        <f>Translations!$B$111</f>
        <v>Cemento klinkerio gamyba</v>
      </c>
      <c r="C372" s="424" t="str">
        <f>Translations!$B$380</f>
        <v>Cemento klinkeriai</v>
      </c>
      <c r="D372" s="424" t="str">
        <f>Translations!$B$381</f>
        <v>Grindžiamas krosnies žaliava (A metodas)</v>
      </c>
      <c r="E372" s="424" t="str">
        <f>Translations!$B$382</f>
        <v>Kiekvienos atitinkamos krosnies žaliava [t]</v>
      </c>
      <c r="F372" s="424" t="str">
        <f t="shared" ref="F372:F383" si="7">$F$358</f>
        <v>Proceso metu išsiskiriančios ŠESD</v>
      </c>
      <c r="G372" s="425">
        <v>1</v>
      </c>
      <c r="H372" s="426" t="str">
        <f>Translations!$B$344</f>
        <v>± 7,5%</v>
      </c>
      <c r="I372" s="426" t="str">
        <f>Translations!$B$345</f>
        <v>± 5,0%</v>
      </c>
      <c r="J372" s="72"/>
      <c r="K372" s="72"/>
      <c r="L372" s="426" t="str">
        <f>Translations!$B$346</f>
        <v>± 2,5%</v>
      </c>
      <c r="M372" s="428"/>
      <c r="N372" s="1095">
        <f t="shared" si="1"/>
        <v>3</v>
      </c>
      <c r="O372" s="1098" t="str">
        <f t="shared" si="5"/>
        <v>Cemento klinkeriai: Grindžiamas krosnies žaliava (A metodas)</v>
      </c>
      <c r="P372" s="1096"/>
      <c r="Q372" s="72" t="str">
        <f t="shared" si="2"/>
        <v>ActivityData_Cemento klinkeriai: Grindžiamas krosnies žaliava (A metodas)</v>
      </c>
      <c r="V372" s="52"/>
      <c r="X372" s="59" t="b">
        <f t="shared" si="3"/>
        <v>0</v>
      </c>
    </row>
    <row r="373" spans="1:24" ht="12.75" customHeight="1" outlineLevel="1" x14ac:dyDescent="0.2">
      <c r="A373" s="59">
        <v>21</v>
      </c>
      <c r="B373" s="424" t="str">
        <f t="shared" ref="B373:C375" si="8">B372</f>
        <v>Cemento klinkerio gamyba</v>
      </c>
      <c r="C373" s="424" t="str">
        <f t="shared" si="8"/>
        <v>Cemento klinkeriai</v>
      </c>
      <c r="D373" s="424" t="str">
        <f>Translations!$B$383</f>
        <v>Klinkerio išeiga (B metodas)</v>
      </c>
      <c r="E373" s="424" t="str">
        <f>Translations!$B$384</f>
        <v>Pagamintas klinkeris [t]</v>
      </c>
      <c r="F373" s="424" t="str">
        <f t="shared" si="7"/>
        <v>Proceso metu išsiskiriančios ŠESD</v>
      </c>
      <c r="G373" s="425">
        <v>1</v>
      </c>
      <c r="H373" s="426" t="str">
        <f>Translations!$B$345</f>
        <v>± 5,0%</v>
      </c>
      <c r="I373" s="426" t="str">
        <f>Translations!$B$346</f>
        <v>± 2,5%</v>
      </c>
      <c r="J373" s="72"/>
      <c r="K373" s="72"/>
      <c r="L373" s="428"/>
      <c r="M373" s="428"/>
      <c r="N373" s="1095">
        <f t="shared" si="1"/>
        <v>2</v>
      </c>
      <c r="O373" s="1098" t="str">
        <f t="shared" si="5"/>
        <v>Cemento klinkeriai: Klinkerio išeiga (B metodas)</v>
      </c>
      <c r="P373" s="1096"/>
      <c r="Q373" s="72" t="str">
        <f t="shared" si="2"/>
        <v>ActivityData_Cemento klinkeriai: Klinkerio išeiga (B metodas)</v>
      </c>
      <c r="V373" s="52"/>
      <c r="X373" s="59" t="b">
        <f t="shared" si="3"/>
        <v>0</v>
      </c>
    </row>
    <row r="374" spans="1:24" ht="12.75" customHeight="1" outlineLevel="1" x14ac:dyDescent="0.2">
      <c r="A374" s="59">
        <v>22</v>
      </c>
      <c r="B374" s="424" t="str">
        <f t="shared" si="8"/>
        <v>Cemento klinkerio gamyba</v>
      </c>
      <c r="C374" s="424" t="str">
        <f t="shared" si="8"/>
        <v>Cemento klinkeriai</v>
      </c>
      <c r="D374" s="424" t="str">
        <f>Translations!$B$385</f>
        <v>Cemento degimo krosnių dulkės</v>
      </c>
      <c r="E374" s="424" t="str">
        <f>Translations!$B$386</f>
        <v>Cemento degimo krosnių dulkės arba pašalinės dulkės [t]</v>
      </c>
      <c r="F374" s="424" t="str">
        <f t="shared" si="7"/>
        <v>Proceso metu išsiskiriančios ŠESD</v>
      </c>
      <c r="G374" s="425">
        <v>1</v>
      </c>
      <c r="H374" s="429" t="str">
        <f>EUconst_MsgTierCKD</f>
        <v>(netaik.; naudoti geriausia patirtimi grįstą apskaičiavimą)</v>
      </c>
      <c r="I374" s="426" t="str">
        <f>Translations!$B$344</f>
        <v>± 7,5%</v>
      </c>
      <c r="J374" s="72"/>
      <c r="K374" s="72"/>
      <c r="L374" s="428"/>
      <c r="M374" s="428"/>
      <c r="N374" s="1095">
        <f t="shared" si="1"/>
        <v>2</v>
      </c>
      <c r="O374" s="1098" t="str">
        <f t="shared" si="5"/>
        <v>Cemento klinkeriai: Cemento degimo krosnių dulkės</v>
      </c>
      <c r="P374" s="1096"/>
      <c r="Q374" s="72" t="str">
        <f t="shared" si="2"/>
        <v>ActivityData_Cemento klinkeriai: Cemento degimo krosnių dulkės</v>
      </c>
      <c r="V374" s="52"/>
      <c r="X374" s="59" t="b">
        <f t="shared" si="3"/>
        <v>0</v>
      </c>
    </row>
    <row r="375" spans="1:24" ht="12.75" customHeight="1" outlineLevel="1" x14ac:dyDescent="0.2">
      <c r="A375" s="59">
        <v>23</v>
      </c>
      <c r="B375" s="424" t="str">
        <f t="shared" si="8"/>
        <v>Cemento klinkerio gamyba</v>
      </c>
      <c r="C375" s="424" t="str">
        <f t="shared" si="8"/>
        <v>Cemento klinkeriai</v>
      </c>
      <c r="D375" s="424" t="str">
        <f>Translations!$B$387</f>
        <v>Nekarbonatinė anglis</v>
      </c>
      <c r="E375" s="424" t="str">
        <f>Translations!$B$388</f>
        <v>Kiekviena žaliava [t]</v>
      </c>
      <c r="F375" s="424" t="str">
        <f t="shared" si="7"/>
        <v>Proceso metu išsiskiriančios ŠESD</v>
      </c>
      <c r="G375" s="425">
        <v>1</v>
      </c>
      <c r="H375" s="426" t="str">
        <f>Translations!$B$389</f>
        <v>± 15,0%</v>
      </c>
      <c r="I375" s="426" t="str">
        <f>Translations!$B$344</f>
        <v>± 7,5%</v>
      </c>
      <c r="J375" s="72"/>
      <c r="K375" s="72"/>
      <c r="L375" s="428"/>
      <c r="M375" s="428"/>
      <c r="N375" s="1095">
        <f t="shared" si="1"/>
        <v>2</v>
      </c>
      <c r="O375" s="1098" t="str">
        <f t="shared" si="5"/>
        <v>Cemento klinkeriai: Nekarbonatinė anglis</v>
      </c>
      <c r="P375" s="1096"/>
      <c r="Q375" s="72" t="str">
        <f t="shared" si="2"/>
        <v>ActivityData_Cemento klinkeriai: Nekarbonatinė anglis</v>
      </c>
      <c r="X375" s="59" t="b">
        <f t="shared" si="3"/>
        <v>0</v>
      </c>
    </row>
    <row r="376" spans="1:24" ht="12.75" customHeight="1" outlineLevel="1" x14ac:dyDescent="0.2">
      <c r="A376" s="59">
        <v>24</v>
      </c>
      <c r="B376" s="424" t="str">
        <f>Translations!$B$390</f>
        <v>Kalkių gamyba ir dolomitų bei magnezitų kalcinavimas</v>
      </c>
      <c r="C376" s="424" t="str">
        <f>Translations!$B$391</f>
        <v>Kalkės, dolomitas, magnezitas</v>
      </c>
      <c r="D376" s="424" t="str">
        <f>Translations!$B$392</f>
        <v>Karbonatai (A metodas)</v>
      </c>
      <c r="E376" s="424" t="str">
        <f>Translations!$B$382</f>
        <v>Kiekvienos atitinkamos krosnies žaliava [t]</v>
      </c>
      <c r="F376" s="424" t="str">
        <f t="shared" si="7"/>
        <v>Proceso metu išsiskiriančios ŠESD</v>
      </c>
      <c r="G376" s="425">
        <v>1</v>
      </c>
      <c r="H376" s="426" t="str">
        <f>Translations!$B$344</f>
        <v>± 7,5%</v>
      </c>
      <c r="I376" s="426" t="str">
        <f>Translations!$B$345</f>
        <v>± 5,0%</v>
      </c>
      <c r="J376" s="72"/>
      <c r="K376" s="72"/>
      <c r="L376" s="426" t="str">
        <f>Translations!$B$346</f>
        <v>± 2,5%</v>
      </c>
      <c r="M376" s="428"/>
      <c r="N376" s="1095">
        <f t="shared" si="1"/>
        <v>3</v>
      </c>
      <c r="O376" s="1098" t="str">
        <f t="shared" si="5"/>
        <v>Kalkės, dolomitas, magnezitas: Karbonatai (A metodas)</v>
      </c>
      <c r="P376" s="1096"/>
      <c r="Q376" s="72" t="str">
        <f t="shared" si="2"/>
        <v>ActivityData_Kalkės, dolomitas, magnezitas: Karbonatai (A metodas)</v>
      </c>
      <c r="X376" s="59" t="b">
        <f t="shared" si="3"/>
        <v>0</v>
      </c>
    </row>
    <row r="377" spans="1:24" ht="12.75" customHeight="1" outlineLevel="1" x14ac:dyDescent="0.2">
      <c r="A377" s="59">
        <v>25</v>
      </c>
      <c r="B377" s="424" t="str">
        <f>B376</f>
        <v>Kalkių gamyba ir dolomitų bei magnezitų kalcinavimas</v>
      </c>
      <c r="C377" s="424" t="str">
        <f>C376</f>
        <v>Kalkės, dolomitas, magnezitas</v>
      </c>
      <c r="D377" s="424" t="str">
        <f>Translations!$B$393</f>
        <v>Šarminių žemių metalų oksidas (B metodas)</v>
      </c>
      <c r="E377" s="424" t="str">
        <f>Translations!$B$394</f>
        <v>Pagamintos kalkės [t]</v>
      </c>
      <c r="F377" s="424" t="str">
        <f t="shared" si="7"/>
        <v>Proceso metu išsiskiriančios ŠESD</v>
      </c>
      <c r="G377" s="425">
        <v>1</v>
      </c>
      <c r="H377" s="426" t="str">
        <f>Translations!$B$345</f>
        <v>± 5,0%</v>
      </c>
      <c r="I377" s="426" t="str">
        <f>Translations!$B$346</f>
        <v>± 2,5%</v>
      </c>
      <c r="J377" s="72"/>
      <c r="K377" s="72"/>
      <c r="L377" s="428"/>
      <c r="M377" s="428"/>
      <c r="N377" s="1095">
        <f t="shared" si="1"/>
        <v>2</v>
      </c>
      <c r="O377" s="1098" t="str">
        <f t="shared" si="5"/>
        <v>Kalkės, dolomitas, magnezitas: Šarminių žemių metalų oksidas (B metodas)</v>
      </c>
      <c r="P377" s="1096"/>
      <c r="Q377" s="72" t="str">
        <f t="shared" si="2"/>
        <v>ActivityData_Kalkės, dolomitas, magnezitas: Šarminių žemių metalų oksidas (B metodas)</v>
      </c>
      <c r="X377" s="59" t="b">
        <f t="shared" si="3"/>
        <v>0</v>
      </c>
    </row>
    <row r="378" spans="1:24" ht="12.75" customHeight="1" outlineLevel="1" x14ac:dyDescent="0.2">
      <c r="A378" s="59">
        <v>26</v>
      </c>
      <c r="B378" s="424" t="str">
        <f>B377</f>
        <v>Kalkių gamyba ir dolomitų bei magnezitų kalcinavimas</v>
      </c>
      <c r="C378" s="424" t="str">
        <f>C377</f>
        <v>Kalkės, dolomitas, magnezitas</v>
      </c>
      <c r="D378" s="424" t="str">
        <f>Translations!$B$395</f>
        <v>Degimo krosnių dulkės (B metodas)</v>
      </c>
      <c r="E378" s="424" t="str">
        <f>Translations!$B$396</f>
        <v>Degimo krosnių dulkės [t]</v>
      </c>
      <c r="F378" s="424" t="str">
        <f t="shared" si="7"/>
        <v>Proceso metu išsiskiriančios ŠESD</v>
      </c>
      <c r="G378" s="425">
        <v>1</v>
      </c>
      <c r="H378" s="429" t="str">
        <f>EUconst_MsgTierCKD</f>
        <v>(netaik.; naudoti geriausia patirtimi grįstą apskaičiavimą)</v>
      </c>
      <c r="I378" s="426" t="str">
        <f>Translations!$B$344</f>
        <v>± 7,5%</v>
      </c>
      <c r="J378" s="72"/>
      <c r="K378" s="72"/>
      <c r="L378" s="428"/>
      <c r="M378" s="428"/>
      <c r="N378" s="1095">
        <f t="shared" si="1"/>
        <v>2</v>
      </c>
      <c r="O378" s="1098" t="str">
        <f t="shared" si="5"/>
        <v>Kalkės, dolomitas, magnezitas: Degimo krosnių dulkės (B metodas)</v>
      </c>
      <c r="P378" s="1096"/>
      <c r="Q378" s="72" t="str">
        <f t="shared" si="2"/>
        <v>ActivityData_Kalkės, dolomitas, magnezitas: Degimo krosnių dulkės (B metodas)</v>
      </c>
      <c r="X378" s="59" t="b">
        <f t="shared" si="3"/>
        <v>0</v>
      </c>
    </row>
    <row r="379" spans="1:24" ht="12.75" customHeight="1" outlineLevel="1" x14ac:dyDescent="0.2">
      <c r="A379" s="59">
        <v>27</v>
      </c>
      <c r="B379" s="424" t="str">
        <f>Translations!$B$397</f>
        <v>Stiklo ir mineralinės vatos gamyba</v>
      </c>
      <c r="C379" s="424" t="str">
        <f>Translations!$B$398</f>
        <v>Stiklas ir mineralinė vata</v>
      </c>
      <c r="D379" s="424" t="str">
        <f>Translations!$B$399</f>
        <v>Karbonatai (žaliava)</v>
      </c>
      <c r="E379" s="424" t="str">
        <f>Translations!$B$400</f>
        <v>Visos su išmetamu CO2 kiekiu susijusios karbonatinės žaliavos arba priedai [t]</v>
      </c>
      <c r="F379" s="424" t="str">
        <f t="shared" si="7"/>
        <v>Proceso metu išsiskiriančios ŠESD</v>
      </c>
      <c r="G379" s="425">
        <v>1</v>
      </c>
      <c r="H379" s="426" t="str">
        <f>Translations!$B$346</f>
        <v>± 2,5%</v>
      </c>
      <c r="I379" s="426" t="str">
        <f>Translations!$B$347</f>
        <v>± 1,5%</v>
      </c>
      <c r="J379" s="72"/>
      <c r="K379" s="72"/>
      <c r="L379" s="426"/>
      <c r="M379" s="426"/>
      <c r="N379" s="1095">
        <f t="shared" si="1"/>
        <v>2</v>
      </c>
      <c r="O379" s="1098" t="str">
        <f t="shared" si="5"/>
        <v>Stiklas ir mineralinė vata: Karbonatai (žaliava)</v>
      </c>
      <c r="P379" s="1096"/>
      <c r="Q379" s="72" t="str">
        <f t="shared" si="2"/>
        <v>ActivityData_Stiklas ir mineralinė vata: Karbonatai (žaliava)</v>
      </c>
      <c r="X379" s="59" t="b">
        <f t="shared" si="3"/>
        <v>0</v>
      </c>
    </row>
    <row r="380" spans="1:24" ht="12.75" customHeight="1" outlineLevel="1" x14ac:dyDescent="0.2">
      <c r="A380" s="59">
        <v>28</v>
      </c>
      <c r="B380" s="424" t="str">
        <f>Translations!$B$401</f>
        <v>Keramikos produktų gamyba</v>
      </c>
      <c r="C380" s="424" t="str">
        <f>Translations!$B$402</f>
        <v>Keramikos dirbiniai.</v>
      </c>
      <c r="D380" s="424" t="str">
        <f>Translations!$B$403</f>
        <v>Anglies sąnaudos (A metodas)</v>
      </c>
      <c r="E380" s="424" t="str">
        <f>Translations!$B$400</f>
        <v>Visos su išmetamu CO2 kiekiu susijusios karbonatinės žaliavos arba priedai [t]</v>
      </c>
      <c r="F380" s="424" t="str">
        <f t="shared" si="7"/>
        <v>Proceso metu išsiskiriančios ŠESD</v>
      </c>
      <c r="G380" s="425">
        <v>1</v>
      </c>
      <c r="H380" s="426" t="str">
        <f>Translations!$B$344</f>
        <v>± 7,5%</v>
      </c>
      <c r="I380" s="426" t="str">
        <f>Translations!$B$345</f>
        <v>± 5,0%</v>
      </c>
      <c r="J380" s="72"/>
      <c r="K380" s="72"/>
      <c r="L380" s="426" t="str">
        <f>Translations!$B$346</f>
        <v>± 2,5%</v>
      </c>
      <c r="M380" s="426"/>
      <c r="N380" s="1095">
        <f t="shared" si="1"/>
        <v>3</v>
      </c>
      <c r="O380" s="1098" t="str">
        <f t="shared" si="5"/>
        <v>Keramikos dirbiniai.: Anglies sąnaudos (A metodas)</v>
      </c>
      <c r="P380" s="1096"/>
      <c r="Q380" s="72" t="str">
        <f t="shared" si="2"/>
        <v>ActivityData_Keramikos dirbiniai.: Anglies sąnaudos (A metodas)</v>
      </c>
      <c r="X380" s="59" t="b">
        <f t="shared" si="3"/>
        <v>0</v>
      </c>
    </row>
    <row r="381" spans="1:24" ht="12.75" customHeight="1" outlineLevel="1" x14ac:dyDescent="0.2">
      <c r="A381" s="59">
        <v>29</v>
      </c>
      <c r="B381" s="424" t="str">
        <f>B380</f>
        <v>Keramikos produktų gamyba</v>
      </c>
      <c r="C381" s="424" t="str">
        <f>C380</f>
        <v>Keramikos dirbiniai.</v>
      </c>
      <c r="D381" s="424" t="str">
        <f>Translations!$B$404</f>
        <v>Šarminių metalų oksidas (B metodas)</v>
      </c>
      <c r="E381" s="424" t="str">
        <f>Translations!$B$405</f>
        <v>Bendra produkcija, įskaitant iš krosnių ir tiekiant atmestus produktus ir šukes [t]</v>
      </c>
      <c r="F381" s="424" t="str">
        <f t="shared" si="7"/>
        <v>Proceso metu išsiskiriančios ŠESD</v>
      </c>
      <c r="G381" s="425">
        <v>1</v>
      </c>
      <c r="H381" s="426" t="str">
        <f>Translations!$B$344</f>
        <v>± 7,5%</v>
      </c>
      <c r="I381" s="426" t="str">
        <f>Translations!$B$345</f>
        <v>± 5,0%</v>
      </c>
      <c r="J381" s="72"/>
      <c r="K381" s="72"/>
      <c r="L381" s="426" t="str">
        <f>Translations!$B$346</f>
        <v>± 2,5%</v>
      </c>
      <c r="M381" s="426"/>
      <c r="N381" s="1095">
        <f t="shared" si="1"/>
        <v>3</v>
      </c>
      <c r="O381" s="1098" t="str">
        <f t="shared" si="5"/>
        <v>Keramikos dirbiniai.: Šarminių metalų oksidas (B metodas)</v>
      </c>
      <c r="P381" s="1096"/>
      <c r="Q381" s="72" t="str">
        <f t="shared" si="2"/>
        <v>ActivityData_Keramikos dirbiniai.: Šarminių metalų oksidas (B metodas)</v>
      </c>
      <c r="X381" s="59" t="b">
        <f t="shared" si="3"/>
        <v>0</v>
      </c>
    </row>
    <row r="382" spans="1:24" ht="12.75" customHeight="1" outlineLevel="1" x14ac:dyDescent="0.2">
      <c r="A382" s="59">
        <v>30</v>
      </c>
      <c r="B382" s="424" t="str">
        <f>B381</f>
        <v>Keramikos produktų gamyba</v>
      </c>
      <c r="C382" s="424" t="str">
        <f>C381</f>
        <v>Keramikos dirbiniai.</v>
      </c>
      <c r="D382" s="424" t="str">
        <f>Translations!$B$406</f>
        <v>Dujų plovimas</v>
      </c>
      <c r="E382" s="424" t="str">
        <f>Translations!$B$407</f>
        <v>Sunaudoto sauso CaCO3 kiekis [t]</v>
      </c>
      <c r="F382" s="424" t="str">
        <f t="shared" si="7"/>
        <v>Proceso metu išsiskiriančios ŠESD</v>
      </c>
      <c r="G382" s="425">
        <v>1</v>
      </c>
      <c r="H382" s="426" t="str">
        <f>Translations!$B$344</f>
        <v>± 7,5%</v>
      </c>
      <c r="I382" s="426"/>
      <c r="J382" s="72"/>
      <c r="K382" s="72"/>
      <c r="L382" s="426"/>
      <c r="M382" s="426"/>
      <c r="N382" s="1095">
        <f t="shared" si="1"/>
        <v>1</v>
      </c>
      <c r="O382" s="1098" t="str">
        <f t="shared" si="5"/>
        <v>Keramikos dirbiniai.: Dujų plovimas</v>
      </c>
      <c r="P382" s="1096"/>
      <c r="Q382" s="72" t="str">
        <f t="shared" si="2"/>
        <v>ActivityData_Keramikos dirbiniai.: Dujų plovimas</v>
      </c>
      <c r="X382" s="59" t="b">
        <f t="shared" si="3"/>
        <v>0</v>
      </c>
    </row>
    <row r="383" spans="1:24" ht="12.75" customHeight="1" outlineLevel="1" x14ac:dyDescent="0.2">
      <c r="A383" s="59">
        <v>31</v>
      </c>
      <c r="B383" s="424" t="str">
        <f>Translations!$B$408</f>
        <v>Celiuliozės ir popieriaus gamyba</v>
      </c>
      <c r="C383" s="424" t="str">
        <f>Translations!$B$409</f>
        <v>Celiuliozė ir popierius</v>
      </c>
      <c r="D383" s="424" t="str">
        <f>Translations!$B$410</f>
        <v>Sudėtinės cheminės medžiagos</v>
      </c>
      <c r="E383" s="424" t="str">
        <f>Translations!$B$411</f>
        <v>CaCO3 ir Na2CO3 kiekis [t]</v>
      </c>
      <c r="F383" s="424" t="str">
        <f t="shared" si="7"/>
        <v>Proceso metu išsiskiriančios ŠESD</v>
      </c>
      <c r="G383" s="425">
        <v>1</v>
      </c>
      <c r="H383" s="426" t="str">
        <f>Translations!$B$346</f>
        <v>± 2,5%</v>
      </c>
      <c r="I383" s="426" t="str">
        <f>Translations!$B$347</f>
        <v>± 1,5%</v>
      </c>
      <c r="J383" s="72"/>
      <c r="K383" s="72"/>
      <c r="L383" s="426"/>
      <c r="M383" s="426"/>
      <c r="N383" s="1095">
        <f t="shared" si="1"/>
        <v>2</v>
      </c>
      <c r="O383" s="1098" t="str">
        <f t="shared" si="5"/>
        <v>Celiuliozė ir popierius: Sudėtinės cheminės medžiagos</v>
      </c>
      <c r="P383" s="1096"/>
      <c r="Q383" s="72" t="str">
        <f t="shared" si="2"/>
        <v>ActivityData_Celiuliozė ir popierius: Sudėtinės cheminės medžiagos</v>
      </c>
      <c r="X383" s="59" t="b">
        <f t="shared" si="3"/>
        <v>0</v>
      </c>
    </row>
    <row r="384" spans="1:24" ht="12.75" customHeight="1" outlineLevel="1" x14ac:dyDescent="0.2">
      <c r="A384" s="59">
        <v>32</v>
      </c>
      <c r="B384" s="424" t="str">
        <f>Translations!$B$256</f>
        <v>Suodžių gamyba</v>
      </c>
      <c r="C384" s="424" t="str">
        <f>Translations!$B$412</f>
        <v>Padengtas kartonas Suodžiai</v>
      </c>
      <c r="D384" s="424" t="str">
        <f>Translations!$B$413</f>
        <v>Masės balanso metodika</v>
      </c>
      <c r="E384" s="424" t="str">
        <f>Translations!$B$352</f>
        <v>Kiekviena žaliava ir išeigos medžiaga [t]</v>
      </c>
      <c r="F384" s="424" t="str">
        <f>EUconst_MassBalance</f>
        <v>Masės balansas</v>
      </c>
      <c r="G384" s="425">
        <v>1</v>
      </c>
      <c r="H384" s="426" t="str">
        <f>Translations!$B$344</f>
        <v>± 7,5%</v>
      </c>
      <c r="I384" s="426" t="str">
        <f>Translations!$B$345</f>
        <v>± 5,0%</v>
      </c>
      <c r="J384" s="72"/>
      <c r="K384" s="72"/>
      <c r="L384" s="426" t="str">
        <f>Translations!$B$346</f>
        <v>± 2,5%</v>
      </c>
      <c r="M384" s="426" t="str">
        <f>Translations!$B$347</f>
        <v>± 1,5%</v>
      </c>
      <c r="N384" s="1095">
        <f t="shared" si="1"/>
        <v>4</v>
      </c>
      <c r="O384" s="1098" t="str">
        <f t="shared" si="5"/>
        <v>Padengtas kartonas Suodžiai: Masės balanso metodika</v>
      </c>
      <c r="P384" s="1096"/>
      <c r="Q384" s="72" t="str">
        <f t="shared" si="2"/>
        <v>ActivityData_Padengtas kartonas Suodžiai: Masės balanso metodika</v>
      </c>
      <c r="X384" s="59" t="b">
        <f t="shared" si="3"/>
        <v>0</v>
      </c>
    </row>
    <row r="385" spans="1:40" ht="12.75" customHeight="1" outlineLevel="1" x14ac:dyDescent="0.2">
      <c r="A385" s="59">
        <v>33</v>
      </c>
      <c r="B385" s="424" t="str">
        <f>Translations!$B$260</f>
        <v>Amoniako gamyba</v>
      </c>
      <c r="C385" s="424" t="str">
        <f>Translations!$B$414</f>
        <v>Amoniakas</v>
      </c>
      <c r="D385" s="424" t="str">
        <f>Translations!$B$368</f>
        <v>Kuras kaip proceso žaliava</v>
      </c>
      <c r="E385" s="424" t="str">
        <f>Translations!$B$415</f>
        <v>Kuro, naudoto kaip proceso žaliava, kiekis [t] arba [Nm3]</v>
      </c>
      <c r="F385" s="424" t="str">
        <f>$F$353</f>
        <v>Degimas</v>
      </c>
      <c r="G385" s="425">
        <v>2</v>
      </c>
      <c r="H385" s="426" t="str">
        <f>Translations!$B$344</f>
        <v>± 7,5%</v>
      </c>
      <c r="I385" s="426" t="str">
        <f>Translations!$B$345</f>
        <v>± 5,0%</v>
      </c>
      <c r="J385" s="72"/>
      <c r="K385" s="72"/>
      <c r="L385" s="426" t="str">
        <f>Translations!$B$346</f>
        <v>± 2,5%</v>
      </c>
      <c r="M385" s="426" t="str">
        <f>Translations!$B$347</f>
        <v>± 1,5%</v>
      </c>
      <c r="N385" s="1095">
        <f t="shared" si="1"/>
        <v>4</v>
      </c>
      <c r="O385" s="1098" t="str">
        <f t="shared" si="5"/>
        <v>Amoniakas: Kuras kaip proceso žaliava</v>
      </c>
      <c r="P385" s="1096"/>
      <c r="Q385" s="72" t="str">
        <f t="shared" si="2"/>
        <v>ActivityData_Amoniakas: Kuras kaip proceso žaliava</v>
      </c>
      <c r="X385" s="59" t="b">
        <f t="shared" si="3"/>
        <v>0</v>
      </c>
    </row>
    <row r="386" spans="1:40" ht="12.75" customHeight="1" outlineLevel="1" x14ac:dyDescent="0.2">
      <c r="A386" s="59">
        <v>34</v>
      </c>
      <c r="B386" s="424" t="str">
        <f>Translations!$B$262</f>
        <v>Vandenilio ar sintezės dujų gamyba</v>
      </c>
      <c r="C386" s="424" t="str">
        <f>Translations!$B$416</f>
        <v>Vandenilis ir sintezės dujos</v>
      </c>
      <c r="D386" s="424" t="str">
        <f>Translations!$B$368</f>
        <v>Kuras kaip proceso žaliava</v>
      </c>
      <c r="E386" s="424" t="str">
        <f>Translations!$B$417</f>
        <v>Kuro, naudoto kaip proceso žaliava gaminant vandenilį, kiekis [t] arba [Nm3]</v>
      </c>
      <c r="F386" s="424" t="str">
        <f>$F$353</f>
        <v>Degimas</v>
      </c>
      <c r="G386" s="425">
        <v>2</v>
      </c>
      <c r="H386" s="426" t="str">
        <f>Translations!$B$344</f>
        <v>± 7,5%</v>
      </c>
      <c r="I386" s="426" t="str">
        <f>Translations!$B$345</f>
        <v>± 5,0%</v>
      </c>
      <c r="J386" s="72"/>
      <c r="K386" s="72"/>
      <c r="L386" s="426" t="str">
        <f>Translations!$B$346</f>
        <v>± 2,5%</v>
      </c>
      <c r="M386" s="426" t="str">
        <f>Translations!$B$347</f>
        <v>± 1,5%</v>
      </c>
      <c r="N386" s="1095">
        <f t="shared" si="1"/>
        <v>4</v>
      </c>
      <c r="O386" s="1098" t="str">
        <f t="shared" si="5"/>
        <v>Vandenilis ir sintezės dujos: Kuras kaip proceso žaliava</v>
      </c>
      <c r="P386" s="1096"/>
      <c r="Q386" s="72" t="str">
        <f t="shared" si="2"/>
        <v>ActivityData_Vandenilis ir sintezės dujos: Kuras kaip proceso žaliava</v>
      </c>
      <c r="X386" s="59" t="b">
        <f t="shared" si="3"/>
        <v>0</v>
      </c>
    </row>
    <row r="387" spans="1:40" ht="12.75" customHeight="1" outlineLevel="1" x14ac:dyDescent="0.2">
      <c r="A387" s="59">
        <v>35</v>
      </c>
      <c r="B387" s="424" t="str">
        <f>B386</f>
        <v>Vandenilio ar sintezės dujų gamyba</v>
      </c>
      <c r="C387" s="424" t="str">
        <f>C386</f>
        <v>Vandenilis ir sintezės dujos</v>
      </c>
      <c r="D387" s="424" t="str">
        <f>Translations!$B$413</f>
        <v>Masės balanso metodika</v>
      </c>
      <c r="E387" s="424" t="str">
        <f>Translations!$B$352</f>
        <v>Kiekviena žaliava ir išeigos medžiaga [t]</v>
      </c>
      <c r="F387" s="424" t="str">
        <f>EUconst_MassBalance</f>
        <v>Masės balansas</v>
      </c>
      <c r="G387" s="425">
        <v>1</v>
      </c>
      <c r="H387" s="426" t="str">
        <f>Translations!$B$344</f>
        <v>± 7,5%</v>
      </c>
      <c r="I387" s="426" t="str">
        <f>Translations!$B$345</f>
        <v>± 5,0%</v>
      </c>
      <c r="J387" s="72"/>
      <c r="K387" s="72"/>
      <c r="L387" s="426" t="str">
        <f>Translations!$B$346</f>
        <v>± 2,5%</v>
      </c>
      <c r="M387" s="426" t="str">
        <f>Translations!$B$347</f>
        <v>± 1,5%</v>
      </c>
      <c r="N387" s="1095">
        <f t="shared" si="1"/>
        <v>4</v>
      </c>
      <c r="O387" s="1098" t="str">
        <f t="shared" si="5"/>
        <v>Vandenilis ir sintezės dujos: Masės balanso metodika</v>
      </c>
      <c r="P387" s="1096"/>
      <c r="Q387" s="72" t="str">
        <f t="shared" si="2"/>
        <v>ActivityData_Vandenilis ir sintezės dujos: Masės balanso metodika</v>
      </c>
      <c r="X387" s="59" t="b">
        <f t="shared" si="3"/>
        <v>0</v>
      </c>
    </row>
    <row r="388" spans="1:40" ht="12.75" customHeight="1" outlineLevel="1" x14ac:dyDescent="0.2">
      <c r="A388" s="59">
        <v>36</v>
      </c>
      <c r="B388" s="424" t="str">
        <f>Translations!$B$418</f>
        <v>Biriųjų organinių cheminių medžiagų gamyba</v>
      </c>
      <c r="C388" s="424" t="str">
        <f>Translations!$B$419</f>
        <v>Didelio masto organinių cheminių medžiagų gamyba</v>
      </c>
      <c r="D388" s="424" t="str">
        <f>Translations!$B$413</f>
        <v>Masės balanso metodika</v>
      </c>
      <c r="E388" s="424" t="str">
        <f>Translations!$B$352</f>
        <v>Kiekviena žaliava ir išeigos medžiaga [t]</v>
      </c>
      <c r="F388" s="424" t="str">
        <f>EUconst_MassBalance</f>
        <v>Masės balansas</v>
      </c>
      <c r="G388" s="425">
        <v>1</v>
      </c>
      <c r="H388" s="426" t="str">
        <f>Translations!$B$344</f>
        <v>± 7,5%</v>
      </c>
      <c r="I388" s="426" t="str">
        <f>Translations!$B$345</f>
        <v>± 5,0%</v>
      </c>
      <c r="J388" s="72"/>
      <c r="K388" s="72"/>
      <c r="L388" s="426" t="str">
        <f>Translations!$B$346</f>
        <v>± 2,5%</v>
      </c>
      <c r="M388" s="426" t="str">
        <f>Translations!$B$347</f>
        <v>± 1,5%</v>
      </c>
      <c r="N388" s="1095">
        <f t="shared" si="1"/>
        <v>4</v>
      </c>
      <c r="O388" s="1098" t="str">
        <f t="shared" si="5"/>
        <v>Didelio masto organinių cheminių medžiagų gamyba: Masės balanso metodika</v>
      </c>
      <c r="P388" s="1096"/>
      <c r="Q388" s="72" t="str">
        <f t="shared" si="2"/>
        <v>ActivityData_Didelio masto organinių cheminių medžiagų gamyba: Masės balanso metodika</v>
      </c>
      <c r="X388" s="59" t="b">
        <f t="shared" si="3"/>
        <v>0</v>
      </c>
    </row>
    <row r="389" spans="1:40" ht="12.75" customHeight="1" outlineLevel="1" x14ac:dyDescent="0.2">
      <c r="A389" s="59">
        <v>37</v>
      </c>
      <c r="B389" s="424" t="str">
        <f>Translations!$B$420</f>
        <v>Juodųjų ir spalvotųjų metalų, įskaitant antrinį aliuminį, gamyba ar apdirbimas</v>
      </c>
      <c r="C389" s="424" t="str">
        <f>Translations!$B$421</f>
        <v>(Ne)spalvotieji, antrinis aliuminis</v>
      </c>
      <c r="D389" s="424" t="str">
        <f>Translations!$B$422</f>
        <v>Proceso metu išsiskiriančios ŠESD</v>
      </c>
      <c r="E389" s="424" t="str">
        <f>Translations!$B$423</f>
        <v>Kiekviena žaliava ar proceso atliekos, naudotos kaip proceso žaliava [t]</v>
      </c>
      <c r="F389" s="424" t="str">
        <f>$F$358</f>
        <v>Proceso metu išsiskiriančios ŠESD</v>
      </c>
      <c r="G389" s="425">
        <v>1</v>
      </c>
      <c r="H389" s="426" t="str">
        <f>Translations!$B$345</f>
        <v>± 5,0%</v>
      </c>
      <c r="I389" s="426" t="str">
        <f>Translations!$B$346</f>
        <v>± 2,5%</v>
      </c>
      <c r="J389" s="72"/>
      <c r="K389" s="72"/>
      <c r="L389" s="426"/>
      <c r="M389" s="426"/>
      <c r="N389" s="1095">
        <f t="shared" si="1"/>
        <v>2</v>
      </c>
      <c r="O389" s="1098" t="str">
        <f t="shared" si="5"/>
        <v>(Ne)spalvotieji, antrinis aliuminis: Proceso metu išsiskiriančios ŠESD</v>
      </c>
      <c r="P389" s="1096"/>
      <c r="Q389" s="72" t="str">
        <f t="shared" si="2"/>
        <v>ActivityData_(Ne)spalvotieji, antrinis aliuminis: Proceso metu išsiskiriančios ŠESD</v>
      </c>
      <c r="X389" s="59" t="b">
        <f t="shared" si="3"/>
        <v>0</v>
      </c>
    </row>
    <row r="390" spans="1:40" ht="12.75" customHeight="1" outlineLevel="1" x14ac:dyDescent="0.2">
      <c r="A390" s="59">
        <v>38</v>
      </c>
      <c r="B390" s="424" t="str">
        <f>B389</f>
        <v>Juodųjų ir spalvotųjų metalų, įskaitant antrinį aliuminį, gamyba ar apdirbimas</v>
      </c>
      <c r="C390" s="424" t="str">
        <f>C389</f>
        <v>(Ne)spalvotieji, antrinis aliuminis</v>
      </c>
      <c r="D390" s="424" t="str">
        <f>Translations!$B$413</f>
        <v>Masės balanso metodika</v>
      </c>
      <c r="E390" s="424" t="str">
        <f>Translations!$B$352</f>
        <v>Kiekviena žaliava ir išeigos medžiaga [t]</v>
      </c>
      <c r="F390" s="424" t="str">
        <f>EUconst_MassBalance</f>
        <v>Masės balansas</v>
      </c>
      <c r="G390" s="425">
        <v>1</v>
      </c>
      <c r="H390" s="426" t="str">
        <f>Translations!$B$344</f>
        <v>± 7,5%</v>
      </c>
      <c r="I390" s="426" t="str">
        <f>Translations!$B$345</f>
        <v>± 5,0%</v>
      </c>
      <c r="J390" s="72"/>
      <c r="K390" s="72"/>
      <c r="L390" s="426" t="str">
        <f>Translations!$B$346</f>
        <v>± 2,5%</v>
      </c>
      <c r="M390" s="426" t="str">
        <f>Translations!$B$347</f>
        <v>± 1,5%</v>
      </c>
      <c r="N390" s="1095">
        <f t="shared" si="1"/>
        <v>4</v>
      </c>
      <c r="O390" s="1098" t="str">
        <f t="shared" si="5"/>
        <v>(Ne)spalvotieji, antrinis aliuminis: Masės balanso metodika</v>
      </c>
      <c r="P390" s="1096"/>
      <c r="Q390" s="72" t="str">
        <f t="shared" si="2"/>
        <v>ActivityData_(Ne)spalvotieji, antrinis aliuminis: Masės balanso metodika</v>
      </c>
      <c r="X390" s="59" t="b">
        <f t="shared" si="3"/>
        <v>0</v>
      </c>
    </row>
    <row r="391" spans="1:40" ht="12.75" customHeight="1" outlineLevel="1" x14ac:dyDescent="0.2">
      <c r="A391" s="59">
        <v>39</v>
      </c>
      <c r="B391" s="424" t="str">
        <f>Translations!$B$263</f>
        <v>Natrio karbonato ir natrio hidrokarbonato gamyba</v>
      </c>
      <c r="C391" s="424" t="str">
        <f>Translations!$B$424</f>
        <v>Natrio karbonatas / natrio hidrokarbonatas</v>
      </c>
      <c r="D391" s="424" t="str">
        <f>Translations!$B$413</f>
        <v>Masės balanso metodika</v>
      </c>
      <c r="E391" s="424" t="str">
        <f>Translations!$B$352</f>
        <v>Kiekviena žaliava ir išeigos medžiaga [t]</v>
      </c>
      <c r="F391" s="424" t="str">
        <f>EUconst_MassBalance</f>
        <v>Masės balansas</v>
      </c>
      <c r="G391" s="425">
        <v>1</v>
      </c>
      <c r="H391" s="426" t="str">
        <f>Translations!$B$344</f>
        <v>± 7,5%</v>
      </c>
      <c r="I391" s="426" t="str">
        <f>Translations!$B$345</f>
        <v>± 5,0%</v>
      </c>
      <c r="J391" s="72"/>
      <c r="K391" s="72"/>
      <c r="L391" s="426" t="str">
        <f>Translations!$B$346</f>
        <v>± 2,5%</v>
      </c>
      <c r="M391" s="426" t="str">
        <f>Translations!$B$347</f>
        <v>± 1,5%</v>
      </c>
      <c r="N391" s="1095">
        <f t="shared" si="1"/>
        <v>4</v>
      </c>
      <c r="O391" s="1098" t="str">
        <f t="shared" si="5"/>
        <v>Natrio karbonatas / natrio hidrokarbonatas: Masės balanso metodika</v>
      </c>
      <c r="P391" s="1096"/>
      <c r="Q391" s="72" t="str">
        <f t="shared" si="2"/>
        <v>ActivityData_Natrio karbonatas / natrio hidrokarbonatas: Masės balanso metodika</v>
      </c>
      <c r="U391" s="152"/>
      <c r="X391" s="59" t="b">
        <f t="shared" si="3"/>
        <v>0</v>
      </c>
    </row>
    <row r="392" spans="1:40" ht="12.75" customHeight="1" outlineLevel="1" x14ac:dyDescent="0.2">
      <c r="A392" s="59">
        <v>40</v>
      </c>
      <c r="B392" s="424" t="str">
        <f>Translations!$B$425</f>
        <v>Pirminio aliuminio gamyba</v>
      </c>
      <c r="C392" s="424" t="str">
        <f>Translations!$B$426</f>
        <v>Pirminis aliuminis</v>
      </c>
      <c r="D392" s="424" t="str">
        <f>Translations!$B$413</f>
        <v>Masės balanso metodika</v>
      </c>
      <c r="E392" s="424" t="str">
        <f>Translations!$B$352</f>
        <v>Kiekviena žaliava ir išeigos medžiaga [t]</v>
      </c>
      <c r="F392" s="424" t="str">
        <f>EUconst_MassBalance</f>
        <v>Masės balansas</v>
      </c>
      <c r="G392" s="425">
        <v>1</v>
      </c>
      <c r="H392" s="426" t="str">
        <f>Translations!$B$344</f>
        <v>± 7,5%</v>
      </c>
      <c r="I392" s="426" t="str">
        <f>Translations!$B$345</f>
        <v>± 5,0%</v>
      </c>
      <c r="J392" s="72"/>
      <c r="K392" s="72"/>
      <c r="L392" s="426" t="str">
        <f>Translations!$B$346</f>
        <v>± 2,5%</v>
      </c>
      <c r="M392" s="426" t="str">
        <f>Translations!$B$347</f>
        <v>± 1,5%</v>
      </c>
      <c r="N392" s="1095">
        <f t="shared" si="1"/>
        <v>4</v>
      </c>
      <c r="O392" s="1098" t="str">
        <f t="shared" si="5"/>
        <v>Pirminis aliuminis: Masės balanso metodika</v>
      </c>
      <c r="P392" s="1096"/>
      <c r="Q392" s="72" t="str">
        <f t="shared" si="2"/>
        <v>ActivityData_Pirminis aliuminis: Masės balanso metodika</v>
      </c>
      <c r="X392" s="59" t="b">
        <f t="shared" si="3"/>
        <v>0</v>
      </c>
    </row>
    <row r="393" spans="1:40" ht="12.75" customHeight="1" outlineLevel="1" x14ac:dyDescent="0.2">
      <c r="A393" s="59">
        <v>41</v>
      </c>
      <c r="B393" s="424" t="str">
        <f>B392</f>
        <v>Pirminio aliuminio gamyba</v>
      </c>
      <c r="C393" s="424" t="str">
        <f>C392</f>
        <v>Pirminis aliuminis</v>
      </c>
      <c r="D393" s="424" t="str">
        <f>Translations!$B$427</f>
        <v>Išmetamas PFC kiekis (nuolydžio metodas)</v>
      </c>
      <c r="E393" s="424" t="str">
        <f>Translations!$B$428</f>
        <v>Pirminio aliuminio gamyba [t], anodinio efekto trukmė [anodinių efektų skaičius / vonios diena] ir [anodinių efektų trukmė / atvejis]</v>
      </c>
      <c r="F393" s="424" t="str">
        <f>EUconst_ProcessPFC</f>
        <v>Išmetamas PFC kiekis</v>
      </c>
      <c r="G393" s="425">
        <v>1</v>
      </c>
      <c r="H393" s="426" t="str">
        <f>Translations!$B$346</f>
        <v>± 2,5%</v>
      </c>
      <c r="I393" s="426" t="str">
        <f>Translations!$B$347</f>
        <v>± 1,5%</v>
      </c>
      <c r="J393" s="72"/>
      <c r="K393" s="72"/>
      <c r="L393" s="428"/>
      <c r="M393" s="428"/>
      <c r="N393" s="1095">
        <f t="shared" si="1"/>
        <v>2</v>
      </c>
      <c r="O393" s="1098" t="str">
        <f t="shared" si="5"/>
        <v>Pirminis aliuminis: Išmetamas PFC kiekis (nuolydžio metodas)</v>
      </c>
      <c r="P393" s="1096"/>
      <c r="Q393" s="72" t="str">
        <f t="shared" si="2"/>
        <v>ActivityData_Pirminis aliuminis: Išmetamas PFC kiekis (nuolydžio metodas)</v>
      </c>
      <c r="X393" s="59" t="b">
        <f t="shared" si="3"/>
        <v>0</v>
      </c>
    </row>
    <row r="394" spans="1:40" ht="12.75" customHeight="1" outlineLevel="1" thickBot="1" x14ac:dyDescent="0.25">
      <c r="A394" s="59">
        <v>42</v>
      </c>
      <c r="B394" s="424" t="str">
        <f>B393</f>
        <v>Pirminio aliuminio gamyba</v>
      </c>
      <c r="C394" s="424" t="str">
        <f>C393</f>
        <v>Pirminis aliuminis</v>
      </c>
      <c r="D394" s="424" t="str">
        <f>Translations!$B$429</f>
        <v>Išmetamas PFC kiekis (viršįtampio metodas)</v>
      </c>
      <c r="E394" s="424" t="str">
        <f>Translations!$B$430</f>
        <v>pirminio aliuminio gamyba [t], anodinio efekto viršįtampis [mV] ir srovės išnaudojimo koeficientas [-]</v>
      </c>
      <c r="F394" s="424" t="str">
        <f>EUconst_ProcessPFC</f>
        <v>Išmetamas PFC kiekis</v>
      </c>
      <c r="G394" s="425">
        <v>1</v>
      </c>
      <c r="H394" s="426" t="str">
        <f>Translations!$B$346</f>
        <v>± 2,5%</v>
      </c>
      <c r="I394" s="426" t="str">
        <f>Translations!$B$347</f>
        <v>± 1,5%</v>
      </c>
      <c r="J394" s="72"/>
      <c r="K394" s="72"/>
      <c r="L394" s="428"/>
      <c r="M394" s="428"/>
      <c r="N394" s="1095">
        <f t="shared" si="1"/>
        <v>2</v>
      </c>
      <c r="O394" s="1099" t="str">
        <f t="shared" si="5"/>
        <v>Pirminis aliuminis: Išmetamas PFC kiekis (viršįtampio metodas)</v>
      </c>
      <c r="P394" s="1096"/>
      <c r="Q394" s="72" t="str">
        <f t="shared" si="2"/>
        <v>ActivityData_Pirminis aliuminis: Išmetamas PFC kiekis (viršįtampio metodas)</v>
      </c>
      <c r="X394" s="59" t="b">
        <f t="shared" si="3"/>
        <v>0</v>
      </c>
    </row>
    <row r="395" spans="1:40" ht="12.75" customHeight="1" outlineLevel="1" x14ac:dyDescent="0.2">
      <c r="B395" s="14"/>
      <c r="C395" s="14"/>
      <c r="D395" s="14"/>
      <c r="E395" s="14"/>
      <c r="F395" s="14"/>
      <c r="G395" s="70"/>
      <c r="H395" s="91"/>
      <c r="I395" s="91"/>
      <c r="J395" s="55"/>
      <c r="K395" s="55"/>
      <c r="L395" s="93"/>
      <c r="M395" s="93"/>
      <c r="N395" s="70"/>
      <c r="O395" s="92"/>
      <c r="P395" s="55"/>
      <c r="Q395" s="55"/>
      <c r="X395" s="59" t="b">
        <f t="shared" si="3"/>
        <v>0</v>
      </c>
    </row>
    <row r="396" spans="1:40" ht="12.75" customHeight="1" outlineLevel="1" x14ac:dyDescent="0.2">
      <c r="B396" s="55" t="s">
        <v>93</v>
      </c>
      <c r="C396" s="55"/>
      <c r="D396" s="55"/>
      <c r="E396" s="55"/>
      <c r="F396" s="55"/>
      <c r="G396" s="55"/>
      <c r="H396" s="94"/>
      <c r="I396" s="94"/>
      <c r="J396" s="55"/>
      <c r="K396" s="55"/>
      <c r="L396" s="95"/>
      <c r="M396" s="63"/>
      <c r="N396" s="70"/>
      <c r="O396" s="55"/>
      <c r="P396" s="55"/>
      <c r="Q396" s="55"/>
      <c r="X396" s="59" t="b">
        <f t="shared" si="3"/>
        <v>0</v>
      </c>
    </row>
    <row r="397" spans="1:40" ht="12.75" customHeight="1" outlineLevel="1" x14ac:dyDescent="0.2">
      <c r="B397" s="55" t="s">
        <v>94</v>
      </c>
      <c r="C397" s="55"/>
      <c r="D397" s="55"/>
      <c r="E397" s="55"/>
      <c r="F397" s="55"/>
      <c r="G397" s="55"/>
      <c r="H397" s="95"/>
      <c r="I397" s="95"/>
      <c r="J397" s="55"/>
      <c r="K397" s="55"/>
      <c r="L397" s="95"/>
      <c r="M397" s="63"/>
      <c r="N397" s="70"/>
      <c r="O397" s="55"/>
      <c r="P397" s="55"/>
      <c r="Q397" s="55"/>
      <c r="X397" s="59" t="b">
        <f t="shared" si="3"/>
        <v>0</v>
      </c>
    </row>
    <row r="398" spans="1:40" ht="12.75" customHeight="1" outlineLevel="1" x14ac:dyDescent="0.2">
      <c r="B398" s="55" t="str">
        <f>Translations!$B$431</f>
        <v>masių balansas</v>
      </c>
      <c r="C398" s="55"/>
      <c r="D398" s="55"/>
      <c r="E398" s="55"/>
      <c r="F398" s="55"/>
      <c r="G398" s="55"/>
      <c r="H398" s="95"/>
      <c r="I398" s="95"/>
      <c r="J398" s="55"/>
      <c r="K398" s="55"/>
      <c r="L398" s="95"/>
      <c r="M398" s="63"/>
      <c r="N398" s="70"/>
      <c r="O398" s="55"/>
      <c r="P398" s="55"/>
      <c r="Q398" s="55"/>
      <c r="X398" s="59" t="b">
        <f t="shared" si="3"/>
        <v>0</v>
      </c>
    </row>
    <row r="399" spans="1:40" ht="12.75" customHeight="1" outlineLevel="1" x14ac:dyDescent="0.2">
      <c r="B399" s="55"/>
      <c r="C399" s="55"/>
      <c r="D399" s="55"/>
      <c r="E399" s="55"/>
      <c r="F399" s="55"/>
      <c r="G399" s="55"/>
      <c r="H399" s="63"/>
      <c r="I399" s="63"/>
      <c r="J399" s="55"/>
      <c r="K399" s="55"/>
      <c r="L399" s="63"/>
      <c r="M399" s="63"/>
      <c r="N399" s="70"/>
      <c r="O399" s="55"/>
      <c r="P399" s="55"/>
      <c r="Q399" s="55"/>
      <c r="X399" s="59" t="b">
        <f t="shared" si="3"/>
        <v>0</v>
      </c>
    </row>
    <row r="400" spans="1:40" s="86" customFormat="1" ht="13.5" thickBot="1" x14ac:dyDescent="0.25">
      <c r="B400" s="96" t="str">
        <f>Translations!$B$432</f>
        <v>Išmetamųjų teršalų faktorius</v>
      </c>
      <c r="C400" s="96"/>
      <c r="F400" s="96" t="str">
        <f t="shared" ref="F400:F442" si="9">F352</f>
        <v>Šaltinio tipas</v>
      </c>
      <c r="G400" s="89" t="str">
        <f>Translations!$B$338</f>
        <v>Mažiausiai</v>
      </c>
      <c r="H400" s="89">
        <v>1</v>
      </c>
      <c r="I400" s="89">
        <v>2</v>
      </c>
      <c r="J400" s="89" t="s">
        <v>262</v>
      </c>
      <c r="K400" s="89" t="str">
        <f>Translations!$B$306</f>
        <v>2b</v>
      </c>
      <c r="L400" s="89">
        <v>3</v>
      </c>
      <c r="M400" s="90"/>
      <c r="N400" s="89" t="str">
        <f>Translations!$B$339</f>
        <v>Didžiausia</v>
      </c>
      <c r="X400" s="80"/>
      <c r="AI400" s="96" t="str">
        <f>Translations!$B$433</f>
        <v>numatytoji vertė?</v>
      </c>
      <c r="AJ400" s="89">
        <v>1</v>
      </c>
      <c r="AK400" s="89">
        <v>2</v>
      </c>
      <c r="AL400" s="89" t="s">
        <v>262</v>
      </c>
      <c r="AM400" s="89" t="str">
        <f>Translations!$B$306</f>
        <v>2b</v>
      </c>
      <c r="AN400" s="89">
        <v>3</v>
      </c>
    </row>
    <row r="401" spans="1:40" ht="12.75" customHeight="1" outlineLevel="1" x14ac:dyDescent="0.2">
      <c r="A401" s="59">
        <f>A353</f>
        <v>1</v>
      </c>
      <c r="B401" s="445" t="str">
        <f t="shared" ref="B401:D420" si="10">B353</f>
        <v>Kuro deginimas ir kaip proceso žaliava naudojamas kuras</v>
      </c>
      <c r="C401" s="432" t="str">
        <f>C353</f>
        <v>Degimas</v>
      </c>
      <c r="D401" s="432" t="str">
        <f t="shared" si="10"/>
        <v>Komercinis standartinių rūšių kuras</v>
      </c>
      <c r="E401" s="432"/>
      <c r="F401" s="446" t="str">
        <f t="shared" si="9"/>
        <v>Degimas</v>
      </c>
      <c r="G401" s="430" t="s">
        <v>75</v>
      </c>
      <c r="H401" s="447" t="str">
        <f>Translations!$B$653</f>
        <v>I tipas</v>
      </c>
      <c r="I401" s="447"/>
      <c r="J401" s="447" t="str">
        <f>Translations!$B$654</f>
        <v>II tipas</v>
      </c>
      <c r="K401" s="447" t="str">
        <f>Translations!$B$911</f>
        <v>Pakaitinės vertės</v>
      </c>
      <c r="L401" s="447" t="str">
        <f>Translations!$B$912</f>
        <v>Laboratoriniai tyrimai</v>
      </c>
      <c r="M401" s="448"/>
      <c r="N401" s="430" t="str">
        <f>G401</f>
        <v>2a/2b</v>
      </c>
      <c r="O401" s="433" t="str">
        <f t="shared" ref="O401:O442" si="11">C401 &amp; ": " &amp;D401</f>
        <v>Degimas: Komercinis standartinių rūšių kuras</v>
      </c>
      <c r="P401" s="432"/>
      <c r="Q401" s="434"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
      <c r="A402" s="59">
        <f t="shared" ref="A402:A442" si="13">A354</f>
        <v>2</v>
      </c>
      <c r="B402" s="449" t="str">
        <f t="shared" si="10"/>
        <v>Kuro deginimas ir kaip proceso žaliava naudojamas kuras</v>
      </c>
      <c r="C402" s="72" t="str">
        <f t="shared" si="10"/>
        <v>Degimas</v>
      </c>
      <c r="D402" s="72" t="str">
        <f t="shared" si="10"/>
        <v>Kitas dujinis ir skystasis kuras</v>
      </c>
      <c r="E402" s="72"/>
      <c r="F402" s="441" t="str">
        <f t="shared" si="9"/>
        <v>Degimas</v>
      </c>
      <c r="G402" s="425" t="s">
        <v>75</v>
      </c>
      <c r="H402" s="442" t="str">
        <f t="shared" ref="H402:K403" si="14">H$401</f>
        <v>I tipas</v>
      </c>
      <c r="I402" s="442"/>
      <c r="J402" s="442" t="str">
        <f t="shared" si="14"/>
        <v>II tipas</v>
      </c>
      <c r="K402" s="442" t="str">
        <f t="shared" si="14"/>
        <v>Pakaitinės vertės</v>
      </c>
      <c r="L402" s="442" t="str">
        <f>L$401</f>
        <v>Laboratoriniai tyrimai</v>
      </c>
      <c r="M402" s="443"/>
      <c r="N402" s="425">
        <f t="shared" ref="N402:N442" si="15">IF(G402=EUconst_NA,EUconst_NA,IF(ISBLANK(J402),COUNTA(H402:M402),COUNTA(H402,J402,L402)))</f>
        <v>3</v>
      </c>
      <c r="O402" s="427" t="str">
        <f t="shared" si="11"/>
        <v>Degimas: Kitas dujinis ir skystasis kuras</v>
      </c>
      <c r="P402" s="72"/>
      <c r="Q402" s="435"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
      <c r="A403" s="59">
        <f t="shared" si="13"/>
        <v>3</v>
      </c>
      <c r="B403" s="449" t="str">
        <f t="shared" si="10"/>
        <v>Kuro deginimas ir kaip proceso žaliava naudojamas kuras</v>
      </c>
      <c r="C403" s="72" t="str">
        <f t="shared" si="10"/>
        <v>Degimas</v>
      </c>
      <c r="D403" s="72" t="str">
        <f t="shared" si="10"/>
        <v>Kietasis kuras</v>
      </c>
      <c r="E403" s="72"/>
      <c r="F403" s="441" t="str">
        <f t="shared" si="9"/>
        <v>Degimas</v>
      </c>
      <c r="G403" s="425" t="s">
        <v>75</v>
      </c>
      <c r="H403" s="442" t="str">
        <f>H$401</f>
        <v>I tipas</v>
      </c>
      <c r="I403" s="442"/>
      <c r="J403" s="442" t="str">
        <f t="shared" si="14"/>
        <v>II tipas</v>
      </c>
      <c r="K403" s="442" t="str">
        <f t="shared" si="14"/>
        <v>Pakaitinės vertės</v>
      </c>
      <c r="L403" s="442" t="str">
        <f>L$401</f>
        <v>Laboratoriniai tyrimai</v>
      </c>
      <c r="M403" s="443"/>
      <c r="N403" s="425">
        <f t="shared" si="15"/>
        <v>3</v>
      </c>
      <c r="O403" s="427" t="str">
        <f t="shared" si="11"/>
        <v>Degimas: Kietasis kuras</v>
      </c>
      <c r="P403" s="72"/>
      <c r="Q403" s="435"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
      <c r="A404" s="59">
        <f t="shared" si="13"/>
        <v>4</v>
      </c>
      <c r="B404" s="449" t="str">
        <f t="shared" si="10"/>
        <v>Kuro deginimas ir kaip proceso žaliava naudojamas kuras</v>
      </c>
      <c r="C404" s="72" t="str">
        <f t="shared" si="10"/>
        <v>Degimas</v>
      </c>
      <c r="D404" s="72" t="str">
        <f t="shared" si="10"/>
        <v>Dujų perdirbimo terminalai</v>
      </c>
      <c r="E404" s="72"/>
      <c r="F404" s="441" t="str">
        <f t="shared" si="9"/>
        <v>Masės balansas</v>
      </c>
      <c r="G404" s="425" t="str">
        <f>EUconst_NA</f>
        <v>netaik.</v>
      </c>
      <c r="H404" s="442"/>
      <c r="I404" s="442"/>
      <c r="J404" s="444"/>
      <c r="K404" s="444"/>
      <c r="L404" s="442"/>
      <c r="M404" s="443"/>
      <c r="N404" s="425" t="str">
        <f t="shared" si="15"/>
        <v>netaik.</v>
      </c>
      <c r="O404" s="427" t="str">
        <f t="shared" si="11"/>
        <v>Degimas: Dujų perdirbimo terminalai</v>
      </c>
      <c r="P404" s="72"/>
      <c r="Q404" s="435" t="str">
        <f t="shared" si="12"/>
        <v>EF_Degimas: Dujų perdirbimo terminalai</v>
      </c>
      <c r="U404" s="65"/>
      <c r="X404" s="59" t="b">
        <f t="shared" si="3"/>
        <v>1</v>
      </c>
      <c r="Z404" s="70" t="str">
        <f>EUconst_NA</f>
        <v>netaik.</v>
      </c>
      <c r="AA404" s="95"/>
      <c r="AB404" s="95"/>
      <c r="AC404" s="55"/>
      <c r="AD404" s="55"/>
      <c r="AE404" s="95"/>
      <c r="AF404" s="63"/>
      <c r="AG404" s="70" t="str">
        <f t="shared" si="17"/>
        <v>netaik.</v>
      </c>
    </row>
    <row r="405" spans="1:40" ht="12.75" customHeight="1" outlineLevel="1" x14ac:dyDescent="0.2">
      <c r="A405" s="59">
        <f t="shared" si="13"/>
        <v>5</v>
      </c>
      <c r="B405" s="449" t="str">
        <f t="shared" si="10"/>
        <v>Kuro deginimas ir kaip proceso žaliava naudojamas kuras</v>
      </c>
      <c r="C405" s="72" t="str">
        <f t="shared" si="10"/>
        <v>Degimas</v>
      </c>
      <c r="D405" s="72" t="str">
        <f t="shared" si="10"/>
        <v>Fakelai</v>
      </c>
      <c r="E405" s="72"/>
      <c r="F405" s="441" t="str">
        <f t="shared" si="9"/>
        <v>Degimas</v>
      </c>
      <c r="G405" s="425">
        <v>1</v>
      </c>
      <c r="H405" s="442" t="str">
        <f>Translations!$B$438</f>
        <v>0,00393 t CO2/Nm3</v>
      </c>
      <c r="I405" s="442"/>
      <c r="J405" s="442" t="str">
        <f>J$401</f>
        <v>II tipas</v>
      </c>
      <c r="K405" s="442" t="str">
        <f>Translations!$B$913</f>
        <v>Specialieji koeficientai</v>
      </c>
      <c r="L405" s="442" t="str">
        <f>L$401</f>
        <v>Laboratoriniai tyrimai</v>
      </c>
      <c r="M405" s="443"/>
      <c r="N405" s="425">
        <f t="shared" si="15"/>
        <v>3</v>
      </c>
      <c r="O405" s="427" t="str">
        <f t="shared" si="11"/>
        <v>Degimas: Fakelai</v>
      </c>
      <c r="P405" s="72"/>
      <c r="Q405" s="435"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
      <c r="A406" s="59">
        <f t="shared" si="13"/>
        <v>6</v>
      </c>
      <c r="B406" s="449" t="str">
        <f t="shared" si="10"/>
        <v>Kuro deginimas ir kaip proceso žaliava naudojamas kuras</v>
      </c>
      <c r="C406" s="72" t="str">
        <f t="shared" si="10"/>
        <v>Degimas</v>
      </c>
      <c r="D406" s="72" t="str">
        <f t="shared" si="10"/>
        <v>Dujų plovimas (karbonatai)</v>
      </c>
      <c r="E406" s="72"/>
      <c r="F406" s="441" t="str">
        <f t="shared" si="9"/>
        <v>Proceso metu išsiskiriančios ŠESD</v>
      </c>
      <c r="G406" s="425">
        <v>1</v>
      </c>
      <c r="H406" s="442" t="str">
        <f>Translations!$B$914</f>
        <v>I tipas ir geriausioji patirtis</v>
      </c>
      <c r="I406" s="442"/>
      <c r="J406" s="444"/>
      <c r="K406" s="444"/>
      <c r="L406" s="442"/>
      <c r="M406" s="443"/>
      <c r="N406" s="425">
        <f t="shared" si="15"/>
        <v>1</v>
      </c>
      <c r="O406" s="427" t="str">
        <f t="shared" si="11"/>
        <v>Degimas: Dujų plovimas (karbonatai)</v>
      </c>
      <c r="P406" s="72"/>
      <c r="Q406" s="435"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5"/>
      <c r="AD406" s="55"/>
      <c r="AE406" s="95"/>
      <c r="AF406" s="63"/>
      <c r="AG406" s="70">
        <f t="shared" si="17"/>
        <v>1</v>
      </c>
      <c r="AJ406" s="59" t="str">
        <f>Translations!$B$914</f>
        <v>I tipas ir geriausioji patirtis</v>
      </c>
    </row>
    <row r="407" spans="1:40" ht="12.75" customHeight="1" outlineLevel="1" x14ac:dyDescent="0.2">
      <c r="A407" s="59">
        <f t="shared" si="13"/>
        <v>7</v>
      </c>
      <c r="B407" s="449" t="str">
        <f t="shared" si="10"/>
        <v>Kuro deginimas ir kaip proceso žaliava naudojamas kuras</v>
      </c>
      <c r="C407" s="72" t="str">
        <f t="shared" si="10"/>
        <v>Degimas</v>
      </c>
      <c r="D407" s="72" t="str">
        <f t="shared" si="10"/>
        <v>Dujų plovimas (gipsas)</v>
      </c>
      <c r="E407" s="72"/>
      <c r="F407" s="441" t="str">
        <f t="shared" si="9"/>
        <v>Proceso metu išsiskiriančios ŠESD</v>
      </c>
      <c r="G407" s="425">
        <v>1</v>
      </c>
      <c r="H407" s="442" t="str">
        <f>Translations!$B$915</f>
        <v>0,2558 t CO2/t</v>
      </c>
      <c r="I407" s="442"/>
      <c r="J407" s="444"/>
      <c r="K407" s="444"/>
      <c r="L407" s="442"/>
      <c r="M407" s="443"/>
      <c r="N407" s="425">
        <f t="shared" si="15"/>
        <v>1</v>
      </c>
      <c r="O407" s="427" t="str">
        <f t="shared" si="11"/>
        <v>Degimas: Dujų plovimas (gipsas)</v>
      </c>
      <c r="P407" s="72"/>
      <c r="Q407" s="435"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5"/>
      <c r="AD407" s="55"/>
      <c r="AE407" s="95"/>
      <c r="AF407" s="63"/>
      <c r="AG407" s="70">
        <f t="shared" si="17"/>
        <v>1</v>
      </c>
      <c r="AJ407" s="59">
        <v>1</v>
      </c>
    </row>
    <row r="408" spans="1:40" ht="12.75" customHeight="1" outlineLevel="1" x14ac:dyDescent="0.2">
      <c r="A408" s="59">
        <f t="shared" si="13"/>
        <v>8</v>
      </c>
      <c r="B408" s="449" t="str">
        <f t="shared" si="10"/>
        <v xml:space="preserve">Naftos perdirbimas </v>
      </c>
      <c r="C408" s="72" t="str">
        <f t="shared" si="10"/>
        <v>Naftos perdirbimo įrenginiai</v>
      </c>
      <c r="D408" s="72" t="str">
        <f t="shared" si="10"/>
        <v>Masės balansas</v>
      </c>
      <c r="E408" s="72"/>
      <c r="F408" s="441" t="str">
        <f t="shared" si="9"/>
        <v>Masės balansas</v>
      </c>
      <c r="G408" s="425" t="str">
        <f>EUconst_NA</f>
        <v>netaik.</v>
      </c>
      <c r="H408" s="442"/>
      <c r="I408" s="442"/>
      <c r="J408" s="444"/>
      <c r="K408" s="444"/>
      <c r="L408" s="442"/>
      <c r="M408" s="443"/>
      <c r="N408" s="425" t="str">
        <f t="shared" si="15"/>
        <v>netaik.</v>
      </c>
      <c r="O408" s="427" t="str">
        <f t="shared" si="11"/>
        <v>Naftos perdirbimo įrenginiai: Masės balansas</v>
      </c>
      <c r="P408" s="72"/>
      <c r="Q408" s="435" t="str">
        <f t="shared" si="12"/>
        <v>EF_Naftos perdirbimo įrenginiai: Masės balansas</v>
      </c>
      <c r="U408" s="65"/>
      <c r="X408" s="59" t="b">
        <f t="shared" si="3"/>
        <v>1</v>
      </c>
      <c r="Z408" s="70" t="str">
        <f>EUconst_NA</f>
        <v>netaik.</v>
      </c>
      <c r="AA408" s="95"/>
      <c r="AB408" s="95"/>
      <c r="AC408" s="55"/>
      <c r="AD408" s="55"/>
      <c r="AE408" s="95"/>
      <c r="AF408" s="63"/>
      <c r="AG408" s="70" t="str">
        <f t="shared" si="17"/>
        <v>netaik.</v>
      </c>
    </row>
    <row r="409" spans="1:40" ht="12.75" customHeight="1" outlineLevel="1" x14ac:dyDescent="0.2">
      <c r="A409" s="59">
        <f t="shared" si="13"/>
        <v>9</v>
      </c>
      <c r="B409" s="449" t="str">
        <f t="shared" si="10"/>
        <v xml:space="preserve">Naftos perdirbimas </v>
      </c>
      <c r="C409" s="72" t="str">
        <f t="shared" si="10"/>
        <v>Naftos perdirbimo įrenginiai</v>
      </c>
      <c r="D409" s="72" t="str">
        <f t="shared" si="10"/>
        <v>Regeneravimas katalizinio krekingo įrenginiu</v>
      </c>
      <c r="E409" s="72"/>
      <c r="F409" s="441" t="str">
        <f t="shared" si="9"/>
        <v>Masės balansas</v>
      </c>
      <c r="G409" s="425" t="str">
        <f>EUconst_NA</f>
        <v>netaik.</v>
      </c>
      <c r="H409" s="442"/>
      <c r="I409" s="442"/>
      <c r="J409" s="444"/>
      <c r="K409" s="444"/>
      <c r="L409" s="442"/>
      <c r="M409" s="443"/>
      <c r="N409" s="425" t="str">
        <f t="shared" si="15"/>
        <v>netaik.</v>
      </c>
      <c r="O409" s="427" t="str">
        <f t="shared" si="11"/>
        <v>Naftos perdirbimo įrenginiai: Regeneravimas katalizinio krekingo įrenginiu</v>
      </c>
      <c r="P409" s="72"/>
      <c r="Q409" s="435" t="str">
        <f t="shared" si="12"/>
        <v>EF_Naftos perdirbimo įrenginiai: Regeneravimas katalizinio krekingo įrenginiu</v>
      </c>
      <c r="U409" s="65"/>
      <c r="X409" s="59" t="b">
        <f t="shared" si="3"/>
        <v>1</v>
      </c>
      <c r="Z409" s="70" t="str">
        <f>EUconst_NA</f>
        <v>netaik.</v>
      </c>
      <c r="AA409" s="95"/>
      <c r="AB409" s="95"/>
      <c r="AC409" s="55"/>
      <c r="AD409" s="55"/>
      <c r="AE409" s="95"/>
      <c r="AF409" s="63"/>
      <c r="AG409" s="70" t="str">
        <f t="shared" si="17"/>
        <v>netaik.</v>
      </c>
    </row>
    <row r="410" spans="1:40" ht="12.75" customHeight="1" outlineLevel="1" x14ac:dyDescent="0.2">
      <c r="A410" s="59">
        <f t="shared" si="13"/>
        <v>10</v>
      </c>
      <c r="B410" s="449" t="str">
        <f t="shared" si="10"/>
        <v xml:space="preserve">Naftos perdirbimas </v>
      </c>
      <c r="C410" s="72" t="str">
        <f t="shared" si="10"/>
        <v>Naftos perdirbimo įrenginiai</v>
      </c>
      <c r="D410" s="72" t="str">
        <f t="shared" si="10"/>
        <v>Vandenilio gamyba</v>
      </c>
      <c r="E410" s="72"/>
      <c r="F410" s="441" t="str">
        <f t="shared" si="9"/>
        <v>Proceso metu išsiskiriančios ŠESD</v>
      </c>
      <c r="G410" s="425">
        <v>1</v>
      </c>
      <c r="H410" s="442" t="str">
        <f>Translations!$B$916</f>
        <v>2,9 t CO2/t</v>
      </c>
      <c r="I410" s="442" t="str">
        <f>Translations!$B$912</f>
        <v>Laboratoriniai tyrimai</v>
      </c>
      <c r="J410" s="444"/>
      <c r="K410" s="444"/>
      <c r="L410" s="442"/>
      <c r="M410" s="443"/>
      <c r="N410" s="425">
        <f t="shared" si="15"/>
        <v>2</v>
      </c>
      <c r="O410" s="427" t="str">
        <f t="shared" si="11"/>
        <v>Naftos perdirbimo įrenginiai: Vandenilio gamyba</v>
      </c>
      <c r="P410" s="72"/>
      <c r="Q410" s="435"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5"/>
      <c r="AD410" s="55"/>
      <c r="AE410" s="95"/>
      <c r="AF410" s="63"/>
      <c r="AG410" s="70">
        <f t="shared" si="17"/>
        <v>2</v>
      </c>
      <c r="AJ410" s="59">
        <v>1</v>
      </c>
      <c r="AK410" s="59">
        <v>2</v>
      </c>
    </row>
    <row r="411" spans="1:40" ht="12.75" customHeight="1" outlineLevel="1" x14ac:dyDescent="0.2">
      <c r="A411" s="59">
        <f t="shared" si="13"/>
        <v>11</v>
      </c>
      <c r="B411" s="449" t="str">
        <f t="shared" si="10"/>
        <v>Kokso gamyba</v>
      </c>
      <c r="C411" s="72" t="str">
        <f t="shared" si="10"/>
        <v>Koksas</v>
      </c>
      <c r="D411" s="72" t="str">
        <f t="shared" si="10"/>
        <v>Kuras kaip proceso žaliava</v>
      </c>
      <c r="E411" s="72"/>
      <c r="F411" s="441" t="str">
        <f t="shared" si="9"/>
        <v>Degimas</v>
      </c>
      <c r="G411" s="425" t="s">
        <v>75</v>
      </c>
      <c r="H411" s="442" t="str">
        <f>H$401</f>
        <v>I tipas</v>
      </c>
      <c r="I411" s="442"/>
      <c r="J411" s="442" t="str">
        <f>J$401</f>
        <v>II tipas</v>
      </c>
      <c r="K411" s="442" t="str">
        <f>K$401</f>
        <v>Pakaitinės vertės</v>
      </c>
      <c r="L411" s="442" t="str">
        <f>L$401</f>
        <v>Laboratoriniai tyrimai</v>
      </c>
      <c r="M411" s="443"/>
      <c r="N411" s="425">
        <f t="shared" si="15"/>
        <v>3</v>
      </c>
      <c r="O411" s="427" t="str">
        <f t="shared" si="11"/>
        <v>Koksas: Kuras kaip proceso žaliava</v>
      </c>
      <c r="P411" s="72"/>
      <c r="Q411" s="435"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
      <c r="A412" s="59">
        <f t="shared" si="13"/>
        <v>12</v>
      </c>
      <c r="B412" s="449" t="str">
        <f t="shared" si="10"/>
        <v>Kokso gamyba</v>
      </c>
      <c r="C412" s="72" t="str">
        <f t="shared" si="10"/>
        <v>Koksas</v>
      </c>
      <c r="D412" s="72" t="str">
        <f t="shared" si="10"/>
        <v>Karbonatų sąnaudos (A metodas)</v>
      </c>
      <c r="E412" s="72"/>
      <c r="F412" s="441" t="str">
        <f t="shared" si="9"/>
        <v>Proceso metu išsiskiriančios ŠESD</v>
      </c>
      <c r="G412" s="425">
        <v>1</v>
      </c>
      <c r="H412" s="442" t="str">
        <f>H$444</f>
        <v>Laboratoriniai ir stechiometriniai</v>
      </c>
      <c r="I412" s="442"/>
      <c r="J412" s="444"/>
      <c r="K412" s="444"/>
      <c r="L412" s="442"/>
      <c r="M412" s="443"/>
      <c r="N412" s="425">
        <f t="shared" si="15"/>
        <v>1</v>
      </c>
      <c r="O412" s="427" t="str">
        <f t="shared" si="11"/>
        <v>Koksas: Karbonatų sąnaudos (A metodas)</v>
      </c>
      <c r="P412" s="72"/>
      <c r="Q412" s="435"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5"/>
      <c r="AD412" s="55"/>
      <c r="AE412" s="95"/>
      <c r="AF412" s="63"/>
      <c r="AG412" s="70">
        <f t="shared" si="17"/>
        <v>1</v>
      </c>
      <c r="AJ412" s="59">
        <f>AJ$444</f>
        <v>2</v>
      </c>
    </row>
    <row r="413" spans="1:40" ht="12.75" customHeight="1" outlineLevel="1" x14ac:dyDescent="0.2">
      <c r="A413" s="59">
        <f t="shared" si="13"/>
        <v>13</v>
      </c>
      <c r="B413" s="449" t="str">
        <f t="shared" si="10"/>
        <v>Kokso gamyba</v>
      </c>
      <c r="C413" s="72" t="str">
        <f t="shared" si="10"/>
        <v>Koksas</v>
      </c>
      <c r="D413" s="72" t="str">
        <f t="shared" si="10"/>
        <v>Oksido išeiga (B metodas)</v>
      </c>
      <c r="E413" s="72"/>
      <c r="F413" s="441" t="str">
        <f t="shared" si="9"/>
        <v>Proceso metu išsiskiriančios ŠESD</v>
      </c>
      <c r="G413" s="425">
        <v>1</v>
      </c>
      <c r="H413" s="442" t="str">
        <f>H445</f>
        <v>I tipas</v>
      </c>
      <c r="I413" s="442" t="str">
        <f>I445</f>
        <v>II tipas</v>
      </c>
      <c r="J413" s="444"/>
      <c r="K413" s="444"/>
      <c r="L413" s="442" t="str">
        <f>L$401</f>
        <v>Laboratoriniai tyrimai</v>
      </c>
      <c r="M413" s="443"/>
      <c r="N413" s="425">
        <f t="shared" si="15"/>
        <v>3</v>
      </c>
      <c r="O413" s="427" t="str">
        <f t="shared" si="11"/>
        <v>Koksas: Oksido išeiga (B metodas)</v>
      </c>
      <c r="P413" s="72"/>
      <c r="Q413" s="435"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5"/>
      <c r="AD413" s="55"/>
      <c r="AE413" s="95"/>
      <c r="AF413" s="63"/>
      <c r="AG413" s="70">
        <f t="shared" si="17"/>
        <v>2</v>
      </c>
      <c r="AJ413" s="59">
        <f>AJ445</f>
        <v>1</v>
      </c>
      <c r="AK413" s="59">
        <f>AK445</f>
        <v>2</v>
      </c>
      <c r="AN413" s="59">
        <v>2</v>
      </c>
    </row>
    <row r="414" spans="1:40" ht="12.75" customHeight="1" outlineLevel="1" x14ac:dyDescent="0.2">
      <c r="A414" s="59">
        <f t="shared" si="13"/>
        <v>14</v>
      </c>
      <c r="B414" s="449" t="str">
        <f t="shared" si="10"/>
        <v>Kokso gamyba</v>
      </c>
      <c r="C414" s="72" t="str">
        <f t="shared" si="10"/>
        <v>Koksas</v>
      </c>
      <c r="D414" s="72" t="str">
        <f t="shared" si="10"/>
        <v>Masės balansas</v>
      </c>
      <c r="E414" s="72"/>
      <c r="F414" s="441" t="str">
        <f t="shared" si="9"/>
        <v>Masės balansas</v>
      </c>
      <c r="G414" s="425" t="str">
        <f>EUconst_NA</f>
        <v>netaik.</v>
      </c>
      <c r="H414" s="442"/>
      <c r="I414" s="442"/>
      <c r="J414" s="444"/>
      <c r="K414" s="444"/>
      <c r="L414" s="442"/>
      <c r="M414" s="443"/>
      <c r="N414" s="425" t="str">
        <f t="shared" si="15"/>
        <v>netaik.</v>
      </c>
      <c r="O414" s="427" t="str">
        <f t="shared" si="11"/>
        <v>Koksas: Masės balansas</v>
      </c>
      <c r="P414" s="72"/>
      <c r="Q414" s="435" t="str">
        <f t="shared" si="12"/>
        <v>EF_Koksas: Masės balansas</v>
      </c>
      <c r="U414" s="65"/>
      <c r="X414" s="59" t="b">
        <f t="shared" si="3"/>
        <v>1</v>
      </c>
      <c r="Z414" s="70" t="str">
        <f>EUconst_NA</f>
        <v>netaik.</v>
      </c>
      <c r="AA414" s="95"/>
      <c r="AB414" s="95"/>
      <c r="AC414" s="55"/>
      <c r="AD414" s="55"/>
      <c r="AE414" s="95"/>
      <c r="AF414" s="63"/>
      <c r="AG414" s="70" t="str">
        <f t="shared" si="17"/>
        <v>netaik.</v>
      </c>
    </row>
    <row r="415" spans="1:40" ht="12.75" customHeight="1" outlineLevel="1" x14ac:dyDescent="0.2">
      <c r="A415" s="59">
        <f t="shared" si="13"/>
        <v>15</v>
      </c>
      <c r="B415" s="449" t="str">
        <f t="shared" si="10"/>
        <v>Metalo rūdų deginimas ir kepinimas</v>
      </c>
      <c r="C415" s="72" t="str">
        <f t="shared" si="10"/>
        <v>Metalų rūda</v>
      </c>
      <c r="D415" s="72" t="str">
        <f t="shared" si="10"/>
        <v>Karbonatų sąnaudos</v>
      </c>
      <c r="E415" s="72"/>
      <c r="F415" s="441" t="str">
        <f t="shared" si="9"/>
        <v>Proceso metu išsiskiriančios ŠESD</v>
      </c>
      <c r="G415" s="425">
        <v>1</v>
      </c>
      <c r="H415" s="442" t="str">
        <f>H$444</f>
        <v>Laboratoriniai ir stechiometriniai</v>
      </c>
      <c r="I415" s="442"/>
      <c r="J415" s="444"/>
      <c r="K415" s="444"/>
      <c r="L415" s="442"/>
      <c r="M415" s="443"/>
      <c r="N415" s="425">
        <f t="shared" si="15"/>
        <v>1</v>
      </c>
      <c r="O415" s="427" t="str">
        <f t="shared" si="11"/>
        <v>Metalų rūda: Karbonatų sąnaudos</v>
      </c>
      <c r="P415" s="72"/>
      <c r="Q415" s="435"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5"/>
      <c r="AD415" s="55"/>
      <c r="AE415" s="95"/>
      <c r="AF415" s="63"/>
      <c r="AG415" s="70">
        <f t="shared" si="17"/>
        <v>1</v>
      </c>
      <c r="AJ415" s="59">
        <f>AJ$444</f>
        <v>2</v>
      </c>
    </row>
    <row r="416" spans="1:40" ht="12.75" customHeight="1" outlineLevel="1" x14ac:dyDescent="0.2">
      <c r="A416" s="59">
        <f t="shared" si="13"/>
        <v>16</v>
      </c>
      <c r="B416" s="449" t="str">
        <f t="shared" si="10"/>
        <v>Metalo rūdų deginimas ir kepinimas</v>
      </c>
      <c r="C416" s="72" t="str">
        <f t="shared" si="10"/>
        <v>Metalų rūda</v>
      </c>
      <c r="D416" s="72" t="str">
        <f t="shared" si="10"/>
        <v>Masės balansas</v>
      </c>
      <c r="E416" s="72"/>
      <c r="F416" s="441" t="str">
        <f t="shared" si="9"/>
        <v>Masės balansas</v>
      </c>
      <c r="G416" s="425" t="str">
        <f>EUconst_NA</f>
        <v>netaik.</v>
      </c>
      <c r="H416" s="442"/>
      <c r="I416" s="442" t="s">
        <v>233</v>
      </c>
      <c r="J416" s="444"/>
      <c r="K416" s="444"/>
      <c r="L416" s="442"/>
      <c r="M416" s="443"/>
      <c r="N416" s="425" t="str">
        <f t="shared" si="15"/>
        <v>netaik.</v>
      </c>
      <c r="O416" s="427" t="str">
        <f t="shared" si="11"/>
        <v>Metalų rūda: Masės balansas</v>
      </c>
      <c r="P416" s="72"/>
      <c r="Q416" s="435" t="str">
        <f t="shared" si="12"/>
        <v>EF_Metalų rūda: Masės balansas</v>
      </c>
      <c r="U416" s="65"/>
      <c r="X416" s="59" t="b">
        <f t="shared" si="3"/>
        <v>1</v>
      </c>
      <c r="Z416" s="70" t="str">
        <f>EUconst_NA</f>
        <v>netaik.</v>
      </c>
      <c r="AA416" s="95"/>
      <c r="AB416" s="95" t="s">
        <v>233</v>
      </c>
      <c r="AC416" s="55"/>
      <c r="AD416" s="55"/>
      <c r="AE416" s="95"/>
      <c r="AF416" s="63"/>
      <c r="AG416" s="70" t="str">
        <f t="shared" si="17"/>
        <v>netaik.</v>
      </c>
      <c r="AK416" s="59" t="s">
        <v>233</v>
      </c>
    </row>
    <row r="417" spans="1:40" ht="12.75" customHeight="1" outlineLevel="1" x14ac:dyDescent="0.2">
      <c r="A417" s="59">
        <f t="shared" si="13"/>
        <v>17</v>
      </c>
      <c r="B417" s="449" t="str">
        <f t="shared" si="10"/>
        <v>Geležies ir plieno gamyba</v>
      </c>
      <c r="C417" s="72" t="str">
        <f t="shared" si="10"/>
        <v>Geležis ir plienas</v>
      </c>
      <c r="D417" s="72" t="str">
        <f t="shared" si="10"/>
        <v>Kuras kaip proceso žaliava</v>
      </c>
      <c r="E417" s="72"/>
      <c r="F417" s="441" t="str">
        <f t="shared" si="9"/>
        <v>Degimas</v>
      </c>
      <c r="G417" s="425">
        <v>2</v>
      </c>
      <c r="H417" s="442" t="str">
        <f>H$401</f>
        <v>I tipas</v>
      </c>
      <c r="I417" s="442"/>
      <c r="J417" s="442" t="str">
        <f>J$401</f>
        <v>II tipas</v>
      </c>
      <c r="K417" s="442" t="str">
        <f>K$401</f>
        <v>Pakaitinės vertės</v>
      </c>
      <c r="L417" s="442" t="str">
        <f>L$401</f>
        <v>Laboratoriniai tyrimai</v>
      </c>
      <c r="M417" s="443"/>
      <c r="N417" s="425">
        <f t="shared" si="15"/>
        <v>3</v>
      </c>
      <c r="O417" s="427" t="str">
        <f t="shared" si="11"/>
        <v>Geležis ir plienas: Kuras kaip proceso žaliava</v>
      </c>
      <c r="P417" s="72"/>
      <c r="Q417" s="435"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
      <c r="A418" s="59">
        <f t="shared" si="13"/>
        <v>18</v>
      </c>
      <c r="B418" s="449" t="str">
        <f t="shared" si="10"/>
        <v>Geležies ir plieno gamyba</v>
      </c>
      <c r="C418" s="72" t="str">
        <f t="shared" si="10"/>
        <v>Geležis ir plienas</v>
      </c>
      <c r="D418" s="72" t="str">
        <f t="shared" si="10"/>
        <v>Karbonatų sąnaudos</v>
      </c>
      <c r="E418" s="72"/>
      <c r="F418" s="441" t="str">
        <f t="shared" si="9"/>
        <v>Proceso metu išsiskiriančios ŠESD</v>
      </c>
      <c r="G418" s="425">
        <v>1</v>
      </c>
      <c r="H418" s="442" t="str">
        <f>H$444</f>
        <v>Laboratoriniai ir stechiometriniai</v>
      </c>
      <c r="I418" s="442"/>
      <c r="J418" s="444"/>
      <c r="K418" s="444"/>
      <c r="L418" s="442"/>
      <c r="M418" s="443"/>
      <c r="N418" s="425">
        <f t="shared" si="15"/>
        <v>1</v>
      </c>
      <c r="O418" s="427" t="str">
        <f t="shared" si="11"/>
        <v>Geležis ir plienas: Karbonatų sąnaudos</v>
      </c>
      <c r="P418" s="72"/>
      <c r="Q418" s="435"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5"/>
      <c r="AD418" s="55"/>
      <c r="AE418" s="95"/>
      <c r="AF418" s="63"/>
      <c r="AG418" s="70">
        <f t="shared" si="17"/>
        <v>1</v>
      </c>
      <c r="AJ418" s="59">
        <f>AJ$444</f>
        <v>2</v>
      </c>
    </row>
    <row r="419" spans="1:40" ht="12.75" customHeight="1" outlineLevel="1" x14ac:dyDescent="0.2">
      <c r="A419" s="59">
        <f t="shared" si="13"/>
        <v>19</v>
      </c>
      <c r="B419" s="449" t="str">
        <f t="shared" si="10"/>
        <v>Geležies ir plieno gamyba</v>
      </c>
      <c r="C419" s="72" t="str">
        <f t="shared" si="10"/>
        <v>Geležis ir plienas</v>
      </c>
      <c r="D419" s="72" t="str">
        <f t="shared" si="10"/>
        <v>Masės balansas</v>
      </c>
      <c r="E419" s="72"/>
      <c r="F419" s="441" t="str">
        <f t="shared" si="9"/>
        <v>Masės balansas</v>
      </c>
      <c r="G419" s="425" t="str">
        <f>EUconst_NA</f>
        <v>netaik.</v>
      </c>
      <c r="H419" s="442"/>
      <c r="I419" s="442"/>
      <c r="J419" s="444"/>
      <c r="K419" s="444"/>
      <c r="L419" s="442"/>
      <c r="M419" s="443"/>
      <c r="N419" s="425" t="str">
        <f t="shared" si="15"/>
        <v>netaik.</v>
      </c>
      <c r="O419" s="427" t="str">
        <f t="shared" si="11"/>
        <v>Geležis ir plienas: Masės balansas</v>
      </c>
      <c r="P419" s="72"/>
      <c r="Q419" s="435" t="str">
        <f t="shared" si="12"/>
        <v>EF_Geležis ir plienas: Masės balansas</v>
      </c>
      <c r="U419" s="65"/>
      <c r="X419" s="59" t="b">
        <f t="shared" si="19"/>
        <v>1</v>
      </c>
      <c r="Z419" s="70" t="str">
        <f>EUconst_NA</f>
        <v>netaik.</v>
      </c>
      <c r="AA419" s="95"/>
      <c r="AB419" s="95"/>
      <c r="AC419" s="55"/>
      <c r="AD419" s="55"/>
      <c r="AE419" s="95"/>
      <c r="AF419" s="63"/>
      <c r="AG419" s="70" t="str">
        <f t="shared" si="17"/>
        <v>netaik.</v>
      </c>
    </row>
    <row r="420" spans="1:40" ht="12.75" customHeight="1" outlineLevel="1" x14ac:dyDescent="0.2">
      <c r="A420" s="59">
        <f t="shared" si="13"/>
        <v>20</v>
      </c>
      <c r="B420" s="449" t="str">
        <f t="shared" si="10"/>
        <v>Cemento klinkerio gamyba</v>
      </c>
      <c r="C420" s="72" t="str">
        <f t="shared" si="10"/>
        <v>Cemento klinkeriai</v>
      </c>
      <c r="D420" s="72" t="str">
        <f t="shared" si="10"/>
        <v>Grindžiamas krosnies žaliava (A metodas)</v>
      </c>
      <c r="E420" s="72"/>
      <c r="F420" s="441" t="str">
        <f t="shared" si="9"/>
        <v>Proceso metu išsiskiriančios ŠESD</v>
      </c>
      <c r="G420" s="425">
        <v>1</v>
      </c>
      <c r="H420" s="688" t="str">
        <f>H$444</f>
        <v>Laboratoriniai ir stechiometriniai</v>
      </c>
      <c r="I420" s="442"/>
      <c r="J420" s="444"/>
      <c r="K420" s="444"/>
      <c r="L420" s="442"/>
      <c r="M420" s="443"/>
      <c r="N420" s="425">
        <f t="shared" si="15"/>
        <v>1</v>
      </c>
      <c r="O420" s="427" t="str">
        <f t="shared" si="11"/>
        <v>Cemento klinkeriai: Grindžiamas krosnies žaliava (A metodas)</v>
      </c>
      <c r="P420" s="72"/>
      <c r="Q420" s="435"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5"/>
      <c r="AD420" s="55"/>
      <c r="AE420" s="95"/>
      <c r="AF420" s="63"/>
      <c r="AG420" s="70">
        <f t="shared" si="17"/>
        <v>1</v>
      </c>
      <c r="AJ420" s="689">
        <v>2</v>
      </c>
    </row>
    <row r="421" spans="1:40" ht="12.75" customHeight="1" outlineLevel="1" x14ac:dyDescent="0.2">
      <c r="A421" s="59">
        <f t="shared" si="13"/>
        <v>21</v>
      </c>
      <c r="B421" s="449" t="str">
        <f t="shared" ref="B421:D440" si="20">B373</f>
        <v>Cemento klinkerio gamyba</v>
      </c>
      <c r="C421" s="72" t="str">
        <f t="shared" si="20"/>
        <v>Cemento klinkeriai</v>
      </c>
      <c r="D421" s="72" t="str">
        <f t="shared" si="20"/>
        <v>Klinkerio išeiga (B metodas)</v>
      </c>
      <c r="E421" s="72"/>
      <c r="F421" s="441" t="str">
        <f t="shared" si="9"/>
        <v>Proceso metu išsiskiriančios ŠESD</v>
      </c>
      <c r="G421" s="425">
        <v>1</v>
      </c>
      <c r="H421" s="442" t="str">
        <f>Translations!$B$446</f>
        <v>0,525 t CO2/t klinkerio.</v>
      </c>
      <c r="I421" s="442" t="str">
        <f>$I$445</f>
        <v>II tipas</v>
      </c>
      <c r="J421" s="476"/>
      <c r="K421" s="444"/>
      <c r="L421" s="442" t="str">
        <f>L$445</f>
        <v>Laboratoriniai ir stechiometriniai</v>
      </c>
      <c r="M421" s="443"/>
      <c r="N421" s="425">
        <f t="shared" si="15"/>
        <v>3</v>
      </c>
      <c r="O421" s="427" t="str">
        <f t="shared" si="11"/>
        <v>Cemento klinkeriai: Klinkerio išeiga (B metodas)</v>
      </c>
      <c r="P421" s="72"/>
      <c r="Q421" s="435"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5"/>
      <c r="AD421" s="55"/>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
      <c r="A422" s="59">
        <f t="shared" si="13"/>
        <v>22</v>
      </c>
      <c r="B422" s="449" t="str">
        <f t="shared" si="20"/>
        <v>Cemento klinkerio gamyba</v>
      </c>
      <c r="C422" s="72" t="str">
        <f t="shared" si="20"/>
        <v>Cemento klinkeriai</v>
      </c>
      <c r="D422" s="72" t="str">
        <f t="shared" si="20"/>
        <v>Cemento degimo krosnių dulkės</v>
      </c>
      <c r="E422" s="72"/>
      <c r="F422" s="441" t="str">
        <f t="shared" si="9"/>
        <v>Proceso metu išsiskiriančios ŠESD</v>
      </c>
      <c r="G422" s="425">
        <v>1</v>
      </c>
      <c r="H422" s="442" t="str">
        <f>Translations!$B$449</f>
        <v>0,525 t CO2/t gipso.</v>
      </c>
      <c r="I422" s="442" t="str">
        <f>Translations!$B$912</f>
        <v>Laboratoriniai tyrimai</v>
      </c>
      <c r="J422" s="444"/>
      <c r="K422" s="444"/>
      <c r="L422" s="442"/>
      <c r="M422" s="443"/>
      <c r="N422" s="425">
        <f t="shared" si="15"/>
        <v>2</v>
      </c>
      <c r="O422" s="427" t="str">
        <f t="shared" si="11"/>
        <v>Cemento klinkeriai: Cemento degimo krosnių dulkės</v>
      </c>
      <c r="P422" s="72"/>
      <c r="Q422" s="435"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5"/>
      <c r="AD422" s="55"/>
      <c r="AE422" s="95"/>
      <c r="AF422" s="63"/>
      <c r="AG422" s="70">
        <f t="shared" si="17"/>
        <v>2</v>
      </c>
      <c r="AJ422" s="59">
        <v>1</v>
      </c>
      <c r="AK422" s="59">
        <v>2</v>
      </c>
    </row>
    <row r="423" spans="1:40" ht="12.75" customHeight="1" outlineLevel="1" x14ac:dyDescent="0.2">
      <c r="A423" s="59">
        <f t="shared" si="13"/>
        <v>23</v>
      </c>
      <c r="B423" s="449" t="str">
        <f t="shared" si="20"/>
        <v>Cemento klinkerio gamyba</v>
      </c>
      <c r="C423" s="72" t="str">
        <f t="shared" si="20"/>
        <v>Cemento klinkeriai</v>
      </c>
      <c r="D423" s="72" t="str">
        <f t="shared" si="20"/>
        <v>Nekarbonatinė anglis</v>
      </c>
      <c r="E423" s="72"/>
      <c r="F423" s="441" t="str">
        <f t="shared" si="9"/>
        <v>Proceso metu išsiskiriančios ŠESD</v>
      </c>
      <c r="G423" s="425">
        <v>1</v>
      </c>
      <c r="H423" s="442" t="str">
        <f>Translations!$B$452</f>
        <v>Geriausia praktika</v>
      </c>
      <c r="I423" s="442" t="str">
        <f>Translations!$B$912</f>
        <v>Laboratoriniai tyrimai</v>
      </c>
      <c r="J423" s="444"/>
      <c r="K423" s="444"/>
      <c r="L423" s="442"/>
      <c r="M423" s="443"/>
      <c r="N423" s="425">
        <f t="shared" si="15"/>
        <v>2</v>
      </c>
      <c r="O423" s="427" t="str">
        <f t="shared" si="11"/>
        <v>Cemento klinkeriai: Nekarbonatinė anglis</v>
      </c>
      <c r="P423" s="72"/>
      <c r="Q423" s="435"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5"/>
      <c r="AD423" s="55"/>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
      <c r="A424" s="59">
        <f t="shared" si="13"/>
        <v>24</v>
      </c>
      <c r="B424" s="449" t="str">
        <f t="shared" si="20"/>
        <v>Kalkių gamyba ir dolomitų bei magnezitų kalcinavimas</v>
      </c>
      <c r="C424" s="72" t="str">
        <f t="shared" si="20"/>
        <v>Kalkės, dolomitas, magnezitas</v>
      </c>
      <c r="D424" s="72" t="str">
        <f t="shared" si="20"/>
        <v>Karbonatai (A metodas)</v>
      </c>
      <c r="E424" s="72"/>
      <c r="F424" s="441" t="str">
        <f t="shared" si="9"/>
        <v>Proceso metu išsiskiriančios ŠESD</v>
      </c>
      <c r="G424" s="425">
        <v>1</v>
      </c>
      <c r="H424" s="442" t="str">
        <f>H$444</f>
        <v>Laboratoriniai ir stechiometriniai</v>
      </c>
      <c r="I424" s="442"/>
      <c r="J424" s="444"/>
      <c r="K424" s="444"/>
      <c r="L424" s="442"/>
      <c r="M424" s="443"/>
      <c r="N424" s="425">
        <f t="shared" si="15"/>
        <v>1</v>
      </c>
      <c r="O424" s="427" t="str">
        <f t="shared" si="11"/>
        <v>Kalkės, dolomitas, magnezitas: Karbonatai (A metodas)</v>
      </c>
      <c r="P424" s="72"/>
      <c r="Q424" s="435"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5"/>
      <c r="AD424" s="55"/>
      <c r="AE424" s="95"/>
      <c r="AF424" s="63"/>
      <c r="AG424" s="70">
        <f t="shared" si="17"/>
        <v>1</v>
      </c>
      <c r="AJ424" s="59">
        <f>AJ$444</f>
        <v>2</v>
      </c>
    </row>
    <row r="425" spans="1:40" ht="12.75" customHeight="1" outlineLevel="1" x14ac:dyDescent="0.2">
      <c r="A425" s="59">
        <f t="shared" si="13"/>
        <v>25</v>
      </c>
      <c r="B425" s="449" t="str">
        <f t="shared" si="20"/>
        <v>Kalkių gamyba ir dolomitų bei magnezitų kalcinavimas</v>
      </c>
      <c r="C425" s="72" t="str">
        <f t="shared" si="20"/>
        <v>Kalkės, dolomitas, magnezitas</v>
      </c>
      <c r="D425" s="72" t="str">
        <f t="shared" si="20"/>
        <v>Šarminių žemių metalų oksidas (B metodas)</v>
      </c>
      <c r="E425" s="72"/>
      <c r="F425" s="441" t="str">
        <f t="shared" si="9"/>
        <v>Proceso metu išsiskiriančios ŠESD</v>
      </c>
      <c r="G425" s="425">
        <v>1</v>
      </c>
      <c r="H425" s="442" t="str">
        <f>H$445</f>
        <v>I tipas</v>
      </c>
      <c r="I425" s="442" t="str">
        <f>I$445</f>
        <v>II tipas</v>
      </c>
      <c r="J425" s="444"/>
      <c r="K425" s="444"/>
      <c r="L425" s="442" t="str">
        <f>L$445</f>
        <v>Laboratoriniai ir stechiometriniai</v>
      </c>
      <c r="M425" s="443"/>
      <c r="N425" s="425">
        <f t="shared" si="15"/>
        <v>3</v>
      </c>
      <c r="O425" s="427" t="str">
        <f t="shared" si="11"/>
        <v>Kalkės, dolomitas, magnezitas: Šarminių žemių metalų oksidas (B metodas)</v>
      </c>
      <c r="P425" s="72"/>
      <c r="Q425" s="435"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5"/>
      <c r="AD425" s="55"/>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
      <c r="A426" s="59">
        <f t="shared" si="13"/>
        <v>26</v>
      </c>
      <c r="B426" s="449" t="str">
        <f t="shared" si="20"/>
        <v>Kalkių gamyba ir dolomitų bei magnezitų kalcinavimas</v>
      </c>
      <c r="C426" s="72" t="str">
        <f t="shared" si="20"/>
        <v>Kalkės, dolomitas, magnezitas</v>
      </c>
      <c r="D426" s="72" t="str">
        <f t="shared" si="20"/>
        <v>Degimo krosnių dulkės (B metodas)</v>
      </c>
      <c r="E426" s="425"/>
      <c r="F426" s="441" t="str">
        <f t="shared" si="9"/>
        <v>Proceso metu išsiskiriančios ŠESD</v>
      </c>
      <c r="G426" s="425">
        <v>1</v>
      </c>
      <c r="H426" s="442" t="str">
        <f>H$445</f>
        <v>I tipas</v>
      </c>
      <c r="I426" s="442" t="str">
        <f>I$445</f>
        <v>II tipas</v>
      </c>
      <c r="J426" s="444"/>
      <c r="K426" s="444"/>
      <c r="L426" s="442" t="str">
        <f>L$445</f>
        <v>Laboratoriniai ir stechiometriniai</v>
      </c>
      <c r="M426" s="443"/>
      <c r="N426" s="425">
        <f t="shared" si="15"/>
        <v>3</v>
      </c>
      <c r="O426" s="427" t="str">
        <f t="shared" si="11"/>
        <v>Kalkės, dolomitas, magnezitas: Degimo krosnių dulkės (B metodas)</v>
      </c>
      <c r="P426" s="72"/>
      <c r="Q426" s="435" t="str">
        <f t="shared" si="12"/>
        <v>EF_Kalkės, dolomitas, magnezitas: Degimo krosnių dulkės (B metodas)</v>
      </c>
      <c r="X426" s="59" t="b">
        <f t="shared" si="19"/>
        <v>0</v>
      </c>
      <c r="Z426" s="70" t="str">
        <f>EUconst_NA</f>
        <v>netaik.</v>
      </c>
      <c r="AA426" s="95"/>
      <c r="AB426" s="95"/>
      <c r="AC426" s="55"/>
      <c r="AD426" s="55"/>
      <c r="AE426" s="95"/>
      <c r="AF426" s="63"/>
      <c r="AG426" s="70" t="str">
        <f t="shared" si="17"/>
        <v>netaik.</v>
      </c>
      <c r="AN426" s="59">
        <v>2</v>
      </c>
    </row>
    <row r="427" spans="1:40" ht="12.75" customHeight="1" outlineLevel="1" x14ac:dyDescent="0.2">
      <c r="A427" s="59">
        <f t="shared" si="13"/>
        <v>27</v>
      </c>
      <c r="B427" s="449" t="str">
        <f t="shared" si="20"/>
        <v>Stiklo ir mineralinės vatos gamyba</v>
      </c>
      <c r="C427" s="72" t="str">
        <f t="shared" si="20"/>
        <v>Stiklas ir mineralinė vata</v>
      </c>
      <c r="D427" s="72" t="str">
        <f t="shared" si="20"/>
        <v>Karbonatai (žaliava)</v>
      </c>
      <c r="E427" s="72"/>
      <c r="F427" s="441" t="str">
        <f t="shared" si="9"/>
        <v>Proceso metu išsiskiriančios ŠESD</v>
      </c>
      <c r="G427" s="425">
        <v>1</v>
      </c>
      <c r="H427" s="442" t="str">
        <f>Translations!$B$914</f>
        <v>I tipas ir geriausioji patirtis</v>
      </c>
      <c r="I427" s="442" t="str">
        <f>Translations!$B$912</f>
        <v>Laboratoriniai tyrimai</v>
      </c>
      <c r="J427" s="444"/>
      <c r="K427" s="444"/>
      <c r="L427" s="442"/>
      <c r="M427" s="443"/>
      <c r="N427" s="425">
        <f t="shared" si="15"/>
        <v>2</v>
      </c>
      <c r="O427" s="427" t="str">
        <f t="shared" si="11"/>
        <v>Stiklas ir mineralinė vata: Karbonatai (žaliava)</v>
      </c>
      <c r="P427" s="72"/>
      <c r="Q427" s="435"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5"/>
      <c r="AD427" s="55"/>
      <c r="AE427" s="95"/>
      <c r="AF427" s="63"/>
      <c r="AG427" s="70">
        <f t="shared" si="17"/>
        <v>2</v>
      </c>
      <c r="AJ427" s="59" t="str">
        <f>Translations!$B$914</f>
        <v>I tipas ir geriausioji patirtis</v>
      </c>
      <c r="AK427" s="689">
        <v>2</v>
      </c>
    </row>
    <row r="428" spans="1:40" ht="12.75" customHeight="1" outlineLevel="1" x14ac:dyDescent="0.2">
      <c r="A428" s="59">
        <f t="shared" si="13"/>
        <v>28</v>
      </c>
      <c r="B428" s="449" t="str">
        <f t="shared" si="20"/>
        <v>Keramikos produktų gamyba</v>
      </c>
      <c r="C428" s="72" t="str">
        <f t="shared" si="20"/>
        <v>Keramikos dirbiniai.</v>
      </c>
      <c r="D428" s="72" t="str">
        <f t="shared" si="20"/>
        <v>Anglies sąnaudos (A metodas)</v>
      </c>
      <c r="E428" s="72"/>
      <c r="F428" s="441" t="str">
        <f t="shared" si="9"/>
        <v>Proceso metu išsiskiriančios ŠESD</v>
      </c>
      <c r="G428" s="425">
        <v>1</v>
      </c>
      <c r="H428" s="442" t="str">
        <f>Translations!$B$917</f>
        <v>0,08794 t CO2/t</v>
      </c>
      <c r="I428" s="442" t="str">
        <f>Translations!$B$452</f>
        <v>Geriausia praktika</v>
      </c>
      <c r="J428" s="444"/>
      <c r="K428" s="444"/>
      <c r="L428" s="442" t="str">
        <f>L$401</f>
        <v>Laboratoriniai tyrimai</v>
      </c>
      <c r="M428" s="443"/>
      <c r="N428" s="425">
        <f t="shared" si="15"/>
        <v>3</v>
      </c>
      <c r="O428" s="427" t="str">
        <f t="shared" si="11"/>
        <v>Keramikos dirbiniai.: Anglies sąnaudos (A metodas)</v>
      </c>
      <c r="P428" s="72"/>
      <c r="Q428" s="435"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5"/>
      <c r="AD428" s="55"/>
      <c r="AE428" s="95"/>
      <c r="AF428" s="63"/>
      <c r="AG428" s="70">
        <f t="shared" si="17"/>
        <v>2</v>
      </c>
      <c r="AJ428" s="59">
        <v>1</v>
      </c>
      <c r="AK428" s="59" t="str">
        <f>Translations!$B$452</f>
        <v>Geriausia praktika</v>
      </c>
      <c r="AN428" s="59">
        <v>2</v>
      </c>
    </row>
    <row r="429" spans="1:40" ht="12.75" customHeight="1" outlineLevel="1" x14ac:dyDescent="0.2">
      <c r="A429" s="59">
        <f t="shared" si="13"/>
        <v>29</v>
      </c>
      <c r="B429" s="449" t="str">
        <f t="shared" si="20"/>
        <v>Keramikos produktų gamyba</v>
      </c>
      <c r="C429" s="72" t="str">
        <f t="shared" si="20"/>
        <v>Keramikos dirbiniai.</v>
      </c>
      <c r="D429" s="72" t="str">
        <f t="shared" si="20"/>
        <v>Šarminių metalų oksidas (B metodas)</v>
      </c>
      <c r="E429" s="72"/>
      <c r="F429" s="441" t="str">
        <f t="shared" si="9"/>
        <v>Proceso metu išsiskiriančios ŠESD</v>
      </c>
      <c r="G429" s="425">
        <v>1</v>
      </c>
      <c r="H429" s="442" t="str">
        <f>Translations!$B$918</f>
        <v>0,09642 t CO2/t</v>
      </c>
      <c r="I429" s="442" t="str">
        <f>Translations!$B$452</f>
        <v>Geriausia praktika</v>
      </c>
      <c r="J429" s="444"/>
      <c r="K429" s="444"/>
      <c r="L429" s="442" t="str">
        <f>L$401</f>
        <v>Laboratoriniai tyrimai</v>
      </c>
      <c r="M429" s="443"/>
      <c r="N429" s="425">
        <f t="shared" si="15"/>
        <v>3</v>
      </c>
      <c r="O429" s="427" t="str">
        <f t="shared" si="11"/>
        <v>Keramikos dirbiniai.: Šarminių metalų oksidas (B metodas)</v>
      </c>
      <c r="P429" s="72"/>
      <c r="Q429" s="435"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5"/>
      <c r="AD429" s="55"/>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
      <c r="A430" s="59">
        <f t="shared" si="13"/>
        <v>30</v>
      </c>
      <c r="B430" s="449" t="str">
        <f t="shared" si="20"/>
        <v>Keramikos produktų gamyba</v>
      </c>
      <c r="C430" s="72" t="str">
        <f t="shared" si="20"/>
        <v>Keramikos dirbiniai.</v>
      </c>
      <c r="D430" s="72" t="str">
        <f t="shared" si="20"/>
        <v>Dujų plovimas</v>
      </c>
      <c r="E430" s="72"/>
      <c r="F430" s="441" t="str">
        <f t="shared" si="9"/>
        <v>Proceso metu išsiskiriančios ŠESD</v>
      </c>
      <c r="G430" s="425">
        <v>1</v>
      </c>
      <c r="H430" s="442" t="str">
        <f>Translations!$B$653</f>
        <v>I tipas</v>
      </c>
      <c r="I430" s="442"/>
      <c r="J430" s="444"/>
      <c r="K430" s="444"/>
      <c r="L430" s="442"/>
      <c r="M430" s="443"/>
      <c r="N430" s="425">
        <f t="shared" si="15"/>
        <v>1</v>
      </c>
      <c r="O430" s="427" t="str">
        <f t="shared" si="11"/>
        <v>Keramikos dirbiniai.: Dujų plovimas</v>
      </c>
      <c r="P430" s="72"/>
      <c r="Q430" s="435" t="str">
        <f t="shared" si="12"/>
        <v>EF_Keramikos dirbiniai.: Dujų plovimas</v>
      </c>
      <c r="X430" s="59" t="b">
        <f t="shared" si="19"/>
        <v>0</v>
      </c>
      <c r="Z430" s="70">
        <v>1</v>
      </c>
      <c r="AA430" s="94" t="str">
        <f>Translations!$B$462</f>
        <v>Veiklos vykdytojas taiko CaCO3 stechiometrinį koeficientą, kaip nurodyta VI priedo 
2 skirsnyje.</v>
      </c>
      <c r="AB430" s="95"/>
      <c r="AC430" s="55"/>
      <c r="AD430" s="55"/>
      <c r="AE430" s="95"/>
      <c r="AF430" s="63"/>
      <c r="AG430" s="70">
        <f t="shared" si="17"/>
        <v>1</v>
      </c>
      <c r="AJ430" s="59">
        <v>1</v>
      </c>
    </row>
    <row r="431" spans="1:40" ht="12.75" customHeight="1" outlineLevel="1" x14ac:dyDescent="0.2">
      <c r="A431" s="59">
        <f t="shared" si="13"/>
        <v>31</v>
      </c>
      <c r="B431" s="449" t="str">
        <f t="shared" si="20"/>
        <v>Celiuliozės ir popieriaus gamyba</v>
      </c>
      <c r="C431" s="72" t="str">
        <f t="shared" si="20"/>
        <v>Celiuliozė ir popierius</v>
      </c>
      <c r="D431" s="72" t="str">
        <f t="shared" si="20"/>
        <v>Sudėtinės cheminės medžiagos</v>
      </c>
      <c r="E431" s="72"/>
      <c r="F431" s="441" t="str">
        <f t="shared" si="9"/>
        <v>Proceso metu išsiskiriančios ŠESD</v>
      </c>
      <c r="G431" s="425">
        <v>1</v>
      </c>
      <c r="H431" s="442" t="str">
        <f>Translations!$B$441</f>
        <v>I tipo nustatytoji vertė ir geriausia patirtis</v>
      </c>
      <c r="I431" s="442" t="str">
        <f>Translations!$B$912</f>
        <v>Laboratoriniai tyrimai</v>
      </c>
      <c r="J431" s="444"/>
      <c r="K431" s="444"/>
      <c r="L431" s="442"/>
      <c r="M431" s="443"/>
      <c r="N431" s="425">
        <f t="shared" si="15"/>
        <v>2</v>
      </c>
      <c r="O431" s="427" t="str">
        <f t="shared" si="11"/>
        <v>Celiuliozė ir popierius: Sudėtinės cheminės medžiagos</v>
      </c>
      <c r="P431" s="72"/>
      <c r="Q431" s="435"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5"/>
      <c r="AD431" s="55"/>
      <c r="AE431" s="95"/>
      <c r="AF431" s="63"/>
      <c r="AG431" s="70">
        <f t="shared" si="17"/>
        <v>2</v>
      </c>
      <c r="AJ431" s="59" t="str">
        <f>Translations!$B$441</f>
        <v>I tipo nustatytoji vertė ir geriausia patirtis</v>
      </c>
      <c r="AK431" s="689">
        <v>2</v>
      </c>
    </row>
    <row r="432" spans="1:40" ht="12.75" customHeight="1" outlineLevel="1" x14ac:dyDescent="0.2">
      <c r="A432" s="59">
        <f t="shared" si="13"/>
        <v>32</v>
      </c>
      <c r="B432" s="449" t="str">
        <f t="shared" si="20"/>
        <v>Suodžių gamyba</v>
      </c>
      <c r="C432" s="72" t="str">
        <f t="shared" si="20"/>
        <v>Padengtas kartonas Suodžiai</v>
      </c>
      <c r="D432" s="72" t="str">
        <f t="shared" si="20"/>
        <v>Masės balanso metodika</v>
      </c>
      <c r="E432" s="72"/>
      <c r="F432" s="441" t="str">
        <f t="shared" si="9"/>
        <v>Masės balansas</v>
      </c>
      <c r="G432" s="425" t="str">
        <f>EUconst_NA</f>
        <v>netaik.</v>
      </c>
      <c r="H432" s="442"/>
      <c r="I432" s="442"/>
      <c r="J432" s="444"/>
      <c r="K432" s="444"/>
      <c r="L432" s="442"/>
      <c r="M432" s="443"/>
      <c r="N432" s="425" t="str">
        <f t="shared" si="15"/>
        <v>netaik.</v>
      </c>
      <c r="O432" s="427" t="str">
        <f t="shared" si="11"/>
        <v>Padengtas kartonas Suodžiai: Masės balanso metodika</v>
      </c>
      <c r="P432" s="72"/>
      <c r="Q432" s="435" t="str">
        <f t="shared" si="12"/>
        <v>EF_Padengtas kartonas Suodžiai: Masės balanso metodika</v>
      </c>
      <c r="X432" s="59" t="b">
        <f t="shared" si="19"/>
        <v>1</v>
      </c>
      <c r="Z432" s="70" t="str">
        <f>EUconst_NA</f>
        <v>netaik.</v>
      </c>
      <c r="AA432" s="95"/>
      <c r="AB432" s="95"/>
      <c r="AC432" s="55"/>
      <c r="AD432" s="55"/>
      <c r="AE432" s="95"/>
      <c r="AF432" s="63"/>
      <c r="AG432" s="70" t="str">
        <f t="shared" si="17"/>
        <v>netaik.</v>
      </c>
    </row>
    <row r="433" spans="1:40" ht="12.75" customHeight="1" outlineLevel="1" x14ac:dyDescent="0.2">
      <c r="A433" s="59">
        <f t="shared" si="13"/>
        <v>33</v>
      </c>
      <c r="B433" s="449" t="str">
        <f t="shared" si="20"/>
        <v>Amoniako gamyba</v>
      </c>
      <c r="C433" s="72" t="str">
        <f t="shared" si="20"/>
        <v>Amoniakas</v>
      </c>
      <c r="D433" s="72" t="str">
        <f t="shared" si="20"/>
        <v>Kuras kaip proceso žaliava</v>
      </c>
      <c r="E433" s="72"/>
      <c r="F433" s="441" t="str">
        <f t="shared" si="9"/>
        <v>Degimas</v>
      </c>
      <c r="G433" s="425" t="s">
        <v>75</v>
      </c>
      <c r="H433" s="442" t="str">
        <f>H$401</f>
        <v>I tipas</v>
      </c>
      <c r="I433" s="442"/>
      <c r="J433" s="442" t="str">
        <f t="shared" ref="J433:L434" si="21">J$401</f>
        <v>II tipas</v>
      </c>
      <c r="K433" s="442" t="str">
        <f t="shared" si="21"/>
        <v>Pakaitinės vertės</v>
      </c>
      <c r="L433" s="442" t="str">
        <f>L$401</f>
        <v>Laboratoriniai tyrimai</v>
      </c>
      <c r="M433" s="443"/>
      <c r="N433" s="425">
        <f t="shared" si="15"/>
        <v>3</v>
      </c>
      <c r="O433" s="427" t="str">
        <f t="shared" si="11"/>
        <v>Amoniakas: Kuras kaip proceso žaliava</v>
      </c>
      <c r="P433" s="72"/>
      <c r="Q433" s="435"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
      <c r="A434" s="59">
        <f t="shared" si="13"/>
        <v>34</v>
      </c>
      <c r="B434" s="449" t="str">
        <f t="shared" si="20"/>
        <v>Vandenilio ar sintezės dujų gamyba</v>
      </c>
      <c r="C434" s="72" t="str">
        <f t="shared" si="20"/>
        <v>Vandenilis ir sintezės dujos</v>
      </c>
      <c r="D434" s="72" t="str">
        <f t="shared" si="20"/>
        <v>Kuras kaip proceso žaliava</v>
      </c>
      <c r="E434" s="72"/>
      <c r="F434" s="441" t="str">
        <f t="shared" si="9"/>
        <v>Degimas</v>
      </c>
      <c r="G434" s="425" t="s">
        <v>75</v>
      </c>
      <c r="H434" s="442" t="str">
        <f>H$401</f>
        <v>I tipas</v>
      </c>
      <c r="I434" s="442"/>
      <c r="J434" s="442" t="str">
        <f t="shared" si="21"/>
        <v>II tipas</v>
      </c>
      <c r="K434" s="442" t="str">
        <f t="shared" si="21"/>
        <v>Pakaitinės vertės</v>
      </c>
      <c r="L434" s="442" t="str">
        <f t="shared" si="21"/>
        <v>Laboratoriniai tyrimai</v>
      </c>
      <c r="M434" s="443"/>
      <c r="N434" s="425">
        <f t="shared" si="15"/>
        <v>3</v>
      </c>
      <c r="O434" s="427" t="str">
        <f t="shared" si="11"/>
        <v>Vandenilis ir sintezės dujos: Kuras kaip proceso žaliava</v>
      </c>
      <c r="P434" s="72"/>
      <c r="Q434" s="435"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
      <c r="A435" s="59">
        <f t="shared" si="13"/>
        <v>35</v>
      </c>
      <c r="B435" s="449" t="str">
        <f t="shared" si="20"/>
        <v>Vandenilio ar sintezės dujų gamyba</v>
      </c>
      <c r="C435" s="72" t="str">
        <f t="shared" si="20"/>
        <v>Vandenilis ir sintezės dujos</v>
      </c>
      <c r="D435" s="72" t="str">
        <f t="shared" si="20"/>
        <v>Masės balanso metodika</v>
      </c>
      <c r="E435" s="72"/>
      <c r="F435" s="441" t="str">
        <f t="shared" si="9"/>
        <v>Masės balansas</v>
      </c>
      <c r="G435" s="425" t="str">
        <f>EUconst_NA</f>
        <v>netaik.</v>
      </c>
      <c r="H435" s="442"/>
      <c r="I435" s="442"/>
      <c r="J435" s="444"/>
      <c r="K435" s="444"/>
      <c r="L435" s="442"/>
      <c r="M435" s="443"/>
      <c r="N435" s="425" t="str">
        <f t="shared" si="15"/>
        <v>netaik.</v>
      </c>
      <c r="O435" s="427" t="str">
        <f t="shared" si="11"/>
        <v>Vandenilis ir sintezės dujos: Masės balanso metodika</v>
      </c>
      <c r="P435" s="72"/>
      <c r="Q435" s="435" t="str">
        <f t="shared" si="12"/>
        <v>EF_Vandenilis ir sintezės dujos: Masės balanso metodika</v>
      </c>
      <c r="X435" s="59" t="b">
        <f t="shared" si="19"/>
        <v>1</v>
      </c>
      <c r="Z435" s="70" t="str">
        <f>EUconst_NA</f>
        <v>netaik.</v>
      </c>
      <c r="AA435" s="95"/>
      <c r="AB435" s="95"/>
      <c r="AC435" s="55"/>
      <c r="AD435" s="55"/>
      <c r="AE435" s="95"/>
      <c r="AF435" s="63"/>
      <c r="AG435" s="70" t="str">
        <f t="shared" si="17"/>
        <v>netaik.</v>
      </c>
    </row>
    <row r="436" spans="1:40" ht="12.75" customHeight="1" outlineLevel="1" x14ac:dyDescent="0.2">
      <c r="A436" s="59">
        <f t="shared" si="13"/>
        <v>36</v>
      </c>
      <c r="B436" s="449" t="str">
        <f t="shared" si="20"/>
        <v>Biriųjų organinių cheminių medžiagų gamyba</v>
      </c>
      <c r="C436" s="72" t="str">
        <f t="shared" si="20"/>
        <v>Didelio masto organinių cheminių medžiagų gamyba</v>
      </c>
      <c r="D436" s="72" t="str">
        <f t="shared" si="20"/>
        <v>Masės balanso metodika</v>
      </c>
      <c r="E436" s="72"/>
      <c r="F436" s="441" t="str">
        <f t="shared" si="9"/>
        <v>Masės balansas</v>
      </c>
      <c r="G436" s="425" t="str">
        <f>EUconst_NA</f>
        <v>netaik.</v>
      </c>
      <c r="H436" s="442"/>
      <c r="I436" s="442"/>
      <c r="J436" s="444"/>
      <c r="K436" s="444"/>
      <c r="L436" s="442"/>
      <c r="M436" s="443"/>
      <c r="N436" s="425" t="str">
        <f t="shared" si="15"/>
        <v>netaik.</v>
      </c>
      <c r="O436" s="427" t="str">
        <f t="shared" si="11"/>
        <v>Didelio masto organinių cheminių medžiagų gamyba: Masės balanso metodika</v>
      </c>
      <c r="P436" s="72"/>
      <c r="Q436" s="435" t="str">
        <f t="shared" si="12"/>
        <v>EF_Didelio masto organinių cheminių medžiagų gamyba: Masės balanso metodika</v>
      </c>
      <c r="X436" s="59" t="b">
        <f t="shared" si="19"/>
        <v>1</v>
      </c>
      <c r="Z436" s="70" t="str">
        <f>EUconst_NA</f>
        <v>netaik.</v>
      </c>
      <c r="AA436" s="95"/>
      <c r="AB436" s="95"/>
      <c r="AC436" s="55"/>
      <c r="AD436" s="55"/>
      <c r="AE436" s="95"/>
      <c r="AF436" s="63"/>
      <c r="AG436" s="70" t="str">
        <f t="shared" si="17"/>
        <v>netaik.</v>
      </c>
    </row>
    <row r="437" spans="1:40" ht="12.75" customHeight="1" outlineLevel="1" x14ac:dyDescent="0.2">
      <c r="A437" s="59">
        <f t="shared" si="13"/>
        <v>37</v>
      </c>
      <c r="B437" s="449" t="str">
        <f t="shared" si="20"/>
        <v>Juodųjų ir spalvotųjų metalų, įskaitant antrinį aliuminį, gamyba ar apdirbimas</v>
      </c>
      <c r="C437" s="72" t="str">
        <f t="shared" si="20"/>
        <v>(Ne)spalvotieji, antrinis aliuminis</v>
      </c>
      <c r="D437" s="72" t="str">
        <f t="shared" si="20"/>
        <v>Proceso metu išsiskiriančios ŠESD</v>
      </c>
      <c r="E437" s="72"/>
      <c r="F437" s="441" t="str">
        <f t="shared" si="9"/>
        <v>Proceso metu išsiskiriančios ŠESD</v>
      </c>
      <c r="G437" s="425">
        <v>1</v>
      </c>
      <c r="H437" s="477" t="str">
        <f>$H$444</f>
        <v>Laboratoriniai ir stechiometriniai</v>
      </c>
      <c r="I437" s="442"/>
      <c r="J437" s="444"/>
      <c r="K437" s="444"/>
      <c r="L437" s="442"/>
      <c r="M437" s="443"/>
      <c r="N437" s="425">
        <f t="shared" si="15"/>
        <v>1</v>
      </c>
      <c r="O437" s="427" t="str">
        <f t="shared" si="11"/>
        <v>(Ne)spalvotieji, antrinis aliuminis: Proceso metu išsiskiriančios ŠESD</v>
      </c>
      <c r="P437" s="72"/>
      <c r="Q437" s="435"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5"/>
      <c r="AD437" s="55"/>
      <c r="AE437" s="95"/>
      <c r="AF437" s="63"/>
      <c r="AG437" s="70">
        <f t="shared" si="17"/>
        <v>1</v>
      </c>
      <c r="AJ437" s="59">
        <f>AJ$401</f>
        <v>1</v>
      </c>
    </row>
    <row r="438" spans="1:40" ht="12.75" customHeight="1" outlineLevel="1" x14ac:dyDescent="0.2">
      <c r="A438" s="59">
        <f t="shared" si="13"/>
        <v>38</v>
      </c>
      <c r="B438" s="449" t="str">
        <f t="shared" si="20"/>
        <v>Juodųjų ir spalvotųjų metalų, įskaitant antrinį aliuminį, gamyba ar apdirbimas</v>
      </c>
      <c r="C438" s="72" t="str">
        <f t="shared" si="20"/>
        <v>(Ne)spalvotieji, antrinis aliuminis</v>
      </c>
      <c r="D438" s="72" t="str">
        <f t="shared" si="20"/>
        <v>Masės balanso metodika</v>
      </c>
      <c r="E438" s="72"/>
      <c r="F438" s="441" t="str">
        <f t="shared" si="9"/>
        <v>Masės balansas</v>
      </c>
      <c r="G438" s="425" t="str">
        <f>EUconst_NA</f>
        <v>netaik.</v>
      </c>
      <c r="H438" s="442"/>
      <c r="I438" s="442"/>
      <c r="J438" s="444"/>
      <c r="K438" s="444"/>
      <c r="L438" s="442"/>
      <c r="M438" s="443"/>
      <c r="N438" s="425" t="str">
        <f t="shared" si="15"/>
        <v>netaik.</v>
      </c>
      <c r="O438" s="427" t="str">
        <f t="shared" si="11"/>
        <v>(Ne)spalvotieji, antrinis aliuminis: Masės balanso metodika</v>
      </c>
      <c r="P438" s="72"/>
      <c r="Q438" s="435" t="str">
        <f t="shared" si="12"/>
        <v>EF_(Ne)spalvotieji, antrinis aliuminis: Masės balanso metodika</v>
      </c>
      <c r="X438" s="59" t="b">
        <f t="shared" si="19"/>
        <v>1</v>
      </c>
      <c r="Z438" s="70" t="str">
        <f>EUconst_NA</f>
        <v>netaik.</v>
      </c>
      <c r="AA438" s="95"/>
      <c r="AB438" s="95"/>
      <c r="AC438" s="55"/>
      <c r="AD438" s="55"/>
      <c r="AE438" s="95"/>
      <c r="AF438" s="63"/>
      <c r="AG438" s="70" t="str">
        <f t="shared" si="17"/>
        <v>netaik.</v>
      </c>
    </row>
    <row r="439" spans="1:40" ht="12.75" customHeight="1" outlineLevel="1" x14ac:dyDescent="0.2">
      <c r="A439" s="59">
        <f t="shared" si="13"/>
        <v>39</v>
      </c>
      <c r="B439" s="449" t="str">
        <f t="shared" si="20"/>
        <v>Natrio karbonato ir natrio hidrokarbonato gamyba</v>
      </c>
      <c r="C439" s="72" t="str">
        <f t="shared" si="20"/>
        <v>Natrio karbonatas / natrio hidrokarbonatas</v>
      </c>
      <c r="D439" s="72" t="str">
        <f t="shared" si="20"/>
        <v>Masės balanso metodika</v>
      </c>
      <c r="E439" s="72"/>
      <c r="F439" s="441" t="str">
        <f t="shared" si="9"/>
        <v>Masės balansas</v>
      </c>
      <c r="G439" s="425" t="str">
        <f>EUconst_NA</f>
        <v>netaik.</v>
      </c>
      <c r="H439" s="442"/>
      <c r="I439" s="442"/>
      <c r="J439" s="444"/>
      <c r="K439" s="444"/>
      <c r="L439" s="442"/>
      <c r="M439" s="443"/>
      <c r="N439" s="425" t="str">
        <f t="shared" si="15"/>
        <v>netaik.</v>
      </c>
      <c r="O439" s="427" t="str">
        <f t="shared" si="11"/>
        <v>Natrio karbonatas / natrio hidrokarbonatas: Masės balanso metodika</v>
      </c>
      <c r="P439" s="72"/>
      <c r="Q439" s="435" t="str">
        <f t="shared" si="12"/>
        <v>EF_Natrio karbonatas / natrio hidrokarbonatas: Masės balanso metodika</v>
      </c>
      <c r="X439" s="59" t="b">
        <f t="shared" si="19"/>
        <v>1</v>
      </c>
      <c r="Z439" s="70" t="str">
        <f>EUconst_NA</f>
        <v>netaik.</v>
      </c>
      <c r="AA439" s="95"/>
      <c r="AB439" s="95"/>
      <c r="AC439" s="55"/>
      <c r="AD439" s="55"/>
      <c r="AE439" s="95"/>
      <c r="AF439" s="63"/>
      <c r="AG439" s="70" t="str">
        <f t="shared" si="17"/>
        <v>netaik.</v>
      </c>
    </row>
    <row r="440" spans="1:40" ht="12.75" customHeight="1" outlineLevel="1" x14ac:dyDescent="0.2">
      <c r="A440" s="59">
        <f t="shared" si="13"/>
        <v>40</v>
      </c>
      <c r="B440" s="449" t="str">
        <f t="shared" si="20"/>
        <v>Pirminio aliuminio gamyba</v>
      </c>
      <c r="C440" s="72" t="str">
        <f t="shared" si="20"/>
        <v>Pirminis aliuminis</v>
      </c>
      <c r="D440" s="72" t="str">
        <f t="shared" si="20"/>
        <v>Masės balanso metodika</v>
      </c>
      <c r="E440" s="72"/>
      <c r="F440" s="441" t="str">
        <f t="shared" si="9"/>
        <v>Masės balansas</v>
      </c>
      <c r="G440" s="425" t="str">
        <f>EUconst_NA</f>
        <v>netaik.</v>
      </c>
      <c r="H440" s="442"/>
      <c r="I440" s="442"/>
      <c r="J440" s="444"/>
      <c r="K440" s="444"/>
      <c r="L440" s="442"/>
      <c r="M440" s="443"/>
      <c r="N440" s="425" t="str">
        <f t="shared" si="15"/>
        <v>netaik.</v>
      </c>
      <c r="O440" s="427" t="str">
        <f t="shared" si="11"/>
        <v>Pirminis aliuminis: Masės balanso metodika</v>
      </c>
      <c r="P440" s="72"/>
      <c r="Q440" s="435" t="str">
        <f t="shared" si="12"/>
        <v>EF_Pirminis aliuminis: Masės balanso metodika</v>
      </c>
      <c r="X440" s="59" t="b">
        <f t="shared" si="19"/>
        <v>1</v>
      </c>
      <c r="Z440" s="70" t="str">
        <f>EUconst_NA</f>
        <v>netaik.</v>
      </c>
      <c r="AA440" s="95"/>
      <c r="AB440" s="95"/>
      <c r="AC440" s="55"/>
      <c r="AD440" s="55"/>
      <c r="AE440" s="95"/>
      <c r="AF440" s="63"/>
      <c r="AG440" s="70" t="str">
        <f t="shared" si="17"/>
        <v>netaik.</v>
      </c>
    </row>
    <row r="441" spans="1:40" ht="12.75" customHeight="1" outlineLevel="1" x14ac:dyDescent="0.2">
      <c r="A441" s="59">
        <f t="shared" si="13"/>
        <v>41</v>
      </c>
      <c r="B441" s="449" t="str">
        <f t="shared" ref="B441:D442" si="24">B393</f>
        <v>Pirminio aliuminio gamyba</v>
      </c>
      <c r="C441" s="72" t="str">
        <f t="shared" si="24"/>
        <v>Pirminis aliuminis</v>
      </c>
      <c r="D441" s="72" t="str">
        <f t="shared" si="24"/>
        <v>Išmetamas PFC kiekis (nuolydžio metodas)</v>
      </c>
      <c r="E441" s="72"/>
      <c r="F441" s="441" t="str">
        <f t="shared" si="9"/>
        <v>Išmetamas PFC kiekis</v>
      </c>
      <c r="G441" s="425">
        <v>1</v>
      </c>
      <c r="H441" s="442" t="str">
        <f>H$401</f>
        <v>I tipas</v>
      </c>
      <c r="I441" s="442" t="str">
        <f>Translations!$B$744</f>
        <v>Konkretus ITF</v>
      </c>
      <c r="J441" s="444"/>
      <c r="K441" s="444"/>
      <c r="L441" s="442"/>
      <c r="M441" s="443"/>
      <c r="N441" s="425">
        <f t="shared" si="15"/>
        <v>2</v>
      </c>
      <c r="O441" s="427" t="str">
        <f t="shared" si="11"/>
        <v>Pirminis aliuminis: Išmetamas PFC kiekis (nuolydžio metodas)</v>
      </c>
      <c r="P441" s="72"/>
      <c r="Q441" s="435"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5"/>
      <c r="AD441" s="55"/>
      <c r="AE441" s="95"/>
      <c r="AF441" s="63"/>
      <c r="AG441" s="70">
        <f t="shared" si="17"/>
        <v>2</v>
      </c>
      <c r="AJ441" s="59">
        <v>1</v>
      </c>
      <c r="AK441" s="59">
        <v>2</v>
      </c>
    </row>
    <row r="442" spans="1:40" ht="12.75" customHeight="1" outlineLevel="1" thickBot="1" x14ac:dyDescent="0.25">
      <c r="A442" s="59">
        <f t="shared" si="13"/>
        <v>42</v>
      </c>
      <c r="B442" s="450" t="str">
        <f t="shared" si="24"/>
        <v>Pirminio aliuminio gamyba</v>
      </c>
      <c r="C442" s="438" t="str">
        <f t="shared" si="24"/>
        <v>Pirminis aliuminis</v>
      </c>
      <c r="D442" s="438" t="str">
        <f t="shared" si="24"/>
        <v>Išmetamas PFC kiekis (viršįtampio metodas)</v>
      </c>
      <c r="E442" s="438"/>
      <c r="F442" s="451" t="str">
        <f t="shared" si="9"/>
        <v>Išmetamas PFC kiekis</v>
      </c>
      <c r="G442" s="436">
        <v>1</v>
      </c>
      <c r="H442" s="452" t="str">
        <f>H$401</f>
        <v>I tipas</v>
      </c>
      <c r="I442" s="452" t="str">
        <f>I441</f>
        <v>Konkretus ITF</v>
      </c>
      <c r="J442" s="453"/>
      <c r="K442" s="453"/>
      <c r="L442" s="452"/>
      <c r="M442" s="454"/>
      <c r="N442" s="436">
        <f t="shared" si="15"/>
        <v>2</v>
      </c>
      <c r="O442" s="439" t="str">
        <f t="shared" si="11"/>
        <v>Pirminis aliuminis: Išmetamas PFC kiekis (viršįtampio metodas)</v>
      </c>
      <c r="P442" s="438"/>
      <c r="Q442" s="440"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5"/>
      <c r="AD442" s="55"/>
      <c r="AE442" s="95"/>
      <c r="AF442" s="63"/>
      <c r="AG442" s="70">
        <f t="shared" si="17"/>
        <v>2</v>
      </c>
      <c r="AJ442" s="59">
        <v>1</v>
      </c>
      <c r="AK442" s="59">
        <v>2</v>
      </c>
    </row>
    <row r="443" spans="1:40" ht="12.75" customHeight="1" outlineLevel="1" x14ac:dyDescent="0.2">
      <c r="B443" s="55"/>
      <c r="C443" s="55"/>
      <c r="D443" s="55"/>
      <c r="E443" s="55"/>
      <c r="F443" s="97"/>
      <c r="G443" s="70"/>
      <c r="H443" s="94"/>
      <c r="I443" s="94"/>
      <c r="J443" s="99"/>
      <c r="K443" s="99"/>
      <c r="L443" s="94"/>
      <c r="M443" s="98"/>
      <c r="N443" s="70"/>
      <c r="O443" s="92"/>
      <c r="P443" s="55"/>
      <c r="Q443" s="55"/>
      <c r="X443" s="59" t="b">
        <f t="shared" si="19"/>
        <v>0</v>
      </c>
      <c r="Z443" s="70"/>
      <c r="AA443" s="94"/>
      <c r="AB443" s="94"/>
      <c r="AC443" s="55"/>
      <c r="AD443" s="55"/>
      <c r="AE443" s="95"/>
      <c r="AF443" s="63"/>
      <c r="AG443" s="70"/>
    </row>
    <row r="444" spans="1:40" ht="12.75" customHeight="1" outlineLevel="1" x14ac:dyDescent="0.2">
      <c r="B444" s="55" t="s">
        <v>93</v>
      </c>
      <c r="C444" s="55"/>
      <c r="D444" s="55"/>
      <c r="E444" s="55"/>
      <c r="F444" s="55"/>
      <c r="G444" s="55"/>
      <c r="H444" s="94" t="str">
        <f>Translations!$B$920</f>
        <v>Laboratoriniai ir stechiometriniai</v>
      </c>
      <c r="I444" s="94"/>
      <c r="J444" s="99"/>
      <c r="K444" s="99"/>
      <c r="L444" s="94"/>
      <c r="M444" s="98"/>
      <c r="N444" s="70"/>
      <c r="O444" s="55"/>
      <c r="P444" s="55"/>
      <c r="Q444" s="55"/>
      <c r="X444" s="59" t="b">
        <f t="shared" si="19"/>
        <v>0</v>
      </c>
      <c r="Z444" s="55"/>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5"/>
      <c r="AD444" s="55"/>
      <c r="AE444" s="95"/>
      <c r="AF444" s="63"/>
      <c r="AG444" s="70"/>
      <c r="AJ444" s="59">
        <v>2</v>
      </c>
    </row>
    <row r="445" spans="1:40" ht="12.75" customHeight="1" outlineLevel="1" x14ac:dyDescent="0.2">
      <c r="B445" s="55" t="s">
        <v>94</v>
      </c>
      <c r="C445" s="55"/>
      <c r="D445" s="55"/>
      <c r="E445" s="55"/>
      <c r="F445" s="55"/>
      <c r="G445" s="55"/>
      <c r="H445" s="94" t="str">
        <f>Translations!$B$653</f>
        <v>I tipas</v>
      </c>
      <c r="I445" s="94" t="str">
        <f>Translations!$B$654</f>
        <v>II tipas</v>
      </c>
      <c r="J445" s="99"/>
      <c r="K445" s="99"/>
      <c r="L445" s="94" t="str">
        <f>Translations!$B$920</f>
        <v>Laboratoriniai ir stechiometriniai</v>
      </c>
      <c r="M445" s="98"/>
      <c r="N445" s="70"/>
      <c r="O445" s="55"/>
      <c r="P445" s="55"/>
      <c r="Q445" s="55"/>
      <c r="X445" s="59" t="b">
        <f t="shared" si="19"/>
        <v>0</v>
      </c>
      <c r="Z445" s="55"/>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5"/>
      <c r="AE445" s="95"/>
      <c r="AF445" s="63"/>
      <c r="AG445" s="70"/>
      <c r="AJ445" s="59">
        <v>1</v>
      </c>
      <c r="AK445" s="59">
        <v>2</v>
      </c>
      <c r="AN445" s="59">
        <v>2</v>
      </c>
    </row>
    <row r="446" spans="1:40" ht="12.75" customHeight="1" outlineLevel="1" x14ac:dyDescent="0.2">
      <c r="B446" s="55" t="str">
        <f>Translations!$B$431</f>
        <v>masių balansas</v>
      </c>
      <c r="C446" s="55"/>
      <c r="D446" s="55"/>
      <c r="E446" s="55"/>
      <c r="F446" s="55"/>
      <c r="G446" s="55"/>
      <c r="H446" s="100" t="str">
        <f>EUconst_NA</f>
        <v>netaik.</v>
      </c>
      <c r="I446" s="100" t="str">
        <f>EUconst_NA</f>
        <v>netaik.</v>
      </c>
      <c r="J446" s="99"/>
      <c r="K446" s="99"/>
      <c r="L446" s="100" t="str">
        <f>EUconst_NA</f>
        <v>netaik.</v>
      </c>
      <c r="M446" s="98"/>
      <c r="N446" s="70"/>
      <c r="O446" s="55"/>
      <c r="P446" s="55"/>
      <c r="Q446" s="55"/>
      <c r="X446" s="59" t="b">
        <f t="shared" si="19"/>
        <v>0</v>
      </c>
      <c r="Z446" s="55"/>
      <c r="AA446" s="70" t="str">
        <f>EUconst_NA</f>
        <v>netaik.</v>
      </c>
      <c r="AB446" s="70" t="str">
        <f>EUconst_NA</f>
        <v>netaik.</v>
      </c>
      <c r="AC446" s="55"/>
      <c r="AD446" s="55"/>
      <c r="AE446" s="70" t="str">
        <f>EUconst_NA</f>
        <v>netaik.</v>
      </c>
      <c r="AF446" s="63"/>
      <c r="AG446" s="70"/>
      <c r="AJ446" s="59" t="str">
        <f>EUconst_NA</f>
        <v>netaik.</v>
      </c>
      <c r="AK446" s="59" t="str">
        <f>EUconst_NA</f>
        <v>netaik.</v>
      </c>
      <c r="AN446" s="59" t="str">
        <f>EUconst_NA</f>
        <v>netaik.</v>
      </c>
    </row>
    <row r="447" spans="1:40" ht="12.75" customHeight="1" outlineLevel="1" x14ac:dyDescent="0.2">
      <c r="B447" s="55"/>
      <c r="C447" s="55"/>
      <c r="D447" s="55"/>
      <c r="E447" s="55"/>
      <c r="F447" s="55"/>
      <c r="G447" s="55"/>
      <c r="H447" s="94"/>
      <c r="I447" s="94"/>
      <c r="J447" s="99"/>
      <c r="K447" s="99"/>
      <c r="L447" s="94"/>
      <c r="M447" s="98"/>
      <c r="N447" s="70"/>
      <c r="O447" s="55"/>
      <c r="P447" s="55"/>
      <c r="Q447" s="55"/>
      <c r="X447" s="59" t="b">
        <f t="shared" si="19"/>
        <v>0</v>
      </c>
      <c r="Z447" s="55"/>
      <c r="AA447" s="95"/>
      <c r="AB447" s="95"/>
      <c r="AC447" s="55"/>
      <c r="AD447" s="55"/>
      <c r="AE447" s="95"/>
      <c r="AF447" s="63"/>
      <c r="AG447" s="70"/>
    </row>
    <row r="448" spans="1:40" s="86" customFormat="1" ht="12.75" customHeight="1" thickBot="1" x14ac:dyDescent="0.25">
      <c r="B448" s="96" t="str">
        <f>Translations!$B$468</f>
        <v>GŠV</v>
      </c>
      <c r="F448" s="96" t="str">
        <f>F400</f>
        <v>Šaltinio tipas</v>
      </c>
      <c r="G448" s="89" t="str">
        <f>Translations!$B$338</f>
        <v>Mažiausiai</v>
      </c>
      <c r="H448" s="101">
        <v>1</v>
      </c>
      <c r="I448" s="101">
        <v>2</v>
      </c>
      <c r="J448" s="101" t="s">
        <v>262</v>
      </c>
      <c r="K448" s="101" t="str">
        <f>Translations!$B$306</f>
        <v>2b</v>
      </c>
      <c r="L448" s="101">
        <v>3</v>
      </c>
      <c r="M448" s="102"/>
      <c r="N448" s="89" t="str">
        <f>Translations!$B$339</f>
        <v>Didžiausia</v>
      </c>
      <c r="X448" s="80"/>
      <c r="Z448" s="89" t="str">
        <f>Translations!$B$338</f>
        <v>Mažiausiai</v>
      </c>
      <c r="AA448" s="89">
        <v>1</v>
      </c>
      <c r="AB448" s="89">
        <v>2</v>
      </c>
      <c r="AC448" s="89" t="s">
        <v>262</v>
      </c>
      <c r="AD448" s="89" t="str">
        <f>Translations!$B$306</f>
        <v>2b</v>
      </c>
      <c r="AE448" s="89">
        <v>3</v>
      </c>
      <c r="AF448" s="90"/>
      <c r="AG448" s="89" t="str">
        <f>Translations!$B$339</f>
        <v>Didžiausia</v>
      </c>
      <c r="AI448" s="96" t="str">
        <f>Translations!$B$433</f>
        <v>numatytoji vertė?</v>
      </c>
      <c r="AJ448" s="89">
        <v>1</v>
      </c>
      <c r="AK448" s="89">
        <v>2</v>
      </c>
      <c r="AL448" s="89" t="s">
        <v>262</v>
      </c>
      <c r="AM448" s="89" t="str">
        <f>Translations!$B$306</f>
        <v>2b</v>
      </c>
      <c r="AN448" s="89">
        <v>3</v>
      </c>
    </row>
    <row r="449" spans="1:40" ht="12.75" customHeight="1" outlineLevel="1" x14ac:dyDescent="0.2">
      <c r="A449" s="59">
        <f>A401</f>
        <v>1</v>
      </c>
      <c r="B449" s="445" t="str">
        <f t="shared" ref="B449:D468" si="25">B401</f>
        <v>Kuro deginimas ir kaip proceso žaliava naudojamas kuras</v>
      </c>
      <c r="C449" s="432" t="str">
        <f t="shared" si="25"/>
        <v>Degimas</v>
      </c>
      <c r="D449" s="432" t="str">
        <f t="shared" si="25"/>
        <v>Komercinis standartinių rūšių kuras</v>
      </c>
      <c r="E449" s="432"/>
      <c r="F449" s="446" t="str">
        <f>F401</f>
        <v>Degimas</v>
      </c>
      <c r="G449" s="430" t="s">
        <v>75</v>
      </c>
      <c r="H449" s="447" t="str">
        <f>Translations!$B$653</f>
        <v>I tipas</v>
      </c>
      <c r="I449" s="447"/>
      <c r="J449" s="447" t="str">
        <f>Translations!$B$654</f>
        <v>II tipas</v>
      </c>
      <c r="K449" s="690" t="str">
        <f>Translations!$B$658</f>
        <v>Pirkimo dokumentai</v>
      </c>
      <c r="L449" s="447" t="str">
        <f>Translations!$B$912</f>
        <v>Laboratoriniai tyrimai</v>
      </c>
      <c r="M449" s="448"/>
      <c r="N449" s="430" t="str">
        <f>G449</f>
        <v>2a/2b</v>
      </c>
      <c r="O449" s="433" t="str">
        <f t="shared" ref="O449:O490" si="26">C449 &amp; ": " &amp;D449</f>
        <v>Degimas: Komercinis standartinių rūšių kuras</v>
      </c>
      <c r="P449" s="432"/>
      <c r="Q449" s="434"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9">
        <v>1</v>
      </c>
      <c r="AN449" s="59">
        <v>2</v>
      </c>
    </row>
    <row r="450" spans="1:40" ht="12.75" customHeight="1" outlineLevel="1" x14ac:dyDescent="0.2">
      <c r="A450" s="59">
        <f t="shared" ref="A450:A490" si="28">A402</f>
        <v>2</v>
      </c>
      <c r="B450" s="449" t="str">
        <f t="shared" si="25"/>
        <v>Kuro deginimas ir kaip proceso žaliava naudojamas kuras</v>
      </c>
      <c r="C450" s="72" t="str">
        <f t="shared" si="25"/>
        <v>Degimas</v>
      </c>
      <c r="D450" s="72" t="str">
        <f t="shared" si="25"/>
        <v>Kitas dujinis ir skystasis kuras</v>
      </c>
      <c r="E450" s="72"/>
      <c r="F450" s="441" t="str">
        <f t="shared" ref="F450:F490" si="29">F402</f>
        <v>Degimas</v>
      </c>
      <c r="G450" s="425" t="s">
        <v>75</v>
      </c>
      <c r="H450" s="442" t="str">
        <f>H$449</f>
        <v>I tipas</v>
      </c>
      <c r="I450" s="442"/>
      <c r="J450" s="442" t="str">
        <f t="shared" ref="J450:L453" si="30">J$449</f>
        <v>II tipas</v>
      </c>
      <c r="K450" s="688" t="str">
        <f>Translations!$B$658</f>
        <v>Pirkimo dokumentai</v>
      </c>
      <c r="L450" s="442" t="str">
        <f t="shared" si="30"/>
        <v>Laboratoriniai tyrimai</v>
      </c>
      <c r="M450" s="443"/>
      <c r="N450" s="425">
        <f t="shared" ref="N450:N490" si="31">IF(G450=EUconst_NA,EUconst_NA,IF(ISBLANK(J450),COUNTA(H450:M450),COUNTA(H450,J450,L450)))</f>
        <v>3</v>
      </c>
      <c r="O450" s="427" t="str">
        <f t="shared" si="26"/>
        <v>Degimas: Kitas dujinis ir skystasis kuras</v>
      </c>
      <c r="P450" s="72"/>
      <c r="Q450" s="435"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9">
        <v>1</v>
      </c>
      <c r="AN450" s="59">
        <f t="shared" si="34"/>
        <v>2</v>
      </c>
    </row>
    <row r="451" spans="1:40" ht="12.75" customHeight="1" outlineLevel="1" x14ac:dyDescent="0.2">
      <c r="A451" s="59">
        <f t="shared" si="28"/>
        <v>3</v>
      </c>
      <c r="B451" s="449" t="str">
        <f t="shared" si="25"/>
        <v>Kuro deginimas ir kaip proceso žaliava naudojamas kuras</v>
      </c>
      <c r="C451" s="72" t="str">
        <f t="shared" si="25"/>
        <v>Degimas</v>
      </c>
      <c r="D451" s="72" t="str">
        <f t="shared" si="25"/>
        <v>Kietasis kuras</v>
      </c>
      <c r="E451" s="72"/>
      <c r="F451" s="441" t="str">
        <f t="shared" si="29"/>
        <v>Degimas</v>
      </c>
      <c r="G451" s="425" t="s">
        <v>75</v>
      </c>
      <c r="H451" s="442" t="str">
        <f>H$449</f>
        <v>I tipas</v>
      </c>
      <c r="I451" s="442"/>
      <c r="J451" s="442" t="str">
        <f t="shared" si="30"/>
        <v>II tipas</v>
      </c>
      <c r="K451" s="688" t="str">
        <f>Translations!$B$658</f>
        <v>Pirkimo dokumentai</v>
      </c>
      <c r="L451" s="442" t="str">
        <f t="shared" si="30"/>
        <v>Laboratoriniai tyrimai</v>
      </c>
      <c r="M451" s="443"/>
      <c r="N451" s="425">
        <f t="shared" si="31"/>
        <v>3</v>
      </c>
      <c r="O451" s="427" t="str">
        <f t="shared" si="26"/>
        <v>Degimas: Kietasis kuras</v>
      </c>
      <c r="P451" s="72"/>
      <c r="Q451" s="435"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9">
        <v>1</v>
      </c>
      <c r="AN451" s="59">
        <f t="shared" si="34"/>
        <v>2</v>
      </c>
    </row>
    <row r="452" spans="1:40" ht="12.75" customHeight="1" outlineLevel="1" x14ac:dyDescent="0.2">
      <c r="A452" s="59">
        <f t="shared" si="28"/>
        <v>4</v>
      </c>
      <c r="B452" s="449" t="str">
        <f t="shared" si="25"/>
        <v>Kuro deginimas ir kaip proceso žaliava naudojamas kuras</v>
      </c>
      <c r="C452" s="72" t="str">
        <f t="shared" si="25"/>
        <v>Degimas</v>
      </c>
      <c r="D452" s="72" t="str">
        <f t="shared" si="25"/>
        <v>Dujų perdirbimo terminalai</v>
      </c>
      <c r="E452" s="72"/>
      <c r="F452" s="441" t="str">
        <f t="shared" si="29"/>
        <v>Masės balansas</v>
      </c>
      <c r="G452" s="425"/>
      <c r="H452" s="442" t="str">
        <f>H$494</f>
        <v>I tipas</v>
      </c>
      <c r="I452" s="442"/>
      <c r="J452" s="442" t="str">
        <f>J$494</f>
        <v>II tipas</v>
      </c>
      <c r="K452" s="688" t="str">
        <f>Translations!$B$658</f>
        <v>Pirkimo dokumentai</v>
      </c>
      <c r="L452" s="442" t="str">
        <f>L$494</f>
        <v>Laboratoriniai tyrimai</v>
      </c>
      <c r="M452" s="443"/>
      <c r="N452" s="425">
        <f t="shared" si="31"/>
        <v>3</v>
      </c>
      <c r="O452" s="427" t="str">
        <f t="shared" si="26"/>
        <v>Degimas: Dujų perdirbimo terminalai</v>
      </c>
      <c r="P452" s="72"/>
      <c r="Q452" s="435"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9">
        <v>1</v>
      </c>
      <c r="AN452" s="59">
        <f>AN$494</f>
        <v>2</v>
      </c>
    </row>
    <row r="453" spans="1:40" ht="12.75" customHeight="1" outlineLevel="1" x14ac:dyDescent="0.2">
      <c r="A453" s="59">
        <f t="shared" si="28"/>
        <v>5</v>
      </c>
      <c r="B453" s="449" t="str">
        <f t="shared" si="25"/>
        <v>Kuro deginimas ir kaip proceso žaliava naudojamas kuras</v>
      </c>
      <c r="C453" s="72" t="str">
        <f t="shared" si="25"/>
        <v>Degimas</v>
      </c>
      <c r="D453" s="72" t="str">
        <f t="shared" si="25"/>
        <v>Fakelai</v>
      </c>
      <c r="E453" s="425"/>
      <c r="F453" s="441" t="str">
        <f t="shared" si="29"/>
        <v>Degimas</v>
      </c>
      <c r="G453" s="425" t="str">
        <f>""</f>
        <v/>
      </c>
      <c r="H453" s="442" t="str">
        <f>H$449</f>
        <v>I tipas</v>
      </c>
      <c r="I453" s="442"/>
      <c r="J453" s="442" t="str">
        <f t="shared" si="30"/>
        <v>II tipas</v>
      </c>
      <c r="K453" s="688" t="str">
        <f>Translations!$B$658</f>
        <v>Pirkimo dokumentai</v>
      </c>
      <c r="L453" s="442" t="str">
        <f t="shared" si="30"/>
        <v>Laboratoriniai tyrimai</v>
      </c>
      <c r="M453" s="443"/>
      <c r="N453" s="425">
        <f t="shared" si="31"/>
        <v>3</v>
      </c>
      <c r="O453" s="427" t="str">
        <f t="shared" si="26"/>
        <v>Degimas: Fakelai</v>
      </c>
      <c r="P453" s="72"/>
      <c r="Q453" s="435"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9">
        <v>1</v>
      </c>
      <c r="AN453" s="59">
        <f t="shared" si="34"/>
        <v>2</v>
      </c>
    </row>
    <row r="454" spans="1:40" ht="12.75" customHeight="1" outlineLevel="1" x14ac:dyDescent="0.2">
      <c r="A454" s="59">
        <f t="shared" si="28"/>
        <v>6</v>
      </c>
      <c r="B454" s="449" t="str">
        <f t="shared" si="25"/>
        <v>Kuro deginimas ir kaip proceso žaliava naudojamas kuras</v>
      </c>
      <c r="C454" s="72" t="str">
        <f t="shared" si="25"/>
        <v>Degimas</v>
      </c>
      <c r="D454" s="72" t="str">
        <f t="shared" si="25"/>
        <v>Dujų plovimas (karbonatai)</v>
      </c>
      <c r="E454" s="72"/>
      <c r="F454" s="441" t="str">
        <f t="shared" si="29"/>
        <v>Proceso metu išsiskiriančios ŠESD</v>
      </c>
      <c r="G454" s="425" t="str">
        <f t="shared" ref="G454:G466" si="35">EUconst_NA</f>
        <v>netaik.</v>
      </c>
      <c r="H454" s="442"/>
      <c r="I454" s="442"/>
      <c r="J454" s="444"/>
      <c r="K454" s="691"/>
      <c r="L454" s="442"/>
      <c r="M454" s="443"/>
      <c r="N454" s="425" t="str">
        <f t="shared" si="31"/>
        <v>netaik.</v>
      </c>
      <c r="O454" s="427" t="str">
        <f t="shared" si="26"/>
        <v>Degimas: Dujų plovimas (karbonatai)</v>
      </c>
      <c r="P454" s="72"/>
      <c r="Q454" s="435" t="str">
        <f t="shared" si="27"/>
        <v>NCV_Degimas: Dujų plovimas (karbonatai)</v>
      </c>
      <c r="X454" s="59" t="b">
        <f t="shared" si="19"/>
        <v>1</v>
      </c>
      <c r="Z454" s="70" t="str">
        <f t="shared" ref="Z454:Z466" si="36">EUconst_NA</f>
        <v>netaik.</v>
      </c>
      <c r="AA454" s="95"/>
      <c r="AB454" s="95"/>
      <c r="AC454" s="55"/>
      <c r="AD454" s="55"/>
      <c r="AE454" s="95"/>
      <c r="AF454" s="63"/>
      <c r="AG454" s="70" t="str">
        <f t="shared" si="33"/>
        <v>netaik.</v>
      </c>
      <c r="AM454" s="689"/>
    </row>
    <row r="455" spans="1:40" ht="12.75" customHeight="1" outlineLevel="1" x14ac:dyDescent="0.2">
      <c r="A455" s="59">
        <f t="shared" si="28"/>
        <v>7</v>
      </c>
      <c r="B455" s="449" t="str">
        <f t="shared" si="25"/>
        <v>Kuro deginimas ir kaip proceso žaliava naudojamas kuras</v>
      </c>
      <c r="C455" s="72" t="str">
        <f t="shared" si="25"/>
        <v>Degimas</v>
      </c>
      <c r="D455" s="72" t="str">
        <f t="shared" si="25"/>
        <v>Dujų plovimas (gipsas)</v>
      </c>
      <c r="E455" s="72"/>
      <c r="F455" s="441" t="str">
        <f t="shared" si="29"/>
        <v>Proceso metu išsiskiriančios ŠESD</v>
      </c>
      <c r="G455" s="425" t="str">
        <f t="shared" si="35"/>
        <v>netaik.</v>
      </c>
      <c r="H455" s="442"/>
      <c r="I455" s="442"/>
      <c r="J455" s="444"/>
      <c r="K455" s="691"/>
      <c r="L455" s="442"/>
      <c r="M455" s="443"/>
      <c r="N455" s="425" t="str">
        <f t="shared" si="31"/>
        <v>netaik.</v>
      </c>
      <c r="O455" s="427" t="str">
        <f t="shared" si="26"/>
        <v>Degimas: Dujų plovimas (gipsas)</v>
      </c>
      <c r="P455" s="72"/>
      <c r="Q455" s="435" t="str">
        <f t="shared" si="27"/>
        <v>NCV_Degimas: Dujų plovimas (gipsas)</v>
      </c>
      <c r="X455" s="59" t="b">
        <f t="shared" si="19"/>
        <v>1</v>
      </c>
      <c r="Z455" s="70" t="str">
        <f t="shared" si="36"/>
        <v>netaik.</v>
      </c>
      <c r="AA455" s="95"/>
      <c r="AB455" s="95"/>
      <c r="AC455" s="55"/>
      <c r="AD455" s="55"/>
      <c r="AE455" s="95"/>
      <c r="AF455" s="63"/>
      <c r="AG455" s="70" t="str">
        <f t="shared" si="33"/>
        <v>netaik.</v>
      </c>
      <c r="AM455" s="689"/>
    </row>
    <row r="456" spans="1:40" ht="12.75" customHeight="1" outlineLevel="1" x14ac:dyDescent="0.2">
      <c r="A456" s="59">
        <f t="shared" si="28"/>
        <v>8</v>
      </c>
      <c r="B456" s="449" t="str">
        <f t="shared" si="25"/>
        <v xml:space="preserve">Naftos perdirbimas </v>
      </c>
      <c r="C456" s="72" t="str">
        <f t="shared" si="25"/>
        <v>Naftos perdirbimo įrenginiai</v>
      </c>
      <c r="D456" s="72" t="str">
        <f t="shared" si="25"/>
        <v>Masės balansas</v>
      </c>
      <c r="E456" s="72"/>
      <c r="F456" s="441" t="str">
        <f t="shared" si="29"/>
        <v>Masės balansas</v>
      </c>
      <c r="G456" s="425" t="str">
        <f>""</f>
        <v/>
      </c>
      <c r="H456" s="442" t="str">
        <f>H$494</f>
        <v>I tipas</v>
      </c>
      <c r="I456" s="442"/>
      <c r="J456" s="442" t="str">
        <f t="shared" ref="J456:L457" si="37">J$494</f>
        <v>II tipas</v>
      </c>
      <c r="K456" s="688" t="str">
        <f>Translations!$B$658</f>
        <v>Pirkimo dokumentai</v>
      </c>
      <c r="L456" s="442" t="str">
        <f t="shared" si="37"/>
        <v>Laboratoriniai tyrimai</v>
      </c>
      <c r="M456" s="443"/>
      <c r="N456" s="425">
        <f t="shared" si="31"/>
        <v>3</v>
      </c>
      <c r="O456" s="427" t="str">
        <f t="shared" si="26"/>
        <v>Naftos perdirbimo įrenginiai: Masės balansas</v>
      </c>
      <c r="P456" s="72"/>
      <c r="Q456" s="435"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9">
        <v>1</v>
      </c>
      <c r="AN456" s="59">
        <f t="shared" si="39"/>
        <v>2</v>
      </c>
    </row>
    <row r="457" spans="1:40" ht="12.75" customHeight="1" outlineLevel="1" x14ac:dyDescent="0.2">
      <c r="A457" s="59">
        <f t="shared" si="28"/>
        <v>9</v>
      </c>
      <c r="B457" s="449" t="str">
        <f t="shared" si="25"/>
        <v xml:space="preserve">Naftos perdirbimas </v>
      </c>
      <c r="C457" s="72" t="str">
        <f t="shared" si="25"/>
        <v>Naftos perdirbimo įrenginiai</v>
      </c>
      <c r="D457" s="72" t="str">
        <f t="shared" si="25"/>
        <v>Regeneravimas katalizinio krekingo įrenginiu</v>
      </c>
      <c r="E457" s="72"/>
      <c r="F457" s="441" t="str">
        <f t="shared" si="29"/>
        <v>Masės balansas</v>
      </c>
      <c r="G457" s="425" t="str">
        <f>""</f>
        <v/>
      </c>
      <c r="H457" s="442" t="str">
        <f>H$494</f>
        <v>I tipas</v>
      </c>
      <c r="I457" s="442"/>
      <c r="J457" s="442" t="str">
        <f t="shared" si="37"/>
        <v>II tipas</v>
      </c>
      <c r="K457" s="688" t="str">
        <f>Translations!$B$658</f>
        <v>Pirkimo dokumentai</v>
      </c>
      <c r="L457" s="442" t="str">
        <f t="shared" si="37"/>
        <v>Laboratoriniai tyrimai</v>
      </c>
      <c r="M457" s="443"/>
      <c r="N457" s="425">
        <f t="shared" si="31"/>
        <v>3</v>
      </c>
      <c r="O457" s="427" t="str">
        <f t="shared" si="26"/>
        <v>Naftos perdirbimo įrenginiai: Regeneravimas katalizinio krekingo įrenginiu</v>
      </c>
      <c r="P457" s="72"/>
      <c r="Q457" s="435"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9">
        <v>1</v>
      </c>
      <c r="AN457" s="59">
        <f t="shared" si="39"/>
        <v>2</v>
      </c>
    </row>
    <row r="458" spans="1:40" ht="12.75" customHeight="1" outlineLevel="1" x14ac:dyDescent="0.2">
      <c r="A458" s="59">
        <f t="shared" si="28"/>
        <v>10</v>
      </c>
      <c r="B458" s="449" t="str">
        <f t="shared" si="25"/>
        <v xml:space="preserve">Naftos perdirbimas </v>
      </c>
      <c r="C458" s="72" t="str">
        <f t="shared" si="25"/>
        <v>Naftos perdirbimo įrenginiai</v>
      </c>
      <c r="D458" s="72" t="str">
        <f t="shared" si="25"/>
        <v>Vandenilio gamyba</v>
      </c>
      <c r="E458" s="72"/>
      <c r="F458" s="441" t="str">
        <f t="shared" si="29"/>
        <v>Proceso metu išsiskiriančios ŠESD</v>
      </c>
      <c r="G458" s="425" t="str">
        <f t="shared" si="35"/>
        <v>netaik.</v>
      </c>
      <c r="H458" s="442"/>
      <c r="I458" s="442"/>
      <c r="J458" s="444"/>
      <c r="K458" s="691"/>
      <c r="L458" s="442"/>
      <c r="M458" s="443"/>
      <c r="N458" s="425" t="str">
        <f t="shared" si="31"/>
        <v>netaik.</v>
      </c>
      <c r="O458" s="427" t="str">
        <f t="shared" si="26"/>
        <v>Naftos perdirbimo įrenginiai: Vandenilio gamyba</v>
      </c>
      <c r="P458" s="72"/>
      <c r="Q458" s="435" t="str">
        <f t="shared" si="27"/>
        <v>NCV_Naftos perdirbimo įrenginiai: Vandenilio gamyba</v>
      </c>
      <c r="X458" s="59" t="b">
        <f t="shared" si="19"/>
        <v>1</v>
      </c>
      <c r="Z458" s="70" t="str">
        <f t="shared" si="36"/>
        <v>netaik.</v>
      </c>
      <c r="AA458" s="95"/>
      <c r="AB458" s="95"/>
      <c r="AC458" s="55"/>
      <c r="AD458" s="55"/>
      <c r="AE458" s="95"/>
      <c r="AF458" s="63"/>
      <c r="AG458" s="70" t="str">
        <f t="shared" si="33"/>
        <v>netaik.</v>
      </c>
      <c r="AM458" s="689"/>
    </row>
    <row r="459" spans="1:40" ht="12.75" customHeight="1" outlineLevel="1" x14ac:dyDescent="0.2">
      <c r="A459" s="59">
        <f t="shared" si="28"/>
        <v>11</v>
      </c>
      <c r="B459" s="449" t="str">
        <f t="shared" si="25"/>
        <v>Kokso gamyba</v>
      </c>
      <c r="C459" s="72" t="str">
        <f t="shared" si="25"/>
        <v>Koksas</v>
      </c>
      <c r="D459" s="72" t="str">
        <f t="shared" si="25"/>
        <v>Kuras kaip proceso žaliava</v>
      </c>
      <c r="E459" s="72"/>
      <c r="F459" s="441" t="str">
        <f t="shared" si="29"/>
        <v>Degimas</v>
      </c>
      <c r="G459" s="425" t="str">
        <f>G449</f>
        <v>2a/2b</v>
      </c>
      <c r="H459" s="442" t="str">
        <f>H$449</f>
        <v>I tipas</v>
      </c>
      <c r="I459" s="442"/>
      <c r="J459" s="442" t="str">
        <f>J$449</f>
        <v>II tipas</v>
      </c>
      <c r="K459" s="688" t="str">
        <f>Translations!$B$658</f>
        <v>Pirkimo dokumentai</v>
      </c>
      <c r="L459" s="442" t="str">
        <f>L$449</f>
        <v>Laboratoriniai tyrimai</v>
      </c>
      <c r="M459" s="443"/>
      <c r="N459" s="425">
        <f t="shared" si="31"/>
        <v>3</v>
      </c>
      <c r="O459" s="427" t="str">
        <f t="shared" si="26"/>
        <v>Koksas: Kuras kaip proceso žaliava</v>
      </c>
      <c r="P459" s="72"/>
      <c r="Q459" s="435"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9">
        <v>1</v>
      </c>
      <c r="AN459" s="59">
        <f>AN$449</f>
        <v>2</v>
      </c>
    </row>
    <row r="460" spans="1:40" ht="12.75" customHeight="1" outlineLevel="1" x14ac:dyDescent="0.2">
      <c r="A460" s="59">
        <f t="shared" si="28"/>
        <v>12</v>
      </c>
      <c r="B460" s="449" t="str">
        <f t="shared" si="25"/>
        <v>Kokso gamyba</v>
      </c>
      <c r="C460" s="72" t="str">
        <f t="shared" si="25"/>
        <v>Koksas</v>
      </c>
      <c r="D460" s="72" t="str">
        <f t="shared" si="25"/>
        <v>Karbonatų sąnaudos (A metodas)</v>
      </c>
      <c r="E460" s="72"/>
      <c r="F460" s="441" t="str">
        <f t="shared" si="29"/>
        <v>Proceso metu išsiskiriančios ŠESD</v>
      </c>
      <c r="G460" s="425" t="str">
        <f t="shared" si="35"/>
        <v>netaik.</v>
      </c>
      <c r="H460" s="442"/>
      <c r="I460" s="442"/>
      <c r="J460" s="444"/>
      <c r="K460" s="691"/>
      <c r="L460" s="442"/>
      <c r="M460" s="443"/>
      <c r="N460" s="425" t="str">
        <f t="shared" si="31"/>
        <v>netaik.</v>
      </c>
      <c r="O460" s="427" t="str">
        <f t="shared" si="26"/>
        <v>Koksas: Karbonatų sąnaudos (A metodas)</v>
      </c>
      <c r="P460" s="72"/>
      <c r="Q460" s="435" t="str">
        <f t="shared" si="27"/>
        <v>NCV_Koksas: Karbonatų sąnaudos (A metodas)</v>
      </c>
      <c r="X460" s="59" t="b">
        <f t="shared" si="19"/>
        <v>1</v>
      </c>
      <c r="Z460" s="70" t="str">
        <f t="shared" si="36"/>
        <v>netaik.</v>
      </c>
      <c r="AA460" s="95"/>
      <c r="AB460" s="95"/>
      <c r="AC460" s="55"/>
      <c r="AD460" s="55"/>
      <c r="AE460" s="95"/>
      <c r="AF460" s="63"/>
      <c r="AG460" s="70" t="str">
        <f t="shared" si="33"/>
        <v>netaik.</v>
      </c>
      <c r="AM460" s="689"/>
    </row>
    <row r="461" spans="1:40" ht="12.75" customHeight="1" outlineLevel="1" x14ac:dyDescent="0.2">
      <c r="A461" s="59">
        <f t="shared" si="28"/>
        <v>13</v>
      </c>
      <c r="B461" s="449" t="str">
        <f t="shared" si="25"/>
        <v>Kokso gamyba</v>
      </c>
      <c r="C461" s="72" t="str">
        <f t="shared" si="25"/>
        <v>Koksas</v>
      </c>
      <c r="D461" s="72" t="str">
        <f t="shared" si="25"/>
        <v>Oksido išeiga (B metodas)</v>
      </c>
      <c r="E461" s="72"/>
      <c r="F461" s="441" t="str">
        <f t="shared" si="29"/>
        <v>Proceso metu išsiskiriančios ŠESD</v>
      </c>
      <c r="G461" s="425" t="str">
        <f t="shared" si="35"/>
        <v>netaik.</v>
      </c>
      <c r="H461" s="442"/>
      <c r="I461" s="442"/>
      <c r="J461" s="444"/>
      <c r="K461" s="691"/>
      <c r="L461" s="442"/>
      <c r="M461" s="443"/>
      <c r="N461" s="425" t="str">
        <f t="shared" si="31"/>
        <v>netaik.</v>
      </c>
      <c r="O461" s="427" t="str">
        <f t="shared" si="26"/>
        <v>Koksas: Oksido išeiga (B metodas)</v>
      </c>
      <c r="P461" s="72"/>
      <c r="Q461" s="435" t="str">
        <f t="shared" si="27"/>
        <v>NCV_Koksas: Oksido išeiga (B metodas)</v>
      </c>
      <c r="X461" s="59" t="b">
        <f t="shared" si="19"/>
        <v>1</v>
      </c>
      <c r="Z461" s="70" t="str">
        <f t="shared" si="36"/>
        <v>netaik.</v>
      </c>
      <c r="AA461" s="95"/>
      <c r="AB461" s="95"/>
      <c r="AC461" s="55"/>
      <c r="AD461" s="55"/>
      <c r="AE461" s="95"/>
      <c r="AF461" s="63"/>
      <c r="AG461" s="70" t="str">
        <f t="shared" si="33"/>
        <v>netaik.</v>
      </c>
      <c r="AM461" s="689"/>
    </row>
    <row r="462" spans="1:40" ht="12.75" customHeight="1" outlineLevel="1" x14ac:dyDescent="0.2">
      <c r="A462" s="59">
        <f t="shared" si="28"/>
        <v>14</v>
      </c>
      <c r="B462" s="449" t="str">
        <f t="shared" si="25"/>
        <v>Kokso gamyba</v>
      </c>
      <c r="C462" s="72" t="str">
        <f t="shared" si="25"/>
        <v>Koksas</v>
      </c>
      <c r="D462" s="72" t="str">
        <f t="shared" si="25"/>
        <v>Masės balansas</v>
      </c>
      <c r="E462" s="72"/>
      <c r="F462" s="441" t="str">
        <f t="shared" si="29"/>
        <v>Masės balansas</v>
      </c>
      <c r="G462" s="425" t="str">
        <f>""</f>
        <v/>
      </c>
      <c r="H462" s="442" t="str">
        <f>H$494</f>
        <v>I tipas</v>
      </c>
      <c r="I462" s="442"/>
      <c r="J462" s="442" t="str">
        <f>J$494</f>
        <v>II tipas</v>
      </c>
      <c r="K462" s="688" t="str">
        <f>Translations!$B$658</f>
        <v>Pirkimo dokumentai</v>
      </c>
      <c r="L462" s="442" t="str">
        <f>L$494</f>
        <v>Laboratoriniai tyrimai</v>
      </c>
      <c r="M462" s="443"/>
      <c r="N462" s="425">
        <f t="shared" si="31"/>
        <v>3</v>
      </c>
      <c r="O462" s="427" t="str">
        <f t="shared" si="26"/>
        <v>Koksas: Masės balansas</v>
      </c>
      <c r="P462" s="72"/>
      <c r="Q462" s="435"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9">
        <v>1</v>
      </c>
      <c r="AN462" s="59">
        <f>AN$494</f>
        <v>2</v>
      </c>
    </row>
    <row r="463" spans="1:40" ht="12.75" customHeight="1" outlineLevel="1" x14ac:dyDescent="0.2">
      <c r="A463" s="59">
        <f t="shared" si="28"/>
        <v>15</v>
      </c>
      <c r="B463" s="449" t="str">
        <f t="shared" si="25"/>
        <v>Metalo rūdų deginimas ir kepinimas</v>
      </c>
      <c r="C463" s="72" t="str">
        <f t="shared" si="25"/>
        <v>Metalų rūda</v>
      </c>
      <c r="D463" s="72" t="str">
        <f t="shared" si="25"/>
        <v>Karbonatų sąnaudos</v>
      </c>
      <c r="E463" s="72"/>
      <c r="F463" s="441" t="str">
        <f t="shared" si="29"/>
        <v>Proceso metu išsiskiriančios ŠESD</v>
      </c>
      <c r="G463" s="425" t="str">
        <f t="shared" si="35"/>
        <v>netaik.</v>
      </c>
      <c r="H463" s="442"/>
      <c r="I463" s="442"/>
      <c r="J463" s="444"/>
      <c r="K463" s="691"/>
      <c r="L463" s="442"/>
      <c r="M463" s="443"/>
      <c r="N463" s="425" t="str">
        <f t="shared" si="31"/>
        <v>netaik.</v>
      </c>
      <c r="O463" s="427" t="str">
        <f t="shared" si="26"/>
        <v>Metalų rūda: Karbonatų sąnaudos</v>
      </c>
      <c r="P463" s="72"/>
      <c r="Q463" s="435" t="str">
        <f t="shared" si="27"/>
        <v>NCV_Metalų rūda: Karbonatų sąnaudos</v>
      </c>
      <c r="X463" s="59" t="b">
        <f t="shared" si="19"/>
        <v>1</v>
      </c>
      <c r="Z463" s="70" t="str">
        <f t="shared" si="36"/>
        <v>netaik.</v>
      </c>
      <c r="AA463" s="95"/>
      <c r="AB463" s="95"/>
      <c r="AC463" s="55"/>
      <c r="AD463" s="55"/>
      <c r="AE463" s="95"/>
      <c r="AF463" s="63"/>
      <c r="AG463" s="70" t="str">
        <f t="shared" si="33"/>
        <v>netaik.</v>
      </c>
      <c r="AM463" s="689"/>
    </row>
    <row r="464" spans="1:40" ht="12.75" customHeight="1" outlineLevel="1" x14ac:dyDescent="0.2">
      <c r="A464" s="59">
        <f t="shared" si="28"/>
        <v>16</v>
      </c>
      <c r="B464" s="449" t="str">
        <f t="shared" si="25"/>
        <v>Metalo rūdų deginimas ir kepinimas</v>
      </c>
      <c r="C464" s="72" t="str">
        <f t="shared" si="25"/>
        <v>Metalų rūda</v>
      </c>
      <c r="D464" s="72" t="str">
        <f t="shared" si="25"/>
        <v>Masės balansas</v>
      </c>
      <c r="E464" s="72"/>
      <c r="F464" s="441" t="str">
        <f t="shared" si="29"/>
        <v>Masės balansas</v>
      </c>
      <c r="G464" s="425" t="str">
        <f>""</f>
        <v/>
      </c>
      <c r="H464" s="442" t="str">
        <f>H$494</f>
        <v>I tipas</v>
      </c>
      <c r="I464" s="442"/>
      <c r="J464" s="442" t="str">
        <f>J$494</f>
        <v>II tipas</v>
      </c>
      <c r="K464" s="688" t="str">
        <f>Translations!$B$658</f>
        <v>Pirkimo dokumentai</v>
      </c>
      <c r="L464" s="442" t="str">
        <f>L$494</f>
        <v>Laboratoriniai tyrimai</v>
      </c>
      <c r="M464" s="443"/>
      <c r="N464" s="425">
        <f t="shared" si="31"/>
        <v>3</v>
      </c>
      <c r="O464" s="427" t="str">
        <f t="shared" si="26"/>
        <v>Metalų rūda: Masės balansas</v>
      </c>
      <c r="P464" s="72"/>
      <c r="Q464" s="435"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5"/>
      <c r="AD464" s="55"/>
      <c r="AE464" s="95"/>
      <c r="AF464" s="63"/>
      <c r="AG464" s="70" t="str">
        <f t="shared" si="33"/>
        <v>netaik.</v>
      </c>
      <c r="AJ464" s="59">
        <f>AJ$494</f>
        <v>1</v>
      </c>
      <c r="AL464" s="59">
        <f>AL$449</f>
        <v>1</v>
      </c>
      <c r="AM464" s="689">
        <v>1</v>
      </c>
    </row>
    <row r="465" spans="1:40" ht="12.75" customHeight="1" outlineLevel="1" x14ac:dyDescent="0.2">
      <c r="A465" s="59">
        <f t="shared" si="28"/>
        <v>17</v>
      </c>
      <c r="B465" s="449" t="str">
        <f t="shared" si="25"/>
        <v>Geležies ir plieno gamyba</v>
      </c>
      <c r="C465" s="72" t="str">
        <f t="shared" si="25"/>
        <v>Geležis ir plienas</v>
      </c>
      <c r="D465" s="72" t="str">
        <f t="shared" si="25"/>
        <v>Kuras kaip proceso žaliava</v>
      </c>
      <c r="E465" s="72"/>
      <c r="F465" s="441" t="str">
        <f t="shared" si="29"/>
        <v>Degimas</v>
      </c>
      <c r="G465" s="425" t="s">
        <v>75</v>
      </c>
      <c r="H465" s="442" t="str">
        <f>H$449</f>
        <v>I tipas</v>
      </c>
      <c r="I465" s="442"/>
      <c r="J465" s="442" t="str">
        <f>J$449</f>
        <v>II tipas</v>
      </c>
      <c r="K465" s="688" t="str">
        <f>Translations!$B$658</f>
        <v>Pirkimo dokumentai</v>
      </c>
      <c r="L465" s="442" t="str">
        <f>L$449</f>
        <v>Laboratoriniai tyrimai</v>
      </c>
      <c r="M465" s="443"/>
      <c r="N465" s="425">
        <f t="shared" si="31"/>
        <v>3</v>
      </c>
      <c r="O465" s="427" t="str">
        <f t="shared" si="26"/>
        <v>Geležis ir plienas: Kuras kaip proceso žaliava</v>
      </c>
      <c r="P465" s="72"/>
      <c r="Q465" s="435"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9">
        <v>1</v>
      </c>
      <c r="AN465" s="59">
        <f>AN$449</f>
        <v>2</v>
      </c>
    </row>
    <row r="466" spans="1:40" ht="12.75" customHeight="1" outlineLevel="1" x14ac:dyDescent="0.2">
      <c r="A466" s="59">
        <f t="shared" si="28"/>
        <v>18</v>
      </c>
      <c r="B466" s="449" t="str">
        <f t="shared" si="25"/>
        <v>Geležies ir plieno gamyba</v>
      </c>
      <c r="C466" s="72" t="str">
        <f t="shared" si="25"/>
        <v>Geležis ir plienas</v>
      </c>
      <c r="D466" s="72" t="str">
        <f t="shared" si="25"/>
        <v>Karbonatų sąnaudos</v>
      </c>
      <c r="E466" s="72"/>
      <c r="F466" s="441" t="str">
        <f t="shared" si="29"/>
        <v>Proceso metu išsiskiriančios ŠESD</v>
      </c>
      <c r="G466" s="425" t="str">
        <f t="shared" si="35"/>
        <v>netaik.</v>
      </c>
      <c r="H466" s="442"/>
      <c r="I466" s="442"/>
      <c r="J466" s="444"/>
      <c r="K466" s="691"/>
      <c r="L466" s="442"/>
      <c r="M466" s="443"/>
      <c r="N466" s="425" t="str">
        <f t="shared" si="31"/>
        <v>netaik.</v>
      </c>
      <c r="O466" s="427" t="str">
        <f t="shared" si="26"/>
        <v>Geležis ir plienas: Karbonatų sąnaudos</v>
      </c>
      <c r="P466" s="72"/>
      <c r="Q466" s="435" t="str">
        <f t="shared" si="27"/>
        <v>NCV_Geležis ir plienas: Karbonatų sąnaudos</v>
      </c>
      <c r="X466" s="59" t="b">
        <f t="shared" si="19"/>
        <v>1</v>
      </c>
      <c r="Z466" s="70" t="str">
        <f t="shared" si="36"/>
        <v>netaik.</v>
      </c>
      <c r="AA466" s="95"/>
      <c r="AB466" s="95"/>
      <c r="AC466" s="55"/>
      <c r="AD466" s="55"/>
      <c r="AE466" s="95"/>
      <c r="AF466" s="63"/>
      <c r="AG466" s="70" t="str">
        <f t="shared" si="33"/>
        <v>netaik.</v>
      </c>
      <c r="AM466" s="689"/>
    </row>
    <row r="467" spans="1:40" ht="12.75" customHeight="1" outlineLevel="1" x14ac:dyDescent="0.2">
      <c r="A467" s="59">
        <f t="shared" si="28"/>
        <v>19</v>
      </c>
      <c r="B467" s="449" t="str">
        <f t="shared" si="25"/>
        <v>Geležies ir plieno gamyba</v>
      </c>
      <c r="C467" s="72" t="str">
        <f t="shared" si="25"/>
        <v>Geležis ir plienas</v>
      </c>
      <c r="D467" s="72" t="str">
        <f t="shared" si="25"/>
        <v>Masės balansas</v>
      </c>
      <c r="E467" s="72"/>
      <c r="F467" s="441" t="str">
        <f t="shared" si="29"/>
        <v>Masės balansas</v>
      </c>
      <c r="G467" s="425" t="str">
        <f>""</f>
        <v/>
      </c>
      <c r="H467" s="442" t="str">
        <f>H$494</f>
        <v>I tipas</v>
      </c>
      <c r="I467" s="442"/>
      <c r="J467" s="442" t="str">
        <f>J$494</f>
        <v>II tipas</v>
      </c>
      <c r="K467" s="688" t="str">
        <f>Translations!$B$658</f>
        <v>Pirkimo dokumentai</v>
      </c>
      <c r="L467" s="442" t="str">
        <f>L$494</f>
        <v>Laboratoriniai tyrimai</v>
      </c>
      <c r="M467" s="443"/>
      <c r="N467" s="425">
        <f t="shared" si="31"/>
        <v>3</v>
      </c>
      <c r="O467" s="427" t="str">
        <f t="shared" si="26"/>
        <v>Geležis ir plienas: Masės balansas</v>
      </c>
      <c r="P467" s="72"/>
      <c r="Q467" s="435"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9">
        <v>1</v>
      </c>
      <c r="AN467" s="59">
        <f>AN$494</f>
        <v>2</v>
      </c>
    </row>
    <row r="468" spans="1:40" ht="12.75" customHeight="1" outlineLevel="1" x14ac:dyDescent="0.2">
      <c r="A468" s="59">
        <f t="shared" si="28"/>
        <v>20</v>
      </c>
      <c r="B468" s="449" t="str">
        <f t="shared" si="25"/>
        <v>Cemento klinkerio gamyba</v>
      </c>
      <c r="C468" s="72" t="str">
        <f t="shared" si="25"/>
        <v>Cemento klinkeriai</v>
      </c>
      <c r="D468" s="72" t="str">
        <f t="shared" si="25"/>
        <v>Grindžiamas krosnies žaliava (A metodas)</v>
      </c>
      <c r="E468" s="72"/>
      <c r="F468" s="441" t="str">
        <f t="shared" si="29"/>
        <v>Proceso metu išsiskiriančios ŠESD</v>
      </c>
      <c r="G468" s="425" t="str">
        <f t="shared" ref="G468:G479" si="40">EUconst_NA</f>
        <v>netaik.</v>
      </c>
      <c r="H468" s="442"/>
      <c r="I468" s="442"/>
      <c r="J468" s="444"/>
      <c r="K468" s="691"/>
      <c r="L468" s="442"/>
      <c r="M468" s="443"/>
      <c r="N468" s="425" t="str">
        <f t="shared" si="31"/>
        <v>netaik.</v>
      </c>
      <c r="O468" s="427" t="str">
        <f t="shared" si="26"/>
        <v>Cemento klinkeriai: Grindžiamas krosnies žaliava (A metodas)</v>
      </c>
      <c r="P468" s="72"/>
      <c r="Q468" s="435" t="str">
        <f t="shared" si="27"/>
        <v>NCV_Cemento klinkeriai: Grindžiamas krosnies žaliava (A metodas)</v>
      </c>
      <c r="X468" s="59" t="b">
        <f t="shared" si="19"/>
        <v>1</v>
      </c>
      <c r="Z468" s="70" t="str">
        <f t="shared" ref="Z468:Z479" si="41">EUconst_NA</f>
        <v>netaik.</v>
      </c>
      <c r="AA468" s="95"/>
      <c r="AB468" s="95"/>
      <c r="AC468" s="55"/>
      <c r="AD468" s="55"/>
      <c r="AE468" s="95"/>
      <c r="AF468" s="63"/>
      <c r="AG468" s="70" t="str">
        <f t="shared" si="33"/>
        <v>netaik.</v>
      </c>
      <c r="AM468" s="689"/>
    </row>
    <row r="469" spans="1:40" ht="12.75" customHeight="1" outlineLevel="1" x14ac:dyDescent="0.2">
      <c r="A469" s="59">
        <f t="shared" si="28"/>
        <v>21</v>
      </c>
      <c r="B469" s="449" t="str">
        <f t="shared" ref="B469:D488" si="42">B421</f>
        <v>Cemento klinkerio gamyba</v>
      </c>
      <c r="C469" s="72" t="str">
        <f t="shared" si="42"/>
        <v>Cemento klinkeriai</v>
      </c>
      <c r="D469" s="72" t="str">
        <f t="shared" si="42"/>
        <v>Klinkerio išeiga (B metodas)</v>
      </c>
      <c r="E469" s="72"/>
      <c r="F469" s="441" t="str">
        <f t="shared" si="29"/>
        <v>Proceso metu išsiskiriančios ŠESD</v>
      </c>
      <c r="G469" s="425" t="str">
        <f t="shared" si="40"/>
        <v>netaik.</v>
      </c>
      <c r="H469" s="442"/>
      <c r="I469" s="442"/>
      <c r="J469" s="444"/>
      <c r="K469" s="691"/>
      <c r="L469" s="442"/>
      <c r="M469" s="443"/>
      <c r="N469" s="425" t="str">
        <f t="shared" si="31"/>
        <v>netaik.</v>
      </c>
      <c r="O469" s="427" t="str">
        <f t="shared" si="26"/>
        <v>Cemento klinkeriai: Klinkerio išeiga (B metodas)</v>
      </c>
      <c r="P469" s="72"/>
      <c r="Q469" s="435" t="str">
        <f t="shared" si="27"/>
        <v>NCV_Cemento klinkeriai: Klinkerio išeiga (B metodas)</v>
      </c>
      <c r="X469" s="59" t="b">
        <f t="shared" si="19"/>
        <v>1</v>
      </c>
      <c r="Z469" s="70" t="str">
        <f t="shared" si="41"/>
        <v>netaik.</v>
      </c>
      <c r="AA469" s="95"/>
      <c r="AB469" s="95"/>
      <c r="AC469" s="55"/>
      <c r="AD469" s="55"/>
      <c r="AE469" s="95"/>
      <c r="AF469" s="63"/>
      <c r="AG469" s="70" t="str">
        <f t="shared" si="33"/>
        <v>netaik.</v>
      </c>
      <c r="AM469" s="689"/>
    </row>
    <row r="470" spans="1:40" ht="12.75" customHeight="1" outlineLevel="1" x14ac:dyDescent="0.2">
      <c r="A470" s="59">
        <f t="shared" si="28"/>
        <v>22</v>
      </c>
      <c r="B470" s="449" t="str">
        <f t="shared" si="42"/>
        <v>Cemento klinkerio gamyba</v>
      </c>
      <c r="C470" s="72" t="str">
        <f t="shared" si="42"/>
        <v>Cemento klinkeriai</v>
      </c>
      <c r="D470" s="72" t="str">
        <f t="shared" si="42"/>
        <v>Cemento degimo krosnių dulkės</v>
      </c>
      <c r="E470" s="72"/>
      <c r="F470" s="441" t="str">
        <f t="shared" si="29"/>
        <v>Proceso metu išsiskiriančios ŠESD</v>
      </c>
      <c r="G470" s="425" t="str">
        <f t="shared" si="40"/>
        <v>netaik.</v>
      </c>
      <c r="H470" s="442"/>
      <c r="I470" s="442"/>
      <c r="J470" s="444"/>
      <c r="K470" s="691"/>
      <c r="L470" s="442"/>
      <c r="M470" s="443"/>
      <c r="N470" s="425" t="str">
        <f t="shared" si="31"/>
        <v>netaik.</v>
      </c>
      <c r="O470" s="427" t="str">
        <f t="shared" si="26"/>
        <v>Cemento klinkeriai: Cemento degimo krosnių dulkės</v>
      </c>
      <c r="P470" s="72"/>
      <c r="Q470" s="435" t="str">
        <f t="shared" si="27"/>
        <v>NCV_Cemento klinkeriai: Cemento degimo krosnių dulkės</v>
      </c>
      <c r="X470" s="59" t="b">
        <f t="shared" si="19"/>
        <v>1</v>
      </c>
      <c r="Z470" s="70" t="str">
        <f t="shared" si="41"/>
        <v>netaik.</v>
      </c>
      <c r="AA470" s="95"/>
      <c r="AB470" s="95"/>
      <c r="AC470" s="55"/>
      <c r="AD470" s="55"/>
      <c r="AE470" s="95"/>
      <c r="AF470" s="63"/>
      <c r="AG470" s="70" t="str">
        <f t="shared" si="33"/>
        <v>netaik.</v>
      </c>
      <c r="AM470" s="689"/>
    </row>
    <row r="471" spans="1:40" ht="12.75" customHeight="1" outlineLevel="1" x14ac:dyDescent="0.2">
      <c r="A471" s="59">
        <f t="shared" si="28"/>
        <v>23</v>
      </c>
      <c r="B471" s="449" t="str">
        <f t="shared" si="42"/>
        <v>Cemento klinkerio gamyba</v>
      </c>
      <c r="C471" s="72" t="str">
        <f t="shared" si="42"/>
        <v>Cemento klinkeriai</v>
      </c>
      <c r="D471" s="72" t="str">
        <f t="shared" si="42"/>
        <v>Nekarbonatinė anglis</v>
      </c>
      <c r="E471" s="72"/>
      <c r="F471" s="441" t="str">
        <f t="shared" si="29"/>
        <v>Proceso metu išsiskiriančios ŠESD</v>
      </c>
      <c r="G471" s="425" t="str">
        <f t="shared" si="40"/>
        <v>netaik.</v>
      </c>
      <c r="H471" s="442"/>
      <c r="I471" s="442"/>
      <c r="J471" s="444"/>
      <c r="K471" s="691"/>
      <c r="L471" s="442"/>
      <c r="M471" s="443"/>
      <c r="N471" s="425" t="str">
        <f t="shared" si="31"/>
        <v>netaik.</v>
      </c>
      <c r="O471" s="427" t="str">
        <f t="shared" si="26"/>
        <v>Cemento klinkeriai: Nekarbonatinė anglis</v>
      </c>
      <c r="P471" s="72"/>
      <c r="Q471" s="435" t="str">
        <f t="shared" si="27"/>
        <v>NCV_Cemento klinkeriai: Nekarbonatinė anglis</v>
      </c>
      <c r="X471" s="59" t="b">
        <f t="shared" si="19"/>
        <v>1</v>
      </c>
      <c r="Z471" s="70" t="str">
        <f t="shared" si="41"/>
        <v>netaik.</v>
      </c>
      <c r="AA471" s="95"/>
      <c r="AB471" s="95"/>
      <c r="AC471" s="55"/>
      <c r="AD471" s="55"/>
      <c r="AE471" s="95"/>
      <c r="AF471" s="63"/>
      <c r="AG471" s="70" t="str">
        <f t="shared" si="33"/>
        <v>netaik.</v>
      </c>
      <c r="AM471" s="689"/>
    </row>
    <row r="472" spans="1:40" ht="12.75" customHeight="1" outlineLevel="1" x14ac:dyDescent="0.2">
      <c r="A472" s="59">
        <f t="shared" si="28"/>
        <v>24</v>
      </c>
      <c r="B472" s="449" t="str">
        <f t="shared" si="42"/>
        <v>Kalkių gamyba ir dolomitų bei magnezitų kalcinavimas</v>
      </c>
      <c r="C472" s="72" t="str">
        <f t="shared" si="42"/>
        <v>Kalkės, dolomitas, magnezitas</v>
      </c>
      <c r="D472" s="72" t="str">
        <f t="shared" si="42"/>
        <v>Karbonatai (A metodas)</v>
      </c>
      <c r="E472" s="72"/>
      <c r="F472" s="441" t="str">
        <f t="shared" si="29"/>
        <v>Proceso metu išsiskiriančios ŠESD</v>
      </c>
      <c r="G472" s="425" t="str">
        <f t="shared" si="40"/>
        <v>netaik.</v>
      </c>
      <c r="H472" s="442"/>
      <c r="I472" s="442"/>
      <c r="J472" s="444"/>
      <c r="K472" s="691"/>
      <c r="L472" s="442"/>
      <c r="M472" s="443"/>
      <c r="N472" s="425" t="str">
        <f t="shared" si="31"/>
        <v>netaik.</v>
      </c>
      <c r="O472" s="427" t="str">
        <f t="shared" si="26"/>
        <v>Kalkės, dolomitas, magnezitas: Karbonatai (A metodas)</v>
      </c>
      <c r="P472" s="72"/>
      <c r="Q472" s="435" t="str">
        <f t="shared" si="27"/>
        <v>NCV_Kalkės, dolomitas, magnezitas: Karbonatai (A metodas)</v>
      </c>
      <c r="X472" s="59" t="b">
        <f t="shared" si="19"/>
        <v>1</v>
      </c>
      <c r="Z472" s="70" t="str">
        <f t="shared" si="41"/>
        <v>netaik.</v>
      </c>
      <c r="AA472" s="95"/>
      <c r="AB472" s="95"/>
      <c r="AC472" s="55"/>
      <c r="AD472" s="55"/>
      <c r="AE472" s="95"/>
      <c r="AF472" s="63"/>
      <c r="AG472" s="70" t="str">
        <f t="shared" si="33"/>
        <v>netaik.</v>
      </c>
      <c r="AM472" s="689"/>
    </row>
    <row r="473" spans="1:40" ht="12.75" customHeight="1" outlineLevel="1" x14ac:dyDescent="0.2">
      <c r="A473" s="59">
        <f t="shared" si="28"/>
        <v>25</v>
      </c>
      <c r="B473" s="449" t="str">
        <f t="shared" si="42"/>
        <v>Kalkių gamyba ir dolomitų bei magnezitų kalcinavimas</v>
      </c>
      <c r="C473" s="72" t="str">
        <f t="shared" si="42"/>
        <v>Kalkės, dolomitas, magnezitas</v>
      </c>
      <c r="D473" s="72" t="str">
        <f t="shared" si="42"/>
        <v>Šarminių žemių metalų oksidas (B metodas)</v>
      </c>
      <c r="E473" s="72"/>
      <c r="F473" s="441" t="str">
        <f t="shared" si="29"/>
        <v>Proceso metu išsiskiriančios ŠESD</v>
      </c>
      <c r="G473" s="425" t="str">
        <f t="shared" si="40"/>
        <v>netaik.</v>
      </c>
      <c r="H473" s="442"/>
      <c r="I473" s="442"/>
      <c r="J473" s="444"/>
      <c r="K473" s="691"/>
      <c r="L473" s="442"/>
      <c r="M473" s="443"/>
      <c r="N473" s="425" t="str">
        <f t="shared" si="31"/>
        <v>netaik.</v>
      </c>
      <c r="O473" s="427" t="str">
        <f t="shared" si="26"/>
        <v>Kalkės, dolomitas, magnezitas: Šarminių žemių metalų oksidas (B metodas)</v>
      </c>
      <c r="P473" s="72"/>
      <c r="Q473" s="435" t="str">
        <f t="shared" si="27"/>
        <v>NCV_Kalkės, dolomitas, magnezitas: Šarminių žemių metalų oksidas (B metodas)</v>
      </c>
      <c r="X473" s="59" t="b">
        <f t="shared" si="19"/>
        <v>1</v>
      </c>
      <c r="Z473" s="70" t="str">
        <f t="shared" si="41"/>
        <v>netaik.</v>
      </c>
      <c r="AA473" s="95"/>
      <c r="AB473" s="95"/>
      <c r="AC473" s="55"/>
      <c r="AD473" s="55"/>
      <c r="AE473" s="95"/>
      <c r="AF473" s="63"/>
      <c r="AG473" s="70" t="str">
        <f t="shared" si="33"/>
        <v>netaik.</v>
      </c>
      <c r="AM473" s="689"/>
    </row>
    <row r="474" spans="1:40" ht="12.75" customHeight="1" outlineLevel="1" x14ac:dyDescent="0.2">
      <c r="A474" s="59">
        <f t="shared" si="28"/>
        <v>26</v>
      </c>
      <c r="B474" s="449" t="str">
        <f t="shared" si="42"/>
        <v>Kalkių gamyba ir dolomitų bei magnezitų kalcinavimas</v>
      </c>
      <c r="C474" s="72" t="str">
        <f t="shared" si="42"/>
        <v>Kalkės, dolomitas, magnezitas</v>
      </c>
      <c r="D474" s="72" t="str">
        <f t="shared" si="42"/>
        <v>Degimo krosnių dulkės (B metodas)</v>
      </c>
      <c r="E474" s="72"/>
      <c r="F474" s="441" t="str">
        <f t="shared" si="29"/>
        <v>Proceso metu išsiskiriančios ŠESD</v>
      </c>
      <c r="G474" s="425" t="str">
        <f t="shared" si="40"/>
        <v>netaik.</v>
      </c>
      <c r="H474" s="442"/>
      <c r="I474" s="442"/>
      <c r="J474" s="444"/>
      <c r="K474" s="691"/>
      <c r="L474" s="442"/>
      <c r="M474" s="443"/>
      <c r="N474" s="425" t="str">
        <f t="shared" si="31"/>
        <v>netaik.</v>
      </c>
      <c r="O474" s="427" t="str">
        <f t="shared" si="26"/>
        <v>Kalkės, dolomitas, magnezitas: Degimo krosnių dulkės (B metodas)</v>
      </c>
      <c r="P474" s="72"/>
      <c r="Q474" s="435" t="str">
        <f t="shared" si="27"/>
        <v>NCV_Kalkės, dolomitas, magnezitas: Degimo krosnių dulkės (B metodas)</v>
      </c>
      <c r="X474" s="59" t="b">
        <f t="shared" si="19"/>
        <v>1</v>
      </c>
      <c r="Z474" s="70" t="str">
        <f t="shared" si="41"/>
        <v>netaik.</v>
      </c>
      <c r="AA474" s="95"/>
      <c r="AB474" s="95"/>
      <c r="AC474" s="55"/>
      <c r="AD474" s="55"/>
      <c r="AE474" s="95"/>
      <c r="AF474" s="63"/>
      <c r="AG474" s="70" t="str">
        <f t="shared" si="33"/>
        <v>netaik.</v>
      </c>
      <c r="AM474" s="689"/>
    </row>
    <row r="475" spans="1:40" ht="12.75" customHeight="1" outlineLevel="1" x14ac:dyDescent="0.2">
      <c r="A475" s="59">
        <f t="shared" si="28"/>
        <v>27</v>
      </c>
      <c r="B475" s="449" t="str">
        <f t="shared" si="42"/>
        <v>Stiklo ir mineralinės vatos gamyba</v>
      </c>
      <c r="C475" s="72" t="str">
        <f t="shared" si="42"/>
        <v>Stiklas ir mineralinė vata</v>
      </c>
      <c r="D475" s="72" t="str">
        <f t="shared" si="42"/>
        <v>Karbonatai (žaliava)</v>
      </c>
      <c r="E475" s="72"/>
      <c r="F475" s="441" t="str">
        <f t="shared" si="29"/>
        <v>Proceso metu išsiskiriančios ŠESD</v>
      </c>
      <c r="G475" s="425" t="str">
        <f t="shared" si="40"/>
        <v>netaik.</v>
      </c>
      <c r="H475" s="442"/>
      <c r="I475" s="442"/>
      <c r="J475" s="444"/>
      <c r="K475" s="691"/>
      <c r="L475" s="442"/>
      <c r="M475" s="443"/>
      <c r="N475" s="425" t="str">
        <f t="shared" si="31"/>
        <v>netaik.</v>
      </c>
      <c r="O475" s="427" t="str">
        <f t="shared" si="26"/>
        <v>Stiklas ir mineralinė vata: Karbonatai (žaliava)</v>
      </c>
      <c r="P475" s="72"/>
      <c r="Q475" s="435" t="str">
        <f t="shared" si="27"/>
        <v>NCV_Stiklas ir mineralinė vata: Karbonatai (žaliava)</v>
      </c>
      <c r="X475" s="59" t="b">
        <f t="shared" si="19"/>
        <v>1</v>
      </c>
      <c r="Z475" s="70" t="str">
        <f t="shared" si="41"/>
        <v>netaik.</v>
      </c>
      <c r="AA475" s="95"/>
      <c r="AB475" s="95"/>
      <c r="AC475" s="55"/>
      <c r="AD475" s="55"/>
      <c r="AE475" s="95"/>
      <c r="AF475" s="63"/>
      <c r="AG475" s="70" t="str">
        <f t="shared" si="33"/>
        <v>netaik.</v>
      </c>
      <c r="AM475" s="689"/>
    </row>
    <row r="476" spans="1:40" ht="12.75" customHeight="1" outlineLevel="1" x14ac:dyDescent="0.2">
      <c r="A476" s="59">
        <f t="shared" si="28"/>
        <v>28</v>
      </c>
      <c r="B476" s="449" t="str">
        <f t="shared" si="42"/>
        <v>Keramikos produktų gamyba</v>
      </c>
      <c r="C476" s="72" t="str">
        <f t="shared" si="42"/>
        <v>Keramikos dirbiniai.</v>
      </c>
      <c r="D476" s="72" t="str">
        <f t="shared" si="42"/>
        <v>Anglies sąnaudos (A metodas)</v>
      </c>
      <c r="E476" s="72"/>
      <c r="F476" s="441" t="str">
        <f t="shared" si="29"/>
        <v>Proceso metu išsiskiriančios ŠESD</v>
      </c>
      <c r="G476" s="425" t="str">
        <f t="shared" si="40"/>
        <v>netaik.</v>
      </c>
      <c r="H476" s="442"/>
      <c r="I476" s="442"/>
      <c r="J476" s="444"/>
      <c r="K476" s="691"/>
      <c r="L476" s="442"/>
      <c r="M476" s="443"/>
      <c r="N476" s="425" t="str">
        <f t="shared" si="31"/>
        <v>netaik.</v>
      </c>
      <c r="O476" s="427" t="str">
        <f t="shared" si="26"/>
        <v>Keramikos dirbiniai.: Anglies sąnaudos (A metodas)</v>
      </c>
      <c r="P476" s="72"/>
      <c r="Q476" s="435" t="str">
        <f t="shared" si="27"/>
        <v>NCV_Keramikos dirbiniai.: Anglies sąnaudos (A metodas)</v>
      </c>
      <c r="X476" s="59" t="b">
        <f t="shared" si="19"/>
        <v>1</v>
      </c>
      <c r="Z476" s="70" t="str">
        <f t="shared" si="41"/>
        <v>netaik.</v>
      </c>
      <c r="AA476" s="95"/>
      <c r="AB476" s="95"/>
      <c r="AC476" s="55"/>
      <c r="AD476" s="55"/>
      <c r="AE476" s="95"/>
      <c r="AF476" s="63"/>
      <c r="AG476" s="70" t="str">
        <f t="shared" si="33"/>
        <v>netaik.</v>
      </c>
      <c r="AM476" s="689"/>
    </row>
    <row r="477" spans="1:40" ht="12.75" customHeight="1" outlineLevel="1" x14ac:dyDescent="0.2">
      <c r="A477" s="59">
        <f t="shared" si="28"/>
        <v>29</v>
      </c>
      <c r="B477" s="449" t="str">
        <f t="shared" si="42"/>
        <v>Keramikos produktų gamyba</v>
      </c>
      <c r="C477" s="72" t="str">
        <f t="shared" si="42"/>
        <v>Keramikos dirbiniai.</v>
      </c>
      <c r="D477" s="72" t="str">
        <f t="shared" si="42"/>
        <v>Šarminių metalų oksidas (B metodas)</v>
      </c>
      <c r="E477" s="72"/>
      <c r="F477" s="441" t="str">
        <f t="shared" si="29"/>
        <v>Proceso metu išsiskiriančios ŠESD</v>
      </c>
      <c r="G477" s="425" t="str">
        <f t="shared" si="40"/>
        <v>netaik.</v>
      </c>
      <c r="H477" s="442"/>
      <c r="I477" s="442"/>
      <c r="J477" s="444"/>
      <c r="K477" s="691"/>
      <c r="L477" s="442"/>
      <c r="M477" s="443"/>
      <c r="N477" s="425" t="str">
        <f t="shared" si="31"/>
        <v>netaik.</v>
      </c>
      <c r="O477" s="427" t="str">
        <f t="shared" si="26"/>
        <v>Keramikos dirbiniai.: Šarminių metalų oksidas (B metodas)</v>
      </c>
      <c r="P477" s="72"/>
      <c r="Q477" s="435" t="str">
        <f t="shared" si="27"/>
        <v>NCV_Keramikos dirbiniai.: Šarminių metalų oksidas (B metodas)</v>
      </c>
      <c r="X477" s="59" t="b">
        <f t="shared" si="19"/>
        <v>1</v>
      </c>
      <c r="Z477" s="70" t="str">
        <f t="shared" si="41"/>
        <v>netaik.</v>
      </c>
      <c r="AA477" s="95"/>
      <c r="AB477" s="95"/>
      <c r="AC477" s="55"/>
      <c r="AD477" s="55"/>
      <c r="AE477" s="95"/>
      <c r="AF477" s="63"/>
      <c r="AG477" s="70" t="str">
        <f t="shared" si="33"/>
        <v>netaik.</v>
      </c>
      <c r="AM477" s="689"/>
    </row>
    <row r="478" spans="1:40" ht="12.75" customHeight="1" outlineLevel="1" x14ac:dyDescent="0.2">
      <c r="A478" s="59">
        <f t="shared" si="28"/>
        <v>30</v>
      </c>
      <c r="B478" s="449" t="str">
        <f t="shared" si="42"/>
        <v>Keramikos produktų gamyba</v>
      </c>
      <c r="C478" s="72" t="str">
        <f t="shared" si="42"/>
        <v>Keramikos dirbiniai.</v>
      </c>
      <c r="D478" s="72" t="str">
        <f t="shared" si="42"/>
        <v>Dujų plovimas</v>
      </c>
      <c r="E478" s="72"/>
      <c r="F478" s="441" t="str">
        <f t="shared" si="29"/>
        <v>Proceso metu išsiskiriančios ŠESD</v>
      </c>
      <c r="G478" s="425" t="str">
        <f t="shared" si="40"/>
        <v>netaik.</v>
      </c>
      <c r="H478" s="442"/>
      <c r="I478" s="442"/>
      <c r="J478" s="444"/>
      <c r="K478" s="691"/>
      <c r="L478" s="442"/>
      <c r="M478" s="443"/>
      <c r="N478" s="425" t="str">
        <f t="shared" si="31"/>
        <v>netaik.</v>
      </c>
      <c r="O478" s="427" t="str">
        <f t="shared" si="26"/>
        <v>Keramikos dirbiniai.: Dujų plovimas</v>
      </c>
      <c r="P478" s="72"/>
      <c r="Q478" s="435" t="str">
        <f t="shared" si="27"/>
        <v>NCV_Keramikos dirbiniai.: Dujų plovimas</v>
      </c>
      <c r="X478" s="59" t="b">
        <f t="shared" si="19"/>
        <v>1</v>
      </c>
      <c r="Z478" s="70" t="str">
        <f t="shared" si="41"/>
        <v>netaik.</v>
      </c>
      <c r="AA478" s="94"/>
      <c r="AB478" s="95"/>
      <c r="AC478" s="55"/>
      <c r="AD478" s="55"/>
      <c r="AE478" s="95"/>
      <c r="AF478" s="63"/>
      <c r="AG478" s="70" t="str">
        <f t="shared" si="33"/>
        <v>netaik.</v>
      </c>
      <c r="AM478" s="689"/>
    </row>
    <row r="479" spans="1:40" ht="12.75" customHeight="1" outlineLevel="1" x14ac:dyDescent="0.2">
      <c r="A479" s="59">
        <f t="shared" si="28"/>
        <v>31</v>
      </c>
      <c r="B479" s="449" t="str">
        <f t="shared" si="42"/>
        <v>Celiuliozės ir popieriaus gamyba</v>
      </c>
      <c r="C479" s="72" t="str">
        <f t="shared" si="42"/>
        <v>Celiuliozė ir popierius</v>
      </c>
      <c r="D479" s="72" t="str">
        <f t="shared" si="42"/>
        <v>Sudėtinės cheminės medžiagos</v>
      </c>
      <c r="E479" s="72"/>
      <c r="F479" s="441" t="str">
        <f t="shared" si="29"/>
        <v>Proceso metu išsiskiriančios ŠESD</v>
      </c>
      <c r="G479" s="425" t="str">
        <f t="shared" si="40"/>
        <v>netaik.</v>
      </c>
      <c r="H479" s="442"/>
      <c r="I479" s="442"/>
      <c r="J479" s="444"/>
      <c r="K479" s="691"/>
      <c r="L479" s="442"/>
      <c r="M479" s="443"/>
      <c r="N479" s="425" t="str">
        <f t="shared" si="31"/>
        <v>netaik.</v>
      </c>
      <c r="O479" s="427" t="str">
        <f t="shared" si="26"/>
        <v>Celiuliozė ir popierius: Sudėtinės cheminės medžiagos</v>
      </c>
      <c r="P479" s="72"/>
      <c r="Q479" s="435" t="str">
        <f t="shared" si="27"/>
        <v>NCV_Celiuliozė ir popierius: Sudėtinės cheminės medžiagos</v>
      </c>
      <c r="X479" s="59" t="b">
        <f t="shared" si="19"/>
        <v>1</v>
      </c>
      <c r="Z479" s="70" t="str">
        <f t="shared" si="41"/>
        <v>netaik.</v>
      </c>
      <c r="AA479" s="95"/>
      <c r="AB479" s="95"/>
      <c r="AC479" s="55"/>
      <c r="AD479" s="55"/>
      <c r="AE479" s="95"/>
      <c r="AF479" s="63"/>
      <c r="AG479" s="70" t="str">
        <f t="shared" si="33"/>
        <v>netaik.</v>
      </c>
      <c r="AM479" s="689"/>
    </row>
    <row r="480" spans="1:40" ht="12.75" customHeight="1" outlineLevel="1" x14ac:dyDescent="0.2">
      <c r="A480" s="59">
        <f t="shared" si="28"/>
        <v>32</v>
      </c>
      <c r="B480" s="449" t="str">
        <f t="shared" si="42"/>
        <v>Suodžių gamyba</v>
      </c>
      <c r="C480" s="72" t="str">
        <f t="shared" si="42"/>
        <v>Padengtas kartonas Suodžiai</v>
      </c>
      <c r="D480" s="72" t="str">
        <f t="shared" si="42"/>
        <v>Masės balanso metodika</v>
      </c>
      <c r="E480" s="72"/>
      <c r="F480" s="441" t="str">
        <f t="shared" si="29"/>
        <v>Masės balansas</v>
      </c>
      <c r="G480" s="425" t="str">
        <f>""</f>
        <v/>
      </c>
      <c r="H480" s="442" t="str">
        <f>H$494</f>
        <v>I tipas</v>
      </c>
      <c r="I480" s="442"/>
      <c r="J480" s="442" t="str">
        <f>J$494</f>
        <v>II tipas</v>
      </c>
      <c r="K480" s="688" t="str">
        <f>Translations!$B$658</f>
        <v>Pirkimo dokumentai</v>
      </c>
      <c r="L480" s="442" t="str">
        <f>L$494</f>
        <v>Laboratoriniai tyrimai</v>
      </c>
      <c r="M480" s="443"/>
      <c r="N480" s="425">
        <f t="shared" si="31"/>
        <v>3</v>
      </c>
      <c r="O480" s="427" t="str">
        <f t="shared" si="26"/>
        <v>Padengtas kartonas Suodžiai: Masės balanso metodika</v>
      </c>
      <c r="P480" s="72"/>
      <c r="Q480" s="435"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9">
        <v>1</v>
      </c>
      <c r="AN480" s="59">
        <f>AN$494</f>
        <v>2</v>
      </c>
    </row>
    <row r="481" spans="1:40" ht="12.75" customHeight="1" outlineLevel="1" x14ac:dyDescent="0.2">
      <c r="A481" s="59">
        <f t="shared" si="28"/>
        <v>33</v>
      </c>
      <c r="B481" s="449" t="str">
        <f t="shared" si="42"/>
        <v>Amoniako gamyba</v>
      </c>
      <c r="C481" s="72" t="str">
        <f t="shared" si="42"/>
        <v>Amoniakas</v>
      </c>
      <c r="D481" s="72" t="str">
        <f t="shared" si="42"/>
        <v>Kuras kaip proceso žaliava</v>
      </c>
      <c r="E481" s="72"/>
      <c r="F481" s="441" t="str">
        <f t="shared" si="29"/>
        <v>Degimas</v>
      </c>
      <c r="G481" s="425" t="s">
        <v>75</v>
      </c>
      <c r="H481" s="442" t="str">
        <f>H$449</f>
        <v>I tipas</v>
      </c>
      <c r="I481" s="442"/>
      <c r="J481" s="442" t="str">
        <f t="shared" ref="J481:L482" si="43">J$449</f>
        <v>II tipas</v>
      </c>
      <c r="K481" s="688" t="str">
        <f>Translations!$B$658</f>
        <v>Pirkimo dokumentai</v>
      </c>
      <c r="L481" s="442" t="str">
        <f t="shared" si="43"/>
        <v>Laboratoriniai tyrimai</v>
      </c>
      <c r="M481" s="443"/>
      <c r="N481" s="425">
        <f t="shared" si="31"/>
        <v>3</v>
      </c>
      <c r="O481" s="427" t="str">
        <f t="shared" si="26"/>
        <v>Amoniakas: Kuras kaip proceso žaliava</v>
      </c>
      <c r="P481" s="72"/>
      <c r="Q481" s="435"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9">
        <v>1</v>
      </c>
      <c r="AN481" s="59">
        <f t="shared" si="46"/>
        <v>2</v>
      </c>
    </row>
    <row r="482" spans="1:40" ht="12.75" customHeight="1" outlineLevel="1" x14ac:dyDescent="0.2">
      <c r="A482" s="59">
        <f t="shared" si="28"/>
        <v>34</v>
      </c>
      <c r="B482" s="449" t="str">
        <f t="shared" si="42"/>
        <v>Vandenilio ar sintezės dujų gamyba</v>
      </c>
      <c r="C482" s="72" t="str">
        <f t="shared" si="42"/>
        <v>Vandenilis ir sintezės dujos</v>
      </c>
      <c r="D482" s="72" t="str">
        <f t="shared" si="42"/>
        <v>Kuras kaip proceso žaliava</v>
      </c>
      <c r="E482" s="72"/>
      <c r="F482" s="441" t="str">
        <f t="shared" si="29"/>
        <v>Degimas</v>
      </c>
      <c r="G482" s="425" t="s">
        <v>75</v>
      </c>
      <c r="H482" s="442" t="str">
        <f>H$449</f>
        <v>I tipas</v>
      </c>
      <c r="I482" s="442"/>
      <c r="J482" s="442" t="str">
        <f t="shared" si="43"/>
        <v>II tipas</v>
      </c>
      <c r="K482" s="688" t="str">
        <f>Translations!$B$658</f>
        <v>Pirkimo dokumentai</v>
      </c>
      <c r="L482" s="442" t="str">
        <f t="shared" si="43"/>
        <v>Laboratoriniai tyrimai</v>
      </c>
      <c r="M482" s="443"/>
      <c r="N482" s="425">
        <f t="shared" si="31"/>
        <v>3</v>
      </c>
      <c r="O482" s="427" t="str">
        <f t="shared" si="26"/>
        <v>Vandenilis ir sintezės dujos: Kuras kaip proceso žaliava</v>
      </c>
      <c r="P482" s="72"/>
      <c r="Q482" s="435"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9">
        <v>1</v>
      </c>
      <c r="AN482" s="59">
        <f t="shared" si="46"/>
        <v>2</v>
      </c>
    </row>
    <row r="483" spans="1:40" ht="12.75" customHeight="1" outlineLevel="1" x14ac:dyDescent="0.2">
      <c r="A483" s="59">
        <f t="shared" si="28"/>
        <v>35</v>
      </c>
      <c r="B483" s="449" t="str">
        <f t="shared" si="42"/>
        <v>Vandenilio ar sintezės dujų gamyba</v>
      </c>
      <c r="C483" s="72" t="str">
        <f t="shared" si="42"/>
        <v>Vandenilis ir sintezės dujos</v>
      </c>
      <c r="D483" s="72" t="str">
        <f t="shared" si="42"/>
        <v>Masės balanso metodika</v>
      </c>
      <c r="E483" s="72"/>
      <c r="F483" s="441" t="str">
        <f t="shared" si="29"/>
        <v>Masės balansas</v>
      </c>
      <c r="G483" s="425" t="str">
        <f>""</f>
        <v/>
      </c>
      <c r="H483" s="442" t="str">
        <f>H$494</f>
        <v>I tipas</v>
      </c>
      <c r="I483" s="442"/>
      <c r="J483" s="442" t="str">
        <f t="shared" ref="J483:L484" si="47">J$494</f>
        <v>II tipas</v>
      </c>
      <c r="K483" s="688" t="str">
        <f>Translations!$B$658</f>
        <v>Pirkimo dokumentai</v>
      </c>
      <c r="L483" s="442" t="str">
        <f t="shared" si="47"/>
        <v>Laboratoriniai tyrimai</v>
      </c>
      <c r="M483" s="443"/>
      <c r="N483" s="425">
        <f t="shared" si="31"/>
        <v>3</v>
      </c>
      <c r="O483" s="427" t="str">
        <f t="shared" si="26"/>
        <v>Vandenilis ir sintezės dujos: Masės balanso metodika</v>
      </c>
      <c r="P483" s="72"/>
      <c r="Q483" s="435"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9">
        <v>1</v>
      </c>
      <c r="AN483" s="59">
        <f t="shared" si="49"/>
        <v>2</v>
      </c>
    </row>
    <row r="484" spans="1:40" ht="12.75" customHeight="1" outlineLevel="1" x14ac:dyDescent="0.2">
      <c r="A484" s="59">
        <f t="shared" si="28"/>
        <v>36</v>
      </c>
      <c r="B484" s="449" t="str">
        <f t="shared" si="42"/>
        <v>Biriųjų organinių cheminių medžiagų gamyba</v>
      </c>
      <c r="C484" s="72" t="str">
        <f t="shared" si="42"/>
        <v>Didelio masto organinių cheminių medžiagų gamyba</v>
      </c>
      <c r="D484" s="72" t="str">
        <f t="shared" si="42"/>
        <v>Masės balanso metodika</v>
      </c>
      <c r="E484" s="72"/>
      <c r="F484" s="441" t="str">
        <f t="shared" si="29"/>
        <v>Masės balansas</v>
      </c>
      <c r="G484" s="425" t="str">
        <f>""</f>
        <v/>
      </c>
      <c r="H484" s="442" t="str">
        <f>H$494</f>
        <v>I tipas</v>
      </c>
      <c r="I484" s="442"/>
      <c r="J484" s="442" t="str">
        <f t="shared" si="47"/>
        <v>II tipas</v>
      </c>
      <c r="K484" s="688" t="str">
        <f>Translations!$B$658</f>
        <v>Pirkimo dokumentai</v>
      </c>
      <c r="L484" s="442" t="str">
        <f t="shared" si="47"/>
        <v>Laboratoriniai tyrimai</v>
      </c>
      <c r="M484" s="443"/>
      <c r="N484" s="425">
        <f t="shared" si="31"/>
        <v>3</v>
      </c>
      <c r="O484" s="427" t="str">
        <f t="shared" si="26"/>
        <v>Didelio masto organinių cheminių medžiagų gamyba: Masės balanso metodika</v>
      </c>
      <c r="P484" s="72"/>
      <c r="Q484" s="435"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9">
        <v>1</v>
      </c>
      <c r="AN484" s="59">
        <f t="shared" si="49"/>
        <v>2</v>
      </c>
    </row>
    <row r="485" spans="1:40" ht="12.75" customHeight="1" outlineLevel="1" x14ac:dyDescent="0.2">
      <c r="A485" s="59">
        <f t="shared" si="28"/>
        <v>37</v>
      </c>
      <c r="B485" s="449" t="str">
        <f t="shared" si="42"/>
        <v>Juodųjų ir spalvotųjų metalų, įskaitant antrinį aliuminį, gamyba ar apdirbimas</v>
      </c>
      <c r="C485" s="72" t="str">
        <f t="shared" si="42"/>
        <v>(Ne)spalvotieji, antrinis aliuminis</v>
      </c>
      <c r="D485" s="72" t="str">
        <f t="shared" si="42"/>
        <v>Proceso metu išsiskiriančios ŠESD</v>
      </c>
      <c r="E485" s="72"/>
      <c r="F485" s="441" t="str">
        <f t="shared" si="29"/>
        <v>Proceso metu išsiskiriančios ŠESD</v>
      </c>
      <c r="G485" s="425" t="str">
        <f t="shared" ref="G485:G490" si="50">EUconst_NA</f>
        <v>netaik.</v>
      </c>
      <c r="H485" s="442"/>
      <c r="I485" s="442"/>
      <c r="J485" s="444"/>
      <c r="K485" s="691"/>
      <c r="L485" s="442"/>
      <c r="M485" s="443"/>
      <c r="N485" s="425" t="str">
        <f t="shared" si="31"/>
        <v>netaik.</v>
      </c>
      <c r="O485" s="427" t="str">
        <f t="shared" si="26"/>
        <v>(Ne)spalvotieji, antrinis aliuminis: Proceso metu išsiskiriančios ŠESD</v>
      </c>
      <c r="P485" s="72"/>
      <c r="Q485" s="435" t="str">
        <f t="shared" si="27"/>
        <v>NCV_(Ne)spalvotieji, antrinis aliuminis: Proceso metu išsiskiriančios ŠESD</v>
      </c>
      <c r="X485" s="59" t="b">
        <f t="shared" si="44"/>
        <v>1</v>
      </c>
      <c r="Z485" s="70" t="str">
        <f t="shared" ref="Z485:Z490" si="51">EUconst_NA</f>
        <v>netaik.</v>
      </c>
      <c r="AA485" s="95"/>
      <c r="AB485" s="95"/>
      <c r="AC485" s="55"/>
      <c r="AD485" s="55"/>
      <c r="AE485" s="95"/>
      <c r="AF485" s="63"/>
      <c r="AG485" s="70" t="str">
        <f t="shared" si="33"/>
        <v>netaik.</v>
      </c>
      <c r="AM485" s="689"/>
    </row>
    <row r="486" spans="1:40" ht="12.75" customHeight="1" outlineLevel="1" x14ac:dyDescent="0.2">
      <c r="A486" s="59">
        <f t="shared" si="28"/>
        <v>38</v>
      </c>
      <c r="B486" s="449" t="str">
        <f t="shared" si="42"/>
        <v>Juodųjų ir spalvotųjų metalų, įskaitant antrinį aliuminį, gamyba ar apdirbimas</v>
      </c>
      <c r="C486" s="72" t="str">
        <f t="shared" si="42"/>
        <v>(Ne)spalvotieji, antrinis aliuminis</v>
      </c>
      <c r="D486" s="72" t="str">
        <f t="shared" si="42"/>
        <v>Masės balanso metodika</v>
      </c>
      <c r="E486" s="72"/>
      <c r="F486" s="441" t="str">
        <f t="shared" si="29"/>
        <v>Masės balansas</v>
      </c>
      <c r="G486" s="425" t="str">
        <f>""</f>
        <v/>
      </c>
      <c r="H486" s="442" t="str">
        <f>H$494</f>
        <v>I tipas</v>
      </c>
      <c r="I486" s="442"/>
      <c r="J486" s="442" t="str">
        <f t="shared" ref="J486:L488" si="52">J$494</f>
        <v>II tipas</v>
      </c>
      <c r="K486" s="688" t="str">
        <f>Translations!$B$658</f>
        <v>Pirkimo dokumentai</v>
      </c>
      <c r="L486" s="442" t="str">
        <f t="shared" si="52"/>
        <v>Laboratoriniai tyrimai</v>
      </c>
      <c r="M486" s="443"/>
      <c r="N486" s="425">
        <f t="shared" si="31"/>
        <v>3</v>
      </c>
      <c r="O486" s="427" t="str">
        <f t="shared" si="26"/>
        <v>(Ne)spalvotieji, antrinis aliuminis: Masės balanso metodika</v>
      </c>
      <c r="P486" s="72"/>
      <c r="Q486" s="435"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9">
        <v>1</v>
      </c>
      <c r="AN486" s="59">
        <f t="shared" si="54"/>
        <v>2</v>
      </c>
    </row>
    <row r="487" spans="1:40" ht="12.75" customHeight="1" outlineLevel="1" x14ac:dyDescent="0.2">
      <c r="A487" s="59">
        <f t="shared" si="28"/>
        <v>39</v>
      </c>
      <c r="B487" s="449" t="str">
        <f t="shared" si="42"/>
        <v>Natrio karbonato ir natrio hidrokarbonato gamyba</v>
      </c>
      <c r="C487" s="72" t="str">
        <f t="shared" si="42"/>
        <v>Natrio karbonatas / natrio hidrokarbonatas</v>
      </c>
      <c r="D487" s="72" t="str">
        <f t="shared" si="42"/>
        <v>Masės balanso metodika</v>
      </c>
      <c r="E487" s="72"/>
      <c r="F487" s="441" t="str">
        <f t="shared" si="29"/>
        <v>Masės balansas</v>
      </c>
      <c r="G487" s="425" t="str">
        <f>""</f>
        <v/>
      </c>
      <c r="H487" s="442" t="str">
        <f>H$494</f>
        <v>I tipas</v>
      </c>
      <c r="I487" s="442"/>
      <c r="J487" s="442" t="str">
        <f t="shared" si="52"/>
        <v>II tipas</v>
      </c>
      <c r="K487" s="688" t="str">
        <f>Translations!$B$658</f>
        <v>Pirkimo dokumentai</v>
      </c>
      <c r="L487" s="442" t="str">
        <f t="shared" si="52"/>
        <v>Laboratoriniai tyrimai</v>
      </c>
      <c r="M487" s="443"/>
      <c r="N487" s="425">
        <f t="shared" si="31"/>
        <v>3</v>
      </c>
      <c r="O487" s="427" t="str">
        <f t="shared" si="26"/>
        <v>Natrio karbonatas / natrio hidrokarbonatas: Masės balanso metodika</v>
      </c>
      <c r="P487" s="72"/>
      <c r="Q487" s="435"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9">
        <v>1</v>
      </c>
      <c r="AN487" s="59">
        <f t="shared" si="54"/>
        <v>2</v>
      </c>
    </row>
    <row r="488" spans="1:40" ht="12.75" customHeight="1" outlineLevel="1" x14ac:dyDescent="0.2">
      <c r="A488" s="59">
        <f t="shared" si="28"/>
        <v>40</v>
      </c>
      <c r="B488" s="449" t="str">
        <f t="shared" si="42"/>
        <v>Pirminio aliuminio gamyba</v>
      </c>
      <c r="C488" s="72" t="str">
        <f t="shared" si="42"/>
        <v>Pirminis aliuminis</v>
      </c>
      <c r="D488" s="72" t="str">
        <f t="shared" si="42"/>
        <v>Masės balanso metodika</v>
      </c>
      <c r="E488" s="72"/>
      <c r="F488" s="441" t="str">
        <f t="shared" si="29"/>
        <v>Masės balansas</v>
      </c>
      <c r="G488" s="425" t="str">
        <f>""</f>
        <v/>
      </c>
      <c r="H488" s="442" t="str">
        <f>H$494</f>
        <v>I tipas</v>
      </c>
      <c r="I488" s="442"/>
      <c r="J488" s="442" t="str">
        <f t="shared" si="52"/>
        <v>II tipas</v>
      </c>
      <c r="K488" s="688" t="str">
        <f>Translations!$B$658</f>
        <v>Pirkimo dokumentai</v>
      </c>
      <c r="L488" s="442" t="str">
        <f t="shared" si="52"/>
        <v>Laboratoriniai tyrimai</v>
      </c>
      <c r="M488" s="443"/>
      <c r="N488" s="425">
        <f t="shared" si="31"/>
        <v>3</v>
      </c>
      <c r="O488" s="427" t="str">
        <f t="shared" si="26"/>
        <v>Pirminis aliuminis: Masės balanso metodika</v>
      </c>
      <c r="P488" s="72"/>
      <c r="Q488" s="435"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9">
        <v>1</v>
      </c>
      <c r="AN488" s="59">
        <f t="shared" si="54"/>
        <v>2</v>
      </c>
    </row>
    <row r="489" spans="1:40" ht="12.75" customHeight="1" outlineLevel="1" x14ac:dyDescent="0.2">
      <c r="A489" s="59">
        <f t="shared" si="28"/>
        <v>41</v>
      </c>
      <c r="B489" s="449" t="str">
        <f t="shared" ref="B489:D490" si="55">B441</f>
        <v>Pirminio aliuminio gamyba</v>
      </c>
      <c r="C489" s="72" t="str">
        <f t="shared" si="55"/>
        <v>Pirminis aliuminis</v>
      </c>
      <c r="D489" s="72" t="str">
        <f t="shared" si="55"/>
        <v>Išmetamas PFC kiekis (nuolydžio metodas)</v>
      </c>
      <c r="E489" s="72"/>
      <c r="F489" s="441" t="str">
        <f t="shared" si="29"/>
        <v>Išmetamas PFC kiekis</v>
      </c>
      <c r="G489" s="425" t="str">
        <f t="shared" si="50"/>
        <v>netaik.</v>
      </c>
      <c r="H489" s="442"/>
      <c r="I489" s="442"/>
      <c r="J489" s="444"/>
      <c r="K489" s="691"/>
      <c r="L489" s="442"/>
      <c r="M489" s="443"/>
      <c r="N489" s="425" t="str">
        <f t="shared" si="31"/>
        <v>netaik.</v>
      </c>
      <c r="O489" s="427" t="str">
        <f t="shared" si="26"/>
        <v>Pirminis aliuminis: Išmetamas PFC kiekis (nuolydžio metodas)</v>
      </c>
      <c r="P489" s="72"/>
      <c r="Q489" s="435" t="str">
        <f t="shared" si="27"/>
        <v>NCV_Pirminis aliuminis: Išmetamas PFC kiekis (nuolydžio metodas)</v>
      </c>
      <c r="X489" s="59" t="b">
        <f t="shared" si="44"/>
        <v>1</v>
      </c>
      <c r="Z489" s="70" t="str">
        <f t="shared" si="51"/>
        <v>netaik.</v>
      </c>
      <c r="AA489" s="95"/>
      <c r="AB489" s="95"/>
      <c r="AC489" s="55"/>
      <c r="AD489" s="55"/>
      <c r="AE489" s="95"/>
      <c r="AF489" s="63"/>
      <c r="AG489" s="70" t="str">
        <f t="shared" si="33"/>
        <v>netaik.</v>
      </c>
    </row>
    <row r="490" spans="1:40" ht="12.75" customHeight="1" outlineLevel="1" thickBot="1" x14ac:dyDescent="0.25">
      <c r="A490" s="59">
        <f t="shared" si="28"/>
        <v>42</v>
      </c>
      <c r="B490" s="450" t="str">
        <f t="shared" si="55"/>
        <v>Pirminio aliuminio gamyba</v>
      </c>
      <c r="C490" s="438" t="str">
        <f t="shared" si="55"/>
        <v>Pirminis aliuminis</v>
      </c>
      <c r="D490" s="438" t="str">
        <f t="shared" si="55"/>
        <v>Išmetamas PFC kiekis (viršįtampio metodas)</v>
      </c>
      <c r="E490" s="438"/>
      <c r="F490" s="451" t="str">
        <f t="shared" si="29"/>
        <v>Išmetamas PFC kiekis</v>
      </c>
      <c r="G490" s="436" t="str">
        <f t="shared" si="50"/>
        <v>netaik.</v>
      </c>
      <c r="H490" s="452"/>
      <c r="I490" s="452"/>
      <c r="J490" s="453"/>
      <c r="K490" s="453"/>
      <c r="L490" s="452"/>
      <c r="M490" s="454"/>
      <c r="N490" s="436" t="str">
        <f t="shared" si="31"/>
        <v>netaik.</v>
      </c>
      <c r="O490" s="439" t="str">
        <f t="shared" si="26"/>
        <v>Pirminis aliuminis: Išmetamas PFC kiekis (viršįtampio metodas)</v>
      </c>
      <c r="P490" s="438"/>
      <c r="Q490" s="440" t="str">
        <f t="shared" si="27"/>
        <v>NCV_Pirminis aliuminis: Išmetamas PFC kiekis (viršįtampio metodas)</v>
      </c>
      <c r="X490" s="59" t="b">
        <f t="shared" si="44"/>
        <v>1</v>
      </c>
      <c r="Z490" s="70" t="str">
        <f t="shared" si="51"/>
        <v>netaik.</v>
      </c>
      <c r="AA490" s="94"/>
      <c r="AB490" s="94"/>
      <c r="AC490" s="55"/>
      <c r="AD490" s="55"/>
      <c r="AE490" s="95"/>
      <c r="AF490" s="63"/>
      <c r="AG490" s="70" t="str">
        <f t="shared" si="33"/>
        <v>netaik.</v>
      </c>
    </row>
    <row r="491" spans="1:40" ht="12.75" customHeight="1" outlineLevel="1" x14ac:dyDescent="0.2">
      <c r="B491" s="55"/>
      <c r="C491" s="55"/>
      <c r="D491" s="55"/>
      <c r="E491" s="55"/>
      <c r="F491" s="103"/>
      <c r="G491" s="55"/>
      <c r="H491" s="94"/>
      <c r="I491" s="94"/>
      <c r="J491" s="99"/>
      <c r="K491" s="99"/>
      <c r="L491" s="94"/>
      <c r="M491" s="98"/>
      <c r="N491" s="70"/>
      <c r="O491" s="55"/>
      <c r="P491" s="55"/>
      <c r="Q491" s="55"/>
      <c r="X491" s="59" t="b">
        <f t="shared" si="44"/>
        <v>0</v>
      </c>
      <c r="Z491" s="55"/>
      <c r="AA491" s="95"/>
      <c r="AB491" s="95"/>
      <c r="AC491" s="55"/>
      <c r="AD491" s="55"/>
      <c r="AE491" s="95"/>
      <c r="AF491" s="63"/>
      <c r="AG491" s="70"/>
    </row>
    <row r="492" spans="1:40" ht="12.75" customHeight="1" outlineLevel="1" x14ac:dyDescent="0.2">
      <c r="B492" s="55" t="s">
        <v>93</v>
      </c>
      <c r="C492" s="55"/>
      <c r="D492" s="55"/>
      <c r="E492" s="55"/>
      <c r="F492" s="55"/>
      <c r="G492" s="55"/>
      <c r="H492" s="94"/>
      <c r="I492" s="94"/>
      <c r="J492" s="99"/>
      <c r="K492" s="99"/>
      <c r="L492" s="94"/>
      <c r="M492" s="98"/>
      <c r="N492" s="70"/>
      <c r="O492" s="55"/>
      <c r="P492" s="55"/>
      <c r="Q492" s="55"/>
      <c r="X492" s="59" t="b">
        <f t="shared" si="44"/>
        <v>0</v>
      </c>
      <c r="Z492" s="55"/>
      <c r="AA492" s="95"/>
      <c r="AB492" s="95"/>
      <c r="AC492" s="55"/>
      <c r="AD492" s="55"/>
      <c r="AE492" s="95"/>
      <c r="AF492" s="63"/>
      <c r="AG492" s="70"/>
    </row>
    <row r="493" spans="1:40" ht="12.75" customHeight="1" outlineLevel="1" x14ac:dyDescent="0.2">
      <c r="B493" s="55" t="s">
        <v>94</v>
      </c>
      <c r="C493" s="55"/>
      <c r="D493" s="55"/>
      <c r="E493" s="55"/>
      <c r="F493" s="55"/>
      <c r="G493" s="55"/>
      <c r="H493" s="94"/>
      <c r="I493" s="94"/>
      <c r="J493" s="99"/>
      <c r="K493" s="99"/>
      <c r="L493" s="94"/>
      <c r="M493" s="98"/>
      <c r="N493" s="70"/>
      <c r="O493" s="55"/>
      <c r="P493" s="55"/>
      <c r="Q493" s="55"/>
      <c r="X493" s="59" t="b">
        <f t="shared" si="44"/>
        <v>0</v>
      </c>
      <c r="Z493" s="55"/>
      <c r="AA493" s="95"/>
      <c r="AB493" s="95"/>
      <c r="AC493" s="55"/>
      <c r="AD493" s="55"/>
      <c r="AE493" s="95"/>
      <c r="AF493" s="63"/>
      <c r="AG493" s="70"/>
    </row>
    <row r="494" spans="1:40" ht="12.75" customHeight="1" outlineLevel="1" x14ac:dyDescent="0.2">
      <c r="B494" s="55" t="str">
        <f>Translations!$B$431</f>
        <v>masių balansas</v>
      </c>
      <c r="C494" s="55"/>
      <c r="D494" s="55"/>
      <c r="E494" s="55"/>
      <c r="F494" s="55"/>
      <c r="G494" s="95"/>
      <c r="H494" s="94" t="str">
        <f>H449</f>
        <v>I tipas</v>
      </c>
      <c r="I494" s="94"/>
      <c r="J494" s="94" t="str">
        <f>J449</f>
        <v>II tipas</v>
      </c>
      <c r="K494" s="94"/>
      <c r="L494" s="94" t="str">
        <f>L449</f>
        <v>Laboratoriniai tyrimai</v>
      </c>
      <c r="M494" s="94"/>
      <c r="N494" s="70"/>
      <c r="O494" s="55"/>
      <c r="P494" s="55"/>
      <c r="Q494" s="55"/>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
      <c r="B495" s="55"/>
      <c r="C495" s="55"/>
      <c r="D495" s="55"/>
      <c r="E495" s="55"/>
      <c r="F495" s="91"/>
      <c r="G495" s="55"/>
      <c r="H495" s="104"/>
      <c r="I495" s="104"/>
      <c r="J495" s="99"/>
      <c r="K495" s="99"/>
      <c r="L495" s="104"/>
      <c r="M495" s="98"/>
      <c r="N495" s="70"/>
      <c r="O495" s="55"/>
      <c r="P495" s="55"/>
      <c r="Q495" s="55"/>
      <c r="X495" s="59" t="b">
        <f t="shared" si="44"/>
        <v>0</v>
      </c>
      <c r="Z495" s="55"/>
      <c r="AA495" s="91"/>
      <c r="AB495" s="91"/>
      <c r="AC495" s="55"/>
      <c r="AD495" s="55"/>
      <c r="AE495" s="91"/>
      <c r="AF495" s="63"/>
      <c r="AG495" s="70"/>
    </row>
    <row r="496" spans="1:40" s="86" customFormat="1" ht="13.5" thickBot="1" x14ac:dyDescent="0.25">
      <c r="B496" s="96" t="str">
        <f>Translations!$B$472</f>
        <v>Anglies kiekis</v>
      </c>
      <c r="F496" s="96" t="str">
        <f>F448</f>
        <v>Šaltinio tipas</v>
      </c>
      <c r="G496" s="89" t="str">
        <f>Translations!$B$338</f>
        <v>Mažiausiai</v>
      </c>
      <c r="H496" s="101">
        <v>1</v>
      </c>
      <c r="I496" s="101">
        <v>2</v>
      </c>
      <c r="J496" s="101" t="s">
        <v>262</v>
      </c>
      <c r="K496" s="101" t="str">
        <f>Translations!$B$306</f>
        <v>2b</v>
      </c>
      <c r="L496" s="101">
        <v>3</v>
      </c>
      <c r="M496" s="102"/>
      <c r="N496" s="89" t="str">
        <f>Translations!$B$339</f>
        <v>Didžiausia</v>
      </c>
      <c r="X496" s="80"/>
      <c r="Z496" s="89" t="str">
        <f>Translations!$B$338</f>
        <v>Mažiausiai</v>
      </c>
      <c r="AA496" s="89">
        <v>1</v>
      </c>
      <c r="AB496" s="89">
        <v>2</v>
      </c>
      <c r="AC496" s="89" t="s">
        <v>262</v>
      </c>
      <c r="AD496" s="89" t="str">
        <f>Translations!$B$306</f>
        <v>2b</v>
      </c>
      <c r="AE496" s="89">
        <v>3</v>
      </c>
      <c r="AF496" s="90"/>
      <c r="AG496" s="89" t="str">
        <f>Translations!$B$339</f>
        <v>Didžiausia</v>
      </c>
      <c r="AI496" s="96" t="str">
        <f>Translations!$B$433</f>
        <v>numatytoji vertė?</v>
      </c>
      <c r="AJ496" s="89">
        <v>1</v>
      </c>
      <c r="AK496" s="89">
        <v>2</v>
      </c>
      <c r="AL496" s="89" t="s">
        <v>262</v>
      </c>
      <c r="AM496" s="89" t="str">
        <f>Translations!$B$306</f>
        <v>2b</v>
      </c>
      <c r="AN496" s="89">
        <v>3</v>
      </c>
    </row>
    <row r="497" spans="1:40" ht="12.75" customHeight="1" outlineLevel="1" x14ac:dyDescent="0.2">
      <c r="A497" s="59">
        <f>A449</f>
        <v>1</v>
      </c>
      <c r="B497" s="445" t="str">
        <f t="shared" ref="B497:D516" si="56">B449</f>
        <v>Kuro deginimas ir kaip proceso žaliava naudojamas kuras</v>
      </c>
      <c r="C497" s="432" t="str">
        <f t="shared" si="56"/>
        <v>Degimas</v>
      </c>
      <c r="D497" s="432" t="str">
        <f t="shared" si="56"/>
        <v>Komercinis standartinių rūšių kuras</v>
      </c>
      <c r="E497" s="432"/>
      <c r="F497" s="446" t="str">
        <f>F449</f>
        <v>Degimas</v>
      </c>
      <c r="G497" s="430" t="str">
        <f t="shared" ref="G497:G509" si="57">EUconst_NA</f>
        <v>netaik.</v>
      </c>
      <c r="H497" s="447"/>
      <c r="I497" s="447"/>
      <c r="J497" s="455"/>
      <c r="K497" s="455"/>
      <c r="L497" s="447"/>
      <c r="M497" s="448"/>
      <c r="N497" s="430" t="str">
        <f t="shared" ref="N497:N538" si="58">IF(G497=EUconst_NA,EUconst_NA,IF(ISBLANK(J497),COUNTA(H497:M497),COUNTA(H497,J497,L497)))</f>
        <v>netaik.</v>
      </c>
      <c r="O497" s="433" t="str">
        <f t="shared" ref="O497:O538" si="59">C497 &amp; ": " &amp;D497</f>
        <v>Degimas: Komercinis standartinių rūšių kuras</v>
      </c>
      <c r="P497" s="432"/>
      <c r="Q497" s="434"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5"/>
      <c r="AD497" s="55"/>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
      <c r="A498" s="59">
        <f t="shared" ref="A498:A538" si="64">A450</f>
        <v>2</v>
      </c>
      <c r="B498" s="449" t="str">
        <f t="shared" si="56"/>
        <v>Kuro deginimas ir kaip proceso žaliava naudojamas kuras</v>
      </c>
      <c r="C498" s="72" t="str">
        <f t="shared" si="56"/>
        <v>Degimas</v>
      </c>
      <c r="D498" s="72" t="str">
        <f t="shared" si="56"/>
        <v>Kitas dujinis ir skystasis kuras</v>
      </c>
      <c r="E498" s="72"/>
      <c r="F498" s="441" t="str">
        <f t="shared" ref="F498:F538" si="65">F450</f>
        <v>Degimas</v>
      </c>
      <c r="G498" s="425" t="str">
        <f t="shared" si="57"/>
        <v>netaik.</v>
      </c>
      <c r="H498" s="442"/>
      <c r="I498" s="442"/>
      <c r="J498" s="444"/>
      <c r="K498" s="444"/>
      <c r="L498" s="442"/>
      <c r="M498" s="443"/>
      <c r="N498" s="425" t="str">
        <f t="shared" si="58"/>
        <v>netaik.</v>
      </c>
      <c r="O498" s="427" t="str">
        <f t="shared" si="59"/>
        <v>Degimas: Kitas dujinis ir skystasis kuras</v>
      </c>
      <c r="P498" s="72"/>
      <c r="Q498" s="435" t="str">
        <f t="shared" si="60"/>
        <v>CarbC_Degimas: Kitas dujinis ir skystasis kuras</v>
      </c>
      <c r="X498" s="59" t="b">
        <f t="shared" si="44"/>
        <v>1</v>
      </c>
      <c r="Z498" s="70" t="str">
        <f t="shared" si="61"/>
        <v>netaik.</v>
      </c>
      <c r="AA498" s="95" t="str">
        <f t="shared" si="61"/>
        <v>netaik.</v>
      </c>
      <c r="AB498" s="95" t="str">
        <f t="shared" si="61"/>
        <v>netaik.</v>
      </c>
      <c r="AC498" s="55"/>
      <c r="AD498" s="55"/>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
      <c r="A499" s="59">
        <f t="shared" si="64"/>
        <v>3</v>
      </c>
      <c r="B499" s="449" t="str">
        <f t="shared" si="56"/>
        <v>Kuro deginimas ir kaip proceso žaliava naudojamas kuras</v>
      </c>
      <c r="C499" s="72" t="str">
        <f t="shared" si="56"/>
        <v>Degimas</v>
      </c>
      <c r="D499" s="72" t="str">
        <f t="shared" si="56"/>
        <v>Kietasis kuras</v>
      </c>
      <c r="E499" s="72"/>
      <c r="F499" s="441" t="str">
        <f t="shared" si="65"/>
        <v>Degimas</v>
      </c>
      <c r="G499" s="425" t="str">
        <f t="shared" si="57"/>
        <v>netaik.</v>
      </c>
      <c r="H499" s="442"/>
      <c r="I499" s="442"/>
      <c r="J499" s="444"/>
      <c r="K499" s="444"/>
      <c r="L499" s="442"/>
      <c r="M499" s="443"/>
      <c r="N499" s="425" t="str">
        <f t="shared" si="58"/>
        <v>netaik.</v>
      </c>
      <c r="O499" s="427" t="str">
        <f t="shared" si="59"/>
        <v>Degimas: Kietasis kuras</v>
      </c>
      <c r="P499" s="72"/>
      <c r="Q499" s="435" t="str">
        <f t="shared" si="60"/>
        <v>CarbC_Degimas: Kietasis kuras</v>
      </c>
      <c r="X499" s="59" t="b">
        <f t="shared" si="44"/>
        <v>1</v>
      </c>
      <c r="Z499" s="70" t="str">
        <f>EUconst_NA</f>
        <v>netaik.</v>
      </c>
      <c r="AA499" s="95"/>
      <c r="AB499" s="95"/>
      <c r="AC499" s="55"/>
      <c r="AD499" s="55"/>
      <c r="AE499" s="95"/>
      <c r="AF499" s="63"/>
      <c r="AG499" s="70" t="str">
        <f t="shared" si="62"/>
        <v>netaik.</v>
      </c>
    </row>
    <row r="500" spans="1:40" ht="12.75" customHeight="1" outlineLevel="1" x14ac:dyDescent="0.2">
      <c r="A500" s="59">
        <f t="shared" si="64"/>
        <v>4</v>
      </c>
      <c r="B500" s="449" t="str">
        <f t="shared" si="56"/>
        <v>Kuro deginimas ir kaip proceso žaliava naudojamas kuras</v>
      </c>
      <c r="C500" s="72" t="str">
        <f t="shared" si="56"/>
        <v>Degimas</v>
      </c>
      <c r="D500" s="72" t="str">
        <f t="shared" si="56"/>
        <v>Dujų perdirbimo terminalai</v>
      </c>
      <c r="E500" s="72"/>
      <c r="F500" s="441" t="str">
        <f t="shared" si="65"/>
        <v>Masės balansas</v>
      </c>
      <c r="G500" s="425">
        <v>1</v>
      </c>
      <c r="H500" s="442" t="str">
        <f>H$542</f>
        <v>I tipas</v>
      </c>
      <c r="I500" s="442"/>
      <c r="J500" s="442" t="str">
        <f>J$542</f>
        <v>II tipas</v>
      </c>
      <c r="K500" s="442" t="str">
        <f>K$542</f>
        <v>Pakaitinės vertės</v>
      </c>
      <c r="L500" s="442" t="str">
        <f>L$542</f>
        <v>Laboratoriniai tyrimai</v>
      </c>
      <c r="M500" s="443"/>
      <c r="N500" s="425">
        <f t="shared" si="58"/>
        <v>3</v>
      </c>
      <c r="O500" s="427" t="str">
        <f t="shared" si="59"/>
        <v>Degimas: Dujų perdirbimo terminalai</v>
      </c>
      <c r="P500" s="72"/>
      <c r="Q500" s="435"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
      <c r="A501" s="59">
        <f t="shared" si="64"/>
        <v>5</v>
      </c>
      <c r="B501" s="449" t="str">
        <f t="shared" si="56"/>
        <v>Kuro deginimas ir kaip proceso žaliava naudojamas kuras</v>
      </c>
      <c r="C501" s="72" t="str">
        <f t="shared" si="56"/>
        <v>Degimas</v>
      </c>
      <c r="D501" s="72" t="str">
        <f t="shared" si="56"/>
        <v>Fakelai</v>
      </c>
      <c r="E501" s="72"/>
      <c r="F501" s="441" t="str">
        <f t="shared" si="65"/>
        <v>Degimas</v>
      </c>
      <c r="G501" s="425" t="str">
        <f t="shared" si="57"/>
        <v>netaik.</v>
      </c>
      <c r="H501" s="442"/>
      <c r="I501" s="442"/>
      <c r="J501" s="444"/>
      <c r="K501" s="444"/>
      <c r="L501" s="442"/>
      <c r="M501" s="443"/>
      <c r="N501" s="425" t="str">
        <f t="shared" si="58"/>
        <v>netaik.</v>
      </c>
      <c r="O501" s="427" t="str">
        <f t="shared" si="59"/>
        <v>Degimas: Fakelai</v>
      </c>
      <c r="P501" s="72"/>
      <c r="Q501" s="435" t="str">
        <f t="shared" si="60"/>
        <v>CarbC_Degimas: Fakelai</v>
      </c>
      <c r="X501" s="59" t="b">
        <f t="shared" si="44"/>
        <v>1</v>
      </c>
      <c r="Z501" s="70" t="str">
        <f>EUconst_NA</f>
        <v>netaik.</v>
      </c>
      <c r="AA501" s="95"/>
      <c r="AB501" s="95"/>
      <c r="AC501" s="55"/>
      <c r="AD501" s="55"/>
      <c r="AE501" s="95"/>
      <c r="AF501" s="63"/>
      <c r="AG501" s="70" t="str">
        <f t="shared" si="62"/>
        <v>netaik.</v>
      </c>
    </row>
    <row r="502" spans="1:40" ht="12.75" customHeight="1" outlineLevel="1" x14ac:dyDescent="0.2">
      <c r="A502" s="59">
        <f t="shared" si="64"/>
        <v>6</v>
      </c>
      <c r="B502" s="449" t="str">
        <f t="shared" si="56"/>
        <v>Kuro deginimas ir kaip proceso žaliava naudojamas kuras</v>
      </c>
      <c r="C502" s="72" t="str">
        <f t="shared" si="56"/>
        <v>Degimas</v>
      </c>
      <c r="D502" s="72" t="str">
        <f t="shared" si="56"/>
        <v>Dujų plovimas (karbonatai)</v>
      </c>
      <c r="E502" s="72"/>
      <c r="F502" s="441" t="str">
        <f t="shared" si="65"/>
        <v>Proceso metu išsiskiriančios ŠESD</v>
      </c>
      <c r="G502" s="425" t="str">
        <f t="shared" si="57"/>
        <v>netaik.</v>
      </c>
      <c r="H502" s="442"/>
      <c r="I502" s="442"/>
      <c r="J502" s="444"/>
      <c r="K502" s="444"/>
      <c r="L502" s="442"/>
      <c r="M502" s="443"/>
      <c r="N502" s="425" t="str">
        <f t="shared" si="58"/>
        <v>netaik.</v>
      </c>
      <c r="O502" s="427" t="str">
        <f t="shared" si="59"/>
        <v>Degimas: Dujų plovimas (karbonatai)</v>
      </c>
      <c r="P502" s="72"/>
      <c r="Q502" s="435" t="str">
        <f t="shared" si="60"/>
        <v>CarbC_Degimas: Dujų plovimas (karbonatai)</v>
      </c>
      <c r="X502" s="59" t="b">
        <f t="shared" si="44"/>
        <v>1</v>
      </c>
      <c r="Z502" s="70" t="str">
        <f>EUconst_NA</f>
        <v>netaik.</v>
      </c>
      <c r="AA502" s="95"/>
      <c r="AB502" s="95"/>
      <c r="AC502" s="55"/>
      <c r="AD502" s="55"/>
      <c r="AE502" s="95"/>
      <c r="AF502" s="63"/>
      <c r="AG502" s="70" t="str">
        <f t="shared" si="62"/>
        <v>netaik.</v>
      </c>
    </row>
    <row r="503" spans="1:40" ht="12.75" customHeight="1" outlineLevel="1" x14ac:dyDescent="0.2">
      <c r="A503" s="59">
        <f t="shared" si="64"/>
        <v>7</v>
      </c>
      <c r="B503" s="449" t="str">
        <f t="shared" si="56"/>
        <v>Kuro deginimas ir kaip proceso žaliava naudojamas kuras</v>
      </c>
      <c r="C503" s="72" t="str">
        <f t="shared" si="56"/>
        <v>Degimas</v>
      </c>
      <c r="D503" s="72" t="str">
        <f t="shared" si="56"/>
        <v>Dujų plovimas (gipsas)</v>
      </c>
      <c r="E503" s="72"/>
      <c r="F503" s="441" t="str">
        <f t="shared" si="65"/>
        <v>Proceso metu išsiskiriančios ŠESD</v>
      </c>
      <c r="G503" s="425" t="str">
        <f t="shared" si="57"/>
        <v>netaik.</v>
      </c>
      <c r="H503" s="442"/>
      <c r="I503" s="442"/>
      <c r="J503" s="444"/>
      <c r="K503" s="444"/>
      <c r="L503" s="442"/>
      <c r="M503" s="443"/>
      <c r="N503" s="425" t="str">
        <f t="shared" si="58"/>
        <v>netaik.</v>
      </c>
      <c r="O503" s="427" t="str">
        <f t="shared" si="59"/>
        <v>Degimas: Dujų plovimas (gipsas)</v>
      </c>
      <c r="P503" s="72"/>
      <c r="Q503" s="435" t="str">
        <f t="shared" si="60"/>
        <v>CarbC_Degimas: Dujų plovimas (gipsas)</v>
      </c>
      <c r="X503" s="59" t="b">
        <f t="shared" si="44"/>
        <v>1</v>
      </c>
      <c r="Z503" s="70" t="str">
        <f>EUconst_NA</f>
        <v>netaik.</v>
      </c>
      <c r="AA503" s="95"/>
      <c r="AB503" s="95"/>
      <c r="AC503" s="55"/>
      <c r="AD503" s="55"/>
      <c r="AE503" s="95"/>
      <c r="AF503" s="63"/>
      <c r="AG503" s="70" t="str">
        <f t="shared" si="62"/>
        <v>netaik.</v>
      </c>
    </row>
    <row r="504" spans="1:40" ht="12.75" customHeight="1" outlineLevel="1" x14ac:dyDescent="0.2">
      <c r="A504" s="59">
        <f t="shared" si="64"/>
        <v>8</v>
      </c>
      <c r="B504" s="449" t="str">
        <f t="shared" si="56"/>
        <v xml:space="preserve">Naftos perdirbimas </v>
      </c>
      <c r="C504" s="72" t="str">
        <f t="shared" si="56"/>
        <v>Naftos perdirbimo įrenginiai</v>
      </c>
      <c r="D504" s="72" t="str">
        <f t="shared" si="56"/>
        <v>Masės balansas</v>
      </c>
      <c r="E504" s="72"/>
      <c r="F504" s="441" t="str">
        <f t="shared" si="65"/>
        <v>Masės balansas</v>
      </c>
      <c r="G504" s="425" t="s">
        <v>75</v>
      </c>
      <c r="H504" s="442" t="str">
        <f>H$542</f>
        <v>I tipas</v>
      </c>
      <c r="I504" s="442"/>
      <c r="J504" s="442" t="str">
        <f t="shared" ref="J504:L505" si="66">J$542</f>
        <v>II tipas</v>
      </c>
      <c r="K504" s="442" t="str">
        <f t="shared" si="66"/>
        <v>Pakaitinės vertės</v>
      </c>
      <c r="L504" s="442" t="str">
        <f t="shared" si="66"/>
        <v>Laboratoriniai tyrimai</v>
      </c>
      <c r="M504" s="443"/>
      <c r="N504" s="425">
        <f t="shared" si="58"/>
        <v>3</v>
      </c>
      <c r="O504" s="427" t="str">
        <f t="shared" si="59"/>
        <v>Naftos perdirbimo įrenginiai: Masės balansas</v>
      </c>
      <c r="P504" s="72"/>
      <c r="Q504" s="435"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
      <c r="A505" s="59">
        <f t="shared" si="64"/>
        <v>9</v>
      </c>
      <c r="B505" s="449" t="str">
        <f t="shared" si="56"/>
        <v xml:space="preserve">Naftos perdirbimas </v>
      </c>
      <c r="C505" s="72" t="str">
        <f t="shared" si="56"/>
        <v>Naftos perdirbimo įrenginiai</v>
      </c>
      <c r="D505" s="72" t="str">
        <f t="shared" si="56"/>
        <v>Regeneravimas katalizinio krekingo įrenginiu</v>
      </c>
      <c r="E505" s="72"/>
      <c r="F505" s="441" t="str">
        <f t="shared" si="65"/>
        <v>Masės balansas</v>
      </c>
      <c r="G505" s="425"/>
      <c r="H505" s="442" t="str">
        <f>H$542</f>
        <v>I tipas</v>
      </c>
      <c r="I505" s="442"/>
      <c r="J505" s="442" t="str">
        <f t="shared" si="66"/>
        <v>II tipas</v>
      </c>
      <c r="K505" s="442" t="str">
        <f t="shared" si="66"/>
        <v>Pakaitinės vertės</v>
      </c>
      <c r="L505" s="442" t="str">
        <f t="shared" si="66"/>
        <v>Laboratoriniai tyrimai</v>
      </c>
      <c r="M505" s="443"/>
      <c r="N505" s="425"/>
      <c r="O505" s="427" t="str">
        <f t="shared" si="59"/>
        <v>Naftos perdirbimo įrenginiai: Regeneravimas katalizinio krekingo įrenginiu</v>
      </c>
      <c r="P505" s="72"/>
      <c r="Q505" s="435" t="str">
        <f t="shared" si="60"/>
        <v>CarbC_Naftos perdirbimo įrenginiai: Regeneravimas katalizinio krekingo įrenginiu</v>
      </c>
      <c r="X505" s="59" t="b">
        <f t="shared" si="44"/>
        <v>0</v>
      </c>
      <c r="Z505" s="70" t="str">
        <f>EUconst_NA</f>
        <v>netaik.</v>
      </c>
      <c r="AA505" s="95"/>
      <c r="AB505" s="95"/>
      <c r="AC505" s="55"/>
      <c r="AD505" s="55"/>
      <c r="AE505" s="95"/>
      <c r="AF505" s="63"/>
      <c r="AG505" s="70" t="str">
        <f t="shared" si="62"/>
        <v>netaik.</v>
      </c>
    </row>
    <row r="506" spans="1:40" ht="12.75" customHeight="1" outlineLevel="1" x14ac:dyDescent="0.2">
      <c r="A506" s="59">
        <f t="shared" si="64"/>
        <v>10</v>
      </c>
      <c r="B506" s="449" t="str">
        <f t="shared" si="56"/>
        <v xml:space="preserve">Naftos perdirbimas </v>
      </c>
      <c r="C506" s="72" t="str">
        <f t="shared" si="56"/>
        <v>Naftos perdirbimo įrenginiai</v>
      </c>
      <c r="D506" s="72" t="str">
        <f t="shared" si="56"/>
        <v>Vandenilio gamyba</v>
      </c>
      <c r="E506" s="72"/>
      <c r="F506" s="441" t="str">
        <f t="shared" si="65"/>
        <v>Proceso metu išsiskiriančios ŠESD</v>
      </c>
      <c r="G506" s="425" t="str">
        <f t="shared" si="57"/>
        <v>netaik.</v>
      </c>
      <c r="H506" s="442"/>
      <c r="I506" s="442"/>
      <c r="J506" s="444"/>
      <c r="K506" s="444"/>
      <c r="L506" s="442"/>
      <c r="M506" s="443"/>
      <c r="N506" s="425" t="str">
        <f t="shared" si="58"/>
        <v>netaik.</v>
      </c>
      <c r="O506" s="427" t="str">
        <f t="shared" si="59"/>
        <v>Naftos perdirbimo įrenginiai: Vandenilio gamyba</v>
      </c>
      <c r="P506" s="72"/>
      <c r="Q506" s="435" t="str">
        <f t="shared" si="60"/>
        <v>CarbC_Naftos perdirbimo įrenginiai: Vandenilio gamyba</v>
      </c>
      <c r="X506" s="59" t="b">
        <f t="shared" si="44"/>
        <v>1</v>
      </c>
      <c r="Z506" s="70" t="str">
        <f>EUconst_NA</f>
        <v>netaik.</v>
      </c>
      <c r="AA506" s="95"/>
      <c r="AB506" s="95"/>
      <c r="AC506" s="55"/>
      <c r="AD506" s="55"/>
      <c r="AE506" s="95"/>
      <c r="AF506" s="63"/>
      <c r="AG506" s="70" t="str">
        <f t="shared" si="62"/>
        <v>netaik.</v>
      </c>
    </row>
    <row r="507" spans="1:40" ht="12.75" customHeight="1" outlineLevel="1" x14ac:dyDescent="0.2">
      <c r="A507" s="59">
        <f t="shared" si="64"/>
        <v>11</v>
      </c>
      <c r="B507" s="449" t="str">
        <f t="shared" si="56"/>
        <v>Kokso gamyba</v>
      </c>
      <c r="C507" s="72" t="str">
        <f t="shared" si="56"/>
        <v>Koksas</v>
      </c>
      <c r="D507" s="72" t="str">
        <f t="shared" si="56"/>
        <v>Kuras kaip proceso žaliava</v>
      </c>
      <c r="E507" s="72"/>
      <c r="F507" s="441" t="str">
        <f t="shared" si="65"/>
        <v>Degimas</v>
      </c>
      <c r="G507" s="425" t="str">
        <f t="shared" si="57"/>
        <v>netaik.</v>
      </c>
      <c r="H507" s="442"/>
      <c r="I507" s="442"/>
      <c r="J507" s="444"/>
      <c r="K507" s="444"/>
      <c r="L507" s="442"/>
      <c r="M507" s="443"/>
      <c r="N507" s="425" t="str">
        <f t="shared" si="58"/>
        <v>netaik.</v>
      </c>
      <c r="O507" s="427" t="str">
        <f t="shared" si="59"/>
        <v>Koksas: Kuras kaip proceso žaliava</v>
      </c>
      <c r="P507" s="72"/>
      <c r="Q507" s="435" t="str">
        <f t="shared" si="60"/>
        <v>CarbC_Koksas: Kuras kaip proceso žaliava</v>
      </c>
      <c r="X507" s="59" t="b">
        <f t="shared" si="44"/>
        <v>1</v>
      </c>
      <c r="Z507" s="70" t="str">
        <f>EUconst_NA</f>
        <v>netaik.</v>
      </c>
      <c r="AA507" s="95"/>
      <c r="AB507" s="95"/>
      <c r="AC507" s="55"/>
      <c r="AD507" s="55"/>
      <c r="AE507" s="95"/>
      <c r="AF507" s="63"/>
      <c r="AG507" s="70" t="str">
        <f t="shared" si="62"/>
        <v>netaik.</v>
      </c>
    </row>
    <row r="508" spans="1:40" ht="12.75" customHeight="1" outlineLevel="1" x14ac:dyDescent="0.2">
      <c r="A508" s="59">
        <f t="shared" si="64"/>
        <v>12</v>
      </c>
      <c r="B508" s="449" t="str">
        <f t="shared" si="56"/>
        <v>Kokso gamyba</v>
      </c>
      <c r="C508" s="72" t="str">
        <f t="shared" si="56"/>
        <v>Koksas</v>
      </c>
      <c r="D508" s="72" t="str">
        <f t="shared" si="56"/>
        <v>Karbonatų sąnaudos (A metodas)</v>
      </c>
      <c r="E508" s="72"/>
      <c r="F508" s="441" t="str">
        <f t="shared" si="65"/>
        <v>Proceso metu išsiskiriančios ŠESD</v>
      </c>
      <c r="G508" s="425" t="str">
        <f t="shared" si="57"/>
        <v>netaik.</v>
      </c>
      <c r="H508" s="442"/>
      <c r="I508" s="442"/>
      <c r="J508" s="444"/>
      <c r="K508" s="444"/>
      <c r="L508" s="442"/>
      <c r="M508" s="443"/>
      <c r="N508" s="425" t="str">
        <f t="shared" si="58"/>
        <v>netaik.</v>
      </c>
      <c r="O508" s="427" t="str">
        <f t="shared" si="59"/>
        <v>Koksas: Karbonatų sąnaudos (A metodas)</v>
      </c>
      <c r="P508" s="72"/>
      <c r="Q508" s="435" t="str">
        <f t="shared" si="60"/>
        <v>CarbC_Koksas: Karbonatų sąnaudos (A metodas)</v>
      </c>
      <c r="X508" s="59" t="b">
        <f t="shared" si="44"/>
        <v>1</v>
      </c>
      <c r="Z508" s="70" t="str">
        <f>EUconst_NA</f>
        <v>netaik.</v>
      </c>
      <c r="AA508" s="95"/>
      <c r="AB508" s="95"/>
      <c r="AC508" s="55"/>
      <c r="AD508" s="55"/>
      <c r="AE508" s="95"/>
      <c r="AF508" s="63"/>
      <c r="AG508" s="70" t="str">
        <f t="shared" si="62"/>
        <v>netaik.</v>
      </c>
    </row>
    <row r="509" spans="1:40" ht="12.75" customHeight="1" outlineLevel="1" x14ac:dyDescent="0.2">
      <c r="A509" s="59">
        <f t="shared" si="64"/>
        <v>13</v>
      </c>
      <c r="B509" s="449" t="str">
        <f t="shared" si="56"/>
        <v>Kokso gamyba</v>
      </c>
      <c r="C509" s="72" t="str">
        <f t="shared" si="56"/>
        <v>Koksas</v>
      </c>
      <c r="D509" s="72" t="str">
        <f t="shared" si="56"/>
        <v>Oksido išeiga (B metodas)</v>
      </c>
      <c r="E509" s="72"/>
      <c r="F509" s="441" t="str">
        <f t="shared" si="65"/>
        <v>Proceso metu išsiskiriančios ŠESD</v>
      </c>
      <c r="G509" s="425" t="str">
        <f t="shared" si="57"/>
        <v>netaik.</v>
      </c>
      <c r="H509" s="442"/>
      <c r="I509" s="442"/>
      <c r="J509" s="444"/>
      <c r="K509" s="444"/>
      <c r="L509" s="442"/>
      <c r="M509" s="443"/>
      <c r="N509" s="425" t="str">
        <f t="shared" si="58"/>
        <v>netaik.</v>
      </c>
      <c r="O509" s="427" t="str">
        <f t="shared" si="59"/>
        <v>Koksas: Oksido išeiga (B metodas)</v>
      </c>
      <c r="P509" s="72"/>
      <c r="Q509" s="435" t="str">
        <f t="shared" si="60"/>
        <v>CarbC_Koksas: Oksido išeiga (B metodas)</v>
      </c>
      <c r="X509" s="59" t="b">
        <f t="shared" si="44"/>
        <v>1</v>
      </c>
      <c r="Z509" s="70" t="str">
        <f>EUconst_NA</f>
        <v>netaik.</v>
      </c>
      <c r="AA509" s="95"/>
      <c r="AB509" s="95"/>
      <c r="AC509" s="55"/>
      <c r="AD509" s="55"/>
      <c r="AE509" s="95"/>
      <c r="AF509" s="63"/>
      <c r="AG509" s="70" t="str">
        <f t="shared" si="62"/>
        <v>netaik.</v>
      </c>
    </row>
    <row r="510" spans="1:40" ht="12.75" customHeight="1" outlineLevel="1" x14ac:dyDescent="0.2">
      <c r="A510" s="59">
        <f t="shared" si="64"/>
        <v>14</v>
      </c>
      <c r="B510" s="449" t="str">
        <f t="shared" si="56"/>
        <v>Kokso gamyba</v>
      </c>
      <c r="C510" s="72" t="str">
        <f t="shared" si="56"/>
        <v>Koksas</v>
      </c>
      <c r="D510" s="72" t="str">
        <f t="shared" si="56"/>
        <v>Masės balansas</v>
      </c>
      <c r="E510" s="72"/>
      <c r="F510" s="441" t="str">
        <f t="shared" si="65"/>
        <v>Masės balansas</v>
      </c>
      <c r="G510" s="425" t="s">
        <v>75</v>
      </c>
      <c r="H510" s="442" t="str">
        <f>H542</f>
        <v>I tipas</v>
      </c>
      <c r="I510" s="442"/>
      <c r="J510" s="442" t="str">
        <f>J542</f>
        <v>II tipas</v>
      </c>
      <c r="K510" s="442" t="str">
        <f>K542</f>
        <v>Pakaitinės vertės</v>
      </c>
      <c r="L510" s="442" t="str">
        <f>L542</f>
        <v>Laboratoriniai tyrimai</v>
      </c>
      <c r="M510" s="443"/>
      <c r="N510" s="425">
        <f t="shared" si="58"/>
        <v>3</v>
      </c>
      <c r="O510" s="427" t="str">
        <f t="shared" si="59"/>
        <v>Koksas: Masės balansas</v>
      </c>
      <c r="P510" s="72"/>
      <c r="Q510" s="435"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
      <c r="A511" s="59">
        <f t="shared" si="64"/>
        <v>15</v>
      </c>
      <c r="B511" s="449" t="str">
        <f t="shared" si="56"/>
        <v>Metalo rūdų deginimas ir kepinimas</v>
      </c>
      <c r="C511" s="72" t="str">
        <f t="shared" si="56"/>
        <v>Metalų rūda</v>
      </c>
      <c r="D511" s="72" t="str">
        <f t="shared" si="56"/>
        <v>Karbonatų sąnaudos</v>
      </c>
      <c r="E511" s="72"/>
      <c r="F511" s="441" t="str">
        <f t="shared" si="65"/>
        <v>Proceso metu išsiskiriančios ŠESD</v>
      </c>
      <c r="G511" s="425" t="str">
        <f>EUconst_NA</f>
        <v>netaik.</v>
      </c>
      <c r="H511" s="442"/>
      <c r="I511" s="442"/>
      <c r="J511" s="444"/>
      <c r="K511" s="444"/>
      <c r="L511" s="442"/>
      <c r="M511" s="443"/>
      <c r="N511" s="425" t="str">
        <f t="shared" si="58"/>
        <v>netaik.</v>
      </c>
      <c r="O511" s="427" t="str">
        <f t="shared" si="59"/>
        <v>Metalų rūda: Karbonatų sąnaudos</v>
      </c>
      <c r="P511" s="72"/>
      <c r="Q511" s="435" t="str">
        <f t="shared" si="60"/>
        <v>CarbC_Metalų rūda: Karbonatų sąnaudos</v>
      </c>
      <c r="X511" s="59" t="b">
        <f t="shared" si="44"/>
        <v>1</v>
      </c>
      <c r="Z511" s="70" t="str">
        <f>EUconst_NA</f>
        <v>netaik.</v>
      </c>
      <c r="AA511" s="95"/>
      <c r="AB511" s="95"/>
      <c r="AC511" s="55"/>
      <c r="AD511" s="55"/>
      <c r="AE511" s="95"/>
      <c r="AF511" s="63"/>
      <c r="AG511" s="70" t="str">
        <f t="shared" si="62"/>
        <v>netaik.</v>
      </c>
    </row>
    <row r="512" spans="1:40" ht="12.75" customHeight="1" outlineLevel="1" x14ac:dyDescent="0.2">
      <c r="A512" s="59">
        <f t="shared" si="64"/>
        <v>16</v>
      </c>
      <c r="B512" s="449" t="str">
        <f t="shared" si="56"/>
        <v>Metalo rūdų deginimas ir kepinimas</v>
      </c>
      <c r="C512" s="72" t="str">
        <f t="shared" si="56"/>
        <v>Metalų rūda</v>
      </c>
      <c r="D512" s="72" t="str">
        <f t="shared" si="56"/>
        <v>Masės balansas</v>
      </c>
      <c r="E512" s="72"/>
      <c r="F512" s="441" t="str">
        <f t="shared" si="65"/>
        <v>Masės balansas</v>
      </c>
      <c r="G512" s="425" t="s">
        <v>75</v>
      </c>
      <c r="H512" s="442" t="str">
        <f>H542</f>
        <v>I tipas</v>
      </c>
      <c r="I512" s="442"/>
      <c r="J512" s="442" t="str">
        <f>J542</f>
        <v>II tipas</v>
      </c>
      <c r="K512" s="442" t="str">
        <f>K542</f>
        <v>Pakaitinės vertės</v>
      </c>
      <c r="L512" s="442" t="str">
        <f>L542</f>
        <v>Laboratoriniai tyrimai</v>
      </c>
      <c r="M512" s="443"/>
      <c r="N512" s="425">
        <f t="shared" si="58"/>
        <v>3</v>
      </c>
      <c r="O512" s="427" t="str">
        <f t="shared" si="59"/>
        <v>Metalų rūda: Masės balansas</v>
      </c>
      <c r="P512" s="72"/>
      <c r="Q512" s="435"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
      <c r="A513" s="59">
        <f t="shared" si="64"/>
        <v>17</v>
      </c>
      <c r="B513" s="449" t="str">
        <f t="shared" si="56"/>
        <v>Geležies ir plieno gamyba</v>
      </c>
      <c r="C513" s="72" t="str">
        <f t="shared" si="56"/>
        <v>Geležis ir plienas</v>
      </c>
      <c r="D513" s="72" t="str">
        <f t="shared" si="56"/>
        <v>Kuras kaip proceso žaliava</v>
      </c>
      <c r="E513" s="72"/>
      <c r="F513" s="441" t="str">
        <f t="shared" si="65"/>
        <v>Degimas</v>
      </c>
      <c r="G513" s="425" t="str">
        <f t="shared" ref="G513:G527" si="67">EUconst_NA</f>
        <v>netaik.</v>
      </c>
      <c r="H513" s="442"/>
      <c r="I513" s="442"/>
      <c r="J513" s="444"/>
      <c r="K513" s="444"/>
      <c r="L513" s="442"/>
      <c r="M513" s="443"/>
      <c r="N513" s="425" t="str">
        <f t="shared" si="58"/>
        <v>netaik.</v>
      </c>
      <c r="O513" s="427" t="str">
        <f t="shared" si="59"/>
        <v>Geležis ir plienas: Kuras kaip proceso žaliava</v>
      </c>
      <c r="P513" s="72"/>
      <c r="Q513" s="435" t="str">
        <f t="shared" si="60"/>
        <v>CarbC_Geležis ir plienas: Kuras kaip proceso žaliava</v>
      </c>
      <c r="X513" s="59" t="b">
        <f t="shared" si="44"/>
        <v>1</v>
      </c>
      <c r="Z513" s="70" t="str">
        <f t="shared" ref="Z513:Z527" si="68">EUconst_NA</f>
        <v>netaik.</v>
      </c>
      <c r="AA513" s="95"/>
      <c r="AB513" s="95"/>
      <c r="AC513" s="55"/>
      <c r="AD513" s="55"/>
      <c r="AE513" s="95"/>
      <c r="AF513" s="63"/>
      <c r="AG513" s="70" t="str">
        <f t="shared" si="62"/>
        <v>netaik.</v>
      </c>
    </row>
    <row r="514" spans="1:40" ht="12.75" customHeight="1" outlineLevel="1" x14ac:dyDescent="0.2">
      <c r="A514" s="59">
        <f t="shared" si="64"/>
        <v>18</v>
      </c>
      <c r="B514" s="449" t="str">
        <f t="shared" si="56"/>
        <v>Geležies ir plieno gamyba</v>
      </c>
      <c r="C514" s="72" t="str">
        <f t="shared" si="56"/>
        <v>Geležis ir plienas</v>
      </c>
      <c r="D514" s="72" t="str">
        <f t="shared" si="56"/>
        <v>Karbonatų sąnaudos</v>
      </c>
      <c r="E514" s="72"/>
      <c r="F514" s="441" t="str">
        <f t="shared" si="65"/>
        <v>Proceso metu išsiskiriančios ŠESD</v>
      </c>
      <c r="G514" s="425" t="str">
        <f t="shared" si="67"/>
        <v>netaik.</v>
      </c>
      <c r="H514" s="442"/>
      <c r="I514" s="442"/>
      <c r="J514" s="444"/>
      <c r="K514" s="444"/>
      <c r="L514" s="442"/>
      <c r="M514" s="443"/>
      <c r="N514" s="425" t="str">
        <f t="shared" si="58"/>
        <v>netaik.</v>
      </c>
      <c r="O514" s="427" t="str">
        <f t="shared" si="59"/>
        <v>Geležis ir plienas: Karbonatų sąnaudos</v>
      </c>
      <c r="P514" s="72"/>
      <c r="Q514" s="435" t="str">
        <f t="shared" si="60"/>
        <v>CarbC_Geležis ir plienas: Karbonatų sąnaudos</v>
      </c>
      <c r="X514" s="59" t="b">
        <f t="shared" si="44"/>
        <v>1</v>
      </c>
      <c r="Z514" s="70" t="str">
        <f t="shared" si="68"/>
        <v>netaik.</v>
      </c>
      <c r="AA514" s="95"/>
      <c r="AB514" s="95"/>
      <c r="AC514" s="55"/>
      <c r="AD514" s="55"/>
      <c r="AE514" s="95"/>
      <c r="AF514" s="63"/>
      <c r="AG514" s="70" t="str">
        <f t="shared" si="62"/>
        <v>netaik.</v>
      </c>
    </row>
    <row r="515" spans="1:40" ht="12.75" customHeight="1" outlineLevel="1" x14ac:dyDescent="0.2">
      <c r="A515" s="59">
        <f t="shared" si="64"/>
        <v>19</v>
      </c>
      <c r="B515" s="449" t="str">
        <f t="shared" si="56"/>
        <v>Geležies ir plieno gamyba</v>
      </c>
      <c r="C515" s="72" t="str">
        <f t="shared" si="56"/>
        <v>Geležis ir plienas</v>
      </c>
      <c r="D515" s="72" t="str">
        <f t="shared" si="56"/>
        <v>Masės balansas</v>
      </c>
      <c r="E515" s="72"/>
      <c r="F515" s="441" t="str">
        <f t="shared" si="65"/>
        <v>Masės balansas</v>
      </c>
      <c r="G515" s="425" t="s">
        <v>75</v>
      </c>
      <c r="H515" s="442" t="str">
        <f>H$542</f>
        <v>I tipas</v>
      </c>
      <c r="I515" s="442"/>
      <c r="J515" s="442" t="str">
        <f>J$542</f>
        <v>II tipas</v>
      </c>
      <c r="K515" s="442" t="str">
        <f>K$542</f>
        <v>Pakaitinės vertės</v>
      </c>
      <c r="L515" s="442" t="str">
        <f>L$542</f>
        <v>Laboratoriniai tyrimai</v>
      </c>
      <c r="M515" s="443"/>
      <c r="N515" s="425">
        <f t="shared" si="58"/>
        <v>3</v>
      </c>
      <c r="O515" s="427" t="str">
        <f t="shared" si="59"/>
        <v>Geležis ir plienas: Masės balansas</v>
      </c>
      <c r="P515" s="72"/>
      <c r="Q515" s="435"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
      <c r="A516" s="59">
        <f t="shared" si="64"/>
        <v>20</v>
      </c>
      <c r="B516" s="449" t="str">
        <f t="shared" si="56"/>
        <v>Cemento klinkerio gamyba</v>
      </c>
      <c r="C516" s="72" t="str">
        <f t="shared" si="56"/>
        <v>Cemento klinkeriai</v>
      </c>
      <c r="D516" s="72" t="str">
        <f t="shared" si="56"/>
        <v>Grindžiamas krosnies žaliava (A metodas)</v>
      </c>
      <c r="E516" s="72"/>
      <c r="F516" s="441" t="str">
        <f t="shared" si="65"/>
        <v>Proceso metu išsiskiriančios ŠESD</v>
      </c>
      <c r="G516" s="425" t="str">
        <f t="shared" si="67"/>
        <v>netaik.</v>
      </c>
      <c r="H516" s="442"/>
      <c r="I516" s="442"/>
      <c r="J516" s="444"/>
      <c r="K516" s="444"/>
      <c r="L516" s="442"/>
      <c r="M516" s="443"/>
      <c r="N516" s="425" t="str">
        <f t="shared" si="58"/>
        <v>netaik.</v>
      </c>
      <c r="O516" s="427" t="str">
        <f t="shared" si="59"/>
        <v>Cemento klinkeriai: Grindžiamas krosnies žaliava (A metodas)</v>
      </c>
      <c r="P516" s="72"/>
      <c r="Q516" s="435" t="str">
        <f t="shared" si="60"/>
        <v>CarbC_Cemento klinkeriai: Grindžiamas krosnies žaliava (A metodas)</v>
      </c>
      <c r="X516" s="59" t="b">
        <f t="shared" si="44"/>
        <v>1</v>
      </c>
      <c r="Z516" s="70" t="str">
        <f t="shared" si="68"/>
        <v>netaik.</v>
      </c>
      <c r="AA516" s="95"/>
      <c r="AB516" s="95"/>
      <c r="AC516" s="55"/>
      <c r="AD516" s="55"/>
      <c r="AE516" s="95"/>
      <c r="AF516" s="63"/>
      <c r="AG516" s="70" t="str">
        <f t="shared" si="62"/>
        <v>netaik.</v>
      </c>
    </row>
    <row r="517" spans="1:40" ht="12.75" customHeight="1" outlineLevel="1" x14ac:dyDescent="0.2">
      <c r="A517" s="59">
        <f t="shared" si="64"/>
        <v>21</v>
      </c>
      <c r="B517" s="449" t="str">
        <f t="shared" ref="B517:D536" si="69">B469</f>
        <v>Cemento klinkerio gamyba</v>
      </c>
      <c r="C517" s="72" t="str">
        <f t="shared" si="69"/>
        <v>Cemento klinkeriai</v>
      </c>
      <c r="D517" s="72" t="str">
        <f t="shared" si="69"/>
        <v>Klinkerio išeiga (B metodas)</v>
      </c>
      <c r="E517" s="72"/>
      <c r="F517" s="441" t="str">
        <f t="shared" si="65"/>
        <v>Proceso metu išsiskiriančios ŠESD</v>
      </c>
      <c r="G517" s="425" t="str">
        <f t="shared" si="67"/>
        <v>netaik.</v>
      </c>
      <c r="H517" s="442"/>
      <c r="I517" s="442"/>
      <c r="J517" s="444"/>
      <c r="K517" s="444"/>
      <c r="L517" s="442"/>
      <c r="M517" s="443"/>
      <c r="N517" s="425" t="str">
        <f t="shared" si="58"/>
        <v>netaik.</v>
      </c>
      <c r="O517" s="427" t="str">
        <f t="shared" si="59"/>
        <v>Cemento klinkeriai: Klinkerio išeiga (B metodas)</v>
      </c>
      <c r="P517" s="72"/>
      <c r="Q517" s="435" t="str">
        <f t="shared" si="60"/>
        <v>CarbC_Cemento klinkeriai: Klinkerio išeiga (B metodas)</v>
      </c>
      <c r="X517" s="59" t="b">
        <f t="shared" si="44"/>
        <v>1</v>
      </c>
      <c r="Z517" s="70" t="str">
        <f t="shared" si="68"/>
        <v>netaik.</v>
      </c>
      <c r="AA517" s="95"/>
      <c r="AB517" s="95"/>
      <c r="AC517" s="55"/>
      <c r="AD517" s="55"/>
      <c r="AE517" s="95"/>
      <c r="AF517" s="63"/>
      <c r="AG517" s="70" t="str">
        <f t="shared" si="62"/>
        <v>netaik.</v>
      </c>
    </row>
    <row r="518" spans="1:40" ht="12.75" customHeight="1" outlineLevel="1" x14ac:dyDescent="0.2">
      <c r="A518" s="59">
        <f t="shared" si="64"/>
        <v>22</v>
      </c>
      <c r="B518" s="449" t="str">
        <f t="shared" si="69"/>
        <v>Cemento klinkerio gamyba</v>
      </c>
      <c r="C518" s="72" t="str">
        <f t="shared" si="69"/>
        <v>Cemento klinkeriai</v>
      </c>
      <c r="D518" s="72" t="str">
        <f t="shared" si="69"/>
        <v>Cemento degimo krosnių dulkės</v>
      </c>
      <c r="E518" s="72"/>
      <c r="F518" s="441" t="str">
        <f t="shared" si="65"/>
        <v>Proceso metu išsiskiriančios ŠESD</v>
      </c>
      <c r="G518" s="425" t="str">
        <f t="shared" si="67"/>
        <v>netaik.</v>
      </c>
      <c r="H518" s="442"/>
      <c r="I518" s="442"/>
      <c r="J518" s="444"/>
      <c r="K518" s="444"/>
      <c r="L518" s="442"/>
      <c r="M518" s="443"/>
      <c r="N518" s="425" t="str">
        <f t="shared" si="58"/>
        <v>netaik.</v>
      </c>
      <c r="O518" s="427" t="str">
        <f t="shared" si="59"/>
        <v>Cemento klinkeriai: Cemento degimo krosnių dulkės</v>
      </c>
      <c r="P518" s="72"/>
      <c r="Q518" s="435" t="str">
        <f t="shared" si="60"/>
        <v>CarbC_Cemento klinkeriai: Cemento degimo krosnių dulkės</v>
      </c>
      <c r="X518" s="59" t="b">
        <f t="shared" si="44"/>
        <v>1</v>
      </c>
      <c r="Z518" s="70" t="str">
        <f t="shared" si="68"/>
        <v>netaik.</v>
      </c>
      <c r="AA518" s="95"/>
      <c r="AB518" s="95"/>
      <c r="AC518" s="55"/>
      <c r="AD518" s="55"/>
      <c r="AE518" s="95"/>
      <c r="AF518" s="63"/>
      <c r="AG518" s="70" t="str">
        <f t="shared" si="62"/>
        <v>netaik.</v>
      </c>
    </row>
    <row r="519" spans="1:40" ht="12.75" customHeight="1" outlineLevel="1" x14ac:dyDescent="0.2">
      <c r="A519" s="59">
        <f t="shared" si="64"/>
        <v>23</v>
      </c>
      <c r="B519" s="449" t="str">
        <f t="shared" si="69"/>
        <v>Cemento klinkerio gamyba</v>
      </c>
      <c r="C519" s="72" t="str">
        <f t="shared" si="69"/>
        <v>Cemento klinkeriai</v>
      </c>
      <c r="D519" s="72" t="str">
        <f t="shared" si="69"/>
        <v>Nekarbonatinė anglis</v>
      </c>
      <c r="E519" s="72"/>
      <c r="F519" s="441" t="str">
        <f t="shared" si="65"/>
        <v>Proceso metu išsiskiriančios ŠESD</v>
      </c>
      <c r="G519" s="425" t="str">
        <f t="shared" si="67"/>
        <v>netaik.</v>
      </c>
      <c r="H519" s="442"/>
      <c r="I519" s="442"/>
      <c r="J519" s="444"/>
      <c r="K519" s="444"/>
      <c r="L519" s="442"/>
      <c r="M519" s="443"/>
      <c r="N519" s="425" t="str">
        <f t="shared" si="58"/>
        <v>netaik.</v>
      </c>
      <c r="O519" s="427" t="str">
        <f t="shared" si="59"/>
        <v>Cemento klinkeriai: Nekarbonatinė anglis</v>
      </c>
      <c r="P519" s="72"/>
      <c r="Q519" s="435" t="str">
        <f t="shared" si="60"/>
        <v>CarbC_Cemento klinkeriai: Nekarbonatinė anglis</v>
      </c>
      <c r="X519" s="59" t="b">
        <f t="shared" si="44"/>
        <v>1</v>
      </c>
      <c r="Z519" s="70" t="str">
        <f t="shared" si="68"/>
        <v>netaik.</v>
      </c>
      <c r="AA519" s="95"/>
      <c r="AB519" s="95"/>
      <c r="AC519" s="55"/>
      <c r="AD519" s="55"/>
      <c r="AE519" s="95"/>
      <c r="AF519" s="63"/>
      <c r="AG519" s="70" t="str">
        <f t="shared" si="62"/>
        <v>netaik.</v>
      </c>
    </row>
    <row r="520" spans="1:40" ht="12.75" customHeight="1" outlineLevel="1" x14ac:dyDescent="0.2">
      <c r="A520" s="59">
        <f t="shared" si="64"/>
        <v>24</v>
      </c>
      <c r="B520" s="449" t="str">
        <f t="shared" si="69"/>
        <v>Kalkių gamyba ir dolomitų bei magnezitų kalcinavimas</v>
      </c>
      <c r="C520" s="72" t="str">
        <f t="shared" si="69"/>
        <v>Kalkės, dolomitas, magnezitas</v>
      </c>
      <c r="D520" s="72" t="str">
        <f t="shared" si="69"/>
        <v>Karbonatai (A metodas)</v>
      </c>
      <c r="E520" s="72"/>
      <c r="F520" s="441" t="str">
        <f t="shared" si="65"/>
        <v>Proceso metu išsiskiriančios ŠESD</v>
      </c>
      <c r="G520" s="425" t="str">
        <f t="shared" si="67"/>
        <v>netaik.</v>
      </c>
      <c r="H520" s="442"/>
      <c r="I520" s="442"/>
      <c r="J520" s="444"/>
      <c r="K520" s="444"/>
      <c r="L520" s="442"/>
      <c r="M520" s="443"/>
      <c r="N520" s="425" t="str">
        <f t="shared" si="58"/>
        <v>netaik.</v>
      </c>
      <c r="O520" s="427" t="str">
        <f t="shared" si="59"/>
        <v>Kalkės, dolomitas, magnezitas: Karbonatai (A metodas)</v>
      </c>
      <c r="P520" s="72"/>
      <c r="Q520" s="435" t="str">
        <f t="shared" si="60"/>
        <v>CarbC_Kalkės, dolomitas, magnezitas: Karbonatai (A metodas)</v>
      </c>
      <c r="X520" s="59" t="b">
        <f t="shared" si="44"/>
        <v>1</v>
      </c>
      <c r="Z520" s="70" t="str">
        <f t="shared" si="68"/>
        <v>netaik.</v>
      </c>
      <c r="AA520" s="95"/>
      <c r="AB520" s="95"/>
      <c r="AC520" s="55"/>
      <c r="AD520" s="55"/>
      <c r="AE520" s="95"/>
      <c r="AF520" s="63"/>
      <c r="AG520" s="70" t="str">
        <f t="shared" si="62"/>
        <v>netaik.</v>
      </c>
    </row>
    <row r="521" spans="1:40" ht="12.75" customHeight="1" outlineLevel="1" x14ac:dyDescent="0.2">
      <c r="A521" s="59">
        <f t="shared" si="64"/>
        <v>25</v>
      </c>
      <c r="B521" s="449" t="str">
        <f t="shared" si="69"/>
        <v>Kalkių gamyba ir dolomitų bei magnezitų kalcinavimas</v>
      </c>
      <c r="C521" s="72" t="str">
        <f t="shared" si="69"/>
        <v>Kalkės, dolomitas, magnezitas</v>
      </c>
      <c r="D521" s="72" t="str">
        <f t="shared" si="69"/>
        <v>Šarminių žemių metalų oksidas (B metodas)</v>
      </c>
      <c r="E521" s="72"/>
      <c r="F521" s="441" t="str">
        <f t="shared" si="65"/>
        <v>Proceso metu išsiskiriančios ŠESD</v>
      </c>
      <c r="G521" s="425" t="str">
        <f t="shared" si="67"/>
        <v>netaik.</v>
      </c>
      <c r="H521" s="442"/>
      <c r="I521" s="442"/>
      <c r="J521" s="444"/>
      <c r="K521" s="444"/>
      <c r="L521" s="442"/>
      <c r="M521" s="443"/>
      <c r="N521" s="425" t="str">
        <f t="shared" si="58"/>
        <v>netaik.</v>
      </c>
      <c r="O521" s="427" t="str">
        <f t="shared" si="59"/>
        <v>Kalkės, dolomitas, magnezitas: Šarminių žemių metalų oksidas (B metodas)</v>
      </c>
      <c r="P521" s="72"/>
      <c r="Q521" s="435" t="str">
        <f t="shared" si="60"/>
        <v>CarbC_Kalkės, dolomitas, magnezitas: Šarminių žemių metalų oksidas (B metodas)</v>
      </c>
      <c r="X521" s="59" t="b">
        <f t="shared" si="44"/>
        <v>1</v>
      </c>
      <c r="Z521" s="70" t="str">
        <f t="shared" si="68"/>
        <v>netaik.</v>
      </c>
      <c r="AA521" s="95"/>
      <c r="AB521" s="95"/>
      <c r="AC521" s="55"/>
      <c r="AD521" s="55"/>
      <c r="AE521" s="95"/>
      <c r="AF521" s="63"/>
      <c r="AG521" s="70" t="str">
        <f t="shared" si="62"/>
        <v>netaik.</v>
      </c>
    </row>
    <row r="522" spans="1:40" ht="12.75" customHeight="1" outlineLevel="1" x14ac:dyDescent="0.2">
      <c r="A522" s="59">
        <f t="shared" si="64"/>
        <v>26</v>
      </c>
      <c r="B522" s="449" t="str">
        <f t="shared" si="69"/>
        <v>Kalkių gamyba ir dolomitų bei magnezitų kalcinavimas</v>
      </c>
      <c r="C522" s="72" t="str">
        <f t="shared" si="69"/>
        <v>Kalkės, dolomitas, magnezitas</v>
      </c>
      <c r="D522" s="72" t="str">
        <f t="shared" si="69"/>
        <v>Degimo krosnių dulkės (B metodas)</v>
      </c>
      <c r="E522" s="72"/>
      <c r="F522" s="441" t="str">
        <f t="shared" si="65"/>
        <v>Proceso metu išsiskiriančios ŠESD</v>
      </c>
      <c r="G522" s="425" t="str">
        <f t="shared" si="67"/>
        <v>netaik.</v>
      </c>
      <c r="H522" s="442"/>
      <c r="I522" s="442"/>
      <c r="J522" s="444"/>
      <c r="K522" s="444"/>
      <c r="L522" s="442"/>
      <c r="M522" s="443"/>
      <c r="N522" s="425" t="str">
        <f t="shared" si="58"/>
        <v>netaik.</v>
      </c>
      <c r="O522" s="427" t="str">
        <f t="shared" si="59"/>
        <v>Kalkės, dolomitas, magnezitas: Degimo krosnių dulkės (B metodas)</v>
      </c>
      <c r="P522" s="72"/>
      <c r="Q522" s="435" t="str">
        <f t="shared" si="60"/>
        <v>CarbC_Kalkės, dolomitas, magnezitas: Degimo krosnių dulkės (B metodas)</v>
      </c>
      <c r="X522" s="59" t="b">
        <f t="shared" si="44"/>
        <v>1</v>
      </c>
      <c r="Z522" s="70" t="str">
        <f t="shared" si="68"/>
        <v>netaik.</v>
      </c>
      <c r="AA522" s="95"/>
      <c r="AB522" s="95"/>
      <c r="AC522" s="55"/>
      <c r="AD522" s="55"/>
      <c r="AE522" s="95"/>
      <c r="AF522" s="63"/>
      <c r="AG522" s="70" t="str">
        <f t="shared" si="62"/>
        <v>netaik.</v>
      </c>
    </row>
    <row r="523" spans="1:40" ht="12.75" customHeight="1" outlineLevel="1" x14ac:dyDescent="0.2">
      <c r="A523" s="59">
        <f t="shared" si="64"/>
        <v>27</v>
      </c>
      <c r="B523" s="449" t="str">
        <f t="shared" si="69"/>
        <v>Stiklo ir mineralinės vatos gamyba</v>
      </c>
      <c r="C523" s="72" t="str">
        <f t="shared" si="69"/>
        <v>Stiklas ir mineralinė vata</v>
      </c>
      <c r="D523" s="72" t="str">
        <f t="shared" si="69"/>
        <v>Karbonatai (žaliava)</v>
      </c>
      <c r="E523" s="72"/>
      <c r="F523" s="441" t="str">
        <f t="shared" si="65"/>
        <v>Proceso metu išsiskiriančios ŠESD</v>
      </c>
      <c r="G523" s="425" t="str">
        <f t="shared" si="67"/>
        <v>netaik.</v>
      </c>
      <c r="H523" s="442"/>
      <c r="I523" s="442"/>
      <c r="J523" s="444"/>
      <c r="K523" s="444"/>
      <c r="L523" s="442"/>
      <c r="M523" s="443"/>
      <c r="N523" s="425" t="str">
        <f t="shared" si="58"/>
        <v>netaik.</v>
      </c>
      <c r="O523" s="427" t="str">
        <f t="shared" si="59"/>
        <v>Stiklas ir mineralinė vata: Karbonatai (žaliava)</v>
      </c>
      <c r="P523" s="72"/>
      <c r="Q523" s="435" t="str">
        <f t="shared" si="60"/>
        <v>CarbC_Stiklas ir mineralinė vata: Karbonatai (žaliava)</v>
      </c>
      <c r="X523" s="59" t="b">
        <f t="shared" si="44"/>
        <v>1</v>
      </c>
      <c r="Z523" s="70" t="str">
        <f t="shared" si="68"/>
        <v>netaik.</v>
      </c>
      <c r="AA523" s="95"/>
      <c r="AB523" s="95"/>
      <c r="AC523" s="55"/>
      <c r="AD523" s="55"/>
      <c r="AE523" s="95"/>
      <c r="AF523" s="63"/>
      <c r="AG523" s="70" t="str">
        <f t="shared" si="62"/>
        <v>netaik.</v>
      </c>
    </row>
    <row r="524" spans="1:40" ht="12.75" customHeight="1" outlineLevel="1" x14ac:dyDescent="0.2">
      <c r="A524" s="59">
        <f t="shared" si="64"/>
        <v>28</v>
      </c>
      <c r="B524" s="449" t="str">
        <f t="shared" si="69"/>
        <v>Keramikos produktų gamyba</v>
      </c>
      <c r="C524" s="72" t="str">
        <f t="shared" si="69"/>
        <v>Keramikos dirbiniai.</v>
      </c>
      <c r="D524" s="72" t="str">
        <f t="shared" si="69"/>
        <v>Anglies sąnaudos (A metodas)</v>
      </c>
      <c r="E524" s="72"/>
      <c r="F524" s="441" t="str">
        <f t="shared" si="65"/>
        <v>Proceso metu išsiskiriančios ŠESD</v>
      </c>
      <c r="G524" s="425" t="str">
        <f t="shared" si="67"/>
        <v>netaik.</v>
      </c>
      <c r="H524" s="442"/>
      <c r="I524" s="442"/>
      <c r="J524" s="444"/>
      <c r="K524" s="444"/>
      <c r="L524" s="442"/>
      <c r="M524" s="443"/>
      <c r="N524" s="425" t="str">
        <f t="shared" si="58"/>
        <v>netaik.</v>
      </c>
      <c r="O524" s="427" t="str">
        <f t="shared" si="59"/>
        <v>Keramikos dirbiniai.: Anglies sąnaudos (A metodas)</v>
      </c>
      <c r="P524" s="72"/>
      <c r="Q524" s="435" t="str">
        <f t="shared" si="60"/>
        <v>CarbC_Keramikos dirbiniai.: Anglies sąnaudos (A metodas)</v>
      </c>
      <c r="X524" s="59" t="b">
        <f t="shared" si="44"/>
        <v>1</v>
      </c>
      <c r="Z524" s="70" t="str">
        <f t="shared" si="68"/>
        <v>netaik.</v>
      </c>
      <c r="AA524" s="95"/>
      <c r="AB524" s="95"/>
      <c r="AC524" s="55"/>
      <c r="AD524" s="55"/>
      <c r="AE524" s="95"/>
      <c r="AF524" s="63"/>
      <c r="AG524" s="70" t="str">
        <f t="shared" si="62"/>
        <v>netaik.</v>
      </c>
    </row>
    <row r="525" spans="1:40" ht="12.75" customHeight="1" outlineLevel="1" x14ac:dyDescent="0.2">
      <c r="A525" s="59">
        <f t="shared" si="64"/>
        <v>29</v>
      </c>
      <c r="B525" s="449" t="str">
        <f t="shared" si="69"/>
        <v>Keramikos produktų gamyba</v>
      </c>
      <c r="C525" s="72" t="str">
        <f t="shared" si="69"/>
        <v>Keramikos dirbiniai.</v>
      </c>
      <c r="D525" s="72" t="str">
        <f t="shared" si="69"/>
        <v>Šarminių metalų oksidas (B metodas)</v>
      </c>
      <c r="E525" s="72"/>
      <c r="F525" s="441" t="str">
        <f t="shared" si="65"/>
        <v>Proceso metu išsiskiriančios ŠESD</v>
      </c>
      <c r="G525" s="425" t="str">
        <f t="shared" si="67"/>
        <v>netaik.</v>
      </c>
      <c r="H525" s="442"/>
      <c r="I525" s="442"/>
      <c r="J525" s="444"/>
      <c r="K525" s="444"/>
      <c r="L525" s="442"/>
      <c r="M525" s="443"/>
      <c r="N525" s="425" t="str">
        <f t="shared" si="58"/>
        <v>netaik.</v>
      </c>
      <c r="O525" s="427" t="str">
        <f t="shared" si="59"/>
        <v>Keramikos dirbiniai.: Šarminių metalų oksidas (B metodas)</v>
      </c>
      <c r="P525" s="72"/>
      <c r="Q525" s="435" t="str">
        <f t="shared" si="60"/>
        <v>CarbC_Keramikos dirbiniai.: Šarminių metalų oksidas (B metodas)</v>
      </c>
      <c r="X525" s="59" t="b">
        <f t="shared" si="44"/>
        <v>1</v>
      </c>
      <c r="Z525" s="70" t="str">
        <f t="shared" si="68"/>
        <v>netaik.</v>
      </c>
      <c r="AA525" s="95"/>
      <c r="AB525" s="95"/>
      <c r="AC525" s="55"/>
      <c r="AD525" s="55"/>
      <c r="AE525" s="95"/>
      <c r="AF525" s="63"/>
      <c r="AG525" s="70" t="str">
        <f t="shared" si="62"/>
        <v>netaik.</v>
      </c>
    </row>
    <row r="526" spans="1:40" ht="12.75" customHeight="1" outlineLevel="1" x14ac:dyDescent="0.2">
      <c r="A526" s="59">
        <f t="shared" si="64"/>
        <v>30</v>
      </c>
      <c r="B526" s="449" t="str">
        <f t="shared" si="69"/>
        <v>Keramikos produktų gamyba</v>
      </c>
      <c r="C526" s="72" t="str">
        <f t="shared" si="69"/>
        <v>Keramikos dirbiniai.</v>
      </c>
      <c r="D526" s="72" t="str">
        <f t="shared" si="69"/>
        <v>Dujų plovimas</v>
      </c>
      <c r="E526" s="72"/>
      <c r="F526" s="441" t="str">
        <f t="shared" si="65"/>
        <v>Proceso metu išsiskiriančios ŠESD</v>
      </c>
      <c r="G526" s="425" t="str">
        <f t="shared" si="67"/>
        <v>netaik.</v>
      </c>
      <c r="H526" s="442"/>
      <c r="I526" s="442"/>
      <c r="J526" s="444"/>
      <c r="K526" s="444"/>
      <c r="L526" s="442"/>
      <c r="M526" s="443"/>
      <c r="N526" s="425" t="str">
        <f t="shared" si="58"/>
        <v>netaik.</v>
      </c>
      <c r="O526" s="427" t="str">
        <f t="shared" si="59"/>
        <v>Keramikos dirbiniai.: Dujų plovimas</v>
      </c>
      <c r="P526" s="72"/>
      <c r="Q526" s="435" t="str">
        <f t="shared" si="60"/>
        <v>CarbC_Keramikos dirbiniai.: Dujų plovimas</v>
      </c>
      <c r="X526" s="59" t="b">
        <f t="shared" si="44"/>
        <v>1</v>
      </c>
      <c r="Z526" s="70" t="str">
        <f t="shared" si="68"/>
        <v>netaik.</v>
      </c>
      <c r="AA526" s="95"/>
      <c r="AB526" s="95"/>
      <c r="AC526" s="55"/>
      <c r="AD526" s="55"/>
      <c r="AE526" s="95"/>
      <c r="AF526" s="63"/>
      <c r="AG526" s="70" t="str">
        <f t="shared" si="62"/>
        <v>netaik.</v>
      </c>
    </row>
    <row r="527" spans="1:40" ht="12.75" customHeight="1" outlineLevel="1" x14ac:dyDescent="0.2">
      <c r="A527" s="59">
        <f t="shared" si="64"/>
        <v>31</v>
      </c>
      <c r="B527" s="449" t="str">
        <f t="shared" si="69"/>
        <v>Celiuliozės ir popieriaus gamyba</v>
      </c>
      <c r="C527" s="72" t="str">
        <f t="shared" si="69"/>
        <v>Celiuliozė ir popierius</v>
      </c>
      <c r="D527" s="72" t="str">
        <f t="shared" si="69"/>
        <v>Sudėtinės cheminės medžiagos</v>
      </c>
      <c r="E527" s="72"/>
      <c r="F527" s="441" t="str">
        <f t="shared" si="65"/>
        <v>Proceso metu išsiskiriančios ŠESD</v>
      </c>
      <c r="G527" s="425" t="str">
        <f t="shared" si="67"/>
        <v>netaik.</v>
      </c>
      <c r="H527" s="442"/>
      <c r="I527" s="442"/>
      <c r="J527" s="444"/>
      <c r="K527" s="444"/>
      <c r="L527" s="442"/>
      <c r="M527" s="443"/>
      <c r="N527" s="425" t="str">
        <f t="shared" si="58"/>
        <v>netaik.</v>
      </c>
      <c r="O527" s="427" t="str">
        <f t="shared" si="59"/>
        <v>Celiuliozė ir popierius: Sudėtinės cheminės medžiagos</v>
      </c>
      <c r="P527" s="72"/>
      <c r="Q527" s="435" t="str">
        <f t="shared" si="60"/>
        <v>CarbC_Celiuliozė ir popierius: Sudėtinės cheminės medžiagos</v>
      </c>
      <c r="X527" s="59" t="b">
        <f t="shared" si="44"/>
        <v>1</v>
      </c>
      <c r="Z527" s="70" t="str">
        <f t="shared" si="68"/>
        <v>netaik.</v>
      </c>
      <c r="AA527" s="95"/>
      <c r="AB527" s="95"/>
      <c r="AC527" s="55"/>
      <c r="AD527" s="55"/>
      <c r="AE527" s="95"/>
      <c r="AF527" s="63"/>
      <c r="AG527" s="70" t="str">
        <f t="shared" si="62"/>
        <v>netaik.</v>
      </c>
    </row>
    <row r="528" spans="1:40" ht="12.75" customHeight="1" outlineLevel="1" x14ac:dyDescent="0.2">
      <c r="A528" s="59">
        <f t="shared" si="64"/>
        <v>32</v>
      </c>
      <c r="B528" s="449" t="str">
        <f t="shared" si="69"/>
        <v>Suodžių gamyba</v>
      </c>
      <c r="C528" s="72" t="str">
        <f t="shared" si="69"/>
        <v>Padengtas kartonas Suodžiai</v>
      </c>
      <c r="D528" s="72" t="str">
        <f t="shared" si="69"/>
        <v>Masės balanso metodika</v>
      </c>
      <c r="E528" s="72"/>
      <c r="F528" s="441" t="str">
        <f t="shared" si="65"/>
        <v>Masės balansas</v>
      </c>
      <c r="G528" s="425">
        <v>1</v>
      </c>
      <c r="H528" s="442" t="str">
        <f>H$542</f>
        <v>I tipas</v>
      </c>
      <c r="I528" s="442"/>
      <c r="J528" s="442" t="str">
        <f>J$542</f>
        <v>II tipas</v>
      </c>
      <c r="K528" s="442" t="str">
        <f>K$542</f>
        <v>Pakaitinės vertės</v>
      </c>
      <c r="L528" s="442" t="str">
        <f>L$542</f>
        <v>Laboratoriniai tyrimai</v>
      </c>
      <c r="M528" s="443"/>
      <c r="N528" s="425">
        <f t="shared" si="58"/>
        <v>3</v>
      </c>
      <c r="O528" s="427" t="str">
        <f t="shared" si="59"/>
        <v>Padengtas kartonas Suodžiai: Masės balanso metodika</v>
      </c>
      <c r="P528" s="72"/>
      <c r="Q528" s="435"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
      <c r="A529" s="59">
        <f t="shared" si="64"/>
        <v>33</v>
      </c>
      <c r="B529" s="449" t="str">
        <f t="shared" si="69"/>
        <v>Amoniako gamyba</v>
      </c>
      <c r="C529" s="72" t="str">
        <f t="shared" si="69"/>
        <v>Amoniakas</v>
      </c>
      <c r="D529" s="72" t="str">
        <f t="shared" si="69"/>
        <v>Kuras kaip proceso žaliava</v>
      </c>
      <c r="E529" s="72"/>
      <c r="F529" s="441" t="str">
        <f t="shared" si="65"/>
        <v>Degimas</v>
      </c>
      <c r="G529" s="425" t="str">
        <f>EUconst_NA</f>
        <v>netaik.</v>
      </c>
      <c r="H529" s="442"/>
      <c r="I529" s="442"/>
      <c r="J529" s="444"/>
      <c r="K529" s="444"/>
      <c r="L529" s="442"/>
      <c r="M529" s="443"/>
      <c r="N529" s="425" t="str">
        <f t="shared" si="58"/>
        <v>netaik.</v>
      </c>
      <c r="O529" s="427" t="str">
        <f t="shared" si="59"/>
        <v>Amoniakas: Kuras kaip proceso žaliava</v>
      </c>
      <c r="P529" s="72"/>
      <c r="Q529" s="435" t="str">
        <f t="shared" si="60"/>
        <v>CarbC_Amoniakas: Kuras kaip proceso žaliava</v>
      </c>
      <c r="X529" s="59" t="b">
        <f t="shared" si="44"/>
        <v>1</v>
      </c>
      <c r="Z529" s="70" t="str">
        <f>EUconst_NA</f>
        <v>netaik.</v>
      </c>
      <c r="AA529" s="95"/>
      <c r="AB529" s="95"/>
      <c r="AC529" s="55"/>
      <c r="AD529" s="55"/>
      <c r="AE529" s="95"/>
      <c r="AF529" s="63"/>
      <c r="AG529" s="70" t="str">
        <f t="shared" si="62"/>
        <v>netaik.</v>
      </c>
    </row>
    <row r="530" spans="1:40" ht="12.75" customHeight="1" outlineLevel="1" x14ac:dyDescent="0.2">
      <c r="A530" s="59">
        <f t="shared" si="64"/>
        <v>34</v>
      </c>
      <c r="B530" s="449" t="str">
        <f t="shared" si="69"/>
        <v>Vandenilio ar sintezės dujų gamyba</v>
      </c>
      <c r="C530" s="72" t="str">
        <f t="shared" si="69"/>
        <v>Vandenilis ir sintezės dujos</v>
      </c>
      <c r="D530" s="72" t="str">
        <f t="shared" si="69"/>
        <v>Kuras kaip proceso žaliava</v>
      </c>
      <c r="E530" s="72"/>
      <c r="F530" s="441" t="str">
        <f t="shared" si="65"/>
        <v>Degimas</v>
      </c>
      <c r="G530" s="425" t="str">
        <f>EUconst_NA</f>
        <v>netaik.</v>
      </c>
      <c r="H530" s="442"/>
      <c r="I530" s="442"/>
      <c r="J530" s="444"/>
      <c r="K530" s="444"/>
      <c r="L530" s="442"/>
      <c r="M530" s="443"/>
      <c r="N530" s="425" t="str">
        <f t="shared" si="58"/>
        <v>netaik.</v>
      </c>
      <c r="O530" s="427" t="str">
        <f t="shared" si="59"/>
        <v>Vandenilis ir sintezės dujos: Kuras kaip proceso žaliava</v>
      </c>
      <c r="P530" s="72"/>
      <c r="Q530" s="435" t="str">
        <f t="shared" si="60"/>
        <v>CarbC_Vandenilis ir sintezės dujos: Kuras kaip proceso žaliava</v>
      </c>
      <c r="X530" s="59" t="b">
        <f t="shared" si="44"/>
        <v>1</v>
      </c>
      <c r="Z530" s="70" t="str">
        <f>EUconst_NA</f>
        <v>netaik.</v>
      </c>
      <c r="AA530" s="95"/>
      <c r="AB530" s="95"/>
      <c r="AC530" s="55"/>
      <c r="AD530" s="55"/>
      <c r="AE530" s="95"/>
      <c r="AF530" s="63"/>
      <c r="AG530" s="70" t="str">
        <f t="shared" si="62"/>
        <v>netaik.</v>
      </c>
    </row>
    <row r="531" spans="1:40" ht="12.75" customHeight="1" outlineLevel="1" x14ac:dyDescent="0.2">
      <c r="A531" s="59">
        <f t="shared" si="64"/>
        <v>35</v>
      </c>
      <c r="B531" s="449" t="str">
        <f t="shared" si="69"/>
        <v>Vandenilio ar sintezės dujų gamyba</v>
      </c>
      <c r="C531" s="72" t="str">
        <f t="shared" si="69"/>
        <v>Vandenilis ir sintezės dujos</v>
      </c>
      <c r="D531" s="72" t="str">
        <f t="shared" si="69"/>
        <v>Masės balanso metodika</v>
      </c>
      <c r="E531" s="72"/>
      <c r="F531" s="441" t="str">
        <f t="shared" si="65"/>
        <v>Masės balansas</v>
      </c>
      <c r="G531" s="425" t="s">
        <v>75</v>
      </c>
      <c r="H531" s="442" t="str">
        <f>H$542</f>
        <v>I tipas</v>
      </c>
      <c r="I531" s="442"/>
      <c r="J531" s="442" t="str">
        <f t="shared" ref="J531:L532" si="70">J$542</f>
        <v>II tipas</v>
      </c>
      <c r="K531" s="442" t="str">
        <f t="shared" si="70"/>
        <v>Pakaitinės vertės</v>
      </c>
      <c r="L531" s="442" t="str">
        <f t="shared" si="70"/>
        <v>Laboratoriniai tyrimai</v>
      </c>
      <c r="M531" s="443"/>
      <c r="N531" s="425">
        <f t="shared" si="58"/>
        <v>3</v>
      </c>
      <c r="O531" s="427" t="str">
        <f t="shared" si="59"/>
        <v>Vandenilis ir sintezės dujos: Masės balanso metodika</v>
      </c>
      <c r="P531" s="72"/>
      <c r="Q531" s="435"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5"/>
      <c r="AD531" s="55"/>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
      <c r="A532" s="59">
        <f t="shared" si="64"/>
        <v>36</v>
      </c>
      <c r="B532" s="449" t="str">
        <f t="shared" si="69"/>
        <v>Biriųjų organinių cheminių medžiagų gamyba</v>
      </c>
      <c r="C532" s="72" t="str">
        <f t="shared" si="69"/>
        <v>Didelio masto organinių cheminių medžiagų gamyba</v>
      </c>
      <c r="D532" s="72" t="str">
        <f t="shared" si="69"/>
        <v>Masės balanso metodika</v>
      </c>
      <c r="E532" s="72"/>
      <c r="F532" s="441" t="str">
        <f t="shared" si="65"/>
        <v>Masės balansas</v>
      </c>
      <c r="G532" s="425" t="s">
        <v>75</v>
      </c>
      <c r="H532" s="442" t="str">
        <f>H$542</f>
        <v>I tipas</v>
      </c>
      <c r="I532" s="442"/>
      <c r="J532" s="442" t="str">
        <f t="shared" si="70"/>
        <v>II tipas</v>
      </c>
      <c r="K532" s="442" t="str">
        <f t="shared" si="70"/>
        <v>Pakaitinės vertės</v>
      </c>
      <c r="L532" s="442" t="str">
        <f t="shared" si="70"/>
        <v>Laboratoriniai tyrimai</v>
      </c>
      <c r="M532" s="443"/>
      <c r="N532" s="425">
        <f t="shared" si="58"/>
        <v>3</v>
      </c>
      <c r="O532" s="427" t="str">
        <f t="shared" si="59"/>
        <v>Didelio masto organinių cheminių medžiagų gamyba: Masės balanso metodika</v>
      </c>
      <c r="P532" s="72"/>
      <c r="Q532" s="435"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
      <c r="A533" s="59">
        <f t="shared" si="64"/>
        <v>37</v>
      </c>
      <c r="B533" s="449" t="str">
        <f t="shared" si="69"/>
        <v>Juodųjų ir spalvotųjų metalų, įskaitant antrinį aliuminį, gamyba ar apdirbimas</v>
      </c>
      <c r="C533" s="72" t="str">
        <f t="shared" si="69"/>
        <v>(Ne)spalvotieji, antrinis aliuminis</v>
      </c>
      <c r="D533" s="72" t="str">
        <f t="shared" si="69"/>
        <v>Proceso metu išsiskiriančios ŠESD</v>
      </c>
      <c r="E533" s="72"/>
      <c r="F533" s="441" t="str">
        <f t="shared" si="65"/>
        <v>Proceso metu išsiskiriančios ŠESD</v>
      </c>
      <c r="G533" s="425" t="str">
        <f>EUconst_NA</f>
        <v>netaik.</v>
      </c>
      <c r="H533" s="442"/>
      <c r="I533" s="442"/>
      <c r="J533" s="444"/>
      <c r="K533" s="444"/>
      <c r="L533" s="442"/>
      <c r="M533" s="443"/>
      <c r="N533" s="425" t="str">
        <f t="shared" si="58"/>
        <v>netaik.</v>
      </c>
      <c r="O533" s="427" t="str">
        <f t="shared" si="59"/>
        <v>(Ne)spalvotieji, antrinis aliuminis: Proceso metu išsiskiriančios ŠESD</v>
      </c>
      <c r="P533" s="72"/>
      <c r="Q533" s="435" t="str">
        <f t="shared" si="60"/>
        <v>CarbC_(Ne)spalvotieji, antrinis aliuminis: Proceso metu išsiskiriančios ŠESD</v>
      </c>
      <c r="X533" s="59" t="b">
        <f t="shared" si="44"/>
        <v>1</v>
      </c>
      <c r="Z533" s="70" t="str">
        <f>EUconst_NA</f>
        <v>netaik.</v>
      </c>
      <c r="AA533" s="95"/>
      <c r="AB533" s="95"/>
      <c r="AC533" s="55"/>
      <c r="AD533" s="55"/>
      <c r="AE533" s="95"/>
      <c r="AF533" s="63"/>
      <c r="AG533" s="70" t="str">
        <f t="shared" si="62"/>
        <v>netaik.</v>
      </c>
    </row>
    <row r="534" spans="1:40" ht="12.75" customHeight="1" outlineLevel="1" x14ac:dyDescent="0.2">
      <c r="A534" s="59">
        <f t="shared" si="64"/>
        <v>38</v>
      </c>
      <c r="B534" s="449" t="str">
        <f t="shared" si="69"/>
        <v>Juodųjų ir spalvotųjų metalų, įskaitant antrinį aliuminį, gamyba ar apdirbimas</v>
      </c>
      <c r="C534" s="72" t="str">
        <f t="shared" si="69"/>
        <v>(Ne)spalvotieji, antrinis aliuminis</v>
      </c>
      <c r="D534" s="72" t="str">
        <f t="shared" si="69"/>
        <v>Masės balanso metodika</v>
      </c>
      <c r="E534" s="72"/>
      <c r="F534" s="441" t="str">
        <f t="shared" si="65"/>
        <v>Masės balansas</v>
      </c>
      <c r="G534" s="425" t="s">
        <v>75</v>
      </c>
      <c r="H534" s="442" t="str">
        <f t="shared" ref="H534:K536" si="71">H$542</f>
        <v>I tipas</v>
      </c>
      <c r="I534" s="442"/>
      <c r="J534" s="442" t="str">
        <f t="shared" si="71"/>
        <v>II tipas</v>
      </c>
      <c r="K534" s="442" t="str">
        <f t="shared" si="71"/>
        <v>Pakaitinės vertės</v>
      </c>
      <c r="L534" s="442" t="str">
        <f>L$542</f>
        <v>Laboratoriniai tyrimai</v>
      </c>
      <c r="M534" s="443"/>
      <c r="N534" s="425">
        <f t="shared" si="58"/>
        <v>3</v>
      </c>
      <c r="O534" s="427" t="str">
        <f t="shared" si="59"/>
        <v>(Ne)spalvotieji, antrinis aliuminis: Masės balanso metodika</v>
      </c>
      <c r="P534" s="72"/>
      <c r="Q534" s="435"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
      <c r="A535" s="59">
        <f t="shared" si="64"/>
        <v>39</v>
      </c>
      <c r="B535" s="449" t="str">
        <f t="shared" si="69"/>
        <v>Natrio karbonato ir natrio hidrokarbonato gamyba</v>
      </c>
      <c r="C535" s="72" t="str">
        <f t="shared" si="69"/>
        <v>Natrio karbonatas / natrio hidrokarbonatas</v>
      </c>
      <c r="D535" s="72" t="str">
        <f t="shared" si="69"/>
        <v>Masės balanso metodika</v>
      </c>
      <c r="E535" s="72"/>
      <c r="F535" s="441" t="str">
        <f t="shared" si="65"/>
        <v>Masės balansas</v>
      </c>
      <c r="G535" s="425" t="s">
        <v>75</v>
      </c>
      <c r="H535" s="442" t="str">
        <f t="shared" si="71"/>
        <v>I tipas</v>
      </c>
      <c r="I535" s="442"/>
      <c r="J535" s="442" t="str">
        <f>J$542</f>
        <v>II tipas</v>
      </c>
      <c r="K535" s="442" t="str">
        <f t="shared" si="71"/>
        <v>Pakaitinės vertės</v>
      </c>
      <c r="L535" s="442" t="str">
        <f>L$542</f>
        <v>Laboratoriniai tyrimai</v>
      </c>
      <c r="M535" s="443"/>
      <c r="N535" s="425">
        <f t="shared" si="58"/>
        <v>3</v>
      </c>
      <c r="O535" s="427" t="str">
        <f t="shared" si="59"/>
        <v>Natrio karbonatas / natrio hidrokarbonatas: Masės balanso metodika</v>
      </c>
      <c r="P535" s="72"/>
      <c r="Q535" s="435"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
      <c r="A536" s="59">
        <f t="shared" si="64"/>
        <v>40</v>
      </c>
      <c r="B536" s="449" t="str">
        <f t="shared" si="69"/>
        <v>Pirminio aliuminio gamyba</v>
      </c>
      <c r="C536" s="72" t="str">
        <f t="shared" si="69"/>
        <v>Pirminis aliuminis</v>
      </c>
      <c r="D536" s="72" t="str">
        <f t="shared" si="69"/>
        <v>Masės balanso metodika</v>
      </c>
      <c r="E536" s="72"/>
      <c r="F536" s="441" t="str">
        <f t="shared" si="65"/>
        <v>Masės balansas</v>
      </c>
      <c r="G536" s="425" t="s">
        <v>75</v>
      </c>
      <c r="H536" s="442" t="str">
        <f t="shared" si="71"/>
        <v>I tipas</v>
      </c>
      <c r="I536" s="442"/>
      <c r="J536" s="442" t="str">
        <f>J$542</f>
        <v>II tipas</v>
      </c>
      <c r="K536" s="442" t="str">
        <f t="shared" si="71"/>
        <v>Pakaitinės vertės</v>
      </c>
      <c r="L536" s="442" t="str">
        <f>L$542</f>
        <v>Laboratoriniai tyrimai</v>
      </c>
      <c r="M536" s="443"/>
      <c r="N536" s="425">
        <f t="shared" si="58"/>
        <v>3</v>
      </c>
      <c r="O536" s="427" t="str">
        <f t="shared" si="59"/>
        <v>Pirminis aliuminis: Masės balanso metodika</v>
      </c>
      <c r="P536" s="72"/>
      <c r="Q536" s="435"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5"/>
      <c r="AD536" s="55"/>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
      <c r="A537" s="59">
        <f t="shared" si="64"/>
        <v>41</v>
      </c>
      <c r="B537" s="449" t="str">
        <f t="shared" ref="B537:D538" si="74">B489</f>
        <v>Pirminio aliuminio gamyba</v>
      </c>
      <c r="C537" s="72" t="str">
        <f t="shared" si="74"/>
        <v>Pirminis aliuminis</v>
      </c>
      <c r="D537" s="72" t="str">
        <f t="shared" si="74"/>
        <v>Išmetamas PFC kiekis (nuolydžio metodas)</v>
      </c>
      <c r="E537" s="72"/>
      <c r="F537" s="441" t="str">
        <f t="shared" si="65"/>
        <v>Išmetamas PFC kiekis</v>
      </c>
      <c r="G537" s="425" t="str">
        <f>EUconst_NA</f>
        <v>netaik.</v>
      </c>
      <c r="H537" s="442"/>
      <c r="I537" s="442"/>
      <c r="J537" s="444"/>
      <c r="K537" s="444"/>
      <c r="L537" s="442"/>
      <c r="M537" s="443"/>
      <c r="N537" s="425" t="str">
        <f t="shared" si="58"/>
        <v>netaik.</v>
      </c>
      <c r="O537" s="427" t="str">
        <f t="shared" si="59"/>
        <v>Pirminis aliuminis: Išmetamas PFC kiekis (nuolydžio metodas)</v>
      </c>
      <c r="P537" s="72"/>
      <c r="Q537" s="435" t="str">
        <f t="shared" si="60"/>
        <v>CarbC_Pirminis aliuminis: Išmetamas PFC kiekis (nuolydžio metodas)</v>
      </c>
      <c r="X537" s="59" t="b">
        <f t="shared" si="44"/>
        <v>1</v>
      </c>
      <c r="Z537" s="70" t="str">
        <f>EUconst_NA</f>
        <v>netaik.</v>
      </c>
      <c r="AA537" s="95"/>
      <c r="AB537" s="95"/>
      <c r="AC537" s="55"/>
      <c r="AD537" s="55"/>
      <c r="AE537" s="95"/>
      <c r="AF537" s="63"/>
      <c r="AG537" s="70" t="str">
        <f t="shared" si="62"/>
        <v>netaik.</v>
      </c>
    </row>
    <row r="538" spans="1:40" ht="12.75" customHeight="1" outlineLevel="1" thickBot="1" x14ac:dyDescent="0.25">
      <c r="A538" s="59">
        <f t="shared" si="64"/>
        <v>42</v>
      </c>
      <c r="B538" s="450" t="str">
        <f t="shared" si="74"/>
        <v>Pirminio aliuminio gamyba</v>
      </c>
      <c r="C538" s="438" t="str">
        <f t="shared" si="74"/>
        <v>Pirminis aliuminis</v>
      </c>
      <c r="D538" s="438" t="str">
        <f t="shared" si="74"/>
        <v>Išmetamas PFC kiekis (viršįtampio metodas)</v>
      </c>
      <c r="E538" s="438"/>
      <c r="F538" s="451" t="str">
        <f t="shared" si="65"/>
        <v>Išmetamas PFC kiekis</v>
      </c>
      <c r="G538" s="436" t="str">
        <f>EUconst_NA</f>
        <v>netaik.</v>
      </c>
      <c r="H538" s="452"/>
      <c r="I538" s="452"/>
      <c r="J538" s="453"/>
      <c r="K538" s="453"/>
      <c r="L538" s="452"/>
      <c r="M538" s="454"/>
      <c r="N538" s="436" t="str">
        <f t="shared" si="58"/>
        <v>netaik.</v>
      </c>
      <c r="O538" s="439" t="str">
        <f t="shared" si="59"/>
        <v>Pirminis aliuminis: Išmetamas PFC kiekis (viršįtampio metodas)</v>
      </c>
      <c r="P538" s="438"/>
      <c r="Q538" s="440" t="str">
        <f t="shared" si="60"/>
        <v>CarbC_Pirminis aliuminis: Išmetamas PFC kiekis (viršįtampio metodas)</v>
      </c>
      <c r="X538" s="59" t="b">
        <f t="shared" si="44"/>
        <v>1</v>
      </c>
      <c r="Z538" s="70" t="str">
        <f>EUconst_NA</f>
        <v>netaik.</v>
      </c>
      <c r="AA538" s="95"/>
      <c r="AB538" s="95"/>
      <c r="AC538" s="55"/>
      <c r="AD538" s="55"/>
      <c r="AE538" s="95"/>
      <c r="AF538" s="63"/>
      <c r="AG538" s="70" t="str">
        <f t="shared" si="62"/>
        <v>netaik.</v>
      </c>
    </row>
    <row r="539" spans="1:40" ht="12.75" customHeight="1" outlineLevel="1" x14ac:dyDescent="0.2">
      <c r="B539" s="55"/>
      <c r="C539" s="55"/>
      <c r="D539" s="55"/>
      <c r="E539" s="55"/>
      <c r="F539" s="103"/>
      <c r="G539" s="55"/>
      <c r="H539" s="94"/>
      <c r="I539" s="94"/>
      <c r="J539" s="99"/>
      <c r="K539" s="99"/>
      <c r="L539" s="94"/>
      <c r="M539" s="98"/>
      <c r="N539" s="70"/>
      <c r="O539" s="55"/>
      <c r="P539" s="55"/>
      <c r="Q539" s="55"/>
      <c r="X539" s="59" t="b">
        <f t="shared" si="44"/>
        <v>0</v>
      </c>
      <c r="Z539" s="55"/>
      <c r="AA539" s="95"/>
      <c r="AB539" s="95"/>
      <c r="AC539" s="55"/>
      <c r="AD539" s="55"/>
      <c r="AE539" s="95"/>
      <c r="AF539" s="63"/>
      <c r="AG539" s="70"/>
    </row>
    <row r="540" spans="1:40" ht="12.75" customHeight="1" outlineLevel="1" x14ac:dyDescent="0.2">
      <c r="B540" s="55" t="s">
        <v>93</v>
      </c>
      <c r="C540" s="55"/>
      <c r="D540" s="55"/>
      <c r="E540" s="55"/>
      <c r="F540" s="55"/>
      <c r="G540" s="55"/>
      <c r="H540" s="94"/>
      <c r="I540" s="94"/>
      <c r="J540" s="99"/>
      <c r="K540" s="99"/>
      <c r="L540" s="94"/>
      <c r="M540" s="98"/>
      <c r="N540" s="70"/>
      <c r="O540" s="55"/>
      <c r="P540" s="55"/>
      <c r="Q540" s="55"/>
      <c r="X540" s="59" t="b">
        <f t="shared" si="44"/>
        <v>0</v>
      </c>
      <c r="Z540" s="55"/>
      <c r="AA540" s="95"/>
      <c r="AB540" s="95"/>
      <c r="AC540" s="55"/>
      <c r="AD540" s="55"/>
      <c r="AE540" s="95"/>
      <c r="AF540" s="63"/>
      <c r="AG540" s="70"/>
    </row>
    <row r="541" spans="1:40" ht="12.75" customHeight="1" outlineLevel="1" x14ac:dyDescent="0.2">
      <c r="B541" s="55" t="s">
        <v>94</v>
      </c>
      <c r="C541" s="55"/>
      <c r="D541" s="55"/>
      <c r="E541" s="55"/>
      <c r="F541" s="55"/>
      <c r="G541" s="55"/>
      <c r="H541" s="94"/>
      <c r="I541" s="94"/>
      <c r="J541" s="99"/>
      <c r="K541" s="99"/>
      <c r="L541" s="94"/>
      <c r="M541" s="98"/>
      <c r="N541" s="70"/>
      <c r="O541" s="55"/>
      <c r="P541" s="55"/>
      <c r="Q541" s="55"/>
      <c r="X541" s="59" t="b">
        <f t="shared" si="44"/>
        <v>0</v>
      </c>
      <c r="Z541" s="55"/>
      <c r="AA541" s="95"/>
      <c r="AB541" s="95"/>
      <c r="AC541" s="55"/>
      <c r="AD541" s="55"/>
      <c r="AE541" s="95"/>
      <c r="AF541" s="63"/>
      <c r="AG541" s="70"/>
    </row>
    <row r="542" spans="1:40" ht="12.75" customHeight="1" outlineLevel="1" x14ac:dyDescent="0.2">
      <c r="B542" s="55" t="str">
        <f>Translations!$B$431</f>
        <v>masių balansas</v>
      </c>
      <c r="C542" s="55"/>
      <c r="D542" s="55"/>
      <c r="E542" s="55"/>
      <c r="F542" s="55"/>
      <c r="G542" s="55"/>
      <c r="H542" s="94" t="str">
        <f>Translations!$B$653</f>
        <v>I tipas</v>
      </c>
      <c r="I542" s="94"/>
      <c r="J542" s="94" t="str">
        <f>Translations!$B$654</f>
        <v>II tipas</v>
      </c>
      <c r="K542" s="99" t="str">
        <f>Translations!$B$911</f>
        <v>Pakaitinės vertės</v>
      </c>
      <c r="L542" s="94" t="str">
        <f>Translations!$B$912</f>
        <v>Laboratoriniai tyrimai</v>
      </c>
      <c r="M542" s="98"/>
      <c r="N542" s="70"/>
      <c r="O542" s="55"/>
      <c r="P542" s="55"/>
      <c r="Q542" s="55"/>
      <c r="X542" s="59" t="b">
        <f t="shared" si="44"/>
        <v>0</v>
      </c>
      <c r="Z542" s="55"/>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
      <c r="B543" s="55"/>
      <c r="C543" s="55"/>
      <c r="D543" s="55"/>
      <c r="E543" s="55"/>
      <c r="F543" s="91"/>
      <c r="G543" s="55"/>
      <c r="H543" s="104"/>
      <c r="I543" s="105"/>
      <c r="J543" s="99"/>
      <c r="K543" s="99"/>
      <c r="L543" s="105"/>
      <c r="M543" s="98"/>
      <c r="N543" s="70"/>
      <c r="O543" s="55"/>
      <c r="P543" s="55"/>
      <c r="Q543" s="55"/>
      <c r="X543" s="59" t="b">
        <f t="shared" si="44"/>
        <v>0</v>
      </c>
      <c r="Z543" s="55"/>
      <c r="AA543" s="91"/>
      <c r="AB543" s="93"/>
      <c r="AC543" s="55"/>
      <c r="AD543" s="55"/>
      <c r="AE543" s="93"/>
      <c r="AF543" s="63"/>
      <c r="AG543" s="70"/>
    </row>
    <row r="544" spans="1:40" s="86" customFormat="1" ht="13.5" thickBot="1" x14ac:dyDescent="0.25">
      <c r="B544" s="96" t="str">
        <f>Translations!$B$477</f>
        <v>Biomasės kiekis</v>
      </c>
      <c r="F544" s="96" t="str">
        <f>F496</f>
        <v>Šaltinio tipas</v>
      </c>
      <c r="G544" s="89" t="str">
        <f>Translations!$B$338</f>
        <v>Mažiausiai</v>
      </c>
      <c r="H544" s="101">
        <v>1</v>
      </c>
      <c r="I544" s="101">
        <v>2</v>
      </c>
      <c r="J544" s="101" t="s">
        <v>262</v>
      </c>
      <c r="K544" s="101" t="str">
        <f>Translations!$B$306</f>
        <v>2b</v>
      </c>
      <c r="L544" s="101">
        <v>3</v>
      </c>
      <c r="M544" s="102"/>
      <c r="N544" s="89" t="str">
        <f>Translations!$B$339</f>
        <v>Didžiausia</v>
      </c>
      <c r="X544" s="80"/>
      <c r="Z544" s="89" t="str">
        <f>Translations!$B$338</f>
        <v>Mažiausiai</v>
      </c>
      <c r="AA544" s="89">
        <v>1</v>
      </c>
      <c r="AB544" s="89">
        <v>2</v>
      </c>
      <c r="AC544" s="89" t="s">
        <v>262</v>
      </c>
      <c r="AD544" s="89" t="str">
        <f>Translations!$B$306</f>
        <v>2b</v>
      </c>
      <c r="AE544" s="89">
        <v>3</v>
      </c>
      <c r="AF544" s="90"/>
      <c r="AG544" s="89" t="str">
        <f>Translations!$B$339</f>
        <v>Didžiausia</v>
      </c>
      <c r="AI544" s="96" t="str">
        <f>Translations!$B$433</f>
        <v>numatytoji vertė?</v>
      </c>
      <c r="AJ544" s="89">
        <v>1</v>
      </c>
      <c r="AK544" s="89">
        <v>2</v>
      </c>
      <c r="AL544" s="89" t="s">
        <v>262</v>
      </c>
      <c r="AM544" s="89" t="str">
        <f>Translations!$B$306</f>
        <v>2b</v>
      </c>
      <c r="AN544" s="89">
        <v>3</v>
      </c>
    </row>
    <row r="545" spans="1:37" ht="12.75" customHeight="1" outlineLevel="1" x14ac:dyDescent="0.2">
      <c r="A545" s="59">
        <f>A497</f>
        <v>1</v>
      </c>
      <c r="B545" s="445" t="str">
        <f t="shared" ref="B545:D564" si="75">B497</f>
        <v>Kuro deginimas ir kaip proceso žaliava naudojamas kuras</v>
      </c>
      <c r="C545" s="432" t="str">
        <f t="shared" si="75"/>
        <v>Degimas</v>
      </c>
      <c r="D545" s="432" t="str">
        <f t="shared" si="75"/>
        <v>Komercinis standartinių rūšių kuras</v>
      </c>
      <c r="E545" s="432"/>
      <c r="F545" s="446" t="str">
        <f>F497</f>
        <v>Degimas</v>
      </c>
      <c r="G545" s="430" t="str">
        <f>""</f>
        <v/>
      </c>
      <c r="H545" s="447" t="str">
        <f>Translations!$B$659</f>
        <v>I tipas, biol.</v>
      </c>
      <c r="I545" s="447" t="str">
        <f>Translations!$B$661</f>
        <v>II tipas, biol.</v>
      </c>
      <c r="J545" s="455"/>
      <c r="K545" s="455"/>
      <c r="L545" s="447"/>
      <c r="M545" s="448"/>
      <c r="N545" s="430">
        <f t="shared" ref="N545:N586" si="76">IF(G545=EUconst_NA,EUconst_NA,IF(ISBLANK(J545),COUNTA(H545:M545),COUNTA(H545,J545,L545)))</f>
        <v>2</v>
      </c>
      <c r="O545" s="433" t="str">
        <f t="shared" ref="O545:O586" si="77">C545 &amp; ": " &amp;D545</f>
        <v>Degimas: Komercinis standartinių rūšių kuras</v>
      </c>
      <c r="P545" s="432"/>
      <c r="Q545" s="434"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5"/>
      <c r="AD545" s="55"/>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
      <c r="A546" s="59">
        <f t="shared" ref="A546:A586" si="81">A498</f>
        <v>2</v>
      </c>
      <c r="B546" s="449" t="str">
        <f t="shared" si="75"/>
        <v>Kuro deginimas ir kaip proceso žaliava naudojamas kuras</v>
      </c>
      <c r="C546" s="72" t="str">
        <f t="shared" si="75"/>
        <v>Degimas</v>
      </c>
      <c r="D546" s="72" t="str">
        <f t="shared" si="75"/>
        <v>Kitas dujinis ir skystasis kuras</v>
      </c>
      <c r="E546" s="72"/>
      <c r="F546" s="441" t="str">
        <f t="shared" ref="F546:F586" si="82">F498</f>
        <v>Degimas</v>
      </c>
      <c r="G546" s="425" t="str">
        <f>""</f>
        <v/>
      </c>
      <c r="H546" s="442" t="str">
        <f t="shared" ref="H546:I549" si="83">H$545</f>
        <v>I tipas, biol.</v>
      </c>
      <c r="I546" s="442" t="str">
        <f t="shared" si="83"/>
        <v>II tipas, biol.</v>
      </c>
      <c r="J546" s="444"/>
      <c r="K546" s="444"/>
      <c r="L546" s="442"/>
      <c r="M546" s="443"/>
      <c r="N546" s="425">
        <f t="shared" si="76"/>
        <v>2</v>
      </c>
      <c r="O546" s="427" t="str">
        <f t="shared" si="77"/>
        <v>Degimas: Kitas dujinis ir skystasis kuras</v>
      </c>
      <c r="P546" s="72"/>
      <c r="Q546" s="435"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5"/>
      <c r="AD546" s="55"/>
      <c r="AE546" s="95"/>
      <c r="AF546" s="63"/>
      <c r="AG546" s="70">
        <f t="shared" si="80"/>
        <v>2</v>
      </c>
      <c r="AJ546" s="59" t="str">
        <f t="shared" ref="AJ546:AK549" si="85">AJ$545</f>
        <v>I tipas, biol.</v>
      </c>
      <c r="AK546" s="59" t="str">
        <f t="shared" si="85"/>
        <v>II tipas, biol.</v>
      </c>
    </row>
    <row r="547" spans="1:37" ht="12.75" customHeight="1" outlineLevel="1" x14ac:dyDescent="0.2">
      <c r="A547" s="59">
        <f t="shared" si="81"/>
        <v>3</v>
      </c>
      <c r="B547" s="449" t="str">
        <f t="shared" si="75"/>
        <v>Kuro deginimas ir kaip proceso žaliava naudojamas kuras</v>
      </c>
      <c r="C547" s="72" t="str">
        <f t="shared" si="75"/>
        <v>Degimas</v>
      </c>
      <c r="D547" s="72" t="str">
        <f t="shared" si="75"/>
        <v>Kietasis kuras</v>
      </c>
      <c r="E547" s="72"/>
      <c r="F547" s="441" t="str">
        <f t="shared" si="82"/>
        <v>Degimas</v>
      </c>
      <c r="G547" s="425" t="str">
        <f>""</f>
        <v/>
      </c>
      <c r="H547" s="442" t="str">
        <f t="shared" si="83"/>
        <v>I tipas, biol.</v>
      </c>
      <c r="I547" s="442" t="str">
        <f t="shared" si="83"/>
        <v>II tipas, biol.</v>
      </c>
      <c r="J547" s="444"/>
      <c r="K547" s="444"/>
      <c r="L547" s="442"/>
      <c r="M547" s="443"/>
      <c r="N547" s="425">
        <f t="shared" si="76"/>
        <v>2</v>
      </c>
      <c r="O547" s="427" t="str">
        <f t="shared" si="77"/>
        <v>Degimas: Kietasis kuras</v>
      </c>
      <c r="P547" s="72"/>
      <c r="Q547" s="435"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5"/>
      <c r="AD547" s="55"/>
      <c r="AE547" s="95"/>
      <c r="AF547" s="63"/>
      <c r="AG547" s="70">
        <f t="shared" si="80"/>
        <v>2</v>
      </c>
      <c r="AJ547" s="59" t="str">
        <f t="shared" si="85"/>
        <v>I tipas, biol.</v>
      </c>
      <c r="AK547" s="59" t="str">
        <f t="shared" si="85"/>
        <v>II tipas, biol.</v>
      </c>
    </row>
    <row r="548" spans="1:37" ht="12.75" customHeight="1" outlineLevel="1" x14ac:dyDescent="0.2">
      <c r="A548" s="59">
        <f t="shared" si="81"/>
        <v>4</v>
      </c>
      <c r="B548" s="449" t="str">
        <f t="shared" si="75"/>
        <v>Kuro deginimas ir kaip proceso žaliava naudojamas kuras</v>
      </c>
      <c r="C548" s="72" t="str">
        <f t="shared" si="75"/>
        <v>Degimas</v>
      </c>
      <c r="D548" s="72" t="str">
        <f t="shared" si="75"/>
        <v>Dujų perdirbimo terminalai</v>
      </c>
      <c r="E548" s="72"/>
      <c r="F548" s="441" t="str">
        <f t="shared" si="82"/>
        <v>Masės balansas</v>
      </c>
      <c r="G548" s="425" t="str">
        <f>""</f>
        <v/>
      </c>
      <c r="H548" s="442" t="str">
        <f t="shared" si="83"/>
        <v>I tipas, biol.</v>
      </c>
      <c r="I548" s="442" t="str">
        <f t="shared" si="83"/>
        <v>II tipas, biol.</v>
      </c>
      <c r="J548" s="444"/>
      <c r="K548" s="444"/>
      <c r="L548" s="442"/>
      <c r="M548" s="443"/>
      <c r="N548" s="425">
        <f t="shared" si="76"/>
        <v>2</v>
      </c>
      <c r="O548" s="427" t="str">
        <f t="shared" si="77"/>
        <v>Degimas: Dujų perdirbimo terminalai</v>
      </c>
      <c r="P548" s="72"/>
      <c r="Q548" s="435"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5"/>
      <c r="AD548" s="55"/>
      <c r="AE548" s="95"/>
      <c r="AF548" s="63"/>
      <c r="AG548" s="70">
        <f t="shared" si="80"/>
        <v>2</v>
      </c>
      <c r="AJ548" s="59" t="str">
        <f t="shared" si="85"/>
        <v>I tipas, biol.</v>
      </c>
      <c r="AK548" s="59" t="str">
        <f t="shared" si="85"/>
        <v>II tipas, biol.</v>
      </c>
    </row>
    <row r="549" spans="1:37" ht="12.75" customHeight="1" outlineLevel="1" x14ac:dyDescent="0.2">
      <c r="A549" s="59">
        <f t="shared" si="81"/>
        <v>5</v>
      </c>
      <c r="B549" s="449" t="str">
        <f t="shared" si="75"/>
        <v>Kuro deginimas ir kaip proceso žaliava naudojamas kuras</v>
      </c>
      <c r="C549" s="72" t="str">
        <f t="shared" si="75"/>
        <v>Degimas</v>
      </c>
      <c r="D549" s="72" t="str">
        <f t="shared" si="75"/>
        <v>Fakelai</v>
      </c>
      <c r="E549" s="72"/>
      <c r="F549" s="441" t="str">
        <f t="shared" si="82"/>
        <v>Degimas</v>
      </c>
      <c r="G549" s="425" t="str">
        <f>""</f>
        <v/>
      </c>
      <c r="H549" s="442" t="str">
        <f t="shared" si="83"/>
        <v>I tipas, biol.</v>
      </c>
      <c r="I549" s="442" t="str">
        <f t="shared" si="83"/>
        <v>II tipas, biol.</v>
      </c>
      <c r="J549" s="444"/>
      <c r="K549" s="444"/>
      <c r="L549" s="442"/>
      <c r="M549" s="443"/>
      <c r="N549" s="425">
        <f t="shared" si="76"/>
        <v>2</v>
      </c>
      <c r="O549" s="427" t="str">
        <f t="shared" si="77"/>
        <v>Degimas: Fakelai</v>
      </c>
      <c r="P549" s="72"/>
      <c r="Q549" s="435" t="str">
        <f t="shared" si="78"/>
        <v>BioC_Degimas: Fakelai</v>
      </c>
      <c r="X549" s="59" t="b">
        <f t="shared" si="79"/>
        <v>0</v>
      </c>
      <c r="Z549" s="70" t="str">
        <f>""</f>
        <v/>
      </c>
      <c r="AA549" s="95"/>
      <c r="AB549" s="95"/>
      <c r="AC549" s="55"/>
      <c r="AD549" s="55"/>
      <c r="AE549" s="95"/>
      <c r="AF549" s="63"/>
      <c r="AG549" s="70">
        <f t="shared" si="80"/>
        <v>0</v>
      </c>
      <c r="AJ549" s="59" t="str">
        <f t="shared" si="85"/>
        <v>I tipas, biol.</v>
      </c>
      <c r="AK549" s="59" t="str">
        <f t="shared" si="85"/>
        <v>II tipas, biol.</v>
      </c>
    </row>
    <row r="550" spans="1:37" ht="12.75" customHeight="1" outlineLevel="1" x14ac:dyDescent="0.2">
      <c r="A550" s="59">
        <f t="shared" si="81"/>
        <v>6</v>
      </c>
      <c r="B550" s="449" t="str">
        <f t="shared" si="75"/>
        <v>Kuro deginimas ir kaip proceso žaliava naudojamas kuras</v>
      </c>
      <c r="C550" s="72" t="str">
        <f t="shared" si="75"/>
        <v>Degimas</v>
      </c>
      <c r="D550" s="72" t="str">
        <f t="shared" si="75"/>
        <v>Dujų plovimas (karbonatai)</v>
      </c>
      <c r="E550" s="72"/>
      <c r="F550" s="441" t="str">
        <f t="shared" si="82"/>
        <v>Proceso metu išsiskiriančios ŠESD</v>
      </c>
      <c r="G550" s="425" t="str">
        <f>EUconst_NA</f>
        <v>netaik.</v>
      </c>
      <c r="H550" s="442"/>
      <c r="I550" s="442"/>
      <c r="J550" s="444"/>
      <c r="K550" s="444"/>
      <c r="L550" s="442"/>
      <c r="M550" s="443"/>
      <c r="N550" s="425" t="str">
        <f t="shared" si="76"/>
        <v>netaik.</v>
      </c>
      <c r="O550" s="427" t="str">
        <f t="shared" si="77"/>
        <v>Degimas: Dujų plovimas (karbonatai)</v>
      </c>
      <c r="P550" s="72"/>
      <c r="Q550" s="435" t="str">
        <f t="shared" si="78"/>
        <v>BioC_Degimas: Dujų plovimas (karbonatai)</v>
      </c>
      <c r="X550" s="59" t="b">
        <f t="shared" si="79"/>
        <v>1</v>
      </c>
      <c r="Z550" s="70" t="str">
        <f>EUconst_NA</f>
        <v>netaik.</v>
      </c>
      <c r="AA550" s="95"/>
      <c r="AB550" s="95"/>
      <c r="AC550" s="55"/>
      <c r="AD550" s="55"/>
      <c r="AE550" s="95"/>
      <c r="AF550" s="63"/>
      <c r="AG550" s="70" t="str">
        <f t="shared" si="80"/>
        <v>netaik.</v>
      </c>
    </row>
    <row r="551" spans="1:37" ht="12.75" customHeight="1" outlineLevel="1" x14ac:dyDescent="0.2">
      <c r="A551" s="59">
        <f t="shared" si="81"/>
        <v>7</v>
      </c>
      <c r="B551" s="449" t="str">
        <f t="shared" si="75"/>
        <v>Kuro deginimas ir kaip proceso žaliava naudojamas kuras</v>
      </c>
      <c r="C551" s="72" t="str">
        <f t="shared" si="75"/>
        <v>Degimas</v>
      </c>
      <c r="D551" s="72" t="str">
        <f t="shared" si="75"/>
        <v>Dujų plovimas (gipsas)</v>
      </c>
      <c r="E551" s="72"/>
      <c r="F551" s="441" t="str">
        <f t="shared" si="82"/>
        <v>Proceso metu išsiskiriančios ŠESD</v>
      </c>
      <c r="G551" s="425" t="str">
        <f>EUconst_NA</f>
        <v>netaik.</v>
      </c>
      <c r="H551" s="442"/>
      <c r="I551" s="442"/>
      <c r="J551" s="444"/>
      <c r="K551" s="444"/>
      <c r="L551" s="442"/>
      <c r="M551" s="443"/>
      <c r="N551" s="425" t="str">
        <f t="shared" si="76"/>
        <v>netaik.</v>
      </c>
      <c r="O551" s="427" t="str">
        <f t="shared" si="77"/>
        <v>Degimas: Dujų plovimas (gipsas)</v>
      </c>
      <c r="P551" s="72"/>
      <c r="Q551" s="435" t="str">
        <f t="shared" si="78"/>
        <v>BioC_Degimas: Dujų plovimas (gipsas)</v>
      </c>
      <c r="X551" s="59" t="b">
        <f t="shared" si="79"/>
        <v>1</v>
      </c>
      <c r="Z551" s="70" t="str">
        <f>EUconst_NA</f>
        <v>netaik.</v>
      </c>
      <c r="AA551" s="95"/>
      <c r="AB551" s="95"/>
      <c r="AC551" s="55"/>
      <c r="AD551" s="55"/>
      <c r="AE551" s="95"/>
      <c r="AF551" s="63"/>
      <c r="AG551" s="70" t="str">
        <f t="shared" si="80"/>
        <v>netaik.</v>
      </c>
    </row>
    <row r="552" spans="1:37" ht="12.75" customHeight="1" outlineLevel="1" x14ac:dyDescent="0.2">
      <c r="A552" s="59">
        <f t="shared" si="81"/>
        <v>8</v>
      </c>
      <c r="B552" s="449" t="str">
        <f t="shared" si="75"/>
        <v xml:space="preserve">Naftos perdirbimas </v>
      </c>
      <c r="C552" s="72" t="str">
        <f t="shared" si="75"/>
        <v>Naftos perdirbimo įrenginiai</v>
      </c>
      <c r="D552" s="72" t="str">
        <f t="shared" si="75"/>
        <v>Masės balansas</v>
      </c>
      <c r="E552" s="72"/>
      <c r="F552" s="441" t="str">
        <f t="shared" si="82"/>
        <v>Masės balansas</v>
      </c>
      <c r="G552" s="425" t="str">
        <f>""</f>
        <v/>
      </c>
      <c r="H552" s="442" t="str">
        <f>H$545</f>
        <v>I tipas, biol.</v>
      </c>
      <c r="I552" s="442" t="str">
        <f>I$545</f>
        <v>II tipas, biol.</v>
      </c>
      <c r="J552" s="444"/>
      <c r="K552" s="444"/>
      <c r="L552" s="442"/>
      <c r="M552" s="443"/>
      <c r="N552" s="425">
        <f t="shared" si="76"/>
        <v>2</v>
      </c>
      <c r="O552" s="427" t="str">
        <f t="shared" si="77"/>
        <v>Naftos perdirbimo įrenginiai: Masės balansas</v>
      </c>
      <c r="P552" s="72"/>
      <c r="Q552" s="435"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5"/>
      <c r="AD552" s="55"/>
      <c r="AE552" s="95"/>
      <c r="AF552" s="63"/>
      <c r="AG552" s="70">
        <f t="shared" si="80"/>
        <v>2</v>
      </c>
      <c r="AJ552" s="59" t="str">
        <f>AJ$545</f>
        <v>I tipas, biol.</v>
      </c>
      <c r="AK552" s="59" t="str">
        <f>AK$545</f>
        <v>II tipas, biol.</v>
      </c>
    </row>
    <row r="553" spans="1:37" ht="12.75" customHeight="1" outlineLevel="1" x14ac:dyDescent="0.2">
      <c r="A553" s="59">
        <f t="shared" si="81"/>
        <v>9</v>
      </c>
      <c r="B553" s="449" t="str">
        <f t="shared" si="75"/>
        <v xml:space="preserve">Naftos perdirbimas </v>
      </c>
      <c r="C553" s="72" t="str">
        <f t="shared" si="75"/>
        <v>Naftos perdirbimo įrenginiai</v>
      </c>
      <c r="D553" s="72" t="str">
        <f t="shared" si="75"/>
        <v>Regeneravimas katalizinio krekingo įrenginiu</v>
      </c>
      <c r="E553" s="72"/>
      <c r="F553" s="441" t="str">
        <f t="shared" si="82"/>
        <v>Masės balansas</v>
      </c>
      <c r="G553" s="425" t="str">
        <f>""</f>
        <v/>
      </c>
      <c r="H553" s="442" t="str">
        <f>H$545</f>
        <v>I tipas, biol.</v>
      </c>
      <c r="I553" s="442" t="str">
        <f>I$545</f>
        <v>II tipas, biol.</v>
      </c>
      <c r="J553" s="444"/>
      <c r="K553" s="444"/>
      <c r="L553" s="442"/>
      <c r="M553" s="443"/>
      <c r="N553" s="425">
        <f t="shared" si="76"/>
        <v>2</v>
      </c>
      <c r="O553" s="427" t="str">
        <f t="shared" si="77"/>
        <v>Naftos perdirbimo įrenginiai: Regeneravimas katalizinio krekingo įrenginiu</v>
      </c>
      <c r="P553" s="72"/>
      <c r="Q553" s="435"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5"/>
      <c r="AD553" s="55"/>
      <c r="AE553" s="95"/>
      <c r="AF553" s="63"/>
      <c r="AG553" s="70">
        <f t="shared" si="80"/>
        <v>2</v>
      </c>
      <c r="AJ553" s="59" t="str">
        <f>AJ$545</f>
        <v>I tipas, biol.</v>
      </c>
      <c r="AK553" s="59" t="str">
        <f>AK$545</f>
        <v>II tipas, biol.</v>
      </c>
    </row>
    <row r="554" spans="1:37" ht="12.75" customHeight="1" outlineLevel="1" x14ac:dyDescent="0.2">
      <c r="A554" s="59">
        <f t="shared" si="81"/>
        <v>10</v>
      </c>
      <c r="B554" s="449" t="str">
        <f t="shared" si="75"/>
        <v xml:space="preserve">Naftos perdirbimas </v>
      </c>
      <c r="C554" s="72" t="str">
        <f t="shared" si="75"/>
        <v>Naftos perdirbimo įrenginiai</v>
      </c>
      <c r="D554" s="72" t="str">
        <f t="shared" si="75"/>
        <v>Vandenilio gamyba</v>
      </c>
      <c r="E554" s="72"/>
      <c r="F554" s="441" t="str">
        <f t="shared" si="82"/>
        <v>Proceso metu išsiskiriančios ŠESD</v>
      </c>
      <c r="G554" s="425" t="str">
        <f>EUconst_NA</f>
        <v>netaik.</v>
      </c>
      <c r="H554" s="442"/>
      <c r="I554" s="442"/>
      <c r="J554" s="444"/>
      <c r="K554" s="444"/>
      <c r="L554" s="442"/>
      <c r="M554" s="443"/>
      <c r="N554" s="425" t="str">
        <f t="shared" si="76"/>
        <v>netaik.</v>
      </c>
      <c r="O554" s="427" t="str">
        <f t="shared" si="77"/>
        <v>Naftos perdirbimo įrenginiai: Vandenilio gamyba</v>
      </c>
      <c r="P554" s="72"/>
      <c r="Q554" s="435" t="str">
        <f t="shared" si="78"/>
        <v>BioC_Naftos perdirbimo įrenginiai: Vandenilio gamyba</v>
      </c>
      <c r="X554" s="59" t="b">
        <f t="shared" si="79"/>
        <v>1</v>
      </c>
      <c r="Z554" s="70" t="str">
        <f>EUconst_NA</f>
        <v>netaik.</v>
      </c>
      <c r="AA554" s="95"/>
      <c r="AB554" s="95"/>
      <c r="AC554" s="55"/>
      <c r="AD554" s="55"/>
      <c r="AE554" s="95"/>
      <c r="AF554" s="63"/>
      <c r="AG554" s="70" t="str">
        <f t="shared" si="80"/>
        <v>netaik.</v>
      </c>
    </row>
    <row r="555" spans="1:37" ht="12.75" customHeight="1" outlineLevel="1" x14ac:dyDescent="0.2">
      <c r="A555" s="59">
        <f t="shared" si="81"/>
        <v>11</v>
      </c>
      <c r="B555" s="449" t="str">
        <f t="shared" si="75"/>
        <v>Kokso gamyba</v>
      </c>
      <c r="C555" s="72" t="str">
        <f t="shared" si="75"/>
        <v>Koksas</v>
      </c>
      <c r="D555" s="72" t="str">
        <f t="shared" si="75"/>
        <v>Kuras kaip proceso žaliava</v>
      </c>
      <c r="E555" s="72"/>
      <c r="F555" s="441" t="str">
        <f t="shared" si="82"/>
        <v>Degimas</v>
      </c>
      <c r="G555" s="425" t="str">
        <f>""</f>
        <v/>
      </c>
      <c r="H555" s="442" t="str">
        <f>H$545</f>
        <v>I tipas, biol.</v>
      </c>
      <c r="I555" s="442" t="str">
        <f>I$545</f>
        <v>II tipas, biol.</v>
      </c>
      <c r="J555" s="444"/>
      <c r="K555" s="444"/>
      <c r="L555" s="442"/>
      <c r="M555" s="443"/>
      <c r="N555" s="425">
        <f t="shared" si="76"/>
        <v>2</v>
      </c>
      <c r="O555" s="427" t="str">
        <f t="shared" si="77"/>
        <v>Koksas: Kuras kaip proceso žaliava</v>
      </c>
      <c r="P555" s="72"/>
      <c r="Q555" s="435"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5"/>
      <c r="AD555" s="55"/>
      <c r="AE555" s="95"/>
      <c r="AF555" s="63"/>
      <c r="AG555" s="70">
        <f t="shared" si="80"/>
        <v>2</v>
      </c>
      <c r="AJ555" s="59" t="str">
        <f>AJ$545</f>
        <v>I tipas, biol.</v>
      </c>
      <c r="AK555" s="59" t="str">
        <f>AK$545</f>
        <v>II tipas, biol.</v>
      </c>
    </row>
    <row r="556" spans="1:37" ht="12.75" customHeight="1" outlineLevel="1" x14ac:dyDescent="0.2">
      <c r="A556" s="59">
        <f t="shared" si="81"/>
        <v>12</v>
      </c>
      <c r="B556" s="449" t="str">
        <f t="shared" si="75"/>
        <v>Kokso gamyba</v>
      </c>
      <c r="C556" s="72" t="str">
        <f t="shared" si="75"/>
        <v>Koksas</v>
      </c>
      <c r="D556" s="72" t="str">
        <f t="shared" si="75"/>
        <v>Karbonatų sąnaudos (A metodas)</v>
      </c>
      <c r="E556" s="72"/>
      <c r="F556" s="441" t="str">
        <f t="shared" si="82"/>
        <v>Proceso metu išsiskiriančios ŠESD</v>
      </c>
      <c r="G556" s="425" t="str">
        <f>EUconst_NA</f>
        <v>netaik.</v>
      </c>
      <c r="H556" s="442"/>
      <c r="I556" s="442"/>
      <c r="J556" s="444"/>
      <c r="K556" s="444"/>
      <c r="L556" s="442"/>
      <c r="M556" s="443"/>
      <c r="N556" s="425" t="str">
        <f t="shared" si="76"/>
        <v>netaik.</v>
      </c>
      <c r="O556" s="427" t="str">
        <f t="shared" si="77"/>
        <v>Koksas: Karbonatų sąnaudos (A metodas)</v>
      </c>
      <c r="P556" s="72"/>
      <c r="Q556" s="435" t="str">
        <f t="shared" si="78"/>
        <v>BioC_Koksas: Karbonatų sąnaudos (A metodas)</v>
      </c>
      <c r="X556" s="59" t="b">
        <f t="shared" si="79"/>
        <v>1</v>
      </c>
      <c r="Z556" s="70" t="str">
        <f>EUconst_NA</f>
        <v>netaik.</v>
      </c>
      <c r="AA556" s="95"/>
      <c r="AB556" s="95"/>
      <c r="AC556" s="55"/>
      <c r="AD556" s="55"/>
      <c r="AE556" s="95"/>
      <c r="AF556" s="63"/>
      <c r="AG556" s="70" t="str">
        <f t="shared" si="80"/>
        <v>netaik.</v>
      </c>
    </row>
    <row r="557" spans="1:37" ht="12.75" customHeight="1" outlineLevel="1" x14ac:dyDescent="0.2">
      <c r="A557" s="59">
        <f t="shared" si="81"/>
        <v>13</v>
      </c>
      <c r="B557" s="449" t="str">
        <f t="shared" si="75"/>
        <v>Kokso gamyba</v>
      </c>
      <c r="C557" s="72" t="str">
        <f t="shared" si="75"/>
        <v>Koksas</v>
      </c>
      <c r="D557" s="72" t="str">
        <f t="shared" si="75"/>
        <v>Oksido išeiga (B metodas)</v>
      </c>
      <c r="E557" s="72"/>
      <c r="F557" s="441" t="str">
        <f t="shared" si="82"/>
        <v>Proceso metu išsiskiriančios ŠESD</v>
      </c>
      <c r="G557" s="425" t="str">
        <f>EUconst_NA</f>
        <v>netaik.</v>
      </c>
      <c r="H557" s="442"/>
      <c r="I557" s="442"/>
      <c r="J557" s="444"/>
      <c r="K557" s="444"/>
      <c r="L557" s="442"/>
      <c r="M557" s="443"/>
      <c r="N557" s="425" t="str">
        <f t="shared" si="76"/>
        <v>netaik.</v>
      </c>
      <c r="O557" s="427" t="str">
        <f t="shared" si="77"/>
        <v>Koksas: Oksido išeiga (B metodas)</v>
      </c>
      <c r="P557" s="72"/>
      <c r="Q557" s="435" t="str">
        <f t="shared" si="78"/>
        <v>BioC_Koksas: Oksido išeiga (B metodas)</v>
      </c>
      <c r="X557" s="59" t="b">
        <f t="shared" si="79"/>
        <v>1</v>
      </c>
      <c r="Z557" s="70" t="str">
        <f>EUconst_NA</f>
        <v>netaik.</v>
      </c>
      <c r="AA557" s="95"/>
      <c r="AB557" s="95"/>
      <c r="AC557" s="55"/>
      <c r="AD557" s="55"/>
      <c r="AE557" s="95"/>
      <c r="AF557" s="63"/>
      <c r="AG557" s="70" t="str">
        <f t="shared" si="80"/>
        <v>netaik.</v>
      </c>
    </row>
    <row r="558" spans="1:37" ht="12.75" customHeight="1" outlineLevel="1" x14ac:dyDescent="0.2">
      <c r="A558" s="59">
        <f t="shared" si="81"/>
        <v>14</v>
      </c>
      <c r="B558" s="449" t="str">
        <f t="shared" si="75"/>
        <v>Kokso gamyba</v>
      </c>
      <c r="C558" s="72" t="str">
        <f t="shared" si="75"/>
        <v>Koksas</v>
      </c>
      <c r="D558" s="72" t="str">
        <f t="shared" si="75"/>
        <v>Masės balansas</v>
      </c>
      <c r="E558" s="72"/>
      <c r="F558" s="441" t="str">
        <f t="shared" si="82"/>
        <v>Masės balansas</v>
      </c>
      <c r="G558" s="425" t="str">
        <f>""</f>
        <v/>
      </c>
      <c r="H558" s="442" t="str">
        <f>H$545</f>
        <v>I tipas, biol.</v>
      </c>
      <c r="I558" s="442" t="str">
        <f>I$545</f>
        <v>II tipas, biol.</v>
      </c>
      <c r="J558" s="444"/>
      <c r="K558" s="444"/>
      <c r="L558" s="442"/>
      <c r="M558" s="443"/>
      <c r="N558" s="425">
        <f t="shared" si="76"/>
        <v>2</v>
      </c>
      <c r="O558" s="427" t="str">
        <f t="shared" si="77"/>
        <v>Koksas: Masės balansas</v>
      </c>
      <c r="P558" s="72"/>
      <c r="Q558" s="435"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5"/>
      <c r="AD558" s="55"/>
      <c r="AE558" s="95"/>
      <c r="AF558" s="63"/>
      <c r="AG558" s="70">
        <f t="shared" si="80"/>
        <v>2</v>
      </c>
      <c r="AJ558" s="59" t="str">
        <f>AJ$545</f>
        <v>I tipas, biol.</v>
      </c>
      <c r="AK558" s="59" t="str">
        <f>AK$545</f>
        <v>II tipas, biol.</v>
      </c>
    </row>
    <row r="559" spans="1:37" ht="12.75" customHeight="1" outlineLevel="1" x14ac:dyDescent="0.2">
      <c r="A559" s="59">
        <f t="shared" si="81"/>
        <v>15</v>
      </c>
      <c r="B559" s="449" t="str">
        <f t="shared" si="75"/>
        <v>Metalo rūdų deginimas ir kepinimas</v>
      </c>
      <c r="C559" s="72" t="str">
        <f t="shared" si="75"/>
        <v>Metalų rūda</v>
      </c>
      <c r="D559" s="72" t="str">
        <f t="shared" si="75"/>
        <v>Karbonatų sąnaudos</v>
      </c>
      <c r="E559" s="72"/>
      <c r="F559" s="441" t="str">
        <f t="shared" si="82"/>
        <v>Proceso metu išsiskiriančios ŠESD</v>
      </c>
      <c r="G559" s="425" t="str">
        <f>EUconst_NA</f>
        <v>netaik.</v>
      </c>
      <c r="H559" s="442"/>
      <c r="I559" s="442"/>
      <c r="J559" s="444"/>
      <c r="K559" s="444"/>
      <c r="L559" s="442"/>
      <c r="M559" s="443"/>
      <c r="N559" s="425" t="str">
        <f t="shared" si="76"/>
        <v>netaik.</v>
      </c>
      <c r="O559" s="427" t="str">
        <f t="shared" si="77"/>
        <v>Metalų rūda: Karbonatų sąnaudos</v>
      </c>
      <c r="P559" s="72"/>
      <c r="Q559" s="435" t="str">
        <f t="shared" si="78"/>
        <v>BioC_Metalų rūda: Karbonatų sąnaudos</v>
      </c>
      <c r="X559" s="59" t="b">
        <f t="shared" si="79"/>
        <v>1</v>
      </c>
      <c r="Z559" s="70" t="str">
        <f>EUconst_NA</f>
        <v>netaik.</v>
      </c>
      <c r="AA559" s="95"/>
      <c r="AB559" s="95"/>
      <c r="AC559" s="55"/>
      <c r="AD559" s="55"/>
      <c r="AE559" s="95"/>
      <c r="AF559" s="63"/>
      <c r="AG559" s="70" t="str">
        <f t="shared" si="80"/>
        <v>netaik.</v>
      </c>
    </row>
    <row r="560" spans="1:37" ht="12.75" customHeight="1" outlineLevel="1" x14ac:dyDescent="0.2">
      <c r="A560" s="59">
        <f t="shared" si="81"/>
        <v>16</v>
      </c>
      <c r="B560" s="449" t="str">
        <f t="shared" si="75"/>
        <v>Metalo rūdų deginimas ir kepinimas</v>
      </c>
      <c r="C560" s="72" t="str">
        <f t="shared" si="75"/>
        <v>Metalų rūda</v>
      </c>
      <c r="D560" s="72" t="str">
        <f t="shared" si="75"/>
        <v>Masės balansas</v>
      </c>
      <c r="E560" s="72"/>
      <c r="F560" s="441" t="str">
        <f t="shared" si="82"/>
        <v>Masės balansas</v>
      </c>
      <c r="G560" s="425" t="str">
        <f>""</f>
        <v/>
      </c>
      <c r="H560" s="442" t="str">
        <f>H$545</f>
        <v>I tipas, biol.</v>
      </c>
      <c r="I560" s="442" t="str">
        <f>I$545</f>
        <v>II tipas, biol.</v>
      </c>
      <c r="J560" s="444"/>
      <c r="K560" s="444"/>
      <c r="L560" s="442"/>
      <c r="M560" s="443"/>
      <c r="N560" s="425">
        <f t="shared" si="76"/>
        <v>2</v>
      </c>
      <c r="O560" s="427" t="str">
        <f t="shared" si="77"/>
        <v>Metalų rūda: Masės balansas</v>
      </c>
      <c r="P560" s="72"/>
      <c r="Q560" s="435"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5"/>
      <c r="AD560" s="55"/>
      <c r="AE560" s="95"/>
      <c r="AF560" s="63"/>
      <c r="AG560" s="70">
        <f t="shared" si="80"/>
        <v>2</v>
      </c>
      <c r="AJ560" s="59" t="str">
        <f>AJ$545</f>
        <v>I tipas, biol.</v>
      </c>
      <c r="AK560" s="59" t="str">
        <f>AK$545</f>
        <v>II tipas, biol.</v>
      </c>
    </row>
    <row r="561" spans="1:37" ht="12.75" customHeight="1" outlineLevel="1" x14ac:dyDescent="0.2">
      <c r="A561" s="59">
        <f t="shared" si="81"/>
        <v>17</v>
      </c>
      <c r="B561" s="449" t="str">
        <f t="shared" si="75"/>
        <v>Geležies ir plieno gamyba</v>
      </c>
      <c r="C561" s="72" t="str">
        <f t="shared" si="75"/>
        <v>Geležis ir plienas</v>
      </c>
      <c r="D561" s="72" t="str">
        <f t="shared" si="75"/>
        <v>Kuras kaip proceso žaliava</v>
      </c>
      <c r="E561" s="72"/>
      <c r="F561" s="441" t="str">
        <f t="shared" si="82"/>
        <v>Degimas</v>
      </c>
      <c r="G561" s="425" t="str">
        <f>""</f>
        <v/>
      </c>
      <c r="H561" s="442" t="str">
        <f>H$545</f>
        <v>I tipas, biol.</v>
      </c>
      <c r="I561" s="442" t="str">
        <f>I$545</f>
        <v>II tipas, biol.</v>
      </c>
      <c r="J561" s="444"/>
      <c r="K561" s="444"/>
      <c r="L561" s="442"/>
      <c r="M561" s="443"/>
      <c r="N561" s="425">
        <f t="shared" si="76"/>
        <v>2</v>
      </c>
      <c r="O561" s="427" t="str">
        <f t="shared" si="77"/>
        <v>Geležis ir plienas: Kuras kaip proceso žaliava</v>
      </c>
      <c r="P561" s="72"/>
      <c r="Q561" s="435"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5"/>
      <c r="AD561" s="55"/>
      <c r="AE561" s="95"/>
      <c r="AF561" s="63"/>
      <c r="AG561" s="70">
        <f t="shared" si="80"/>
        <v>2</v>
      </c>
      <c r="AJ561" s="59" t="str">
        <f>AJ$545</f>
        <v>I tipas, biol.</v>
      </c>
      <c r="AK561" s="59" t="str">
        <f>AK$545</f>
        <v>II tipas, biol.</v>
      </c>
    </row>
    <row r="562" spans="1:37" ht="12.75" customHeight="1" outlineLevel="1" x14ac:dyDescent="0.2">
      <c r="A562" s="59">
        <f t="shared" si="81"/>
        <v>18</v>
      </c>
      <c r="B562" s="449" t="str">
        <f t="shared" si="75"/>
        <v>Geležies ir plieno gamyba</v>
      </c>
      <c r="C562" s="72" t="str">
        <f t="shared" si="75"/>
        <v>Geležis ir plienas</v>
      </c>
      <c r="D562" s="72" t="str">
        <f t="shared" si="75"/>
        <v>Karbonatų sąnaudos</v>
      </c>
      <c r="E562" s="72"/>
      <c r="F562" s="441" t="str">
        <f t="shared" si="82"/>
        <v>Proceso metu išsiskiriančios ŠESD</v>
      </c>
      <c r="G562" s="425" t="str">
        <f>EUconst_NA</f>
        <v>netaik.</v>
      </c>
      <c r="H562" s="442"/>
      <c r="I562" s="442"/>
      <c r="J562" s="444"/>
      <c r="K562" s="444"/>
      <c r="L562" s="442"/>
      <c r="M562" s="443"/>
      <c r="N562" s="425" t="str">
        <f t="shared" si="76"/>
        <v>netaik.</v>
      </c>
      <c r="O562" s="427" t="str">
        <f t="shared" si="77"/>
        <v>Geležis ir plienas: Karbonatų sąnaudos</v>
      </c>
      <c r="P562" s="72"/>
      <c r="Q562" s="435" t="str">
        <f t="shared" si="78"/>
        <v>BioC_Geležis ir plienas: Karbonatų sąnaudos</v>
      </c>
      <c r="X562" s="59" t="b">
        <f t="shared" si="79"/>
        <v>1</v>
      </c>
      <c r="Z562" s="70" t="str">
        <f>EUconst_NA</f>
        <v>netaik.</v>
      </c>
      <c r="AA562" s="95"/>
      <c r="AB562" s="95"/>
      <c r="AC562" s="55"/>
      <c r="AD562" s="55"/>
      <c r="AE562" s="95"/>
      <c r="AF562" s="63"/>
      <c r="AG562" s="70" t="str">
        <f t="shared" si="80"/>
        <v>netaik.</v>
      </c>
    </row>
    <row r="563" spans="1:37" ht="12.75" customHeight="1" outlineLevel="1" x14ac:dyDescent="0.2">
      <c r="A563" s="59">
        <f t="shared" si="81"/>
        <v>19</v>
      </c>
      <c r="B563" s="449" t="str">
        <f t="shared" si="75"/>
        <v>Geležies ir plieno gamyba</v>
      </c>
      <c r="C563" s="72" t="str">
        <f t="shared" si="75"/>
        <v>Geležis ir plienas</v>
      </c>
      <c r="D563" s="72" t="str">
        <f t="shared" si="75"/>
        <v>Masės balansas</v>
      </c>
      <c r="E563" s="72"/>
      <c r="F563" s="441" t="str">
        <f t="shared" si="82"/>
        <v>Masės balansas</v>
      </c>
      <c r="G563" s="425" t="str">
        <f>""</f>
        <v/>
      </c>
      <c r="H563" s="442" t="str">
        <f>H$545</f>
        <v>I tipas, biol.</v>
      </c>
      <c r="I563" s="442" t="str">
        <f>I$545</f>
        <v>II tipas, biol.</v>
      </c>
      <c r="J563" s="444"/>
      <c r="K563" s="444"/>
      <c r="L563" s="442"/>
      <c r="M563" s="443"/>
      <c r="N563" s="425">
        <f t="shared" si="76"/>
        <v>2</v>
      </c>
      <c r="O563" s="427" t="str">
        <f t="shared" si="77"/>
        <v>Geležis ir plienas: Masės balansas</v>
      </c>
      <c r="P563" s="72"/>
      <c r="Q563" s="435"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5"/>
      <c r="AD563" s="55"/>
      <c r="AE563" s="95"/>
      <c r="AF563" s="63"/>
      <c r="AG563" s="70">
        <f t="shared" si="80"/>
        <v>2</v>
      </c>
      <c r="AJ563" s="59" t="str">
        <f>AJ$545</f>
        <v>I tipas, biol.</v>
      </c>
      <c r="AK563" s="59" t="str">
        <f>AK$545</f>
        <v>II tipas, biol.</v>
      </c>
    </row>
    <row r="564" spans="1:37" ht="12.75" customHeight="1" outlineLevel="1" x14ac:dyDescent="0.2">
      <c r="A564" s="59">
        <f t="shared" si="81"/>
        <v>20</v>
      </c>
      <c r="B564" s="449" t="str">
        <f t="shared" si="75"/>
        <v>Cemento klinkerio gamyba</v>
      </c>
      <c r="C564" s="72" t="str">
        <f t="shared" si="75"/>
        <v>Cemento klinkeriai</v>
      </c>
      <c r="D564" s="72" t="str">
        <f t="shared" si="75"/>
        <v>Grindžiamas krosnies žaliava (A metodas)</v>
      </c>
      <c r="E564" s="72"/>
      <c r="F564" s="441" t="str">
        <f t="shared" si="82"/>
        <v>Proceso metu išsiskiriančios ŠESD</v>
      </c>
      <c r="G564" s="425" t="str">
        <f t="shared" ref="G564:G575" si="86">EUconst_NA</f>
        <v>netaik.</v>
      </c>
      <c r="H564" s="442"/>
      <c r="I564" s="442"/>
      <c r="J564" s="444"/>
      <c r="K564" s="444"/>
      <c r="L564" s="442"/>
      <c r="M564" s="443"/>
      <c r="N564" s="425" t="str">
        <f t="shared" si="76"/>
        <v>netaik.</v>
      </c>
      <c r="O564" s="427" t="str">
        <f t="shared" si="77"/>
        <v>Cemento klinkeriai: Grindžiamas krosnies žaliava (A metodas)</v>
      </c>
      <c r="P564" s="72"/>
      <c r="Q564" s="435" t="str">
        <f t="shared" si="78"/>
        <v>BioC_Cemento klinkeriai: Grindžiamas krosnies žaliava (A metodas)</v>
      </c>
      <c r="X564" s="59" t="b">
        <f t="shared" si="79"/>
        <v>1</v>
      </c>
      <c r="Z564" s="70" t="str">
        <f t="shared" ref="Z564:Z575" si="87">EUconst_NA</f>
        <v>netaik.</v>
      </c>
      <c r="AA564" s="95"/>
      <c r="AB564" s="95"/>
      <c r="AC564" s="55"/>
      <c r="AD564" s="55"/>
      <c r="AE564" s="95"/>
      <c r="AF564" s="63"/>
      <c r="AG564" s="70" t="str">
        <f t="shared" si="80"/>
        <v>netaik.</v>
      </c>
    </row>
    <row r="565" spans="1:37" ht="12.75" customHeight="1" outlineLevel="1" x14ac:dyDescent="0.2">
      <c r="A565" s="59">
        <f t="shared" si="81"/>
        <v>21</v>
      </c>
      <c r="B565" s="449" t="str">
        <f t="shared" ref="B565:D584" si="88">B517</f>
        <v>Cemento klinkerio gamyba</v>
      </c>
      <c r="C565" s="72" t="str">
        <f t="shared" si="88"/>
        <v>Cemento klinkeriai</v>
      </c>
      <c r="D565" s="72" t="str">
        <f t="shared" si="88"/>
        <v>Klinkerio išeiga (B metodas)</v>
      </c>
      <c r="E565" s="72"/>
      <c r="F565" s="441" t="str">
        <f t="shared" si="82"/>
        <v>Proceso metu išsiskiriančios ŠESD</v>
      </c>
      <c r="G565" s="425" t="str">
        <f t="shared" si="86"/>
        <v>netaik.</v>
      </c>
      <c r="H565" s="442"/>
      <c r="I565" s="442"/>
      <c r="J565" s="444"/>
      <c r="K565" s="444"/>
      <c r="L565" s="442"/>
      <c r="M565" s="443"/>
      <c r="N565" s="425" t="str">
        <f t="shared" si="76"/>
        <v>netaik.</v>
      </c>
      <c r="O565" s="427" t="str">
        <f t="shared" si="77"/>
        <v>Cemento klinkeriai: Klinkerio išeiga (B metodas)</v>
      </c>
      <c r="P565" s="72"/>
      <c r="Q565" s="435" t="str">
        <f t="shared" si="78"/>
        <v>BioC_Cemento klinkeriai: Klinkerio išeiga (B metodas)</v>
      </c>
      <c r="X565" s="59" t="b">
        <f t="shared" si="79"/>
        <v>1</v>
      </c>
      <c r="Z565" s="70" t="str">
        <f t="shared" si="87"/>
        <v>netaik.</v>
      </c>
      <c r="AA565" s="95"/>
      <c r="AB565" s="95"/>
      <c r="AC565" s="55"/>
      <c r="AD565" s="55"/>
      <c r="AE565" s="95"/>
      <c r="AF565" s="63"/>
      <c r="AG565" s="70" t="str">
        <f t="shared" si="80"/>
        <v>netaik.</v>
      </c>
    </row>
    <row r="566" spans="1:37" ht="12.75" customHeight="1" outlineLevel="1" x14ac:dyDescent="0.2">
      <c r="A566" s="59">
        <f t="shared" si="81"/>
        <v>22</v>
      </c>
      <c r="B566" s="449" t="str">
        <f t="shared" si="88"/>
        <v>Cemento klinkerio gamyba</v>
      </c>
      <c r="C566" s="72" t="str">
        <f t="shared" si="88"/>
        <v>Cemento klinkeriai</v>
      </c>
      <c r="D566" s="72" t="str">
        <f t="shared" si="88"/>
        <v>Cemento degimo krosnių dulkės</v>
      </c>
      <c r="E566" s="72"/>
      <c r="F566" s="441" t="str">
        <f t="shared" si="82"/>
        <v>Proceso metu išsiskiriančios ŠESD</v>
      </c>
      <c r="G566" s="425" t="str">
        <f t="shared" si="86"/>
        <v>netaik.</v>
      </c>
      <c r="H566" s="442"/>
      <c r="I566" s="442"/>
      <c r="J566" s="444"/>
      <c r="K566" s="444"/>
      <c r="L566" s="442"/>
      <c r="M566" s="443"/>
      <c r="N566" s="425" t="str">
        <f t="shared" si="76"/>
        <v>netaik.</v>
      </c>
      <c r="O566" s="427" t="str">
        <f t="shared" si="77"/>
        <v>Cemento klinkeriai: Cemento degimo krosnių dulkės</v>
      </c>
      <c r="P566" s="72"/>
      <c r="Q566" s="435" t="str">
        <f t="shared" si="78"/>
        <v>BioC_Cemento klinkeriai: Cemento degimo krosnių dulkės</v>
      </c>
      <c r="X566" s="59" t="b">
        <f t="shared" si="79"/>
        <v>1</v>
      </c>
      <c r="Z566" s="70" t="str">
        <f t="shared" si="87"/>
        <v>netaik.</v>
      </c>
      <c r="AA566" s="95"/>
      <c r="AB566" s="95"/>
      <c r="AC566" s="55"/>
      <c r="AD566" s="55"/>
      <c r="AE566" s="95"/>
      <c r="AF566" s="63"/>
      <c r="AG566" s="70" t="str">
        <f t="shared" si="80"/>
        <v>netaik.</v>
      </c>
    </row>
    <row r="567" spans="1:37" ht="12.75" customHeight="1" outlineLevel="1" x14ac:dyDescent="0.2">
      <c r="A567" s="59">
        <f t="shared" si="81"/>
        <v>23</v>
      </c>
      <c r="B567" s="449" t="str">
        <f t="shared" si="88"/>
        <v>Cemento klinkerio gamyba</v>
      </c>
      <c r="C567" s="72" t="str">
        <f t="shared" si="88"/>
        <v>Cemento klinkeriai</v>
      </c>
      <c r="D567" s="72" t="str">
        <f t="shared" si="88"/>
        <v>Nekarbonatinė anglis</v>
      </c>
      <c r="E567" s="72"/>
      <c r="F567" s="441" t="str">
        <f t="shared" si="82"/>
        <v>Proceso metu išsiskiriančios ŠESD</v>
      </c>
      <c r="G567" s="425" t="str">
        <f t="shared" si="86"/>
        <v>netaik.</v>
      </c>
      <c r="H567" s="442"/>
      <c r="I567" s="442"/>
      <c r="J567" s="444"/>
      <c r="K567" s="444"/>
      <c r="L567" s="442"/>
      <c r="M567" s="443"/>
      <c r="N567" s="425" t="str">
        <f t="shared" si="76"/>
        <v>netaik.</v>
      </c>
      <c r="O567" s="427" t="str">
        <f t="shared" si="77"/>
        <v>Cemento klinkeriai: Nekarbonatinė anglis</v>
      </c>
      <c r="P567" s="72"/>
      <c r="Q567" s="435" t="str">
        <f t="shared" si="78"/>
        <v>BioC_Cemento klinkeriai: Nekarbonatinė anglis</v>
      </c>
      <c r="X567" s="59" t="b">
        <f t="shared" si="79"/>
        <v>1</v>
      </c>
      <c r="Z567" s="70" t="str">
        <f t="shared" si="87"/>
        <v>netaik.</v>
      </c>
      <c r="AA567" s="95"/>
      <c r="AB567" s="95"/>
      <c r="AC567" s="55"/>
      <c r="AD567" s="55"/>
      <c r="AE567" s="95"/>
      <c r="AF567" s="63"/>
      <c r="AG567" s="70" t="str">
        <f t="shared" si="80"/>
        <v>netaik.</v>
      </c>
    </row>
    <row r="568" spans="1:37" ht="12.75" customHeight="1" outlineLevel="1" x14ac:dyDescent="0.2">
      <c r="A568" s="59">
        <f t="shared" si="81"/>
        <v>24</v>
      </c>
      <c r="B568" s="449" t="str">
        <f t="shared" si="88"/>
        <v>Kalkių gamyba ir dolomitų bei magnezitų kalcinavimas</v>
      </c>
      <c r="C568" s="72" t="str">
        <f t="shared" si="88"/>
        <v>Kalkės, dolomitas, magnezitas</v>
      </c>
      <c r="D568" s="72" t="str">
        <f t="shared" si="88"/>
        <v>Karbonatai (A metodas)</v>
      </c>
      <c r="E568" s="72"/>
      <c r="F568" s="441" t="str">
        <f t="shared" si="82"/>
        <v>Proceso metu išsiskiriančios ŠESD</v>
      </c>
      <c r="G568" s="425" t="str">
        <f t="shared" si="86"/>
        <v>netaik.</v>
      </c>
      <c r="H568" s="442"/>
      <c r="I568" s="442"/>
      <c r="J568" s="444"/>
      <c r="K568" s="444"/>
      <c r="L568" s="442"/>
      <c r="M568" s="443"/>
      <c r="N568" s="425" t="str">
        <f t="shared" si="76"/>
        <v>netaik.</v>
      </c>
      <c r="O568" s="427" t="str">
        <f t="shared" si="77"/>
        <v>Kalkės, dolomitas, magnezitas: Karbonatai (A metodas)</v>
      </c>
      <c r="P568" s="72"/>
      <c r="Q568" s="435" t="str">
        <f t="shared" si="78"/>
        <v>BioC_Kalkės, dolomitas, magnezitas: Karbonatai (A metodas)</v>
      </c>
      <c r="X568" s="59" t="b">
        <f t="shared" si="79"/>
        <v>1</v>
      </c>
      <c r="Z568" s="70" t="str">
        <f t="shared" si="87"/>
        <v>netaik.</v>
      </c>
      <c r="AA568" s="95"/>
      <c r="AB568" s="95"/>
      <c r="AC568" s="55"/>
      <c r="AD568" s="55"/>
      <c r="AE568" s="95"/>
      <c r="AF568" s="63"/>
      <c r="AG568" s="70" t="str">
        <f t="shared" si="80"/>
        <v>netaik.</v>
      </c>
    </row>
    <row r="569" spans="1:37" ht="12.75" customHeight="1" outlineLevel="1" x14ac:dyDescent="0.2">
      <c r="A569" s="59">
        <f t="shared" si="81"/>
        <v>25</v>
      </c>
      <c r="B569" s="449" t="str">
        <f t="shared" si="88"/>
        <v>Kalkių gamyba ir dolomitų bei magnezitų kalcinavimas</v>
      </c>
      <c r="C569" s="72" t="str">
        <f t="shared" si="88"/>
        <v>Kalkės, dolomitas, magnezitas</v>
      </c>
      <c r="D569" s="72" t="str">
        <f t="shared" si="88"/>
        <v>Šarminių žemių metalų oksidas (B metodas)</v>
      </c>
      <c r="E569" s="72"/>
      <c r="F569" s="441" t="str">
        <f t="shared" si="82"/>
        <v>Proceso metu išsiskiriančios ŠESD</v>
      </c>
      <c r="G569" s="425" t="str">
        <f t="shared" si="86"/>
        <v>netaik.</v>
      </c>
      <c r="H569" s="442"/>
      <c r="I569" s="442"/>
      <c r="J569" s="444"/>
      <c r="K569" s="444"/>
      <c r="L569" s="442"/>
      <c r="M569" s="443"/>
      <c r="N569" s="425" t="str">
        <f t="shared" si="76"/>
        <v>netaik.</v>
      </c>
      <c r="O569" s="427" t="str">
        <f t="shared" si="77"/>
        <v>Kalkės, dolomitas, magnezitas: Šarminių žemių metalų oksidas (B metodas)</v>
      </c>
      <c r="P569" s="72"/>
      <c r="Q569" s="435" t="str">
        <f t="shared" si="78"/>
        <v>BioC_Kalkės, dolomitas, magnezitas: Šarminių žemių metalų oksidas (B metodas)</v>
      </c>
      <c r="X569" s="59" t="b">
        <f t="shared" si="79"/>
        <v>1</v>
      </c>
      <c r="Z569" s="70" t="str">
        <f t="shared" si="87"/>
        <v>netaik.</v>
      </c>
      <c r="AA569" s="95"/>
      <c r="AB569" s="95"/>
      <c r="AC569" s="55"/>
      <c r="AD569" s="55"/>
      <c r="AE569" s="95"/>
      <c r="AF569" s="63"/>
      <c r="AG569" s="70" t="str">
        <f t="shared" si="80"/>
        <v>netaik.</v>
      </c>
    </row>
    <row r="570" spans="1:37" ht="12.75" customHeight="1" outlineLevel="1" x14ac:dyDescent="0.2">
      <c r="A570" s="59">
        <f t="shared" si="81"/>
        <v>26</v>
      </c>
      <c r="B570" s="449" t="str">
        <f t="shared" si="88"/>
        <v>Kalkių gamyba ir dolomitų bei magnezitų kalcinavimas</v>
      </c>
      <c r="C570" s="72" t="str">
        <f t="shared" si="88"/>
        <v>Kalkės, dolomitas, magnezitas</v>
      </c>
      <c r="D570" s="72" t="str">
        <f t="shared" si="88"/>
        <v>Degimo krosnių dulkės (B metodas)</v>
      </c>
      <c r="E570" s="72"/>
      <c r="F570" s="441" t="str">
        <f t="shared" si="82"/>
        <v>Proceso metu išsiskiriančios ŠESD</v>
      </c>
      <c r="G570" s="425" t="str">
        <f t="shared" si="86"/>
        <v>netaik.</v>
      </c>
      <c r="H570" s="442"/>
      <c r="I570" s="442"/>
      <c r="J570" s="444"/>
      <c r="K570" s="444"/>
      <c r="L570" s="442"/>
      <c r="M570" s="443"/>
      <c r="N570" s="425" t="str">
        <f t="shared" si="76"/>
        <v>netaik.</v>
      </c>
      <c r="O570" s="427" t="str">
        <f t="shared" si="77"/>
        <v>Kalkės, dolomitas, magnezitas: Degimo krosnių dulkės (B metodas)</v>
      </c>
      <c r="P570" s="72"/>
      <c r="Q570" s="435" t="str">
        <f t="shared" si="78"/>
        <v>BioC_Kalkės, dolomitas, magnezitas: Degimo krosnių dulkės (B metodas)</v>
      </c>
      <c r="X570" s="59" t="b">
        <f t="shared" si="79"/>
        <v>1</v>
      </c>
      <c r="Z570" s="70" t="str">
        <f t="shared" si="87"/>
        <v>netaik.</v>
      </c>
      <c r="AA570" s="95"/>
      <c r="AB570" s="95"/>
      <c r="AC570" s="55"/>
      <c r="AD570" s="55"/>
      <c r="AE570" s="95"/>
      <c r="AF570" s="63"/>
      <c r="AG570" s="70" t="str">
        <f t="shared" si="80"/>
        <v>netaik.</v>
      </c>
    </row>
    <row r="571" spans="1:37" ht="12.75" customHeight="1" outlineLevel="1" x14ac:dyDescent="0.2">
      <c r="A571" s="59">
        <f t="shared" si="81"/>
        <v>27</v>
      </c>
      <c r="B571" s="449" t="str">
        <f t="shared" si="88"/>
        <v>Stiklo ir mineralinės vatos gamyba</v>
      </c>
      <c r="C571" s="72" t="str">
        <f t="shared" si="88"/>
        <v>Stiklas ir mineralinė vata</v>
      </c>
      <c r="D571" s="72" t="str">
        <f t="shared" si="88"/>
        <v>Karbonatai (žaliava)</v>
      </c>
      <c r="E571" s="72"/>
      <c r="F571" s="441" t="str">
        <f t="shared" si="82"/>
        <v>Proceso metu išsiskiriančios ŠESD</v>
      </c>
      <c r="G571" s="425" t="str">
        <f t="shared" si="86"/>
        <v>netaik.</v>
      </c>
      <c r="H571" s="442"/>
      <c r="I571" s="442"/>
      <c r="J571" s="444"/>
      <c r="K571" s="444"/>
      <c r="L571" s="442"/>
      <c r="M571" s="443"/>
      <c r="N571" s="425" t="str">
        <f t="shared" si="76"/>
        <v>netaik.</v>
      </c>
      <c r="O571" s="427" t="str">
        <f t="shared" si="77"/>
        <v>Stiklas ir mineralinė vata: Karbonatai (žaliava)</v>
      </c>
      <c r="P571" s="72"/>
      <c r="Q571" s="435" t="str">
        <f t="shared" si="78"/>
        <v>BioC_Stiklas ir mineralinė vata: Karbonatai (žaliava)</v>
      </c>
      <c r="X571" s="59" t="b">
        <f t="shared" si="79"/>
        <v>1</v>
      </c>
      <c r="Z571" s="70" t="str">
        <f t="shared" si="87"/>
        <v>netaik.</v>
      </c>
      <c r="AA571" s="95"/>
      <c r="AB571" s="95"/>
      <c r="AC571" s="55"/>
      <c r="AD571" s="55"/>
      <c r="AE571" s="95"/>
      <c r="AF571" s="63"/>
      <c r="AG571" s="70" t="str">
        <f t="shared" si="80"/>
        <v>netaik.</v>
      </c>
    </row>
    <row r="572" spans="1:37" ht="12.75" customHeight="1" outlineLevel="1" x14ac:dyDescent="0.2">
      <c r="A572" s="59">
        <f t="shared" si="81"/>
        <v>28</v>
      </c>
      <c r="B572" s="449" t="str">
        <f t="shared" si="88"/>
        <v>Keramikos produktų gamyba</v>
      </c>
      <c r="C572" s="72" t="str">
        <f t="shared" si="88"/>
        <v>Keramikos dirbiniai.</v>
      </c>
      <c r="D572" s="72" t="str">
        <f t="shared" si="88"/>
        <v>Anglies sąnaudos (A metodas)</v>
      </c>
      <c r="E572" s="72"/>
      <c r="F572" s="441" t="str">
        <f t="shared" si="82"/>
        <v>Proceso metu išsiskiriančios ŠESD</v>
      </c>
      <c r="G572" s="425" t="str">
        <f t="shared" si="86"/>
        <v>netaik.</v>
      </c>
      <c r="H572" s="442"/>
      <c r="I572" s="442"/>
      <c r="J572" s="444"/>
      <c r="K572" s="444"/>
      <c r="L572" s="442"/>
      <c r="M572" s="443"/>
      <c r="N572" s="425" t="str">
        <f t="shared" si="76"/>
        <v>netaik.</v>
      </c>
      <c r="O572" s="427" t="str">
        <f t="shared" si="77"/>
        <v>Keramikos dirbiniai.: Anglies sąnaudos (A metodas)</v>
      </c>
      <c r="P572" s="72"/>
      <c r="Q572" s="435" t="str">
        <f t="shared" si="78"/>
        <v>BioC_Keramikos dirbiniai.: Anglies sąnaudos (A metodas)</v>
      </c>
      <c r="X572" s="59" t="b">
        <f t="shared" si="79"/>
        <v>1</v>
      </c>
      <c r="Z572" s="70" t="str">
        <f t="shared" si="87"/>
        <v>netaik.</v>
      </c>
      <c r="AA572" s="95"/>
      <c r="AB572" s="95"/>
      <c r="AC572" s="55"/>
      <c r="AD572" s="55"/>
      <c r="AE572" s="95"/>
      <c r="AF572" s="63"/>
      <c r="AG572" s="70" t="str">
        <f t="shared" si="80"/>
        <v>netaik.</v>
      </c>
    </row>
    <row r="573" spans="1:37" ht="12.75" customHeight="1" outlineLevel="1" x14ac:dyDescent="0.2">
      <c r="A573" s="59">
        <f t="shared" si="81"/>
        <v>29</v>
      </c>
      <c r="B573" s="449" t="str">
        <f t="shared" si="88"/>
        <v>Keramikos produktų gamyba</v>
      </c>
      <c r="C573" s="72" t="str">
        <f t="shared" si="88"/>
        <v>Keramikos dirbiniai.</v>
      </c>
      <c r="D573" s="72" t="str">
        <f t="shared" si="88"/>
        <v>Šarminių metalų oksidas (B metodas)</v>
      </c>
      <c r="E573" s="72"/>
      <c r="F573" s="441" t="str">
        <f t="shared" si="82"/>
        <v>Proceso metu išsiskiriančios ŠESD</v>
      </c>
      <c r="G573" s="425" t="str">
        <f t="shared" si="86"/>
        <v>netaik.</v>
      </c>
      <c r="H573" s="442"/>
      <c r="I573" s="442"/>
      <c r="J573" s="444"/>
      <c r="K573" s="444"/>
      <c r="L573" s="442"/>
      <c r="M573" s="443"/>
      <c r="N573" s="425" t="str">
        <f t="shared" si="76"/>
        <v>netaik.</v>
      </c>
      <c r="O573" s="427" t="str">
        <f t="shared" si="77"/>
        <v>Keramikos dirbiniai.: Šarminių metalų oksidas (B metodas)</v>
      </c>
      <c r="P573" s="72"/>
      <c r="Q573" s="435" t="str">
        <f t="shared" si="78"/>
        <v>BioC_Keramikos dirbiniai.: Šarminių metalų oksidas (B metodas)</v>
      </c>
      <c r="X573" s="59" t="b">
        <f t="shared" si="79"/>
        <v>1</v>
      </c>
      <c r="Z573" s="70" t="str">
        <f t="shared" si="87"/>
        <v>netaik.</v>
      </c>
      <c r="AA573" s="95"/>
      <c r="AB573" s="95"/>
      <c r="AC573" s="55"/>
      <c r="AD573" s="55"/>
      <c r="AE573" s="95"/>
      <c r="AF573" s="63"/>
      <c r="AG573" s="70" t="str">
        <f t="shared" si="80"/>
        <v>netaik.</v>
      </c>
    </row>
    <row r="574" spans="1:37" ht="12.75" customHeight="1" outlineLevel="1" x14ac:dyDescent="0.2">
      <c r="A574" s="59">
        <f t="shared" si="81"/>
        <v>30</v>
      </c>
      <c r="B574" s="449" t="str">
        <f t="shared" si="88"/>
        <v>Keramikos produktų gamyba</v>
      </c>
      <c r="C574" s="72" t="str">
        <f t="shared" si="88"/>
        <v>Keramikos dirbiniai.</v>
      </c>
      <c r="D574" s="72" t="str">
        <f t="shared" si="88"/>
        <v>Dujų plovimas</v>
      </c>
      <c r="E574" s="72"/>
      <c r="F574" s="441" t="str">
        <f t="shared" si="82"/>
        <v>Proceso metu išsiskiriančios ŠESD</v>
      </c>
      <c r="G574" s="425" t="str">
        <f t="shared" si="86"/>
        <v>netaik.</v>
      </c>
      <c r="H574" s="442"/>
      <c r="I574" s="442"/>
      <c r="J574" s="444"/>
      <c r="K574" s="444"/>
      <c r="L574" s="442"/>
      <c r="M574" s="443"/>
      <c r="N574" s="425" t="str">
        <f t="shared" si="76"/>
        <v>netaik.</v>
      </c>
      <c r="O574" s="427" t="str">
        <f t="shared" si="77"/>
        <v>Keramikos dirbiniai.: Dujų plovimas</v>
      </c>
      <c r="P574" s="72"/>
      <c r="Q574" s="435" t="str">
        <f t="shared" si="78"/>
        <v>BioC_Keramikos dirbiniai.: Dujų plovimas</v>
      </c>
      <c r="X574" s="59" t="b">
        <f t="shared" si="79"/>
        <v>1</v>
      </c>
      <c r="Z574" s="70" t="str">
        <f t="shared" si="87"/>
        <v>netaik.</v>
      </c>
      <c r="AA574" s="95"/>
      <c r="AB574" s="95"/>
      <c r="AC574" s="55"/>
      <c r="AD574" s="55"/>
      <c r="AE574" s="95"/>
      <c r="AF574" s="63"/>
      <c r="AG574" s="70" t="str">
        <f t="shared" si="80"/>
        <v>netaik.</v>
      </c>
    </row>
    <row r="575" spans="1:37" ht="12.75" customHeight="1" outlineLevel="1" x14ac:dyDescent="0.2">
      <c r="A575" s="59">
        <f t="shared" si="81"/>
        <v>31</v>
      </c>
      <c r="B575" s="449" t="str">
        <f t="shared" si="88"/>
        <v>Celiuliozės ir popieriaus gamyba</v>
      </c>
      <c r="C575" s="72" t="str">
        <f t="shared" si="88"/>
        <v>Celiuliozė ir popierius</v>
      </c>
      <c r="D575" s="72" t="str">
        <f t="shared" si="88"/>
        <v>Sudėtinės cheminės medžiagos</v>
      </c>
      <c r="E575" s="72"/>
      <c r="F575" s="441" t="str">
        <f t="shared" si="82"/>
        <v>Proceso metu išsiskiriančios ŠESD</v>
      </c>
      <c r="G575" s="425" t="str">
        <f t="shared" si="86"/>
        <v>netaik.</v>
      </c>
      <c r="H575" s="442"/>
      <c r="I575" s="442"/>
      <c r="J575" s="444"/>
      <c r="K575" s="444"/>
      <c r="L575" s="442"/>
      <c r="M575" s="443"/>
      <c r="N575" s="425" t="str">
        <f t="shared" si="76"/>
        <v>netaik.</v>
      </c>
      <c r="O575" s="427" t="str">
        <f t="shared" si="77"/>
        <v>Celiuliozė ir popierius: Sudėtinės cheminės medžiagos</v>
      </c>
      <c r="P575" s="72"/>
      <c r="Q575" s="435" t="str">
        <f t="shared" si="78"/>
        <v>BioC_Celiuliozė ir popierius: Sudėtinės cheminės medžiagos</v>
      </c>
      <c r="X575" s="59" t="b">
        <f t="shared" si="79"/>
        <v>1</v>
      </c>
      <c r="Z575" s="70" t="str">
        <f t="shared" si="87"/>
        <v>netaik.</v>
      </c>
      <c r="AA575" s="95"/>
      <c r="AB575" s="95"/>
      <c r="AC575" s="55"/>
      <c r="AD575" s="55"/>
      <c r="AE575" s="95"/>
      <c r="AF575" s="63"/>
      <c r="AG575" s="70" t="str">
        <f t="shared" si="80"/>
        <v>netaik.</v>
      </c>
    </row>
    <row r="576" spans="1:37" ht="12.75" customHeight="1" outlineLevel="1" x14ac:dyDescent="0.2">
      <c r="A576" s="59">
        <f t="shared" si="81"/>
        <v>32</v>
      </c>
      <c r="B576" s="449" t="str">
        <f t="shared" si="88"/>
        <v>Suodžių gamyba</v>
      </c>
      <c r="C576" s="72" t="str">
        <f t="shared" si="88"/>
        <v>Padengtas kartonas Suodžiai</v>
      </c>
      <c r="D576" s="72" t="str">
        <f t="shared" si="88"/>
        <v>Masės balanso metodika</v>
      </c>
      <c r="E576" s="72"/>
      <c r="F576" s="441" t="str">
        <f t="shared" si="82"/>
        <v>Masės balansas</v>
      </c>
      <c r="G576" s="425" t="str">
        <f>""</f>
        <v/>
      </c>
      <c r="H576" s="442" t="str">
        <f t="shared" ref="H576:I580" si="89">H$545</f>
        <v>I tipas, biol.</v>
      </c>
      <c r="I576" s="442" t="str">
        <f t="shared" si="89"/>
        <v>II tipas, biol.</v>
      </c>
      <c r="J576" s="444"/>
      <c r="K576" s="444"/>
      <c r="L576" s="442"/>
      <c r="M576" s="443"/>
      <c r="N576" s="425">
        <f t="shared" si="76"/>
        <v>2</v>
      </c>
      <c r="O576" s="427" t="str">
        <f t="shared" si="77"/>
        <v>Padengtas kartonas Suodžiai: Masės balanso metodika</v>
      </c>
      <c r="P576" s="72"/>
      <c r="Q576" s="435"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5"/>
      <c r="AD576" s="55"/>
      <c r="AE576" s="95"/>
      <c r="AF576" s="63"/>
      <c r="AG576" s="70">
        <f t="shared" si="80"/>
        <v>2</v>
      </c>
      <c r="AJ576" s="59" t="str">
        <f t="shared" ref="AJ576:AK580" si="91">AJ$545</f>
        <v>I tipas, biol.</v>
      </c>
      <c r="AK576" s="59" t="str">
        <f t="shared" si="91"/>
        <v>II tipas, biol.</v>
      </c>
    </row>
    <row r="577" spans="1:40" ht="12.75" customHeight="1" outlineLevel="1" x14ac:dyDescent="0.2">
      <c r="A577" s="59">
        <f t="shared" si="81"/>
        <v>33</v>
      </c>
      <c r="B577" s="449" t="str">
        <f t="shared" si="88"/>
        <v>Amoniako gamyba</v>
      </c>
      <c r="C577" s="72" t="str">
        <f t="shared" si="88"/>
        <v>Amoniakas</v>
      </c>
      <c r="D577" s="72" t="str">
        <f t="shared" si="88"/>
        <v>Kuras kaip proceso žaliava</v>
      </c>
      <c r="E577" s="72"/>
      <c r="F577" s="441" t="str">
        <f t="shared" si="82"/>
        <v>Degimas</v>
      </c>
      <c r="G577" s="425" t="str">
        <f>""</f>
        <v/>
      </c>
      <c r="H577" s="442" t="str">
        <f t="shared" si="89"/>
        <v>I tipas, biol.</v>
      </c>
      <c r="I577" s="442" t="str">
        <f t="shared" si="89"/>
        <v>II tipas, biol.</v>
      </c>
      <c r="J577" s="444"/>
      <c r="K577" s="444"/>
      <c r="L577" s="442"/>
      <c r="M577" s="443"/>
      <c r="N577" s="425">
        <f t="shared" si="76"/>
        <v>2</v>
      </c>
      <c r="O577" s="427" t="str">
        <f t="shared" si="77"/>
        <v>Amoniakas: Kuras kaip proceso žaliava</v>
      </c>
      <c r="P577" s="72"/>
      <c r="Q577" s="435"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5"/>
      <c r="AD577" s="55"/>
      <c r="AE577" s="95"/>
      <c r="AF577" s="63"/>
      <c r="AG577" s="70">
        <f t="shared" si="80"/>
        <v>2</v>
      </c>
      <c r="AJ577" s="59" t="str">
        <f t="shared" si="91"/>
        <v>I tipas, biol.</v>
      </c>
      <c r="AK577" s="59" t="str">
        <f t="shared" si="91"/>
        <v>II tipas, biol.</v>
      </c>
    </row>
    <row r="578" spans="1:40" ht="12.75" customHeight="1" outlineLevel="1" x14ac:dyDescent="0.2">
      <c r="A578" s="59">
        <f t="shared" si="81"/>
        <v>34</v>
      </c>
      <c r="B578" s="449" t="str">
        <f t="shared" si="88"/>
        <v>Vandenilio ar sintezės dujų gamyba</v>
      </c>
      <c r="C578" s="72" t="str">
        <f t="shared" si="88"/>
        <v>Vandenilis ir sintezės dujos</v>
      </c>
      <c r="D578" s="72" t="str">
        <f t="shared" si="88"/>
        <v>Kuras kaip proceso žaliava</v>
      </c>
      <c r="E578" s="72"/>
      <c r="F578" s="441" t="str">
        <f t="shared" si="82"/>
        <v>Degimas</v>
      </c>
      <c r="G578" s="425" t="str">
        <f>""</f>
        <v/>
      </c>
      <c r="H578" s="442" t="str">
        <f t="shared" si="89"/>
        <v>I tipas, biol.</v>
      </c>
      <c r="I578" s="442" t="str">
        <f t="shared" si="89"/>
        <v>II tipas, biol.</v>
      </c>
      <c r="J578" s="444"/>
      <c r="K578" s="444"/>
      <c r="L578" s="442"/>
      <c r="M578" s="443"/>
      <c r="N578" s="425">
        <f t="shared" si="76"/>
        <v>2</v>
      </c>
      <c r="O578" s="427" t="str">
        <f t="shared" si="77"/>
        <v>Vandenilis ir sintezės dujos: Kuras kaip proceso žaliava</v>
      </c>
      <c r="P578" s="72"/>
      <c r="Q578" s="435"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5"/>
      <c r="AD578" s="55"/>
      <c r="AE578" s="95"/>
      <c r="AF578" s="63"/>
      <c r="AG578" s="70">
        <f t="shared" si="80"/>
        <v>2</v>
      </c>
      <c r="AJ578" s="59" t="str">
        <f t="shared" si="91"/>
        <v>I tipas, biol.</v>
      </c>
      <c r="AK578" s="59" t="str">
        <f t="shared" si="91"/>
        <v>II tipas, biol.</v>
      </c>
    </row>
    <row r="579" spans="1:40" ht="12.75" customHeight="1" outlineLevel="1" x14ac:dyDescent="0.2">
      <c r="A579" s="59">
        <f t="shared" si="81"/>
        <v>35</v>
      </c>
      <c r="B579" s="449" t="str">
        <f t="shared" si="88"/>
        <v>Vandenilio ar sintezės dujų gamyba</v>
      </c>
      <c r="C579" s="72" t="str">
        <f t="shared" si="88"/>
        <v>Vandenilis ir sintezės dujos</v>
      </c>
      <c r="D579" s="72" t="str">
        <f t="shared" si="88"/>
        <v>Masės balanso metodika</v>
      </c>
      <c r="E579" s="72"/>
      <c r="F579" s="441" t="str">
        <f t="shared" si="82"/>
        <v>Masės balansas</v>
      </c>
      <c r="G579" s="425" t="str">
        <f>""</f>
        <v/>
      </c>
      <c r="H579" s="442" t="str">
        <f t="shared" si="89"/>
        <v>I tipas, biol.</v>
      </c>
      <c r="I579" s="442" t="str">
        <f t="shared" si="89"/>
        <v>II tipas, biol.</v>
      </c>
      <c r="J579" s="444"/>
      <c r="K579" s="444"/>
      <c r="L579" s="442"/>
      <c r="M579" s="443"/>
      <c r="N579" s="425">
        <f t="shared" si="76"/>
        <v>2</v>
      </c>
      <c r="O579" s="427" t="str">
        <f t="shared" si="77"/>
        <v>Vandenilis ir sintezės dujos: Masės balanso metodika</v>
      </c>
      <c r="P579" s="72"/>
      <c r="Q579" s="435"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5"/>
      <c r="AD579" s="55"/>
      <c r="AE579" s="95"/>
      <c r="AF579" s="63"/>
      <c r="AG579" s="70">
        <f t="shared" si="80"/>
        <v>2</v>
      </c>
      <c r="AJ579" s="59" t="str">
        <f t="shared" si="91"/>
        <v>I tipas, biol.</v>
      </c>
      <c r="AK579" s="59" t="str">
        <f t="shared" si="91"/>
        <v>II tipas, biol.</v>
      </c>
    </row>
    <row r="580" spans="1:40" ht="12.75" customHeight="1" outlineLevel="1" x14ac:dyDescent="0.2">
      <c r="A580" s="59">
        <f t="shared" si="81"/>
        <v>36</v>
      </c>
      <c r="B580" s="449" t="str">
        <f t="shared" si="88"/>
        <v>Biriųjų organinių cheminių medžiagų gamyba</v>
      </c>
      <c r="C580" s="72" t="str">
        <f t="shared" si="88"/>
        <v>Didelio masto organinių cheminių medžiagų gamyba</v>
      </c>
      <c r="D580" s="72" t="str">
        <f t="shared" si="88"/>
        <v>Masės balanso metodika</v>
      </c>
      <c r="E580" s="72"/>
      <c r="F580" s="441" t="str">
        <f t="shared" si="82"/>
        <v>Masės balansas</v>
      </c>
      <c r="G580" s="425" t="str">
        <f>""</f>
        <v/>
      </c>
      <c r="H580" s="442" t="str">
        <f t="shared" si="89"/>
        <v>I tipas, biol.</v>
      </c>
      <c r="I580" s="442" t="str">
        <f t="shared" si="89"/>
        <v>II tipas, biol.</v>
      </c>
      <c r="J580" s="444"/>
      <c r="K580" s="444"/>
      <c r="L580" s="442"/>
      <c r="M580" s="443"/>
      <c r="N580" s="425">
        <f t="shared" si="76"/>
        <v>2</v>
      </c>
      <c r="O580" s="427" t="str">
        <f t="shared" si="77"/>
        <v>Didelio masto organinių cheminių medžiagų gamyba: Masės balanso metodika</v>
      </c>
      <c r="P580" s="72"/>
      <c r="Q580" s="435"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5"/>
      <c r="AD580" s="55"/>
      <c r="AE580" s="95"/>
      <c r="AF580" s="63"/>
      <c r="AG580" s="70">
        <f t="shared" si="80"/>
        <v>2</v>
      </c>
      <c r="AJ580" s="59" t="str">
        <f t="shared" si="91"/>
        <v>I tipas, biol.</v>
      </c>
      <c r="AK580" s="59" t="str">
        <f t="shared" si="91"/>
        <v>II tipas, biol.</v>
      </c>
    </row>
    <row r="581" spans="1:40" ht="12.75" customHeight="1" outlineLevel="1" x14ac:dyDescent="0.2">
      <c r="A581" s="59">
        <f t="shared" si="81"/>
        <v>37</v>
      </c>
      <c r="B581" s="449" t="str">
        <f t="shared" si="88"/>
        <v>Juodųjų ir spalvotųjų metalų, įskaitant antrinį aliuminį, gamyba ar apdirbimas</v>
      </c>
      <c r="C581" s="72" t="str">
        <f t="shared" si="88"/>
        <v>(Ne)spalvotieji, antrinis aliuminis</v>
      </c>
      <c r="D581" s="72" t="str">
        <f t="shared" si="88"/>
        <v>Proceso metu išsiskiriančios ŠESD</v>
      </c>
      <c r="E581" s="72"/>
      <c r="F581" s="441" t="str">
        <f t="shared" si="82"/>
        <v>Proceso metu išsiskiriančios ŠESD</v>
      </c>
      <c r="G581" s="425" t="str">
        <f>EUconst_NA</f>
        <v>netaik.</v>
      </c>
      <c r="H581" s="442"/>
      <c r="I581" s="442"/>
      <c r="J581" s="444"/>
      <c r="K581" s="444"/>
      <c r="L581" s="442"/>
      <c r="M581" s="443"/>
      <c r="N581" s="425" t="str">
        <f t="shared" si="76"/>
        <v>netaik.</v>
      </c>
      <c r="O581" s="427" t="str">
        <f t="shared" si="77"/>
        <v>(Ne)spalvotieji, antrinis aliuminis: Proceso metu išsiskiriančios ŠESD</v>
      </c>
      <c r="P581" s="72"/>
      <c r="Q581" s="435" t="str">
        <f t="shared" si="78"/>
        <v>BioC_(Ne)spalvotieji, antrinis aliuminis: Proceso metu išsiskiriančios ŠESD</v>
      </c>
      <c r="X581" s="59" t="b">
        <f t="shared" si="79"/>
        <v>1</v>
      </c>
      <c r="Z581" s="70" t="str">
        <f>EUconst_NA</f>
        <v>netaik.</v>
      </c>
      <c r="AA581" s="95"/>
      <c r="AB581" s="95"/>
      <c r="AC581" s="55"/>
      <c r="AD581" s="55"/>
      <c r="AE581" s="95"/>
      <c r="AF581" s="63"/>
      <c r="AG581" s="70" t="str">
        <f t="shared" si="80"/>
        <v>netaik.</v>
      </c>
    </row>
    <row r="582" spans="1:40" ht="12.75" customHeight="1" outlineLevel="1" x14ac:dyDescent="0.2">
      <c r="A582" s="59">
        <f t="shared" si="81"/>
        <v>38</v>
      </c>
      <c r="B582" s="449" t="str">
        <f t="shared" si="88"/>
        <v>Juodųjų ir spalvotųjų metalų, įskaitant antrinį aliuminį, gamyba ar apdirbimas</v>
      </c>
      <c r="C582" s="72" t="str">
        <f t="shared" si="88"/>
        <v>(Ne)spalvotieji, antrinis aliuminis</v>
      </c>
      <c r="D582" s="72" t="str">
        <f t="shared" si="88"/>
        <v>Masės balanso metodika</v>
      </c>
      <c r="E582" s="72"/>
      <c r="F582" s="441" t="str">
        <f t="shared" si="82"/>
        <v>Masės balansas</v>
      </c>
      <c r="G582" s="425" t="str">
        <f>""</f>
        <v/>
      </c>
      <c r="H582" s="442" t="str">
        <f t="shared" ref="H582:I584" si="92">H$545</f>
        <v>I tipas, biol.</v>
      </c>
      <c r="I582" s="442" t="str">
        <f t="shared" si="92"/>
        <v>II tipas, biol.</v>
      </c>
      <c r="J582" s="444"/>
      <c r="K582" s="444"/>
      <c r="L582" s="442"/>
      <c r="M582" s="443"/>
      <c r="N582" s="425">
        <f t="shared" si="76"/>
        <v>2</v>
      </c>
      <c r="O582" s="427" t="str">
        <f t="shared" si="77"/>
        <v>(Ne)spalvotieji, antrinis aliuminis: Masės balanso metodika</v>
      </c>
      <c r="P582" s="72"/>
      <c r="Q582" s="435"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5"/>
      <c r="AD582" s="55"/>
      <c r="AE582" s="95"/>
      <c r="AF582" s="63"/>
      <c r="AG582" s="70">
        <f t="shared" si="80"/>
        <v>2</v>
      </c>
      <c r="AJ582" s="59" t="str">
        <f t="shared" ref="AJ582:AK584" si="94">AJ$545</f>
        <v>I tipas, biol.</v>
      </c>
      <c r="AK582" s="59" t="str">
        <f t="shared" si="94"/>
        <v>II tipas, biol.</v>
      </c>
    </row>
    <row r="583" spans="1:40" ht="12.75" customHeight="1" outlineLevel="1" x14ac:dyDescent="0.2">
      <c r="A583" s="59">
        <f t="shared" si="81"/>
        <v>39</v>
      </c>
      <c r="B583" s="449" t="str">
        <f t="shared" si="88"/>
        <v>Natrio karbonato ir natrio hidrokarbonato gamyba</v>
      </c>
      <c r="C583" s="72" t="str">
        <f t="shared" si="88"/>
        <v>Natrio karbonatas / natrio hidrokarbonatas</v>
      </c>
      <c r="D583" s="72" t="str">
        <f t="shared" si="88"/>
        <v>Masės balanso metodika</v>
      </c>
      <c r="E583" s="72"/>
      <c r="F583" s="441" t="str">
        <f t="shared" si="82"/>
        <v>Masės balansas</v>
      </c>
      <c r="G583" s="425" t="str">
        <f>""</f>
        <v/>
      </c>
      <c r="H583" s="442" t="str">
        <f t="shared" si="92"/>
        <v>I tipas, biol.</v>
      </c>
      <c r="I583" s="442" t="str">
        <f t="shared" si="92"/>
        <v>II tipas, biol.</v>
      </c>
      <c r="J583" s="444"/>
      <c r="K583" s="444"/>
      <c r="L583" s="442"/>
      <c r="M583" s="443"/>
      <c r="N583" s="425">
        <f t="shared" si="76"/>
        <v>2</v>
      </c>
      <c r="O583" s="427" t="str">
        <f t="shared" si="77"/>
        <v>Natrio karbonatas / natrio hidrokarbonatas: Masės balanso metodika</v>
      </c>
      <c r="P583" s="72"/>
      <c r="Q583" s="435"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5"/>
      <c r="AD583" s="55"/>
      <c r="AE583" s="95"/>
      <c r="AF583" s="63"/>
      <c r="AG583" s="70">
        <f t="shared" si="80"/>
        <v>2</v>
      </c>
      <c r="AJ583" s="59" t="str">
        <f t="shared" si="94"/>
        <v>I tipas, biol.</v>
      </c>
      <c r="AK583" s="59" t="str">
        <f t="shared" si="94"/>
        <v>II tipas, biol.</v>
      </c>
    </row>
    <row r="584" spans="1:40" ht="12.75" customHeight="1" outlineLevel="1" x14ac:dyDescent="0.2">
      <c r="A584" s="59">
        <f t="shared" si="81"/>
        <v>40</v>
      </c>
      <c r="B584" s="449" t="str">
        <f t="shared" si="88"/>
        <v>Pirminio aliuminio gamyba</v>
      </c>
      <c r="C584" s="72" t="str">
        <f t="shared" si="88"/>
        <v>Pirminis aliuminis</v>
      </c>
      <c r="D584" s="72" t="str">
        <f t="shared" si="88"/>
        <v>Masės balanso metodika</v>
      </c>
      <c r="E584" s="72"/>
      <c r="F584" s="441" t="str">
        <f t="shared" si="82"/>
        <v>Masės balansas</v>
      </c>
      <c r="G584" s="425" t="str">
        <f>""</f>
        <v/>
      </c>
      <c r="H584" s="442" t="str">
        <f t="shared" si="92"/>
        <v>I tipas, biol.</v>
      </c>
      <c r="I584" s="442" t="str">
        <f t="shared" si="92"/>
        <v>II tipas, biol.</v>
      </c>
      <c r="J584" s="444"/>
      <c r="K584" s="444"/>
      <c r="L584" s="442"/>
      <c r="M584" s="443"/>
      <c r="N584" s="425">
        <f t="shared" si="76"/>
        <v>2</v>
      </c>
      <c r="O584" s="427" t="str">
        <f t="shared" si="77"/>
        <v>Pirminis aliuminis: Masės balanso metodika</v>
      </c>
      <c r="P584" s="72"/>
      <c r="Q584" s="435"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5"/>
      <c r="AD584" s="55"/>
      <c r="AE584" s="95"/>
      <c r="AF584" s="63"/>
      <c r="AG584" s="70">
        <f t="shared" si="80"/>
        <v>2</v>
      </c>
      <c r="AJ584" s="59" t="str">
        <f t="shared" si="94"/>
        <v>I tipas, biol.</v>
      </c>
      <c r="AK584" s="59" t="str">
        <f t="shared" si="94"/>
        <v>II tipas, biol.</v>
      </c>
    </row>
    <row r="585" spans="1:40" ht="12.75" customHeight="1" outlineLevel="1" x14ac:dyDescent="0.2">
      <c r="A585" s="59">
        <f t="shared" si="81"/>
        <v>41</v>
      </c>
      <c r="B585" s="449" t="str">
        <f t="shared" ref="B585:D586" si="95">B537</f>
        <v>Pirminio aliuminio gamyba</v>
      </c>
      <c r="C585" s="72" t="str">
        <f t="shared" si="95"/>
        <v>Pirminis aliuminis</v>
      </c>
      <c r="D585" s="72" t="str">
        <f t="shared" si="95"/>
        <v>Išmetamas PFC kiekis (nuolydžio metodas)</v>
      </c>
      <c r="E585" s="72"/>
      <c r="F585" s="441" t="str">
        <f t="shared" si="82"/>
        <v>Išmetamas PFC kiekis</v>
      </c>
      <c r="G585" s="425" t="str">
        <f>EUconst_NA</f>
        <v>netaik.</v>
      </c>
      <c r="H585" s="442"/>
      <c r="I585" s="442"/>
      <c r="J585" s="444"/>
      <c r="K585" s="444"/>
      <c r="L585" s="442"/>
      <c r="M585" s="443"/>
      <c r="N585" s="425" t="str">
        <f t="shared" si="76"/>
        <v>netaik.</v>
      </c>
      <c r="O585" s="427" t="str">
        <f t="shared" si="77"/>
        <v>Pirminis aliuminis: Išmetamas PFC kiekis (nuolydžio metodas)</v>
      </c>
      <c r="P585" s="72"/>
      <c r="Q585" s="435" t="str">
        <f t="shared" si="78"/>
        <v>BioC_Pirminis aliuminis: Išmetamas PFC kiekis (nuolydžio metodas)</v>
      </c>
      <c r="X585" s="59" t="b">
        <f t="shared" si="79"/>
        <v>1</v>
      </c>
      <c r="Z585" s="70" t="str">
        <f>EUconst_NA</f>
        <v>netaik.</v>
      </c>
      <c r="AA585" s="95"/>
      <c r="AB585" s="95"/>
      <c r="AC585" s="55"/>
      <c r="AD585" s="55"/>
      <c r="AE585" s="95"/>
      <c r="AF585" s="63"/>
      <c r="AG585" s="70" t="str">
        <f t="shared" si="80"/>
        <v>netaik.</v>
      </c>
    </row>
    <row r="586" spans="1:40" ht="12.75" customHeight="1" outlineLevel="1" thickBot="1" x14ac:dyDescent="0.25">
      <c r="A586" s="59">
        <f t="shared" si="81"/>
        <v>42</v>
      </c>
      <c r="B586" s="450" t="str">
        <f t="shared" si="95"/>
        <v>Pirminio aliuminio gamyba</v>
      </c>
      <c r="C586" s="438" t="str">
        <f t="shared" si="95"/>
        <v>Pirminis aliuminis</v>
      </c>
      <c r="D586" s="438" t="str">
        <f t="shared" si="95"/>
        <v>Išmetamas PFC kiekis (viršįtampio metodas)</v>
      </c>
      <c r="E586" s="438"/>
      <c r="F586" s="451" t="str">
        <f t="shared" si="82"/>
        <v>Išmetamas PFC kiekis</v>
      </c>
      <c r="G586" s="436" t="str">
        <f>EUconst_NA</f>
        <v>netaik.</v>
      </c>
      <c r="H586" s="452"/>
      <c r="I586" s="452"/>
      <c r="J586" s="453"/>
      <c r="K586" s="453"/>
      <c r="L586" s="452"/>
      <c r="M586" s="454"/>
      <c r="N586" s="436" t="str">
        <f t="shared" si="76"/>
        <v>netaik.</v>
      </c>
      <c r="O586" s="439" t="str">
        <f t="shared" si="77"/>
        <v>Pirminis aliuminis: Išmetamas PFC kiekis (viršįtampio metodas)</v>
      </c>
      <c r="P586" s="438"/>
      <c r="Q586" s="440" t="str">
        <f t="shared" si="78"/>
        <v>BioC_Pirminis aliuminis: Išmetamas PFC kiekis (viršįtampio metodas)</v>
      </c>
      <c r="X586" s="59" t="b">
        <f t="shared" si="79"/>
        <v>1</v>
      </c>
      <c r="Z586" s="70" t="str">
        <f>EUconst_NA</f>
        <v>netaik.</v>
      </c>
      <c r="AA586" s="95"/>
      <c r="AB586" s="95"/>
      <c r="AC586" s="55"/>
      <c r="AD586" s="55"/>
      <c r="AE586" s="95"/>
      <c r="AF586" s="63"/>
      <c r="AG586" s="70" t="str">
        <f t="shared" si="80"/>
        <v>netaik.</v>
      </c>
    </row>
    <row r="587" spans="1:40" ht="12.75" customHeight="1" outlineLevel="1" x14ac:dyDescent="0.2">
      <c r="B587" s="55"/>
      <c r="C587" s="55"/>
      <c r="D587" s="55"/>
      <c r="E587" s="55"/>
      <c r="F587" s="103"/>
      <c r="G587" s="55"/>
      <c r="H587" s="94"/>
      <c r="I587" s="94"/>
      <c r="J587" s="99"/>
      <c r="K587" s="99"/>
      <c r="L587" s="94"/>
      <c r="M587" s="98"/>
      <c r="N587" s="70"/>
      <c r="O587" s="55"/>
      <c r="P587" s="55"/>
      <c r="Q587" s="55"/>
      <c r="X587" s="59" t="b">
        <f t="shared" si="79"/>
        <v>0</v>
      </c>
      <c r="Z587" s="55"/>
      <c r="AA587" s="95"/>
      <c r="AB587" s="95"/>
      <c r="AC587" s="55"/>
      <c r="AD587" s="55"/>
      <c r="AE587" s="95"/>
      <c r="AF587" s="63"/>
      <c r="AG587" s="70"/>
    </row>
    <row r="588" spans="1:40" ht="12.75" customHeight="1" outlineLevel="1" x14ac:dyDescent="0.2">
      <c r="B588" s="55" t="s">
        <v>93</v>
      </c>
      <c r="C588" s="55"/>
      <c r="D588" s="55"/>
      <c r="E588" s="55"/>
      <c r="F588" s="55"/>
      <c r="G588" s="55"/>
      <c r="H588" s="94"/>
      <c r="I588" s="94"/>
      <c r="J588" s="99"/>
      <c r="K588" s="99"/>
      <c r="L588" s="94"/>
      <c r="M588" s="98"/>
      <c r="N588" s="70"/>
      <c r="O588" s="55"/>
      <c r="P588" s="55"/>
      <c r="Q588" s="55"/>
      <c r="X588" s="59" t="b">
        <f t="shared" si="79"/>
        <v>0</v>
      </c>
      <c r="Z588" s="55"/>
      <c r="AA588" s="95"/>
      <c r="AB588" s="95"/>
      <c r="AC588" s="55"/>
      <c r="AD588" s="55"/>
      <c r="AE588" s="95"/>
      <c r="AF588" s="63"/>
      <c r="AG588" s="70"/>
    </row>
    <row r="589" spans="1:40" ht="12.75" customHeight="1" outlineLevel="1" x14ac:dyDescent="0.2">
      <c r="B589" s="55" t="s">
        <v>94</v>
      </c>
      <c r="C589" s="55"/>
      <c r="D589" s="55"/>
      <c r="E589" s="55"/>
      <c r="F589" s="55"/>
      <c r="G589" s="55"/>
      <c r="H589" s="94"/>
      <c r="I589" s="94"/>
      <c r="J589" s="99"/>
      <c r="K589" s="99"/>
      <c r="L589" s="94"/>
      <c r="M589" s="98"/>
      <c r="N589" s="70"/>
      <c r="O589" s="55"/>
      <c r="P589" s="55"/>
      <c r="Q589" s="55"/>
      <c r="X589" s="59" t="b">
        <f t="shared" si="79"/>
        <v>0</v>
      </c>
      <c r="Z589" s="55"/>
      <c r="AA589" s="95"/>
      <c r="AB589" s="95"/>
      <c r="AC589" s="55"/>
      <c r="AD589" s="55"/>
      <c r="AE589" s="95"/>
      <c r="AF589" s="63"/>
      <c r="AG589" s="70"/>
    </row>
    <row r="590" spans="1:40" ht="12.75" customHeight="1" outlineLevel="1" x14ac:dyDescent="0.2">
      <c r="B590" s="55" t="str">
        <f>Translations!$B$431</f>
        <v>masių balansas</v>
      </c>
      <c r="C590" s="55"/>
      <c r="D590" s="55"/>
      <c r="E590" s="55"/>
      <c r="F590" s="55"/>
      <c r="G590" s="55"/>
      <c r="H590" s="94" t="str">
        <f>H$545</f>
        <v>I tipas, biol.</v>
      </c>
      <c r="I590" s="94" t="str">
        <f>I$545</f>
        <v>II tipas, biol.</v>
      </c>
      <c r="J590" s="99"/>
      <c r="K590" s="99"/>
      <c r="L590" s="94"/>
      <c r="M590" s="98"/>
      <c r="N590" s="70"/>
      <c r="O590" s="55"/>
      <c r="P590" s="55"/>
      <c r="Q590" s="55"/>
      <c r="X590" s="59" t="b">
        <f t="shared" si="79"/>
        <v>0</v>
      </c>
      <c r="Z590" s="55"/>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5"/>
      <c r="AD590" s="55"/>
      <c r="AE590" s="95"/>
      <c r="AF590" s="63"/>
      <c r="AG590" s="70"/>
      <c r="AJ590" s="59" t="str">
        <f>AJ$545</f>
        <v>I tipas, biol.</v>
      </c>
      <c r="AK590" s="59" t="str">
        <f>AK$545</f>
        <v>II tipas, biol.</v>
      </c>
    </row>
    <row r="591" spans="1:40" ht="12.75" customHeight="1" outlineLevel="1" x14ac:dyDescent="0.2">
      <c r="B591" s="55"/>
      <c r="C591" s="55"/>
      <c r="D591" s="55"/>
      <c r="E591" s="55"/>
      <c r="F591" s="91"/>
      <c r="G591" s="55"/>
      <c r="H591" s="104"/>
      <c r="I591" s="104"/>
      <c r="J591" s="99"/>
      <c r="K591" s="99"/>
      <c r="L591" s="105"/>
      <c r="M591" s="98"/>
      <c r="N591" s="70"/>
      <c r="O591" s="55"/>
      <c r="P591" s="55"/>
      <c r="Q591" s="55"/>
      <c r="X591" s="59" t="b">
        <f t="shared" si="79"/>
        <v>0</v>
      </c>
      <c r="Z591" s="55"/>
      <c r="AA591" s="91"/>
      <c r="AB591" s="91"/>
      <c r="AC591" s="55"/>
      <c r="AD591" s="55"/>
      <c r="AE591" s="93"/>
      <c r="AF591" s="63"/>
      <c r="AG591" s="70"/>
    </row>
    <row r="592" spans="1:40" s="86" customFormat="1" ht="13.5" thickBot="1" x14ac:dyDescent="0.25">
      <c r="B592" s="96" t="str">
        <f>Translations!$B$153</f>
        <v>Oksidacijos faktorius</v>
      </c>
      <c r="F592" s="96" t="str">
        <f>F544</f>
        <v>Šaltinio tipas</v>
      </c>
      <c r="G592" s="89" t="str">
        <f>Translations!$B$338</f>
        <v>Mažiausiai</v>
      </c>
      <c r="H592" s="101">
        <v>1</v>
      </c>
      <c r="I592" s="101">
        <v>2</v>
      </c>
      <c r="J592" s="101" t="s">
        <v>262</v>
      </c>
      <c r="K592" s="101" t="str">
        <f>Translations!$B$306</f>
        <v>2b</v>
      </c>
      <c r="L592" s="101">
        <v>3</v>
      </c>
      <c r="M592" s="102"/>
      <c r="N592" s="89" t="str">
        <f>Translations!$B$339</f>
        <v>Didžiausia</v>
      </c>
      <c r="X592" s="80"/>
      <c r="Z592" s="89" t="str">
        <f>Translations!$B$338</f>
        <v>Mažiausiai</v>
      </c>
      <c r="AA592" s="89">
        <v>1</v>
      </c>
      <c r="AB592" s="89">
        <v>2</v>
      </c>
      <c r="AC592" s="89" t="s">
        <v>262</v>
      </c>
      <c r="AD592" s="89" t="str">
        <f>Translations!$B$306</f>
        <v>2b</v>
      </c>
      <c r="AE592" s="89">
        <v>3</v>
      </c>
      <c r="AF592" s="90"/>
      <c r="AG592" s="89" t="str">
        <f>Translations!$B$339</f>
        <v>Didžiausia</v>
      </c>
      <c r="AI592" s="96" t="str">
        <f>Translations!$B$433</f>
        <v>numatytoji vertė?</v>
      </c>
      <c r="AJ592" s="89">
        <v>1</v>
      </c>
      <c r="AK592" s="89">
        <v>2</v>
      </c>
      <c r="AL592" s="89" t="s">
        <v>262</v>
      </c>
      <c r="AM592" s="89" t="str">
        <f>Translations!$B$306</f>
        <v>2b</v>
      </c>
      <c r="AN592" s="89">
        <v>3</v>
      </c>
    </row>
    <row r="593" spans="1:40" ht="12.75" customHeight="1" outlineLevel="1" x14ac:dyDescent="0.2">
      <c r="A593" s="59">
        <f>A545</f>
        <v>1</v>
      </c>
      <c r="B593" s="445" t="str">
        <f t="shared" ref="B593:D612" si="96">B545</f>
        <v>Kuro deginimas ir kaip proceso žaliava naudojamas kuras</v>
      </c>
      <c r="C593" s="432" t="str">
        <f t="shared" si="96"/>
        <v>Degimas</v>
      </c>
      <c r="D593" s="432" t="str">
        <f t="shared" si="96"/>
        <v>Komercinis standartinių rūšių kuras</v>
      </c>
      <c r="E593" s="432"/>
      <c r="F593" s="446" t="str">
        <f>F545</f>
        <v>Degimas</v>
      </c>
      <c r="G593" s="430">
        <v>1</v>
      </c>
      <c r="H593" s="447" t="str">
        <f>Translations!$B$921</f>
        <v>OksK = 1</v>
      </c>
      <c r="I593" s="447" t="str">
        <f>Translations!$B$654</f>
        <v>II tipas</v>
      </c>
      <c r="J593" s="455"/>
      <c r="K593" s="455"/>
      <c r="L593" s="447" t="str">
        <f>Translations!$B$912</f>
        <v>Laboratoriniai tyrimai</v>
      </c>
      <c r="M593" s="448"/>
      <c r="N593" s="430">
        <v>1</v>
      </c>
      <c r="O593" s="433" t="str">
        <f t="shared" ref="O593:O634" si="97">C593 &amp; ": " &amp;D593</f>
        <v>Degimas: Komercinis standartinių rūšių kuras</v>
      </c>
      <c r="P593" s="432"/>
      <c r="Q593" s="434"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5"/>
      <c r="AD593" s="55"/>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
      <c r="A594" s="59">
        <f t="shared" ref="A594:A634" si="100">A546</f>
        <v>2</v>
      </c>
      <c r="B594" s="449" t="str">
        <f t="shared" si="96"/>
        <v>Kuro deginimas ir kaip proceso žaliava naudojamas kuras</v>
      </c>
      <c r="C594" s="72" t="str">
        <f t="shared" si="96"/>
        <v>Degimas</v>
      </c>
      <c r="D594" s="72" t="str">
        <f t="shared" si="96"/>
        <v>Kitas dujinis ir skystasis kuras</v>
      </c>
      <c r="E594" s="72"/>
      <c r="F594" s="441" t="str">
        <f t="shared" ref="F594:F634" si="101">F546</f>
        <v>Degimas</v>
      </c>
      <c r="G594" s="425">
        <v>1</v>
      </c>
      <c r="H594" s="442" t="str">
        <f>H$593</f>
        <v>OksK = 1</v>
      </c>
      <c r="I594" s="442" t="str">
        <f>I$593</f>
        <v>II tipas</v>
      </c>
      <c r="J594" s="444"/>
      <c r="K594" s="444"/>
      <c r="L594" s="442" t="str">
        <f>L$593</f>
        <v>Laboratoriniai tyrimai</v>
      </c>
      <c r="M594" s="443"/>
      <c r="N594" s="425">
        <v>1</v>
      </c>
      <c r="O594" s="427" t="str">
        <f t="shared" si="97"/>
        <v>Degimas: Kitas dujinis ir skystasis kuras</v>
      </c>
      <c r="P594" s="72"/>
      <c r="Q594" s="435"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5"/>
      <c r="AD594" s="55"/>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
      <c r="A595" s="59">
        <f t="shared" si="100"/>
        <v>3</v>
      </c>
      <c r="B595" s="449" t="str">
        <f t="shared" si="96"/>
        <v>Kuro deginimas ir kaip proceso žaliava naudojamas kuras</v>
      </c>
      <c r="C595" s="72" t="str">
        <f t="shared" si="96"/>
        <v>Degimas</v>
      </c>
      <c r="D595" s="72" t="str">
        <f t="shared" si="96"/>
        <v>Kietasis kuras</v>
      </c>
      <c r="E595" s="72"/>
      <c r="F595" s="441" t="str">
        <f t="shared" si="101"/>
        <v>Degimas</v>
      </c>
      <c r="G595" s="425">
        <v>1</v>
      </c>
      <c r="H595" s="442" t="str">
        <f>H$593</f>
        <v>OksK = 1</v>
      </c>
      <c r="I595" s="442" t="str">
        <f>I$593</f>
        <v>II tipas</v>
      </c>
      <c r="J595" s="444"/>
      <c r="K595" s="444"/>
      <c r="L595" s="442" t="str">
        <f>L$593</f>
        <v>Laboratoriniai tyrimai</v>
      </c>
      <c r="M595" s="443"/>
      <c r="N595" s="425">
        <v>1</v>
      </c>
      <c r="O595" s="427" t="str">
        <f t="shared" si="97"/>
        <v>Degimas: Kietasis kuras</v>
      </c>
      <c r="P595" s="72"/>
      <c r="Q595" s="435"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5"/>
      <c r="AD595" s="55"/>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
      <c r="A596" s="59">
        <f t="shared" si="100"/>
        <v>4</v>
      </c>
      <c r="B596" s="449" t="str">
        <f t="shared" si="96"/>
        <v>Kuro deginimas ir kaip proceso žaliava naudojamas kuras</v>
      </c>
      <c r="C596" s="72" t="str">
        <f t="shared" si="96"/>
        <v>Degimas</v>
      </c>
      <c r="D596" s="72" t="str">
        <f t="shared" si="96"/>
        <v>Dujų perdirbimo terminalai</v>
      </c>
      <c r="E596" s="72"/>
      <c r="F596" s="441" t="str">
        <f t="shared" si="101"/>
        <v>Masės balansas</v>
      </c>
      <c r="G596" s="425" t="str">
        <f t="shared" ref="G596:G634" si="102">EUconst_NA</f>
        <v>netaik.</v>
      </c>
      <c r="H596" s="442"/>
      <c r="I596" s="442"/>
      <c r="J596" s="444"/>
      <c r="K596" s="444"/>
      <c r="L596" s="442"/>
      <c r="M596" s="443"/>
      <c r="N596" s="425" t="str">
        <f t="shared" ref="N596:N634" si="103">IF(G596=EUconst_NA,EUconst_NA,IF(ISBLANK(J596),COUNTA(H596:M596),COUNTA(H596,J596,L596)))</f>
        <v>netaik.</v>
      </c>
      <c r="O596" s="427" t="str">
        <f t="shared" si="97"/>
        <v>Degimas: Dujų perdirbimo terminalai</v>
      </c>
      <c r="P596" s="72"/>
      <c r="Q596" s="435" t="str">
        <f t="shared" si="98"/>
        <v>OxF_Degimas: Dujų perdirbimo terminalai</v>
      </c>
      <c r="X596" s="59" t="b">
        <f t="shared" si="79"/>
        <v>1</v>
      </c>
      <c r="Z596" s="70" t="str">
        <f t="shared" ref="Z596:Z634" si="104">EUconst_NA</f>
        <v>netaik.</v>
      </c>
      <c r="AA596" s="95"/>
      <c r="AB596" s="95"/>
      <c r="AC596" s="55"/>
      <c r="AD596" s="55"/>
      <c r="AE596" s="95"/>
      <c r="AF596" s="63"/>
      <c r="AG596" s="70" t="str">
        <f t="shared" si="99"/>
        <v>netaik.</v>
      </c>
    </row>
    <row r="597" spans="1:40" ht="12.75" customHeight="1" outlineLevel="1" x14ac:dyDescent="0.2">
      <c r="A597" s="59">
        <f t="shared" si="100"/>
        <v>5</v>
      </c>
      <c r="B597" s="449" t="str">
        <f t="shared" si="96"/>
        <v>Kuro deginimas ir kaip proceso žaliava naudojamas kuras</v>
      </c>
      <c r="C597" s="72" t="str">
        <f t="shared" si="96"/>
        <v>Degimas</v>
      </c>
      <c r="D597" s="72" t="str">
        <f t="shared" si="96"/>
        <v>Fakelai</v>
      </c>
      <c r="E597" s="72"/>
      <c r="F597" s="441" t="str">
        <f t="shared" si="101"/>
        <v>Degimas</v>
      </c>
      <c r="G597" s="425">
        <v>1</v>
      </c>
      <c r="H597" s="442" t="str">
        <f>H$593</f>
        <v>OksK = 1</v>
      </c>
      <c r="I597" s="442" t="str">
        <f>I$593</f>
        <v>II tipas</v>
      </c>
      <c r="J597" s="444"/>
      <c r="K597" s="444"/>
      <c r="L597" s="442"/>
      <c r="M597" s="443"/>
      <c r="N597" s="425">
        <v>1</v>
      </c>
      <c r="O597" s="427" t="str">
        <f t="shared" si="97"/>
        <v>Degimas: Fakelai</v>
      </c>
      <c r="P597" s="72"/>
      <c r="Q597" s="435"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5"/>
      <c r="AD597" s="55"/>
      <c r="AE597" s="95"/>
      <c r="AF597" s="63"/>
      <c r="AG597" s="70">
        <f t="shared" si="99"/>
        <v>2</v>
      </c>
      <c r="AJ597" s="59">
        <f>AJ$593</f>
        <v>1</v>
      </c>
      <c r="AK597" s="59">
        <f>AK$593</f>
        <v>1</v>
      </c>
    </row>
    <row r="598" spans="1:40" ht="12.75" customHeight="1" outlineLevel="1" x14ac:dyDescent="0.2">
      <c r="A598" s="59">
        <f t="shared" si="100"/>
        <v>6</v>
      </c>
      <c r="B598" s="449" t="str">
        <f t="shared" si="96"/>
        <v>Kuro deginimas ir kaip proceso žaliava naudojamas kuras</v>
      </c>
      <c r="C598" s="72" t="str">
        <f t="shared" si="96"/>
        <v>Degimas</v>
      </c>
      <c r="D598" s="72" t="str">
        <f t="shared" si="96"/>
        <v>Dujų plovimas (karbonatai)</v>
      </c>
      <c r="E598" s="72"/>
      <c r="F598" s="441" t="str">
        <f t="shared" si="101"/>
        <v>Proceso metu išsiskiriančios ŠESD</v>
      </c>
      <c r="G598" s="425" t="str">
        <f t="shared" si="102"/>
        <v>netaik.</v>
      </c>
      <c r="H598" s="442"/>
      <c r="I598" s="442"/>
      <c r="J598" s="444"/>
      <c r="K598" s="444"/>
      <c r="L598" s="442"/>
      <c r="M598" s="443"/>
      <c r="N598" s="425" t="str">
        <f t="shared" si="103"/>
        <v>netaik.</v>
      </c>
      <c r="O598" s="427" t="str">
        <f t="shared" si="97"/>
        <v>Degimas: Dujų plovimas (karbonatai)</v>
      </c>
      <c r="P598" s="72"/>
      <c r="Q598" s="435" t="str">
        <f t="shared" si="98"/>
        <v>OxF_Degimas: Dujų plovimas (karbonatai)</v>
      </c>
      <c r="X598" s="59" t="b">
        <f t="shared" si="79"/>
        <v>1</v>
      </c>
      <c r="Z598" s="70" t="str">
        <f t="shared" si="104"/>
        <v>netaik.</v>
      </c>
      <c r="AA598" s="95"/>
      <c r="AB598" s="95"/>
      <c r="AC598" s="55"/>
      <c r="AD598" s="55"/>
      <c r="AE598" s="95"/>
      <c r="AF598" s="63"/>
      <c r="AG598" s="70" t="str">
        <f t="shared" si="99"/>
        <v>netaik.</v>
      </c>
    </row>
    <row r="599" spans="1:40" ht="12.75" customHeight="1" outlineLevel="1" x14ac:dyDescent="0.2">
      <c r="A599" s="59">
        <f t="shared" si="100"/>
        <v>7</v>
      </c>
      <c r="B599" s="449" t="str">
        <f t="shared" si="96"/>
        <v>Kuro deginimas ir kaip proceso žaliava naudojamas kuras</v>
      </c>
      <c r="C599" s="72" t="str">
        <f t="shared" si="96"/>
        <v>Degimas</v>
      </c>
      <c r="D599" s="72" t="str">
        <f t="shared" si="96"/>
        <v>Dujų plovimas (gipsas)</v>
      </c>
      <c r="E599" s="72"/>
      <c r="F599" s="441" t="str">
        <f t="shared" si="101"/>
        <v>Proceso metu išsiskiriančios ŠESD</v>
      </c>
      <c r="G599" s="425" t="str">
        <f t="shared" si="102"/>
        <v>netaik.</v>
      </c>
      <c r="H599" s="442"/>
      <c r="I599" s="442"/>
      <c r="J599" s="444"/>
      <c r="K599" s="444"/>
      <c r="L599" s="442"/>
      <c r="M599" s="443"/>
      <c r="N599" s="425" t="str">
        <f t="shared" si="103"/>
        <v>netaik.</v>
      </c>
      <c r="O599" s="427" t="str">
        <f t="shared" si="97"/>
        <v>Degimas: Dujų plovimas (gipsas)</v>
      </c>
      <c r="P599" s="72"/>
      <c r="Q599" s="435" t="str">
        <f t="shared" si="98"/>
        <v>OxF_Degimas: Dujų plovimas (gipsas)</v>
      </c>
      <c r="X599" s="59" t="b">
        <f t="shared" si="79"/>
        <v>1</v>
      </c>
      <c r="Z599" s="70" t="str">
        <f t="shared" si="104"/>
        <v>netaik.</v>
      </c>
      <c r="AA599" s="95"/>
      <c r="AB599" s="95"/>
      <c r="AC599" s="55"/>
      <c r="AD599" s="55"/>
      <c r="AE599" s="95"/>
      <c r="AF599" s="63"/>
      <c r="AG599" s="70" t="str">
        <f t="shared" si="99"/>
        <v>netaik.</v>
      </c>
    </row>
    <row r="600" spans="1:40" ht="12.75" customHeight="1" outlineLevel="1" x14ac:dyDescent="0.2">
      <c r="A600" s="59">
        <f t="shared" si="100"/>
        <v>8</v>
      </c>
      <c r="B600" s="449" t="str">
        <f t="shared" si="96"/>
        <v xml:space="preserve">Naftos perdirbimas </v>
      </c>
      <c r="C600" s="72" t="str">
        <f t="shared" si="96"/>
        <v>Naftos perdirbimo įrenginiai</v>
      </c>
      <c r="D600" s="72" t="str">
        <f t="shared" si="96"/>
        <v>Masės balansas</v>
      </c>
      <c r="E600" s="72"/>
      <c r="F600" s="441" t="str">
        <f t="shared" si="101"/>
        <v>Masės balansas</v>
      </c>
      <c r="G600" s="425" t="str">
        <f t="shared" si="102"/>
        <v>netaik.</v>
      </c>
      <c r="H600" s="442"/>
      <c r="I600" s="442"/>
      <c r="J600" s="444"/>
      <c r="K600" s="444"/>
      <c r="L600" s="442"/>
      <c r="M600" s="443"/>
      <c r="N600" s="425" t="str">
        <f t="shared" si="103"/>
        <v>netaik.</v>
      </c>
      <c r="O600" s="427" t="str">
        <f t="shared" si="97"/>
        <v>Naftos perdirbimo įrenginiai: Masės balansas</v>
      </c>
      <c r="P600" s="72"/>
      <c r="Q600" s="435" t="str">
        <f t="shared" si="98"/>
        <v>OxF_Naftos perdirbimo įrenginiai: Masės balansas</v>
      </c>
      <c r="X600" s="59" t="b">
        <f t="shared" si="79"/>
        <v>1</v>
      </c>
      <c r="Z600" s="70" t="str">
        <f t="shared" si="104"/>
        <v>netaik.</v>
      </c>
      <c r="AA600" s="95"/>
      <c r="AB600" s="95"/>
      <c r="AC600" s="55"/>
      <c r="AD600" s="55"/>
      <c r="AE600" s="95"/>
      <c r="AF600" s="63"/>
      <c r="AG600" s="70" t="str">
        <f t="shared" si="99"/>
        <v>netaik.</v>
      </c>
    </row>
    <row r="601" spans="1:40" ht="12.75" customHeight="1" outlineLevel="1" x14ac:dyDescent="0.2">
      <c r="A601" s="59">
        <f t="shared" si="100"/>
        <v>9</v>
      </c>
      <c r="B601" s="449" t="str">
        <f t="shared" si="96"/>
        <v xml:space="preserve">Naftos perdirbimas </v>
      </c>
      <c r="C601" s="72" t="str">
        <f t="shared" si="96"/>
        <v>Naftos perdirbimo įrenginiai</v>
      </c>
      <c r="D601" s="72" t="str">
        <f t="shared" si="96"/>
        <v>Regeneravimas katalizinio krekingo įrenginiu</v>
      </c>
      <c r="E601" s="72"/>
      <c r="F601" s="441" t="str">
        <f t="shared" si="101"/>
        <v>Masės balansas</v>
      </c>
      <c r="G601" s="425" t="str">
        <f t="shared" si="102"/>
        <v>netaik.</v>
      </c>
      <c r="H601" s="442"/>
      <c r="I601" s="442"/>
      <c r="J601" s="444"/>
      <c r="K601" s="444"/>
      <c r="L601" s="442"/>
      <c r="M601" s="443"/>
      <c r="N601" s="425" t="str">
        <f t="shared" si="103"/>
        <v>netaik.</v>
      </c>
      <c r="O601" s="427" t="str">
        <f t="shared" si="97"/>
        <v>Naftos perdirbimo įrenginiai: Regeneravimas katalizinio krekingo įrenginiu</v>
      </c>
      <c r="P601" s="72"/>
      <c r="Q601" s="435" t="str">
        <f t="shared" si="98"/>
        <v>OxF_Naftos perdirbimo įrenginiai: Regeneravimas katalizinio krekingo įrenginiu</v>
      </c>
      <c r="X601" s="59" t="b">
        <f t="shared" si="79"/>
        <v>1</v>
      </c>
      <c r="Z601" s="70" t="str">
        <f t="shared" si="104"/>
        <v>netaik.</v>
      </c>
      <c r="AA601" s="95"/>
      <c r="AB601" s="95"/>
      <c r="AC601" s="55"/>
      <c r="AD601" s="55"/>
      <c r="AE601" s="95"/>
      <c r="AF601" s="63"/>
      <c r="AG601" s="70" t="str">
        <f t="shared" si="99"/>
        <v>netaik.</v>
      </c>
    </row>
    <row r="602" spans="1:40" ht="12.75" customHeight="1" outlineLevel="1" x14ac:dyDescent="0.2">
      <c r="A602" s="59">
        <f t="shared" si="100"/>
        <v>10</v>
      </c>
      <c r="B602" s="449" t="str">
        <f t="shared" si="96"/>
        <v xml:space="preserve">Naftos perdirbimas </v>
      </c>
      <c r="C602" s="72" t="str">
        <f t="shared" si="96"/>
        <v>Naftos perdirbimo įrenginiai</v>
      </c>
      <c r="D602" s="72" t="str">
        <f t="shared" si="96"/>
        <v>Vandenilio gamyba</v>
      </c>
      <c r="E602" s="72"/>
      <c r="F602" s="441" t="str">
        <f t="shared" si="101"/>
        <v>Proceso metu išsiskiriančios ŠESD</v>
      </c>
      <c r="G602" s="425" t="str">
        <f t="shared" si="102"/>
        <v>netaik.</v>
      </c>
      <c r="H602" s="442"/>
      <c r="I602" s="442"/>
      <c r="J602" s="444"/>
      <c r="K602" s="444"/>
      <c r="L602" s="442"/>
      <c r="M602" s="443"/>
      <c r="N602" s="425" t="str">
        <f t="shared" si="103"/>
        <v>netaik.</v>
      </c>
      <c r="O602" s="427" t="str">
        <f t="shared" si="97"/>
        <v>Naftos perdirbimo įrenginiai: Vandenilio gamyba</v>
      </c>
      <c r="P602" s="72"/>
      <c r="Q602" s="435" t="str">
        <f t="shared" si="98"/>
        <v>OxF_Naftos perdirbimo įrenginiai: Vandenilio gamyba</v>
      </c>
      <c r="X602" s="59" t="b">
        <f t="shared" si="79"/>
        <v>1</v>
      </c>
      <c r="Z602" s="70" t="str">
        <f t="shared" si="104"/>
        <v>netaik.</v>
      </c>
      <c r="AA602" s="95"/>
      <c r="AB602" s="95"/>
      <c r="AC602" s="55"/>
      <c r="AD602" s="55"/>
      <c r="AE602" s="95"/>
      <c r="AF602" s="63"/>
      <c r="AG602" s="70" t="str">
        <f t="shared" si="99"/>
        <v>netaik.</v>
      </c>
    </row>
    <row r="603" spans="1:40" ht="12.75" customHeight="1" outlineLevel="1" x14ac:dyDescent="0.2">
      <c r="A603" s="59">
        <f t="shared" si="100"/>
        <v>11</v>
      </c>
      <c r="B603" s="449" t="str">
        <f t="shared" si="96"/>
        <v>Kokso gamyba</v>
      </c>
      <c r="C603" s="72" t="str">
        <f t="shared" si="96"/>
        <v>Koksas</v>
      </c>
      <c r="D603" s="72" t="str">
        <f t="shared" si="96"/>
        <v>Kuras kaip proceso žaliava</v>
      </c>
      <c r="E603" s="72"/>
      <c r="F603" s="441" t="str">
        <f t="shared" si="101"/>
        <v>Degimas</v>
      </c>
      <c r="G603" s="425" t="str">
        <f t="shared" si="102"/>
        <v>netaik.</v>
      </c>
      <c r="H603" s="442"/>
      <c r="I603" s="442"/>
      <c r="J603" s="444"/>
      <c r="K603" s="444"/>
      <c r="L603" s="442"/>
      <c r="M603" s="443"/>
      <c r="N603" s="425" t="str">
        <f t="shared" si="103"/>
        <v>netaik.</v>
      </c>
      <c r="O603" s="427" t="str">
        <f t="shared" si="97"/>
        <v>Koksas: Kuras kaip proceso žaliava</v>
      </c>
      <c r="P603" s="72"/>
      <c r="Q603" s="435" t="str">
        <f t="shared" si="98"/>
        <v>OxF_Koksas: Kuras kaip proceso žaliava</v>
      </c>
      <c r="X603" s="59" t="b">
        <f t="shared" si="79"/>
        <v>1</v>
      </c>
      <c r="Z603" s="70" t="str">
        <f t="shared" si="104"/>
        <v>netaik.</v>
      </c>
      <c r="AA603" s="95"/>
      <c r="AB603" s="95"/>
      <c r="AC603" s="55"/>
      <c r="AD603" s="55"/>
      <c r="AE603" s="95"/>
      <c r="AF603" s="63"/>
      <c r="AG603" s="70" t="str">
        <f t="shared" si="99"/>
        <v>netaik.</v>
      </c>
    </row>
    <row r="604" spans="1:40" ht="12.75" customHeight="1" outlineLevel="1" x14ac:dyDescent="0.2">
      <c r="A604" s="59">
        <f t="shared" si="100"/>
        <v>12</v>
      </c>
      <c r="B604" s="449" t="str">
        <f t="shared" si="96"/>
        <v>Kokso gamyba</v>
      </c>
      <c r="C604" s="72" t="str">
        <f t="shared" si="96"/>
        <v>Koksas</v>
      </c>
      <c r="D604" s="72" t="str">
        <f t="shared" si="96"/>
        <v>Karbonatų sąnaudos (A metodas)</v>
      </c>
      <c r="E604" s="72"/>
      <c r="F604" s="441" t="str">
        <f t="shared" si="101"/>
        <v>Proceso metu išsiskiriančios ŠESD</v>
      </c>
      <c r="G604" s="425" t="str">
        <f t="shared" si="102"/>
        <v>netaik.</v>
      </c>
      <c r="H604" s="442"/>
      <c r="I604" s="442"/>
      <c r="J604" s="444"/>
      <c r="K604" s="444"/>
      <c r="L604" s="442"/>
      <c r="M604" s="443"/>
      <c r="N604" s="425" t="str">
        <f t="shared" si="103"/>
        <v>netaik.</v>
      </c>
      <c r="O604" s="427" t="str">
        <f t="shared" si="97"/>
        <v>Koksas: Karbonatų sąnaudos (A metodas)</v>
      </c>
      <c r="P604" s="72"/>
      <c r="Q604" s="435" t="str">
        <f t="shared" si="98"/>
        <v>OxF_Koksas: Karbonatų sąnaudos (A metodas)</v>
      </c>
      <c r="X604" s="59" t="b">
        <f t="shared" si="79"/>
        <v>1</v>
      </c>
      <c r="Z604" s="70" t="str">
        <f t="shared" si="104"/>
        <v>netaik.</v>
      </c>
      <c r="AA604" s="95"/>
      <c r="AB604" s="95"/>
      <c r="AC604" s="55"/>
      <c r="AD604" s="55"/>
      <c r="AE604" s="95"/>
      <c r="AF604" s="63"/>
      <c r="AG604" s="70" t="str">
        <f t="shared" si="99"/>
        <v>netaik.</v>
      </c>
    </row>
    <row r="605" spans="1:40" ht="12.75" customHeight="1" outlineLevel="1" x14ac:dyDescent="0.2">
      <c r="A605" s="59">
        <f t="shared" si="100"/>
        <v>13</v>
      </c>
      <c r="B605" s="449" t="str">
        <f t="shared" si="96"/>
        <v>Kokso gamyba</v>
      </c>
      <c r="C605" s="72" t="str">
        <f t="shared" si="96"/>
        <v>Koksas</v>
      </c>
      <c r="D605" s="72" t="str">
        <f t="shared" si="96"/>
        <v>Oksido išeiga (B metodas)</v>
      </c>
      <c r="E605" s="72"/>
      <c r="F605" s="441" t="str">
        <f t="shared" si="101"/>
        <v>Proceso metu išsiskiriančios ŠESD</v>
      </c>
      <c r="G605" s="425" t="str">
        <f t="shared" si="102"/>
        <v>netaik.</v>
      </c>
      <c r="H605" s="442"/>
      <c r="I605" s="442"/>
      <c r="J605" s="444"/>
      <c r="K605" s="444"/>
      <c r="L605" s="442"/>
      <c r="M605" s="443"/>
      <c r="N605" s="425" t="str">
        <f t="shared" si="103"/>
        <v>netaik.</v>
      </c>
      <c r="O605" s="427" t="str">
        <f t="shared" si="97"/>
        <v>Koksas: Oksido išeiga (B metodas)</v>
      </c>
      <c r="P605" s="72"/>
      <c r="Q605" s="435" t="str">
        <f t="shared" si="98"/>
        <v>OxF_Koksas: Oksido išeiga (B metodas)</v>
      </c>
      <c r="X605" s="59" t="b">
        <f t="shared" si="79"/>
        <v>1</v>
      </c>
      <c r="Z605" s="70" t="str">
        <f t="shared" si="104"/>
        <v>netaik.</v>
      </c>
      <c r="AA605" s="95"/>
      <c r="AB605" s="95"/>
      <c r="AC605" s="55"/>
      <c r="AD605" s="55"/>
      <c r="AE605" s="95"/>
      <c r="AF605" s="63"/>
      <c r="AG605" s="70" t="str">
        <f t="shared" si="99"/>
        <v>netaik.</v>
      </c>
    </row>
    <row r="606" spans="1:40" ht="12.75" customHeight="1" outlineLevel="1" x14ac:dyDescent="0.2">
      <c r="A606" s="59">
        <f t="shared" si="100"/>
        <v>14</v>
      </c>
      <c r="B606" s="449" t="str">
        <f t="shared" si="96"/>
        <v>Kokso gamyba</v>
      </c>
      <c r="C606" s="72" t="str">
        <f t="shared" si="96"/>
        <v>Koksas</v>
      </c>
      <c r="D606" s="72" t="str">
        <f t="shared" si="96"/>
        <v>Masės balansas</v>
      </c>
      <c r="E606" s="72"/>
      <c r="F606" s="441" t="str">
        <f t="shared" si="101"/>
        <v>Masės balansas</v>
      </c>
      <c r="G606" s="425" t="str">
        <f t="shared" si="102"/>
        <v>netaik.</v>
      </c>
      <c r="H606" s="442"/>
      <c r="I606" s="442"/>
      <c r="J606" s="444"/>
      <c r="K606" s="444"/>
      <c r="L606" s="442"/>
      <c r="M606" s="443"/>
      <c r="N606" s="425" t="str">
        <f t="shared" si="103"/>
        <v>netaik.</v>
      </c>
      <c r="O606" s="427" t="str">
        <f t="shared" si="97"/>
        <v>Koksas: Masės balansas</v>
      </c>
      <c r="P606" s="72"/>
      <c r="Q606" s="435" t="str">
        <f t="shared" si="98"/>
        <v>OxF_Koksas: Masės balansas</v>
      </c>
      <c r="X606" s="59" t="b">
        <f t="shared" si="79"/>
        <v>1</v>
      </c>
      <c r="Z606" s="70" t="str">
        <f t="shared" si="104"/>
        <v>netaik.</v>
      </c>
      <c r="AA606" s="95"/>
      <c r="AB606" s="95"/>
      <c r="AC606" s="55"/>
      <c r="AD606" s="55"/>
      <c r="AE606" s="95"/>
      <c r="AF606" s="63"/>
      <c r="AG606" s="70" t="str">
        <f t="shared" si="99"/>
        <v>netaik.</v>
      </c>
    </row>
    <row r="607" spans="1:40" ht="12.75" customHeight="1" outlineLevel="1" x14ac:dyDescent="0.2">
      <c r="A607" s="59">
        <f t="shared" si="100"/>
        <v>15</v>
      </c>
      <c r="B607" s="449" t="str">
        <f t="shared" si="96"/>
        <v>Metalo rūdų deginimas ir kepinimas</v>
      </c>
      <c r="C607" s="72" t="str">
        <f t="shared" si="96"/>
        <v>Metalų rūda</v>
      </c>
      <c r="D607" s="72" t="str">
        <f t="shared" si="96"/>
        <v>Karbonatų sąnaudos</v>
      </c>
      <c r="E607" s="72"/>
      <c r="F607" s="441" t="str">
        <f t="shared" si="101"/>
        <v>Proceso metu išsiskiriančios ŠESD</v>
      </c>
      <c r="G607" s="425" t="str">
        <f t="shared" si="102"/>
        <v>netaik.</v>
      </c>
      <c r="H607" s="442"/>
      <c r="I607" s="442"/>
      <c r="J607" s="444"/>
      <c r="K607" s="444"/>
      <c r="L607" s="442"/>
      <c r="M607" s="443"/>
      <c r="N607" s="425" t="str">
        <f t="shared" si="103"/>
        <v>netaik.</v>
      </c>
      <c r="O607" s="427" t="str">
        <f t="shared" si="97"/>
        <v>Metalų rūda: Karbonatų sąnaudos</v>
      </c>
      <c r="P607" s="72"/>
      <c r="Q607" s="435" t="str">
        <f t="shared" si="98"/>
        <v>OxF_Metalų rūda: Karbonatų sąnaudos</v>
      </c>
      <c r="X607" s="59" t="b">
        <f t="shared" si="79"/>
        <v>1</v>
      </c>
      <c r="Z607" s="70" t="str">
        <f t="shared" si="104"/>
        <v>netaik.</v>
      </c>
      <c r="AA607" s="95"/>
      <c r="AB607" s="95"/>
      <c r="AC607" s="55"/>
      <c r="AD607" s="55"/>
      <c r="AE607" s="95"/>
      <c r="AF607" s="63"/>
      <c r="AG607" s="70" t="str">
        <f t="shared" si="99"/>
        <v>netaik.</v>
      </c>
    </row>
    <row r="608" spans="1:40" ht="12.75" customHeight="1" outlineLevel="1" x14ac:dyDescent="0.2">
      <c r="A608" s="59">
        <f t="shared" si="100"/>
        <v>16</v>
      </c>
      <c r="B608" s="449" t="str">
        <f t="shared" si="96"/>
        <v>Metalo rūdų deginimas ir kepinimas</v>
      </c>
      <c r="C608" s="72" t="str">
        <f t="shared" si="96"/>
        <v>Metalų rūda</v>
      </c>
      <c r="D608" s="72" t="str">
        <f t="shared" si="96"/>
        <v>Masės balansas</v>
      </c>
      <c r="E608" s="72"/>
      <c r="F608" s="441" t="str">
        <f t="shared" si="101"/>
        <v>Masės balansas</v>
      </c>
      <c r="G608" s="425" t="str">
        <f t="shared" si="102"/>
        <v>netaik.</v>
      </c>
      <c r="H608" s="442"/>
      <c r="I608" s="442"/>
      <c r="J608" s="444"/>
      <c r="K608" s="444"/>
      <c r="L608" s="442"/>
      <c r="M608" s="443"/>
      <c r="N608" s="425" t="str">
        <f t="shared" si="103"/>
        <v>netaik.</v>
      </c>
      <c r="O608" s="427" t="str">
        <f t="shared" si="97"/>
        <v>Metalų rūda: Masės balansas</v>
      </c>
      <c r="P608" s="72"/>
      <c r="Q608" s="435" t="str">
        <f t="shared" si="98"/>
        <v>OxF_Metalų rūda: Masės balansas</v>
      </c>
      <c r="X608" s="59" t="b">
        <f t="shared" si="79"/>
        <v>1</v>
      </c>
      <c r="Z608" s="70" t="str">
        <f t="shared" si="104"/>
        <v>netaik.</v>
      </c>
      <c r="AA608" s="95"/>
      <c r="AB608" s="95"/>
      <c r="AC608" s="55"/>
      <c r="AD608" s="55"/>
      <c r="AE608" s="95"/>
      <c r="AF608" s="63"/>
      <c r="AG608" s="70" t="str">
        <f t="shared" si="99"/>
        <v>netaik.</v>
      </c>
    </row>
    <row r="609" spans="1:33" ht="12.75" customHeight="1" outlineLevel="1" x14ac:dyDescent="0.2">
      <c r="A609" s="59">
        <f t="shared" si="100"/>
        <v>17</v>
      </c>
      <c r="B609" s="449" t="str">
        <f t="shared" si="96"/>
        <v>Geležies ir plieno gamyba</v>
      </c>
      <c r="C609" s="72" t="str">
        <f t="shared" si="96"/>
        <v>Geležis ir plienas</v>
      </c>
      <c r="D609" s="72" t="str">
        <f t="shared" si="96"/>
        <v>Kuras kaip proceso žaliava</v>
      </c>
      <c r="E609" s="72"/>
      <c r="F609" s="441" t="str">
        <f t="shared" si="101"/>
        <v>Degimas</v>
      </c>
      <c r="G609" s="425" t="str">
        <f t="shared" si="102"/>
        <v>netaik.</v>
      </c>
      <c r="H609" s="442"/>
      <c r="I609" s="442"/>
      <c r="J609" s="444"/>
      <c r="K609" s="444"/>
      <c r="L609" s="442"/>
      <c r="M609" s="443"/>
      <c r="N609" s="425" t="str">
        <f t="shared" si="103"/>
        <v>netaik.</v>
      </c>
      <c r="O609" s="427" t="str">
        <f t="shared" si="97"/>
        <v>Geležis ir plienas: Kuras kaip proceso žaliava</v>
      </c>
      <c r="P609" s="72"/>
      <c r="Q609" s="435" t="str">
        <f t="shared" si="98"/>
        <v>OxF_Geležis ir plienas: Kuras kaip proceso žaliava</v>
      </c>
      <c r="X609" s="59" t="b">
        <f t="shared" ref="X609:X672" si="105">IF(G609=EUconst_NA,TRUE,FALSE)</f>
        <v>1</v>
      </c>
      <c r="Z609" s="70" t="str">
        <f t="shared" si="104"/>
        <v>netaik.</v>
      </c>
      <c r="AA609" s="95"/>
      <c r="AB609" s="95"/>
      <c r="AC609" s="55"/>
      <c r="AD609" s="55"/>
      <c r="AE609" s="95"/>
      <c r="AF609" s="63"/>
      <c r="AG609" s="70" t="str">
        <f t="shared" si="99"/>
        <v>netaik.</v>
      </c>
    </row>
    <row r="610" spans="1:33" ht="12.75" customHeight="1" outlineLevel="1" x14ac:dyDescent="0.2">
      <c r="A610" s="59">
        <f t="shared" si="100"/>
        <v>18</v>
      </c>
      <c r="B610" s="449" t="str">
        <f t="shared" si="96"/>
        <v>Geležies ir plieno gamyba</v>
      </c>
      <c r="C610" s="72" t="str">
        <f t="shared" si="96"/>
        <v>Geležis ir plienas</v>
      </c>
      <c r="D610" s="72" t="str">
        <f t="shared" si="96"/>
        <v>Karbonatų sąnaudos</v>
      </c>
      <c r="E610" s="72"/>
      <c r="F610" s="441" t="str">
        <f t="shared" si="101"/>
        <v>Proceso metu išsiskiriančios ŠESD</v>
      </c>
      <c r="G610" s="425" t="str">
        <f t="shared" si="102"/>
        <v>netaik.</v>
      </c>
      <c r="H610" s="442"/>
      <c r="I610" s="442"/>
      <c r="J610" s="444"/>
      <c r="K610" s="444"/>
      <c r="L610" s="442"/>
      <c r="M610" s="443"/>
      <c r="N610" s="425" t="str">
        <f t="shared" si="103"/>
        <v>netaik.</v>
      </c>
      <c r="O610" s="427" t="str">
        <f t="shared" si="97"/>
        <v>Geležis ir plienas: Karbonatų sąnaudos</v>
      </c>
      <c r="P610" s="72"/>
      <c r="Q610" s="435" t="str">
        <f t="shared" si="98"/>
        <v>OxF_Geležis ir plienas: Karbonatų sąnaudos</v>
      </c>
      <c r="X610" s="59" t="b">
        <f t="shared" si="105"/>
        <v>1</v>
      </c>
      <c r="Z610" s="70" t="str">
        <f t="shared" si="104"/>
        <v>netaik.</v>
      </c>
      <c r="AA610" s="95"/>
      <c r="AB610" s="95"/>
      <c r="AC610" s="55"/>
      <c r="AD610" s="55"/>
      <c r="AE610" s="95"/>
      <c r="AF610" s="63"/>
      <c r="AG610" s="70" t="str">
        <f t="shared" si="99"/>
        <v>netaik.</v>
      </c>
    </row>
    <row r="611" spans="1:33" ht="12.75" customHeight="1" outlineLevel="1" x14ac:dyDescent="0.2">
      <c r="A611" s="59">
        <f t="shared" si="100"/>
        <v>19</v>
      </c>
      <c r="B611" s="449" t="str">
        <f t="shared" si="96"/>
        <v>Geležies ir plieno gamyba</v>
      </c>
      <c r="C611" s="72" t="str">
        <f t="shared" si="96"/>
        <v>Geležis ir plienas</v>
      </c>
      <c r="D611" s="72" t="str">
        <f t="shared" si="96"/>
        <v>Masės balansas</v>
      </c>
      <c r="E611" s="72"/>
      <c r="F611" s="441" t="str">
        <f t="shared" si="101"/>
        <v>Masės balansas</v>
      </c>
      <c r="G611" s="425" t="str">
        <f t="shared" si="102"/>
        <v>netaik.</v>
      </c>
      <c r="H611" s="442"/>
      <c r="I611" s="442"/>
      <c r="J611" s="444"/>
      <c r="K611" s="444"/>
      <c r="L611" s="442"/>
      <c r="M611" s="443"/>
      <c r="N611" s="425" t="str">
        <f t="shared" si="103"/>
        <v>netaik.</v>
      </c>
      <c r="O611" s="427" t="str">
        <f t="shared" si="97"/>
        <v>Geležis ir plienas: Masės balansas</v>
      </c>
      <c r="P611" s="72"/>
      <c r="Q611" s="435" t="str">
        <f t="shared" si="98"/>
        <v>OxF_Geležis ir plienas: Masės balansas</v>
      </c>
      <c r="X611" s="59" t="b">
        <f t="shared" si="105"/>
        <v>1</v>
      </c>
      <c r="Z611" s="70" t="str">
        <f t="shared" si="104"/>
        <v>netaik.</v>
      </c>
      <c r="AA611" s="95"/>
      <c r="AB611" s="95"/>
      <c r="AC611" s="55"/>
      <c r="AD611" s="55"/>
      <c r="AE611" s="95"/>
      <c r="AF611" s="63"/>
      <c r="AG611" s="70" t="str">
        <f t="shared" si="99"/>
        <v>netaik.</v>
      </c>
    </row>
    <row r="612" spans="1:33" ht="12.75" customHeight="1" outlineLevel="1" x14ac:dyDescent="0.2">
      <c r="A612" s="59">
        <f t="shared" si="100"/>
        <v>20</v>
      </c>
      <c r="B612" s="449" t="str">
        <f t="shared" si="96"/>
        <v>Cemento klinkerio gamyba</v>
      </c>
      <c r="C612" s="72" t="str">
        <f t="shared" si="96"/>
        <v>Cemento klinkeriai</v>
      </c>
      <c r="D612" s="72" t="str">
        <f t="shared" si="96"/>
        <v>Grindžiamas krosnies žaliava (A metodas)</v>
      </c>
      <c r="E612" s="72"/>
      <c r="F612" s="441" t="str">
        <f t="shared" si="101"/>
        <v>Proceso metu išsiskiriančios ŠESD</v>
      </c>
      <c r="G612" s="425" t="str">
        <f t="shared" si="102"/>
        <v>netaik.</v>
      </c>
      <c r="H612" s="442"/>
      <c r="I612" s="442"/>
      <c r="J612" s="444"/>
      <c r="K612" s="444"/>
      <c r="L612" s="442"/>
      <c r="M612" s="443"/>
      <c r="N612" s="425" t="str">
        <f t="shared" si="103"/>
        <v>netaik.</v>
      </c>
      <c r="O612" s="427" t="str">
        <f t="shared" si="97"/>
        <v>Cemento klinkeriai: Grindžiamas krosnies žaliava (A metodas)</v>
      </c>
      <c r="P612" s="72"/>
      <c r="Q612" s="435" t="str">
        <f t="shared" si="98"/>
        <v>OxF_Cemento klinkeriai: Grindžiamas krosnies žaliava (A metodas)</v>
      </c>
      <c r="X612" s="59" t="b">
        <f t="shared" si="105"/>
        <v>1</v>
      </c>
      <c r="Z612" s="70" t="str">
        <f t="shared" si="104"/>
        <v>netaik.</v>
      </c>
      <c r="AA612" s="95"/>
      <c r="AB612" s="95"/>
      <c r="AC612" s="55"/>
      <c r="AD612" s="55"/>
      <c r="AE612" s="95"/>
      <c r="AF612" s="63"/>
      <c r="AG612" s="70" t="str">
        <f t="shared" si="99"/>
        <v>netaik.</v>
      </c>
    </row>
    <row r="613" spans="1:33" ht="12.75" customHeight="1" outlineLevel="1" x14ac:dyDescent="0.2">
      <c r="A613" s="59">
        <f t="shared" si="100"/>
        <v>21</v>
      </c>
      <c r="B613" s="449" t="str">
        <f t="shared" ref="B613:D632" si="106">B565</f>
        <v>Cemento klinkerio gamyba</v>
      </c>
      <c r="C613" s="72" t="str">
        <f t="shared" si="106"/>
        <v>Cemento klinkeriai</v>
      </c>
      <c r="D613" s="72" t="str">
        <f t="shared" si="106"/>
        <v>Klinkerio išeiga (B metodas)</v>
      </c>
      <c r="E613" s="72"/>
      <c r="F613" s="441" t="str">
        <f t="shared" si="101"/>
        <v>Proceso metu išsiskiriančios ŠESD</v>
      </c>
      <c r="G613" s="425" t="str">
        <f t="shared" si="102"/>
        <v>netaik.</v>
      </c>
      <c r="H613" s="442"/>
      <c r="I613" s="442"/>
      <c r="J613" s="444"/>
      <c r="K613" s="444"/>
      <c r="L613" s="442"/>
      <c r="M613" s="443"/>
      <c r="N613" s="425" t="str">
        <f t="shared" si="103"/>
        <v>netaik.</v>
      </c>
      <c r="O613" s="427" t="str">
        <f t="shared" si="97"/>
        <v>Cemento klinkeriai: Klinkerio išeiga (B metodas)</v>
      </c>
      <c r="P613" s="72"/>
      <c r="Q613" s="435" t="str">
        <f t="shared" si="98"/>
        <v>OxF_Cemento klinkeriai: Klinkerio išeiga (B metodas)</v>
      </c>
      <c r="X613" s="59" t="b">
        <f t="shared" si="105"/>
        <v>1</v>
      </c>
      <c r="Z613" s="70" t="str">
        <f t="shared" si="104"/>
        <v>netaik.</v>
      </c>
      <c r="AA613" s="95"/>
      <c r="AB613" s="95"/>
      <c r="AC613" s="55"/>
      <c r="AD613" s="55"/>
      <c r="AE613" s="95"/>
      <c r="AF613" s="63"/>
      <c r="AG613" s="70" t="str">
        <f t="shared" si="99"/>
        <v>netaik.</v>
      </c>
    </row>
    <row r="614" spans="1:33" ht="12.75" customHeight="1" outlineLevel="1" x14ac:dyDescent="0.2">
      <c r="A614" s="59">
        <f t="shared" si="100"/>
        <v>22</v>
      </c>
      <c r="B614" s="449" t="str">
        <f t="shared" si="106"/>
        <v>Cemento klinkerio gamyba</v>
      </c>
      <c r="C614" s="72" t="str">
        <f t="shared" si="106"/>
        <v>Cemento klinkeriai</v>
      </c>
      <c r="D614" s="72" t="str">
        <f t="shared" si="106"/>
        <v>Cemento degimo krosnių dulkės</v>
      </c>
      <c r="E614" s="72"/>
      <c r="F614" s="441" t="str">
        <f t="shared" si="101"/>
        <v>Proceso metu išsiskiriančios ŠESD</v>
      </c>
      <c r="G614" s="425" t="str">
        <f t="shared" si="102"/>
        <v>netaik.</v>
      </c>
      <c r="H614" s="442"/>
      <c r="I614" s="442"/>
      <c r="J614" s="444"/>
      <c r="K614" s="444"/>
      <c r="L614" s="442"/>
      <c r="M614" s="443"/>
      <c r="N614" s="425" t="str">
        <f t="shared" si="103"/>
        <v>netaik.</v>
      </c>
      <c r="O614" s="427" t="str">
        <f t="shared" si="97"/>
        <v>Cemento klinkeriai: Cemento degimo krosnių dulkės</v>
      </c>
      <c r="P614" s="72"/>
      <c r="Q614" s="435" t="str">
        <f t="shared" si="98"/>
        <v>OxF_Cemento klinkeriai: Cemento degimo krosnių dulkės</v>
      </c>
      <c r="X614" s="59" t="b">
        <f t="shared" si="105"/>
        <v>1</v>
      </c>
      <c r="Z614" s="70" t="str">
        <f t="shared" si="104"/>
        <v>netaik.</v>
      </c>
      <c r="AA614" s="95"/>
      <c r="AB614" s="95"/>
      <c r="AC614" s="55"/>
      <c r="AD614" s="55"/>
      <c r="AE614" s="95"/>
      <c r="AF614" s="63"/>
      <c r="AG614" s="70" t="str">
        <f t="shared" si="99"/>
        <v>netaik.</v>
      </c>
    </row>
    <row r="615" spans="1:33" ht="12.75" customHeight="1" outlineLevel="1" x14ac:dyDescent="0.2">
      <c r="A615" s="59">
        <f t="shared" si="100"/>
        <v>23</v>
      </c>
      <c r="B615" s="449" t="str">
        <f t="shared" si="106"/>
        <v>Cemento klinkerio gamyba</v>
      </c>
      <c r="C615" s="72" t="str">
        <f t="shared" si="106"/>
        <v>Cemento klinkeriai</v>
      </c>
      <c r="D615" s="72" t="str">
        <f t="shared" si="106"/>
        <v>Nekarbonatinė anglis</v>
      </c>
      <c r="E615" s="72"/>
      <c r="F615" s="441" t="str">
        <f t="shared" si="101"/>
        <v>Proceso metu išsiskiriančios ŠESD</v>
      </c>
      <c r="G615" s="425" t="str">
        <f t="shared" si="102"/>
        <v>netaik.</v>
      </c>
      <c r="H615" s="442"/>
      <c r="I615" s="442"/>
      <c r="J615" s="444"/>
      <c r="K615" s="444"/>
      <c r="L615" s="442"/>
      <c r="M615" s="443"/>
      <c r="N615" s="425" t="str">
        <f t="shared" si="103"/>
        <v>netaik.</v>
      </c>
      <c r="O615" s="427" t="str">
        <f t="shared" si="97"/>
        <v>Cemento klinkeriai: Nekarbonatinė anglis</v>
      </c>
      <c r="P615" s="72"/>
      <c r="Q615" s="435" t="str">
        <f t="shared" si="98"/>
        <v>OxF_Cemento klinkeriai: Nekarbonatinė anglis</v>
      </c>
      <c r="X615" s="59" t="b">
        <f t="shared" si="105"/>
        <v>1</v>
      </c>
      <c r="Z615" s="70" t="str">
        <f t="shared" si="104"/>
        <v>netaik.</v>
      </c>
      <c r="AA615" s="95"/>
      <c r="AB615" s="95"/>
      <c r="AC615" s="55"/>
      <c r="AD615" s="55"/>
      <c r="AE615" s="95"/>
      <c r="AF615" s="63"/>
      <c r="AG615" s="70" t="str">
        <f t="shared" si="99"/>
        <v>netaik.</v>
      </c>
    </row>
    <row r="616" spans="1:33" ht="12.75" customHeight="1" outlineLevel="1" x14ac:dyDescent="0.2">
      <c r="A616" s="59">
        <f t="shared" si="100"/>
        <v>24</v>
      </c>
      <c r="B616" s="449" t="str">
        <f t="shared" si="106"/>
        <v>Kalkių gamyba ir dolomitų bei magnezitų kalcinavimas</v>
      </c>
      <c r="C616" s="72" t="str">
        <f t="shared" si="106"/>
        <v>Kalkės, dolomitas, magnezitas</v>
      </c>
      <c r="D616" s="72" t="str">
        <f t="shared" si="106"/>
        <v>Karbonatai (A metodas)</v>
      </c>
      <c r="E616" s="72"/>
      <c r="F616" s="441" t="str">
        <f t="shared" si="101"/>
        <v>Proceso metu išsiskiriančios ŠESD</v>
      </c>
      <c r="G616" s="425" t="str">
        <f t="shared" si="102"/>
        <v>netaik.</v>
      </c>
      <c r="H616" s="442"/>
      <c r="I616" s="442"/>
      <c r="J616" s="444"/>
      <c r="K616" s="444"/>
      <c r="L616" s="442"/>
      <c r="M616" s="443"/>
      <c r="N616" s="425" t="str">
        <f t="shared" si="103"/>
        <v>netaik.</v>
      </c>
      <c r="O616" s="427" t="str">
        <f t="shared" si="97"/>
        <v>Kalkės, dolomitas, magnezitas: Karbonatai (A metodas)</v>
      </c>
      <c r="P616" s="72"/>
      <c r="Q616" s="435" t="str">
        <f t="shared" si="98"/>
        <v>OxF_Kalkės, dolomitas, magnezitas: Karbonatai (A metodas)</v>
      </c>
      <c r="X616" s="59" t="b">
        <f t="shared" si="105"/>
        <v>1</v>
      </c>
      <c r="Z616" s="70" t="str">
        <f t="shared" si="104"/>
        <v>netaik.</v>
      </c>
      <c r="AA616" s="95"/>
      <c r="AB616" s="95"/>
      <c r="AC616" s="55"/>
      <c r="AD616" s="55"/>
      <c r="AE616" s="95"/>
      <c r="AF616" s="63"/>
      <c r="AG616" s="70" t="str">
        <f t="shared" si="99"/>
        <v>netaik.</v>
      </c>
    </row>
    <row r="617" spans="1:33" ht="12.75" customHeight="1" outlineLevel="1" x14ac:dyDescent="0.2">
      <c r="A617" s="59">
        <f t="shared" si="100"/>
        <v>25</v>
      </c>
      <c r="B617" s="449" t="str">
        <f t="shared" si="106"/>
        <v>Kalkių gamyba ir dolomitų bei magnezitų kalcinavimas</v>
      </c>
      <c r="C617" s="72" t="str">
        <f t="shared" si="106"/>
        <v>Kalkės, dolomitas, magnezitas</v>
      </c>
      <c r="D617" s="72" t="str">
        <f t="shared" si="106"/>
        <v>Šarminių žemių metalų oksidas (B metodas)</v>
      </c>
      <c r="E617" s="72"/>
      <c r="F617" s="441" t="str">
        <f t="shared" si="101"/>
        <v>Proceso metu išsiskiriančios ŠESD</v>
      </c>
      <c r="G617" s="425" t="str">
        <f t="shared" si="102"/>
        <v>netaik.</v>
      </c>
      <c r="H617" s="442"/>
      <c r="I617" s="442"/>
      <c r="J617" s="444"/>
      <c r="K617" s="444"/>
      <c r="L617" s="442"/>
      <c r="M617" s="443"/>
      <c r="N617" s="425" t="str">
        <f t="shared" si="103"/>
        <v>netaik.</v>
      </c>
      <c r="O617" s="427" t="str">
        <f t="shared" si="97"/>
        <v>Kalkės, dolomitas, magnezitas: Šarminių žemių metalų oksidas (B metodas)</v>
      </c>
      <c r="P617" s="72"/>
      <c r="Q617" s="435" t="str">
        <f t="shared" si="98"/>
        <v>OxF_Kalkės, dolomitas, magnezitas: Šarminių žemių metalų oksidas (B metodas)</v>
      </c>
      <c r="X617" s="59" t="b">
        <f t="shared" si="105"/>
        <v>1</v>
      </c>
      <c r="Z617" s="70" t="str">
        <f t="shared" si="104"/>
        <v>netaik.</v>
      </c>
      <c r="AA617" s="95"/>
      <c r="AB617" s="95"/>
      <c r="AC617" s="55"/>
      <c r="AD617" s="55"/>
      <c r="AE617" s="95"/>
      <c r="AF617" s="63"/>
      <c r="AG617" s="70" t="str">
        <f t="shared" si="99"/>
        <v>netaik.</v>
      </c>
    </row>
    <row r="618" spans="1:33" ht="12.75" customHeight="1" outlineLevel="1" x14ac:dyDescent="0.2">
      <c r="A618" s="59">
        <f t="shared" si="100"/>
        <v>26</v>
      </c>
      <c r="B618" s="449" t="str">
        <f t="shared" si="106"/>
        <v>Kalkių gamyba ir dolomitų bei magnezitų kalcinavimas</v>
      </c>
      <c r="C618" s="72" t="str">
        <f t="shared" si="106"/>
        <v>Kalkės, dolomitas, magnezitas</v>
      </c>
      <c r="D618" s="72" t="str">
        <f t="shared" si="106"/>
        <v>Degimo krosnių dulkės (B metodas)</v>
      </c>
      <c r="E618" s="72"/>
      <c r="F618" s="441" t="str">
        <f t="shared" si="101"/>
        <v>Proceso metu išsiskiriančios ŠESD</v>
      </c>
      <c r="G618" s="425" t="str">
        <f t="shared" si="102"/>
        <v>netaik.</v>
      </c>
      <c r="H618" s="442"/>
      <c r="I618" s="442"/>
      <c r="J618" s="444"/>
      <c r="K618" s="444"/>
      <c r="L618" s="442"/>
      <c r="M618" s="443"/>
      <c r="N618" s="425" t="str">
        <f t="shared" si="103"/>
        <v>netaik.</v>
      </c>
      <c r="O618" s="427" t="str">
        <f t="shared" si="97"/>
        <v>Kalkės, dolomitas, magnezitas: Degimo krosnių dulkės (B metodas)</v>
      </c>
      <c r="P618" s="72"/>
      <c r="Q618" s="435" t="str">
        <f t="shared" si="98"/>
        <v>OxF_Kalkės, dolomitas, magnezitas: Degimo krosnių dulkės (B metodas)</v>
      </c>
      <c r="X618" s="59" t="b">
        <f t="shared" si="105"/>
        <v>1</v>
      </c>
      <c r="Z618" s="70" t="str">
        <f t="shared" si="104"/>
        <v>netaik.</v>
      </c>
      <c r="AA618" s="95"/>
      <c r="AB618" s="95"/>
      <c r="AC618" s="55"/>
      <c r="AD618" s="55"/>
      <c r="AE618" s="95"/>
      <c r="AF618" s="63"/>
      <c r="AG618" s="70" t="str">
        <f t="shared" si="99"/>
        <v>netaik.</v>
      </c>
    </row>
    <row r="619" spans="1:33" ht="12.75" customHeight="1" outlineLevel="1" x14ac:dyDescent="0.2">
      <c r="A619" s="59">
        <f t="shared" si="100"/>
        <v>27</v>
      </c>
      <c r="B619" s="449" t="str">
        <f t="shared" si="106"/>
        <v>Stiklo ir mineralinės vatos gamyba</v>
      </c>
      <c r="C619" s="72" t="str">
        <f t="shared" si="106"/>
        <v>Stiklas ir mineralinė vata</v>
      </c>
      <c r="D619" s="72" t="str">
        <f t="shared" si="106"/>
        <v>Karbonatai (žaliava)</v>
      </c>
      <c r="E619" s="72"/>
      <c r="F619" s="441" t="str">
        <f t="shared" si="101"/>
        <v>Proceso metu išsiskiriančios ŠESD</v>
      </c>
      <c r="G619" s="425" t="str">
        <f t="shared" si="102"/>
        <v>netaik.</v>
      </c>
      <c r="H619" s="442"/>
      <c r="I619" s="442"/>
      <c r="J619" s="444"/>
      <c r="K619" s="444"/>
      <c r="L619" s="442"/>
      <c r="M619" s="443"/>
      <c r="N619" s="425" t="str">
        <f t="shared" si="103"/>
        <v>netaik.</v>
      </c>
      <c r="O619" s="427" t="str">
        <f t="shared" si="97"/>
        <v>Stiklas ir mineralinė vata: Karbonatai (žaliava)</v>
      </c>
      <c r="P619" s="72"/>
      <c r="Q619" s="435" t="str">
        <f t="shared" si="98"/>
        <v>OxF_Stiklas ir mineralinė vata: Karbonatai (žaliava)</v>
      </c>
      <c r="X619" s="59" t="b">
        <f t="shared" si="105"/>
        <v>1</v>
      </c>
      <c r="Z619" s="70" t="str">
        <f t="shared" si="104"/>
        <v>netaik.</v>
      </c>
      <c r="AA619" s="95"/>
      <c r="AB619" s="95"/>
      <c r="AC619" s="55"/>
      <c r="AD619" s="55"/>
      <c r="AE619" s="95"/>
      <c r="AF619" s="63"/>
      <c r="AG619" s="70" t="str">
        <f t="shared" si="99"/>
        <v>netaik.</v>
      </c>
    </row>
    <row r="620" spans="1:33" ht="12.75" customHeight="1" outlineLevel="1" x14ac:dyDescent="0.2">
      <c r="A620" s="59">
        <f t="shared" si="100"/>
        <v>28</v>
      </c>
      <c r="B620" s="449" t="str">
        <f t="shared" si="106"/>
        <v>Keramikos produktų gamyba</v>
      </c>
      <c r="C620" s="72" t="str">
        <f t="shared" si="106"/>
        <v>Keramikos dirbiniai.</v>
      </c>
      <c r="D620" s="72" t="str">
        <f t="shared" si="106"/>
        <v>Anglies sąnaudos (A metodas)</v>
      </c>
      <c r="E620" s="72"/>
      <c r="F620" s="441" t="str">
        <f t="shared" si="101"/>
        <v>Proceso metu išsiskiriančios ŠESD</v>
      </c>
      <c r="G620" s="425" t="str">
        <f t="shared" si="102"/>
        <v>netaik.</v>
      </c>
      <c r="H620" s="442"/>
      <c r="I620" s="442"/>
      <c r="J620" s="444"/>
      <c r="K620" s="444"/>
      <c r="L620" s="442"/>
      <c r="M620" s="443"/>
      <c r="N620" s="425" t="str">
        <f t="shared" si="103"/>
        <v>netaik.</v>
      </c>
      <c r="O620" s="427" t="str">
        <f t="shared" si="97"/>
        <v>Keramikos dirbiniai.: Anglies sąnaudos (A metodas)</v>
      </c>
      <c r="P620" s="72"/>
      <c r="Q620" s="435" t="str">
        <f t="shared" si="98"/>
        <v>OxF_Keramikos dirbiniai.: Anglies sąnaudos (A metodas)</v>
      </c>
      <c r="X620" s="59" t="b">
        <f t="shared" si="105"/>
        <v>1</v>
      </c>
      <c r="Z620" s="70" t="str">
        <f t="shared" si="104"/>
        <v>netaik.</v>
      </c>
      <c r="AA620" s="95"/>
      <c r="AB620" s="95"/>
      <c r="AC620" s="55"/>
      <c r="AD620" s="55"/>
      <c r="AE620" s="95"/>
      <c r="AF620" s="63"/>
      <c r="AG620" s="70" t="str">
        <f t="shared" si="99"/>
        <v>netaik.</v>
      </c>
    </row>
    <row r="621" spans="1:33" ht="12.75" customHeight="1" outlineLevel="1" x14ac:dyDescent="0.2">
      <c r="A621" s="59">
        <f t="shared" si="100"/>
        <v>29</v>
      </c>
      <c r="B621" s="449" t="str">
        <f t="shared" si="106"/>
        <v>Keramikos produktų gamyba</v>
      </c>
      <c r="C621" s="72" t="str">
        <f t="shared" si="106"/>
        <v>Keramikos dirbiniai.</v>
      </c>
      <c r="D621" s="72" t="str">
        <f t="shared" si="106"/>
        <v>Šarminių metalų oksidas (B metodas)</v>
      </c>
      <c r="E621" s="72"/>
      <c r="F621" s="441" t="str">
        <f t="shared" si="101"/>
        <v>Proceso metu išsiskiriančios ŠESD</v>
      </c>
      <c r="G621" s="425" t="str">
        <f t="shared" si="102"/>
        <v>netaik.</v>
      </c>
      <c r="H621" s="442"/>
      <c r="I621" s="442"/>
      <c r="J621" s="444"/>
      <c r="K621" s="444"/>
      <c r="L621" s="442"/>
      <c r="M621" s="443"/>
      <c r="N621" s="425" t="str">
        <f t="shared" si="103"/>
        <v>netaik.</v>
      </c>
      <c r="O621" s="427" t="str">
        <f t="shared" si="97"/>
        <v>Keramikos dirbiniai.: Šarminių metalų oksidas (B metodas)</v>
      </c>
      <c r="P621" s="72"/>
      <c r="Q621" s="435" t="str">
        <f t="shared" si="98"/>
        <v>OxF_Keramikos dirbiniai.: Šarminių metalų oksidas (B metodas)</v>
      </c>
      <c r="X621" s="59" t="b">
        <f t="shared" si="105"/>
        <v>1</v>
      </c>
      <c r="Z621" s="70" t="str">
        <f t="shared" si="104"/>
        <v>netaik.</v>
      </c>
      <c r="AA621" s="95"/>
      <c r="AB621" s="95"/>
      <c r="AC621" s="55"/>
      <c r="AD621" s="55"/>
      <c r="AE621" s="95"/>
      <c r="AF621" s="63"/>
      <c r="AG621" s="70" t="str">
        <f t="shared" si="99"/>
        <v>netaik.</v>
      </c>
    </row>
    <row r="622" spans="1:33" ht="12.75" customHeight="1" outlineLevel="1" x14ac:dyDescent="0.2">
      <c r="A622" s="59">
        <f t="shared" si="100"/>
        <v>30</v>
      </c>
      <c r="B622" s="449" t="str">
        <f t="shared" si="106"/>
        <v>Keramikos produktų gamyba</v>
      </c>
      <c r="C622" s="72" t="str">
        <f t="shared" si="106"/>
        <v>Keramikos dirbiniai.</v>
      </c>
      <c r="D622" s="72" t="str">
        <f t="shared" si="106"/>
        <v>Dujų plovimas</v>
      </c>
      <c r="E622" s="72"/>
      <c r="F622" s="441" t="str">
        <f t="shared" si="101"/>
        <v>Proceso metu išsiskiriančios ŠESD</v>
      </c>
      <c r="G622" s="425" t="str">
        <f t="shared" si="102"/>
        <v>netaik.</v>
      </c>
      <c r="H622" s="442"/>
      <c r="I622" s="442"/>
      <c r="J622" s="444"/>
      <c r="K622" s="444"/>
      <c r="L622" s="442"/>
      <c r="M622" s="443"/>
      <c r="N622" s="425" t="str">
        <f t="shared" si="103"/>
        <v>netaik.</v>
      </c>
      <c r="O622" s="427" t="str">
        <f t="shared" si="97"/>
        <v>Keramikos dirbiniai.: Dujų plovimas</v>
      </c>
      <c r="P622" s="72"/>
      <c r="Q622" s="435" t="str">
        <f t="shared" si="98"/>
        <v>OxF_Keramikos dirbiniai.: Dujų plovimas</v>
      </c>
      <c r="X622" s="59" t="b">
        <f t="shared" si="105"/>
        <v>1</v>
      </c>
      <c r="Z622" s="70" t="str">
        <f t="shared" si="104"/>
        <v>netaik.</v>
      </c>
      <c r="AA622" s="95"/>
      <c r="AB622" s="95"/>
      <c r="AC622" s="55"/>
      <c r="AD622" s="55"/>
      <c r="AE622" s="95"/>
      <c r="AF622" s="63"/>
      <c r="AG622" s="70" t="str">
        <f t="shared" si="99"/>
        <v>netaik.</v>
      </c>
    </row>
    <row r="623" spans="1:33" ht="12.75" customHeight="1" outlineLevel="1" x14ac:dyDescent="0.2">
      <c r="A623" s="59">
        <f t="shared" si="100"/>
        <v>31</v>
      </c>
      <c r="B623" s="449" t="str">
        <f t="shared" si="106"/>
        <v>Celiuliozės ir popieriaus gamyba</v>
      </c>
      <c r="C623" s="72" t="str">
        <f t="shared" si="106"/>
        <v>Celiuliozė ir popierius</v>
      </c>
      <c r="D623" s="72" t="str">
        <f t="shared" si="106"/>
        <v>Sudėtinės cheminės medžiagos</v>
      </c>
      <c r="E623" s="72"/>
      <c r="F623" s="441" t="str">
        <f t="shared" si="101"/>
        <v>Proceso metu išsiskiriančios ŠESD</v>
      </c>
      <c r="G623" s="425" t="str">
        <f t="shared" si="102"/>
        <v>netaik.</v>
      </c>
      <c r="H623" s="442"/>
      <c r="I623" s="442"/>
      <c r="J623" s="444"/>
      <c r="K623" s="444"/>
      <c r="L623" s="442"/>
      <c r="M623" s="443"/>
      <c r="N623" s="425" t="str">
        <f t="shared" si="103"/>
        <v>netaik.</v>
      </c>
      <c r="O623" s="427" t="str">
        <f t="shared" si="97"/>
        <v>Celiuliozė ir popierius: Sudėtinės cheminės medžiagos</v>
      </c>
      <c r="P623" s="72"/>
      <c r="Q623" s="435" t="str">
        <f t="shared" si="98"/>
        <v>OxF_Celiuliozė ir popierius: Sudėtinės cheminės medžiagos</v>
      </c>
      <c r="X623" s="59" t="b">
        <f t="shared" si="105"/>
        <v>1</v>
      </c>
      <c r="Z623" s="70" t="str">
        <f t="shared" si="104"/>
        <v>netaik.</v>
      </c>
      <c r="AA623" s="95"/>
      <c r="AB623" s="95"/>
      <c r="AC623" s="55"/>
      <c r="AD623" s="55"/>
      <c r="AE623" s="95"/>
      <c r="AF623" s="63"/>
      <c r="AG623" s="70" t="str">
        <f t="shared" si="99"/>
        <v>netaik.</v>
      </c>
    </row>
    <row r="624" spans="1:33" ht="12.75" customHeight="1" outlineLevel="1" x14ac:dyDescent="0.2">
      <c r="A624" s="59">
        <f t="shared" si="100"/>
        <v>32</v>
      </c>
      <c r="B624" s="449" t="str">
        <f t="shared" si="106"/>
        <v>Suodžių gamyba</v>
      </c>
      <c r="C624" s="72" t="str">
        <f t="shared" si="106"/>
        <v>Padengtas kartonas Suodžiai</v>
      </c>
      <c r="D624" s="72" t="str">
        <f t="shared" si="106"/>
        <v>Masės balanso metodika</v>
      </c>
      <c r="E624" s="72"/>
      <c r="F624" s="441" t="str">
        <f t="shared" si="101"/>
        <v>Masės balansas</v>
      </c>
      <c r="G624" s="425" t="str">
        <f t="shared" si="102"/>
        <v>netaik.</v>
      </c>
      <c r="H624" s="442"/>
      <c r="I624" s="442"/>
      <c r="J624" s="444"/>
      <c r="K624" s="444"/>
      <c r="L624" s="442"/>
      <c r="M624" s="443"/>
      <c r="N624" s="425" t="str">
        <f t="shared" si="103"/>
        <v>netaik.</v>
      </c>
      <c r="O624" s="427" t="str">
        <f t="shared" si="97"/>
        <v>Padengtas kartonas Suodžiai: Masės balanso metodika</v>
      </c>
      <c r="P624" s="72"/>
      <c r="Q624" s="435" t="str">
        <f t="shared" si="98"/>
        <v>OxF_Padengtas kartonas Suodžiai: Masės balanso metodika</v>
      </c>
      <c r="X624" s="59" t="b">
        <f t="shared" si="105"/>
        <v>1</v>
      </c>
      <c r="Z624" s="70" t="str">
        <f t="shared" si="104"/>
        <v>netaik.</v>
      </c>
      <c r="AA624" s="95"/>
      <c r="AB624" s="95"/>
      <c r="AC624" s="55"/>
      <c r="AD624" s="55"/>
      <c r="AE624" s="95"/>
      <c r="AF624" s="63"/>
      <c r="AG624" s="70" t="str">
        <f t="shared" si="99"/>
        <v>netaik.</v>
      </c>
    </row>
    <row r="625" spans="1:40" ht="12.75" customHeight="1" outlineLevel="1" x14ac:dyDescent="0.2">
      <c r="A625" s="59">
        <f t="shared" si="100"/>
        <v>33</v>
      </c>
      <c r="B625" s="449" t="str">
        <f t="shared" si="106"/>
        <v>Amoniako gamyba</v>
      </c>
      <c r="C625" s="72" t="str">
        <f t="shared" si="106"/>
        <v>Amoniakas</v>
      </c>
      <c r="D625" s="72" t="str">
        <f t="shared" si="106"/>
        <v>Kuras kaip proceso žaliava</v>
      </c>
      <c r="E625" s="72"/>
      <c r="F625" s="441" t="str">
        <f t="shared" si="101"/>
        <v>Degimas</v>
      </c>
      <c r="G625" s="425" t="str">
        <f t="shared" si="102"/>
        <v>netaik.</v>
      </c>
      <c r="H625" s="442"/>
      <c r="I625" s="442"/>
      <c r="J625" s="444"/>
      <c r="K625" s="444"/>
      <c r="L625" s="442"/>
      <c r="M625" s="443"/>
      <c r="N625" s="425" t="str">
        <f t="shared" si="103"/>
        <v>netaik.</v>
      </c>
      <c r="O625" s="427" t="str">
        <f t="shared" si="97"/>
        <v>Amoniakas: Kuras kaip proceso žaliava</v>
      </c>
      <c r="P625" s="72"/>
      <c r="Q625" s="435" t="str">
        <f t="shared" si="98"/>
        <v>OxF_Amoniakas: Kuras kaip proceso žaliava</v>
      </c>
      <c r="X625" s="59" t="b">
        <f t="shared" si="105"/>
        <v>1</v>
      </c>
      <c r="Z625" s="70" t="str">
        <f t="shared" si="104"/>
        <v>netaik.</v>
      </c>
      <c r="AA625" s="95"/>
      <c r="AB625" s="95"/>
      <c r="AC625" s="55"/>
      <c r="AD625" s="55"/>
      <c r="AE625" s="95"/>
      <c r="AF625" s="63"/>
      <c r="AG625" s="70" t="str">
        <f t="shared" si="99"/>
        <v>netaik.</v>
      </c>
    </row>
    <row r="626" spans="1:40" ht="12.75" customHeight="1" outlineLevel="1" x14ac:dyDescent="0.2">
      <c r="A626" s="59">
        <f t="shared" si="100"/>
        <v>34</v>
      </c>
      <c r="B626" s="449" t="str">
        <f t="shared" si="106"/>
        <v>Vandenilio ar sintezės dujų gamyba</v>
      </c>
      <c r="C626" s="72" t="str">
        <f t="shared" si="106"/>
        <v>Vandenilis ir sintezės dujos</v>
      </c>
      <c r="D626" s="72" t="str">
        <f t="shared" si="106"/>
        <v>Kuras kaip proceso žaliava</v>
      </c>
      <c r="E626" s="72"/>
      <c r="F626" s="441" t="str">
        <f t="shared" si="101"/>
        <v>Degimas</v>
      </c>
      <c r="G626" s="425" t="str">
        <f t="shared" si="102"/>
        <v>netaik.</v>
      </c>
      <c r="H626" s="442"/>
      <c r="I626" s="442"/>
      <c r="J626" s="444"/>
      <c r="K626" s="444"/>
      <c r="L626" s="442"/>
      <c r="M626" s="443"/>
      <c r="N626" s="425" t="str">
        <f t="shared" si="103"/>
        <v>netaik.</v>
      </c>
      <c r="O626" s="427" t="str">
        <f t="shared" si="97"/>
        <v>Vandenilis ir sintezės dujos: Kuras kaip proceso žaliava</v>
      </c>
      <c r="P626" s="72"/>
      <c r="Q626" s="435" t="str">
        <f t="shared" si="98"/>
        <v>OxF_Vandenilis ir sintezės dujos: Kuras kaip proceso žaliava</v>
      </c>
      <c r="X626" s="59" t="b">
        <f t="shared" si="105"/>
        <v>1</v>
      </c>
      <c r="Z626" s="70" t="str">
        <f t="shared" si="104"/>
        <v>netaik.</v>
      </c>
      <c r="AA626" s="95"/>
      <c r="AB626" s="95"/>
      <c r="AC626" s="55"/>
      <c r="AD626" s="55"/>
      <c r="AE626" s="95"/>
      <c r="AF626" s="63"/>
      <c r="AG626" s="70" t="str">
        <f t="shared" si="99"/>
        <v>netaik.</v>
      </c>
    </row>
    <row r="627" spans="1:40" ht="12.75" customHeight="1" outlineLevel="1" x14ac:dyDescent="0.2">
      <c r="A627" s="59">
        <f t="shared" si="100"/>
        <v>35</v>
      </c>
      <c r="B627" s="449" t="str">
        <f t="shared" si="106"/>
        <v>Vandenilio ar sintezės dujų gamyba</v>
      </c>
      <c r="C627" s="72" t="str">
        <f t="shared" si="106"/>
        <v>Vandenilis ir sintezės dujos</v>
      </c>
      <c r="D627" s="72" t="str">
        <f t="shared" si="106"/>
        <v>Masės balanso metodika</v>
      </c>
      <c r="E627" s="72"/>
      <c r="F627" s="441" t="str">
        <f t="shared" si="101"/>
        <v>Masės balansas</v>
      </c>
      <c r="G627" s="425" t="str">
        <f t="shared" si="102"/>
        <v>netaik.</v>
      </c>
      <c r="H627" s="442"/>
      <c r="I627" s="442"/>
      <c r="J627" s="444"/>
      <c r="K627" s="444"/>
      <c r="L627" s="442"/>
      <c r="M627" s="443"/>
      <c r="N627" s="425" t="str">
        <f t="shared" si="103"/>
        <v>netaik.</v>
      </c>
      <c r="O627" s="427" t="str">
        <f t="shared" si="97"/>
        <v>Vandenilis ir sintezės dujos: Masės balanso metodika</v>
      </c>
      <c r="P627" s="72"/>
      <c r="Q627" s="435" t="str">
        <f t="shared" si="98"/>
        <v>OxF_Vandenilis ir sintezės dujos: Masės balanso metodika</v>
      </c>
      <c r="X627" s="59" t="b">
        <f t="shared" si="105"/>
        <v>1</v>
      </c>
      <c r="Z627" s="70" t="str">
        <f t="shared" si="104"/>
        <v>netaik.</v>
      </c>
      <c r="AA627" s="95"/>
      <c r="AB627" s="95"/>
      <c r="AC627" s="55"/>
      <c r="AD627" s="55"/>
      <c r="AE627" s="95"/>
      <c r="AF627" s="63"/>
      <c r="AG627" s="70" t="str">
        <f t="shared" si="99"/>
        <v>netaik.</v>
      </c>
    </row>
    <row r="628" spans="1:40" ht="12.75" customHeight="1" outlineLevel="1" x14ac:dyDescent="0.2">
      <c r="A628" s="59">
        <f t="shared" si="100"/>
        <v>36</v>
      </c>
      <c r="B628" s="449" t="str">
        <f t="shared" si="106"/>
        <v>Biriųjų organinių cheminių medžiagų gamyba</v>
      </c>
      <c r="C628" s="72" t="str">
        <f t="shared" si="106"/>
        <v>Didelio masto organinių cheminių medžiagų gamyba</v>
      </c>
      <c r="D628" s="72" t="str">
        <f t="shared" si="106"/>
        <v>Masės balanso metodika</v>
      </c>
      <c r="E628" s="72"/>
      <c r="F628" s="441" t="str">
        <f t="shared" si="101"/>
        <v>Masės balansas</v>
      </c>
      <c r="G628" s="425" t="str">
        <f t="shared" si="102"/>
        <v>netaik.</v>
      </c>
      <c r="H628" s="442"/>
      <c r="I628" s="442"/>
      <c r="J628" s="444"/>
      <c r="K628" s="444"/>
      <c r="L628" s="442"/>
      <c r="M628" s="443"/>
      <c r="N628" s="425" t="str">
        <f t="shared" si="103"/>
        <v>netaik.</v>
      </c>
      <c r="O628" s="427" t="str">
        <f t="shared" si="97"/>
        <v>Didelio masto organinių cheminių medžiagų gamyba: Masės balanso metodika</v>
      </c>
      <c r="P628" s="72"/>
      <c r="Q628" s="435" t="str">
        <f t="shared" si="98"/>
        <v>OxF_Didelio masto organinių cheminių medžiagų gamyba: Masės balanso metodika</v>
      </c>
      <c r="X628" s="59" t="b">
        <f t="shared" si="105"/>
        <v>1</v>
      </c>
      <c r="Z628" s="70" t="str">
        <f t="shared" si="104"/>
        <v>netaik.</v>
      </c>
      <c r="AA628" s="95"/>
      <c r="AB628" s="95"/>
      <c r="AC628" s="55"/>
      <c r="AD628" s="55"/>
      <c r="AE628" s="95"/>
      <c r="AF628" s="63"/>
      <c r="AG628" s="70" t="str">
        <f t="shared" si="99"/>
        <v>netaik.</v>
      </c>
    </row>
    <row r="629" spans="1:40" ht="12.75" customHeight="1" outlineLevel="1" x14ac:dyDescent="0.2">
      <c r="A629" s="59">
        <f t="shared" si="100"/>
        <v>37</v>
      </c>
      <c r="B629" s="449" t="str">
        <f t="shared" si="106"/>
        <v>Juodųjų ir spalvotųjų metalų, įskaitant antrinį aliuminį, gamyba ar apdirbimas</v>
      </c>
      <c r="C629" s="72" t="str">
        <f t="shared" si="106"/>
        <v>(Ne)spalvotieji, antrinis aliuminis</v>
      </c>
      <c r="D629" s="72" t="str">
        <f t="shared" si="106"/>
        <v>Proceso metu išsiskiriančios ŠESD</v>
      </c>
      <c r="E629" s="72"/>
      <c r="F629" s="441" t="str">
        <f t="shared" si="101"/>
        <v>Proceso metu išsiskiriančios ŠESD</v>
      </c>
      <c r="G629" s="425" t="str">
        <f t="shared" si="102"/>
        <v>netaik.</v>
      </c>
      <c r="H629" s="442"/>
      <c r="I629" s="442"/>
      <c r="J629" s="444"/>
      <c r="K629" s="444"/>
      <c r="L629" s="442"/>
      <c r="M629" s="443"/>
      <c r="N629" s="425" t="str">
        <f t="shared" si="103"/>
        <v>netaik.</v>
      </c>
      <c r="O629" s="427" t="str">
        <f t="shared" si="97"/>
        <v>(Ne)spalvotieji, antrinis aliuminis: Proceso metu išsiskiriančios ŠESD</v>
      </c>
      <c r="P629" s="72"/>
      <c r="Q629" s="435" t="str">
        <f t="shared" si="98"/>
        <v>OxF_(Ne)spalvotieji, antrinis aliuminis: Proceso metu išsiskiriančios ŠESD</v>
      </c>
      <c r="X629" s="59" t="b">
        <f t="shared" si="105"/>
        <v>1</v>
      </c>
      <c r="Z629" s="70" t="str">
        <f t="shared" si="104"/>
        <v>netaik.</v>
      </c>
      <c r="AA629" s="95"/>
      <c r="AB629" s="95"/>
      <c r="AC629" s="55"/>
      <c r="AD629" s="55"/>
      <c r="AE629" s="95"/>
      <c r="AF629" s="63"/>
      <c r="AG629" s="70" t="str">
        <f t="shared" si="99"/>
        <v>netaik.</v>
      </c>
    </row>
    <row r="630" spans="1:40" ht="12.75" customHeight="1" outlineLevel="1" x14ac:dyDescent="0.2">
      <c r="A630" s="59">
        <f t="shared" si="100"/>
        <v>38</v>
      </c>
      <c r="B630" s="449" t="str">
        <f t="shared" si="106"/>
        <v>Juodųjų ir spalvotųjų metalų, įskaitant antrinį aliuminį, gamyba ar apdirbimas</v>
      </c>
      <c r="C630" s="72" t="str">
        <f t="shared" si="106"/>
        <v>(Ne)spalvotieji, antrinis aliuminis</v>
      </c>
      <c r="D630" s="72" t="str">
        <f t="shared" si="106"/>
        <v>Masės balanso metodika</v>
      </c>
      <c r="E630" s="72"/>
      <c r="F630" s="441" t="str">
        <f t="shared" si="101"/>
        <v>Masės balansas</v>
      </c>
      <c r="G630" s="425" t="str">
        <f t="shared" si="102"/>
        <v>netaik.</v>
      </c>
      <c r="H630" s="442"/>
      <c r="I630" s="442"/>
      <c r="J630" s="444"/>
      <c r="K630" s="444"/>
      <c r="L630" s="442"/>
      <c r="M630" s="443"/>
      <c r="N630" s="425" t="str">
        <f t="shared" si="103"/>
        <v>netaik.</v>
      </c>
      <c r="O630" s="427" t="str">
        <f t="shared" si="97"/>
        <v>(Ne)spalvotieji, antrinis aliuminis: Masės balanso metodika</v>
      </c>
      <c r="P630" s="72"/>
      <c r="Q630" s="435" t="str">
        <f t="shared" si="98"/>
        <v>OxF_(Ne)spalvotieji, antrinis aliuminis: Masės balanso metodika</v>
      </c>
      <c r="X630" s="59" t="b">
        <f t="shared" si="105"/>
        <v>1</v>
      </c>
      <c r="Z630" s="70" t="str">
        <f t="shared" si="104"/>
        <v>netaik.</v>
      </c>
      <c r="AA630" s="95"/>
      <c r="AB630" s="95"/>
      <c r="AC630" s="55"/>
      <c r="AD630" s="55"/>
      <c r="AE630" s="95"/>
      <c r="AF630" s="63"/>
      <c r="AG630" s="70" t="str">
        <f t="shared" si="99"/>
        <v>netaik.</v>
      </c>
    </row>
    <row r="631" spans="1:40" ht="12.75" customHeight="1" outlineLevel="1" x14ac:dyDescent="0.2">
      <c r="A631" s="59">
        <f t="shared" si="100"/>
        <v>39</v>
      </c>
      <c r="B631" s="449" t="str">
        <f t="shared" si="106"/>
        <v>Natrio karbonato ir natrio hidrokarbonato gamyba</v>
      </c>
      <c r="C631" s="72" t="str">
        <f t="shared" si="106"/>
        <v>Natrio karbonatas / natrio hidrokarbonatas</v>
      </c>
      <c r="D631" s="72" t="str">
        <f t="shared" si="106"/>
        <v>Masės balanso metodika</v>
      </c>
      <c r="E631" s="72"/>
      <c r="F631" s="441" t="str">
        <f t="shared" si="101"/>
        <v>Masės balansas</v>
      </c>
      <c r="G631" s="425" t="str">
        <f t="shared" si="102"/>
        <v>netaik.</v>
      </c>
      <c r="H631" s="442"/>
      <c r="I631" s="442"/>
      <c r="J631" s="444"/>
      <c r="K631" s="444"/>
      <c r="L631" s="442"/>
      <c r="M631" s="443"/>
      <c r="N631" s="425" t="str">
        <f t="shared" si="103"/>
        <v>netaik.</v>
      </c>
      <c r="O631" s="427" t="str">
        <f t="shared" si="97"/>
        <v>Natrio karbonatas / natrio hidrokarbonatas: Masės balanso metodika</v>
      </c>
      <c r="P631" s="72"/>
      <c r="Q631" s="435" t="str">
        <f t="shared" si="98"/>
        <v>OxF_Natrio karbonatas / natrio hidrokarbonatas: Masės balanso metodika</v>
      </c>
      <c r="X631" s="59" t="b">
        <f t="shared" si="105"/>
        <v>1</v>
      </c>
      <c r="Z631" s="70" t="str">
        <f t="shared" si="104"/>
        <v>netaik.</v>
      </c>
      <c r="AA631" s="95"/>
      <c r="AB631" s="95"/>
      <c r="AC631" s="55"/>
      <c r="AD631" s="55"/>
      <c r="AE631" s="95"/>
      <c r="AF631" s="63"/>
      <c r="AG631" s="70" t="str">
        <f t="shared" si="99"/>
        <v>netaik.</v>
      </c>
    </row>
    <row r="632" spans="1:40" ht="12.75" customHeight="1" outlineLevel="1" x14ac:dyDescent="0.2">
      <c r="A632" s="59">
        <f t="shared" si="100"/>
        <v>40</v>
      </c>
      <c r="B632" s="449" t="str">
        <f t="shared" si="106"/>
        <v>Pirminio aliuminio gamyba</v>
      </c>
      <c r="C632" s="72" t="str">
        <f t="shared" si="106"/>
        <v>Pirminis aliuminis</v>
      </c>
      <c r="D632" s="72" t="str">
        <f t="shared" si="106"/>
        <v>Masės balanso metodika</v>
      </c>
      <c r="E632" s="72"/>
      <c r="F632" s="441" t="str">
        <f t="shared" si="101"/>
        <v>Masės balansas</v>
      </c>
      <c r="G632" s="425" t="str">
        <f t="shared" si="102"/>
        <v>netaik.</v>
      </c>
      <c r="H632" s="442"/>
      <c r="I632" s="442"/>
      <c r="J632" s="444"/>
      <c r="K632" s="444"/>
      <c r="L632" s="442"/>
      <c r="M632" s="443"/>
      <c r="N632" s="425" t="str">
        <f t="shared" si="103"/>
        <v>netaik.</v>
      </c>
      <c r="O632" s="427" t="str">
        <f t="shared" si="97"/>
        <v>Pirminis aliuminis: Masės balanso metodika</v>
      </c>
      <c r="P632" s="72"/>
      <c r="Q632" s="435" t="str">
        <f t="shared" si="98"/>
        <v>OxF_Pirminis aliuminis: Masės balanso metodika</v>
      </c>
      <c r="X632" s="59" t="b">
        <f t="shared" si="105"/>
        <v>1</v>
      </c>
      <c r="Z632" s="70" t="str">
        <f t="shared" si="104"/>
        <v>netaik.</v>
      </c>
      <c r="AA632" s="95"/>
      <c r="AB632" s="95"/>
      <c r="AC632" s="55"/>
      <c r="AD632" s="55"/>
      <c r="AE632" s="95"/>
      <c r="AF632" s="63"/>
      <c r="AG632" s="70" t="str">
        <f t="shared" si="99"/>
        <v>netaik.</v>
      </c>
    </row>
    <row r="633" spans="1:40" ht="12.75" customHeight="1" outlineLevel="1" x14ac:dyDescent="0.2">
      <c r="A633" s="59">
        <f t="shared" si="100"/>
        <v>41</v>
      </c>
      <c r="B633" s="449" t="str">
        <f t="shared" ref="B633:D634" si="107">B585</f>
        <v>Pirminio aliuminio gamyba</v>
      </c>
      <c r="C633" s="72" t="str">
        <f t="shared" si="107"/>
        <v>Pirminis aliuminis</v>
      </c>
      <c r="D633" s="72" t="str">
        <f t="shared" si="107"/>
        <v>Išmetamas PFC kiekis (nuolydžio metodas)</v>
      </c>
      <c r="E633" s="72"/>
      <c r="F633" s="441" t="str">
        <f t="shared" si="101"/>
        <v>Išmetamas PFC kiekis</v>
      </c>
      <c r="G633" s="425" t="str">
        <f t="shared" si="102"/>
        <v>netaik.</v>
      </c>
      <c r="H633" s="442"/>
      <c r="I633" s="442"/>
      <c r="J633" s="444"/>
      <c r="K633" s="444"/>
      <c r="L633" s="442"/>
      <c r="M633" s="443"/>
      <c r="N633" s="425" t="str">
        <f t="shared" si="103"/>
        <v>netaik.</v>
      </c>
      <c r="O633" s="427" t="str">
        <f t="shared" si="97"/>
        <v>Pirminis aliuminis: Išmetamas PFC kiekis (nuolydžio metodas)</v>
      </c>
      <c r="P633" s="72"/>
      <c r="Q633" s="435" t="str">
        <f t="shared" si="98"/>
        <v>OxF_Pirminis aliuminis: Išmetamas PFC kiekis (nuolydžio metodas)</v>
      </c>
      <c r="X633" s="59" t="b">
        <f t="shared" si="105"/>
        <v>1</v>
      </c>
      <c r="Z633" s="70" t="str">
        <f t="shared" si="104"/>
        <v>netaik.</v>
      </c>
      <c r="AA633" s="95"/>
      <c r="AB633" s="95"/>
      <c r="AC633" s="55"/>
      <c r="AD633" s="55"/>
      <c r="AE633" s="95"/>
      <c r="AF633" s="63"/>
      <c r="AG633" s="70" t="str">
        <f t="shared" si="99"/>
        <v>netaik.</v>
      </c>
    </row>
    <row r="634" spans="1:40" ht="12.75" customHeight="1" outlineLevel="1" thickBot="1" x14ac:dyDescent="0.25">
      <c r="A634" s="59">
        <f t="shared" si="100"/>
        <v>42</v>
      </c>
      <c r="B634" s="450" t="str">
        <f t="shared" si="107"/>
        <v>Pirminio aliuminio gamyba</v>
      </c>
      <c r="C634" s="438" t="str">
        <f t="shared" si="107"/>
        <v>Pirminis aliuminis</v>
      </c>
      <c r="D634" s="438" t="str">
        <f t="shared" si="107"/>
        <v>Išmetamas PFC kiekis (viršįtampio metodas)</v>
      </c>
      <c r="E634" s="438"/>
      <c r="F634" s="451" t="str">
        <f t="shared" si="101"/>
        <v>Išmetamas PFC kiekis</v>
      </c>
      <c r="G634" s="436" t="str">
        <f t="shared" si="102"/>
        <v>netaik.</v>
      </c>
      <c r="H634" s="452"/>
      <c r="I634" s="452"/>
      <c r="J634" s="453"/>
      <c r="K634" s="453"/>
      <c r="L634" s="452"/>
      <c r="M634" s="454"/>
      <c r="N634" s="436" t="str">
        <f t="shared" si="103"/>
        <v>netaik.</v>
      </c>
      <c r="O634" s="439" t="str">
        <f t="shared" si="97"/>
        <v>Pirminis aliuminis: Išmetamas PFC kiekis (viršįtampio metodas)</v>
      </c>
      <c r="P634" s="438"/>
      <c r="Q634" s="440" t="str">
        <f t="shared" si="98"/>
        <v>OxF_Pirminis aliuminis: Išmetamas PFC kiekis (viršįtampio metodas)</v>
      </c>
      <c r="X634" s="59" t="b">
        <f t="shared" si="105"/>
        <v>1</v>
      </c>
      <c r="Z634" s="70" t="str">
        <f t="shared" si="104"/>
        <v>netaik.</v>
      </c>
      <c r="AA634" s="95"/>
      <c r="AB634" s="95"/>
      <c r="AC634" s="55"/>
      <c r="AD634" s="55"/>
      <c r="AE634" s="95"/>
      <c r="AF634" s="63"/>
      <c r="AG634" s="70" t="str">
        <f t="shared" si="99"/>
        <v>netaik.</v>
      </c>
    </row>
    <row r="635" spans="1:40" ht="12.75" customHeight="1" outlineLevel="1" x14ac:dyDescent="0.2">
      <c r="B635" s="55"/>
      <c r="C635" s="55"/>
      <c r="D635" s="55"/>
      <c r="E635" s="55"/>
      <c r="F635" s="103"/>
      <c r="G635" s="55"/>
      <c r="H635" s="94"/>
      <c r="I635" s="94"/>
      <c r="J635" s="99"/>
      <c r="K635" s="99"/>
      <c r="L635" s="94"/>
      <c r="M635" s="98"/>
      <c r="N635" s="70"/>
      <c r="O635" s="55"/>
      <c r="P635" s="55"/>
      <c r="Q635" s="55"/>
      <c r="X635" s="59" t="b">
        <f t="shared" si="105"/>
        <v>0</v>
      </c>
      <c r="Z635" s="55"/>
      <c r="AA635" s="95"/>
      <c r="AB635" s="95"/>
      <c r="AC635" s="55"/>
      <c r="AD635" s="55"/>
      <c r="AE635" s="95"/>
      <c r="AF635" s="63"/>
      <c r="AG635" s="70"/>
    </row>
    <row r="636" spans="1:40" ht="12.75" customHeight="1" outlineLevel="1" x14ac:dyDescent="0.2">
      <c r="B636" s="55" t="s">
        <v>93</v>
      </c>
      <c r="C636" s="55"/>
      <c r="D636" s="55"/>
      <c r="E636" s="55"/>
      <c r="F636" s="55"/>
      <c r="G636" s="55"/>
      <c r="H636" s="94"/>
      <c r="I636" s="94"/>
      <c r="J636" s="99"/>
      <c r="K636" s="99"/>
      <c r="L636" s="94"/>
      <c r="M636" s="98"/>
      <c r="N636" s="70"/>
      <c r="O636" s="55"/>
      <c r="P636" s="55"/>
      <c r="Q636" s="55"/>
      <c r="X636" s="59" t="b">
        <f t="shared" si="105"/>
        <v>0</v>
      </c>
      <c r="Z636" s="55"/>
      <c r="AA636" s="95"/>
      <c r="AB636" s="95"/>
      <c r="AC636" s="55"/>
      <c r="AD636" s="55"/>
      <c r="AE636" s="95"/>
      <c r="AF636" s="63"/>
      <c r="AG636" s="70"/>
    </row>
    <row r="637" spans="1:40" ht="12.75" customHeight="1" outlineLevel="1" x14ac:dyDescent="0.2">
      <c r="B637" s="55" t="s">
        <v>94</v>
      </c>
      <c r="C637" s="55"/>
      <c r="D637" s="55"/>
      <c r="E637" s="55"/>
      <c r="F637" s="55"/>
      <c r="G637" s="55"/>
      <c r="H637" s="94"/>
      <c r="I637" s="94"/>
      <c r="J637" s="99"/>
      <c r="K637" s="99"/>
      <c r="L637" s="94"/>
      <c r="M637" s="98"/>
      <c r="N637" s="70"/>
      <c r="O637" s="55"/>
      <c r="P637" s="55"/>
      <c r="Q637" s="55"/>
      <c r="X637" s="59" t="b">
        <f t="shared" si="105"/>
        <v>0</v>
      </c>
      <c r="Z637" s="55"/>
      <c r="AA637" s="95"/>
      <c r="AB637" s="95"/>
      <c r="AC637" s="55"/>
      <c r="AD637" s="55"/>
      <c r="AE637" s="95"/>
      <c r="AF637" s="63"/>
      <c r="AG637" s="70"/>
    </row>
    <row r="638" spans="1:40" ht="12.75" customHeight="1" outlineLevel="1" x14ac:dyDescent="0.2">
      <c r="B638" s="55" t="str">
        <f>Translations!$B$431</f>
        <v>masių balansas</v>
      </c>
      <c r="C638" s="55"/>
      <c r="D638" s="55"/>
      <c r="E638" s="55"/>
      <c r="F638" s="55"/>
      <c r="G638" s="55"/>
      <c r="H638" s="94"/>
      <c r="I638" s="94"/>
      <c r="J638" s="99"/>
      <c r="K638" s="99"/>
      <c r="L638" s="94"/>
      <c r="M638" s="98"/>
      <c r="N638" s="70"/>
      <c r="O638" s="55"/>
      <c r="P638" s="55"/>
      <c r="Q638" s="55"/>
      <c r="X638" s="59" t="b">
        <f t="shared" si="105"/>
        <v>0</v>
      </c>
      <c r="Z638" s="55"/>
      <c r="AA638" s="95"/>
      <c r="AB638" s="95"/>
      <c r="AC638" s="55"/>
      <c r="AD638" s="55"/>
      <c r="AE638" s="95"/>
      <c r="AF638" s="63"/>
      <c r="AG638" s="70"/>
    </row>
    <row r="639" spans="1:40" ht="12.75" customHeight="1" outlineLevel="1" x14ac:dyDescent="0.2">
      <c r="B639" s="55"/>
      <c r="C639" s="55"/>
      <c r="D639" s="55"/>
      <c r="E639" s="55"/>
      <c r="F639" s="106"/>
      <c r="G639" s="55"/>
      <c r="H639" s="107"/>
      <c r="I639" s="107"/>
      <c r="J639" s="99"/>
      <c r="K639" s="99"/>
      <c r="L639" s="98"/>
      <c r="M639" s="99"/>
      <c r="N639" s="55"/>
      <c r="O639" s="55"/>
      <c r="P639" s="55"/>
      <c r="Q639" s="55"/>
      <c r="X639" s="59" t="b">
        <f t="shared" si="105"/>
        <v>0</v>
      </c>
      <c r="Z639" s="55"/>
      <c r="AA639" s="106"/>
      <c r="AB639" s="106"/>
      <c r="AC639" s="55"/>
      <c r="AD639" s="55"/>
      <c r="AE639" s="63"/>
      <c r="AF639" s="55"/>
      <c r="AG639" s="55"/>
    </row>
    <row r="640" spans="1:40" s="86" customFormat="1" ht="13.5" thickBot="1" x14ac:dyDescent="0.25">
      <c r="B640" s="96" t="str">
        <f>Translations!$B$154</f>
        <v>Perskaičiavimo koeficientas</v>
      </c>
      <c r="F640" s="96" t="str">
        <f>F592</f>
        <v>Šaltinio tipas</v>
      </c>
      <c r="G640" s="89" t="str">
        <f>Translations!$B$338</f>
        <v>Mažiausiai</v>
      </c>
      <c r="H640" s="89">
        <v>1</v>
      </c>
      <c r="I640" s="89">
        <v>2</v>
      </c>
      <c r="J640" s="89" t="s">
        <v>262</v>
      </c>
      <c r="K640" s="89" t="str">
        <f>Translations!$B$306</f>
        <v>2b</v>
      </c>
      <c r="L640" s="89">
        <v>3</v>
      </c>
      <c r="N640" s="89" t="str">
        <f>Translations!$B$339</f>
        <v>Didžiausia</v>
      </c>
      <c r="X640" s="80"/>
      <c r="Z640" s="89" t="str">
        <f>Translations!$B$338</f>
        <v>Mažiausiai</v>
      </c>
      <c r="AA640" s="89">
        <v>1</v>
      </c>
      <c r="AB640" s="89">
        <v>2</v>
      </c>
      <c r="AC640" s="89" t="s">
        <v>262</v>
      </c>
      <c r="AD640" s="89" t="str">
        <f>Translations!$B$306</f>
        <v>2b</v>
      </c>
      <c r="AE640" s="89">
        <v>3</v>
      </c>
      <c r="AG640" s="89" t="str">
        <f>Translations!$B$339</f>
        <v>Didžiausia</v>
      </c>
      <c r="AI640" s="96" t="str">
        <f>Translations!$B$433</f>
        <v>numatytoji vertė?</v>
      </c>
      <c r="AJ640" s="89">
        <v>1</v>
      </c>
      <c r="AK640" s="89">
        <v>2</v>
      </c>
      <c r="AL640" s="89" t="s">
        <v>262</v>
      </c>
      <c r="AM640" s="89" t="str">
        <f>Translations!$B$306</f>
        <v>2b</v>
      </c>
      <c r="AN640" s="89">
        <v>3</v>
      </c>
    </row>
    <row r="641" spans="1:37" ht="12.75" customHeight="1" outlineLevel="1" x14ac:dyDescent="0.2">
      <c r="A641" s="59">
        <f>A593</f>
        <v>1</v>
      </c>
      <c r="B641" s="445" t="str">
        <f t="shared" ref="B641:D660" si="108">B593</f>
        <v>Kuro deginimas ir kaip proceso žaliava naudojamas kuras</v>
      </c>
      <c r="C641" s="432" t="str">
        <f t="shared" si="108"/>
        <v>Degimas</v>
      </c>
      <c r="D641" s="432" t="str">
        <f t="shared" si="108"/>
        <v>Komercinis standartinių rūšių kuras</v>
      </c>
      <c r="E641" s="432"/>
      <c r="F641" s="446" t="str">
        <f>F593</f>
        <v>Degimas</v>
      </c>
      <c r="G641" s="430" t="str">
        <f t="shared" ref="G641:G654" si="109">EUconst_NA</f>
        <v>netaik.</v>
      </c>
      <c r="H641" s="458"/>
      <c r="I641" s="458"/>
      <c r="J641" s="432"/>
      <c r="K641" s="432"/>
      <c r="L641" s="458"/>
      <c r="M641" s="459"/>
      <c r="N641" s="430" t="str">
        <f t="shared" ref="N641:N682" si="110">IF(G641=EUconst_NA,EUconst_NA,IF(ISBLANK(J641),COUNTA(H641:M641),COUNTA(H641,J641,L641)))</f>
        <v>netaik.</v>
      </c>
      <c r="O641" s="433" t="str">
        <f t="shared" ref="O641:O678" si="111">C641 &amp; ": " &amp;D641</f>
        <v>Degimas: Komercinis standartinių rūšių kuras</v>
      </c>
      <c r="P641" s="432"/>
      <c r="Q641" s="434"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5"/>
      <c r="AD641" s="55"/>
      <c r="AE641" s="95"/>
      <c r="AF641" s="63"/>
      <c r="AG641" s="70" t="str">
        <f t="shared" ref="AG641:AG682" si="114">IF(Z641=EUconst_NA,EUconst_NA,IF(ISBLANK(AC641),COUNTA(AA641:AF641),COUNTA(AA641,AC641,AE641)))</f>
        <v>netaik.</v>
      </c>
    </row>
    <row r="642" spans="1:37" ht="12.75" customHeight="1" outlineLevel="1" x14ac:dyDescent="0.2">
      <c r="A642" s="59">
        <f t="shared" ref="A642:A682" si="115">A594</f>
        <v>2</v>
      </c>
      <c r="B642" s="449" t="str">
        <f t="shared" si="108"/>
        <v>Kuro deginimas ir kaip proceso žaliava naudojamas kuras</v>
      </c>
      <c r="C642" s="72" t="str">
        <f t="shared" si="108"/>
        <v>Degimas</v>
      </c>
      <c r="D642" s="72" t="str">
        <f t="shared" si="108"/>
        <v>Kitas dujinis ir skystasis kuras</v>
      </c>
      <c r="E642" s="72"/>
      <c r="F642" s="441" t="str">
        <f t="shared" ref="F642:F682" si="116">F594</f>
        <v>Degimas</v>
      </c>
      <c r="G642" s="425" t="str">
        <f t="shared" si="109"/>
        <v>netaik.</v>
      </c>
      <c r="H642" s="456"/>
      <c r="I642" s="456"/>
      <c r="J642" s="72"/>
      <c r="K642" s="72"/>
      <c r="L642" s="456"/>
      <c r="M642" s="457"/>
      <c r="N642" s="425" t="str">
        <f t="shared" si="110"/>
        <v>netaik.</v>
      </c>
      <c r="O642" s="427" t="str">
        <f t="shared" si="111"/>
        <v>Degimas: Kitas dujinis ir skystasis kuras</v>
      </c>
      <c r="P642" s="72"/>
      <c r="Q642" s="435" t="str">
        <f t="shared" si="112"/>
        <v>ConvF_Degimas: Kitas dujinis ir skystasis kuras</v>
      </c>
      <c r="U642" s="65"/>
      <c r="X642" s="59" t="b">
        <f t="shared" si="105"/>
        <v>1</v>
      </c>
      <c r="Z642" s="70" t="str">
        <f t="shared" si="113"/>
        <v>netaik.</v>
      </c>
      <c r="AA642" s="95"/>
      <c r="AB642" s="95"/>
      <c r="AC642" s="55"/>
      <c r="AD642" s="55"/>
      <c r="AE642" s="95"/>
      <c r="AF642" s="63"/>
      <c r="AG642" s="70" t="str">
        <f t="shared" si="114"/>
        <v>netaik.</v>
      </c>
    </row>
    <row r="643" spans="1:37" ht="12.75" customHeight="1" outlineLevel="1" x14ac:dyDescent="0.2">
      <c r="A643" s="59">
        <f t="shared" si="115"/>
        <v>3</v>
      </c>
      <c r="B643" s="449" t="str">
        <f t="shared" si="108"/>
        <v>Kuro deginimas ir kaip proceso žaliava naudojamas kuras</v>
      </c>
      <c r="C643" s="72" t="str">
        <f t="shared" si="108"/>
        <v>Degimas</v>
      </c>
      <c r="D643" s="72" t="str">
        <f t="shared" si="108"/>
        <v>Kietasis kuras</v>
      </c>
      <c r="E643" s="72"/>
      <c r="F643" s="441" t="str">
        <f t="shared" si="116"/>
        <v>Degimas</v>
      </c>
      <c r="G643" s="425" t="str">
        <f t="shared" si="109"/>
        <v>netaik.</v>
      </c>
      <c r="H643" s="456"/>
      <c r="I643" s="456"/>
      <c r="J643" s="72"/>
      <c r="K643" s="72"/>
      <c r="L643" s="456"/>
      <c r="M643" s="457"/>
      <c r="N643" s="425" t="str">
        <f t="shared" si="110"/>
        <v>netaik.</v>
      </c>
      <c r="O643" s="427" t="str">
        <f t="shared" si="111"/>
        <v>Degimas: Kietasis kuras</v>
      </c>
      <c r="P643" s="72"/>
      <c r="Q643" s="435" t="str">
        <f t="shared" si="112"/>
        <v>ConvF_Degimas: Kietasis kuras</v>
      </c>
      <c r="U643" s="65"/>
      <c r="X643" s="59" t="b">
        <f t="shared" si="105"/>
        <v>1</v>
      </c>
      <c r="Z643" s="70" t="str">
        <f t="shared" si="113"/>
        <v>netaik.</v>
      </c>
      <c r="AA643" s="95"/>
      <c r="AB643" s="95"/>
      <c r="AC643" s="55"/>
      <c r="AD643" s="55"/>
      <c r="AE643" s="95"/>
      <c r="AF643" s="63"/>
      <c r="AG643" s="70" t="str">
        <f t="shared" si="114"/>
        <v>netaik.</v>
      </c>
    </row>
    <row r="644" spans="1:37" ht="12.75" customHeight="1" outlineLevel="1" x14ac:dyDescent="0.2">
      <c r="A644" s="59">
        <f t="shared" si="115"/>
        <v>4</v>
      </c>
      <c r="B644" s="449" t="str">
        <f t="shared" si="108"/>
        <v>Kuro deginimas ir kaip proceso žaliava naudojamas kuras</v>
      </c>
      <c r="C644" s="72" t="str">
        <f t="shared" si="108"/>
        <v>Degimas</v>
      </c>
      <c r="D644" s="72" t="str">
        <f t="shared" si="108"/>
        <v>Dujų perdirbimo terminalai</v>
      </c>
      <c r="E644" s="72"/>
      <c r="F644" s="441" t="str">
        <f t="shared" si="116"/>
        <v>Masės balansas</v>
      </c>
      <c r="G644" s="425" t="str">
        <f t="shared" si="109"/>
        <v>netaik.</v>
      </c>
      <c r="H644" s="456"/>
      <c r="I644" s="456"/>
      <c r="J644" s="72"/>
      <c r="K644" s="72"/>
      <c r="L644" s="456"/>
      <c r="M644" s="457"/>
      <c r="N644" s="425" t="str">
        <f t="shared" si="110"/>
        <v>netaik.</v>
      </c>
      <c r="O644" s="427" t="str">
        <f t="shared" si="111"/>
        <v>Degimas: Dujų perdirbimo terminalai</v>
      </c>
      <c r="P644" s="72"/>
      <c r="Q644" s="435" t="str">
        <f t="shared" si="112"/>
        <v>ConvF_Degimas: Dujų perdirbimo terminalai</v>
      </c>
      <c r="U644" s="65"/>
      <c r="X644" s="59" t="b">
        <f t="shared" si="105"/>
        <v>1</v>
      </c>
      <c r="Z644" s="70" t="str">
        <f t="shared" si="113"/>
        <v>netaik.</v>
      </c>
      <c r="AA644" s="95"/>
      <c r="AB644" s="95"/>
      <c r="AC644" s="55"/>
      <c r="AD644" s="55"/>
      <c r="AE644" s="95"/>
      <c r="AF644" s="63"/>
      <c r="AG644" s="70" t="str">
        <f t="shared" si="114"/>
        <v>netaik.</v>
      </c>
    </row>
    <row r="645" spans="1:37" ht="12.75" customHeight="1" outlineLevel="1" x14ac:dyDescent="0.2">
      <c r="A645" s="59">
        <f t="shared" si="115"/>
        <v>5</v>
      </c>
      <c r="B645" s="449" t="str">
        <f t="shared" si="108"/>
        <v>Kuro deginimas ir kaip proceso žaliava naudojamas kuras</v>
      </c>
      <c r="C645" s="72" t="str">
        <f t="shared" si="108"/>
        <v>Degimas</v>
      </c>
      <c r="D645" s="72" t="str">
        <f t="shared" si="108"/>
        <v>Fakelai</v>
      </c>
      <c r="E645" s="72"/>
      <c r="F645" s="441" t="str">
        <f t="shared" si="116"/>
        <v>Degimas</v>
      </c>
      <c r="G645" s="425" t="str">
        <f t="shared" si="109"/>
        <v>netaik.</v>
      </c>
      <c r="H645" s="456"/>
      <c r="I645" s="456"/>
      <c r="J645" s="72"/>
      <c r="K645" s="72"/>
      <c r="L645" s="456"/>
      <c r="M645" s="457"/>
      <c r="N645" s="425" t="str">
        <f t="shared" si="110"/>
        <v>netaik.</v>
      </c>
      <c r="O645" s="427" t="str">
        <f t="shared" si="111"/>
        <v>Degimas: Fakelai</v>
      </c>
      <c r="P645" s="72"/>
      <c r="Q645" s="435" t="str">
        <f t="shared" si="112"/>
        <v>ConvF_Degimas: Fakelai</v>
      </c>
      <c r="U645" s="65"/>
      <c r="X645" s="59" t="b">
        <f t="shared" si="105"/>
        <v>1</v>
      </c>
      <c r="Z645" s="70" t="str">
        <f t="shared" si="113"/>
        <v>netaik.</v>
      </c>
      <c r="AA645" s="95"/>
      <c r="AB645" s="95"/>
      <c r="AC645" s="55"/>
      <c r="AD645" s="55"/>
      <c r="AE645" s="95"/>
      <c r="AF645" s="63"/>
      <c r="AG645" s="70" t="str">
        <f t="shared" si="114"/>
        <v>netaik.</v>
      </c>
    </row>
    <row r="646" spans="1:37" ht="12.75" customHeight="1" outlineLevel="1" x14ac:dyDescent="0.2">
      <c r="A646" s="59">
        <f t="shared" si="115"/>
        <v>6</v>
      </c>
      <c r="B646" s="449" t="str">
        <f t="shared" si="108"/>
        <v>Kuro deginimas ir kaip proceso žaliava naudojamas kuras</v>
      </c>
      <c r="C646" s="72" t="str">
        <f t="shared" si="108"/>
        <v>Degimas</v>
      </c>
      <c r="D646" s="72" t="str">
        <f t="shared" si="108"/>
        <v>Dujų plovimas (karbonatai)</v>
      </c>
      <c r="E646" s="72"/>
      <c r="F646" s="441" t="str">
        <f t="shared" si="116"/>
        <v>Proceso metu išsiskiriančios ŠESD</v>
      </c>
      <c r="G646" s="425" t="str">
        <f t="shared" si="109"/>
        <v>netaik.</v>
      </c>
      <c r="H646" s="456"/>
      <c r="I646" s="456"/>
      <c r="J646" s="72"/>
      <c r="K646" s="72"/>
      <c r="L646" s="456"/>
      <c r="M646" s="457"/>
      <c r="N646" s="425" t="str">
        <f t="shared" si="110"/>
        <v>netaik.</v>
      </c>
      <c r="O646" s="427" t="str">
        <f t="shared" si="111"/>
        <v>Degimas: Dujų plovimas (karbonatai)</v>
      </c>
      <c r="P646" s="72"/>
      <c r="Q646" s="435" t="str">
        <f t="shared" si="112"/>
        <v>ConvF_Degimas: Dujų plovimas (karbonatai)</v>
      </c>
      <c r="U646" s="65"/>
      <c r="X646" s="59" t="b">
        <f t="shared" si="105"/>
        <v>1</v>
      </c>
      <c r="Z646" s="70" t="str">
        <f t="shared" si="113"/>
        <v>netaik.</v>
      </c>
      <c r="AA646" s="95"/>
      <c r="AB646" s="95"/>
      <c r="AC646" s="55"/>
      <c r="AD646" s="55"/>
      <c r="AE646" s="95"/>
      <c r="AF646" s="63"/>
      <c r="AG646" s="70" t="str">
        <f t="shared" si="114"/>
        <v>netaik.</v>
      </c>
    </row>
    <row r="647" spans="1:37" ht="12.75" customHeight="1" outlineLevel="1" x14ac:dyDescent="0.2">
      <c r="A647" s="59">
        <f t="shared" si="115"/>
        <v>7</v>
      </c>
      <c r="B647" s="449" t="str">
        <f t="shared" si="108"/>
        <v>Kuro deginimas ir kaip proceso žaliava naudojamas kuras</v>
      </c>
      <c r="C647" s="72" t="str">
        <f t="shared" si="108"/>
        <v>Degimas</v>
      </c>
      <c r="D647" s="72" t="str">
        <f t="shared" si="108"/>
        <v>Dujų plovimas (gipsas)</v>
      </c>
      <c r="E647" s="72"/>
      <c r="F647" s="441" t="str">
        <f t="shared" si="116"/>
        <v>Proceso metu išsiskiriančios ŠESD</v>
      </c>
      <c r="G647" s="425" t="str">
        <f t="shared" si="109"/>
        <v>netaik.</v>
      </c>
      <c r="H647" s="456"/>
      <c r="I647" s="456"/>
      <c r="J647" s="72"/>
      <c r="K647" s="72"/>
      <c r="L647" s="456"/>
      <c r="M647" s="457"/>
      <c r="N647" s="425" t="str">
        <f t="shared" si="110"/>
        <v>netaik.</v>
      </c>
      <c r="O647" s="427" t="str">
        <f t="shared" si="111"/>
        <v>Degimas: Dujų plovimas (gipsas)</v>
      </c>
      <c r="P647" s="72"/>
      <c r="Q647" s="435" t="str">
        <f t="shared" si="112"/>
        <v>ConvF_Degimas: Dujų plovimas (gipsas)</v>
      </c>
      <c r="U647" s="65"/>
      <c r="X647" s="59" t="b">
        <f t="shared" si="105"/>
        <v>1</v>
      </c>
      <c r="Z647" s="70" t="str">
        <f t="shared" si="113"/>
        <v>netaik.</v>
      </c>
      <c r="AA647" s="95"/>
      <c r="AB647" s="95"/>
      <c r="AC647" s="55"/>
      <c r="AD647" s="55"/>
      <c r="AE647" s="95"/>
      <c r="AF647" s="63"/>
      <c r="AG647" s="70" t="str">
        <f t="shared" si="114"/>
        <v>netaik.</v>
      </c>
    </row>
    <row r="648" spans="1:37" ht="12.75" customHeight="1" outlineLevel="1" x14ac:dyDescent="0.2">
      <c r="A648" s="59">
        <f t="shared" si="115"/>
        <v>8</v>
      </c>
      <c r="B648" s="449" t="str">
        <f t="shared" si="108"/>
        <v xml:space="preserve">Naftos perdirbimas </v>
      </c>
      <c r="C648" s="72" t="str">
        <f t="shared" si="108"/>
        <v>Naftos perdirbimo įrenginiai</v>
      </c>
      <c r="D648" s="72" t="str">
        <f t="shared" si="108"/>
        <v>Masės balansas</v>
      </c>
      <c r="E648" s="72"/>
      <c r="F648" s="441" t="str">
        <f t="shared" si="116"/>
        <v>Masės balansas</v>
      </c>
      <c r="G648" s="425" t="str">
        <f t="shared" si="109"/>
        <v>netaik.</v>
      </c>
      <c r="H648" s="456"/>
      <c r="I648" s="456"/>
      <c r="J648" s="72"/>
      <c r="K648" s="72"/>
      <c r="L648" s="456"/>
      <c r="M648" s="457"/>
      <c r="N648" s="425" t="str">
        <f t="shared" si="110"/>
        <v>netaik.</v>
      </c>
      <c r="O648" s="427" t="str">
        <f t="shared" si="111"/>
        <v>Naftos perdirbimo įrenginiai: Masės balansas</v>
      </c>
      <c r="P648" s="72"/>
      <c r="Q648" s="435" t="str">
        <f t="shared" si="112"/>
        <v>ConvF_Naftos perdirbimo įrenginiai: Masės balansas</v>
      </c>
      <c r="U648" s="65"/>
      <c r="X648" s="59" t="b">
        <f t="shared" si="105"/>
        <v>1</v>
      </c>
      <c r="Z648" s="70" t="str">
        <f t="shared" si="113"/>
        <v>netaik.</v>
      </c>
      <c r="AA648" s="95"/>
      <c r="AB648" s="95"/>
      <c r="AC648" s="55"/>
      <c r="AD648" s="55"/>
      <c r="AE648" s="95"/>
      <c r="AF648" s="63"/>
      <c r="AG648" s="70" t="str">
        <f t="shared" si="114"/>
        <v>netaik.</v>
      </c>
    </row>
    <row r="649" spans="1:37" ht="12.75" customHeight="1" outlineLevel="1" x14ac:dyDescent="0.2">
      <c r="A649" s="59">
        <f t="shared" si="115"/>
        <v>9</v>
      </c>
      <c r="B649" s="449" t="str">
        <f t="shared" si="108"/>
        <v xml:space="preserve">Naftos perdirbimas </v>
      </c>
      <c r="C649" s="72" t="str">
        <f t="shared" si="108"/>
        <v>Naftos perdirbimo įrenginiai</v>
      </c>
      <c r="D649" s="72" t="str">
        <f t="shared" si="108"/>
        <v>Regeneravimas katalizinio krekingo įrenginiu</v>
      </c>
      <c r="E649" s="72"/>
      <c r="F649" s="441" t="str">
        <f t="shared" si="116"/>
        <v>Masės balansas</v>
      </c>
      <c r="G649" s="425" t="str">
        <f t="shared" si="109"/>
        <v>netaik.</v>
      </c>
      <c r="H649" s="456"/>
      <c r="I649" s="456"/>
      <c r="J649" s="72"/>
      <c r="K649" s="72"/>
      <c r="L649" s="456"/>
      <c r="M649" s="457"/>
      <c r="N649" s="425" t="str">
        <f t="shared" si="110"/>
        <v>netaik.</v>
      </c>
      <c r="O649" s="427" t="str">
        <f t="shared" si="111"/>
        <v>Naftos perdirbimo įrenginiai: Regeneravimas katalizinio krekingo įrenginiu</v>
      </c>
      <c r="P649" s="72"/>
      <c r="Q649" s="435" t="str">
        <f t="shared" si="112"/>
        <v>ConvF_Naftos perdirbimo įrenginiai: Regeneravimas katalizinio krekingo įrenginiu</v>
      </c>
      <c r="U649" s="65"/>
      <c r="X649" s="59" t="b">
        <f t="shared" si="105"/>
        <v>1</v>
      </c>
      <c r="Z649" s="70" t="str">
        <f t="shared" si="113"/>
        <v>netaik.</v>
      </c>
      <c r="AA649" s="95"/>
      <c r="AB649" s="95"/>
      <c r="AC649" s="55"/>
      <c r="AD649" s="55"/>
      <c r="AE649" s="95"/>
      <c r="AF649" s="63"/>
      <c r="AG649" s="70" t="str">
        <f t="shared" si="114"/>
        <v>netaik.</v>
      </c>
    </row>
    <row r="650" spans="1:37" ht="12.75" customHeight="1" outlineLevel="1" x14ac:dyDescent="0.2">
      <c r="A650" s="59">
        <f t="shared" si="115"/>
        <v>10</v>
      </c>
      <c r="B650" s="449" t="str">
        <f t="shared" si="108"/>
        <v xml:space="preserve">Naftos perdirbimas </v>
      </c>
      <c r="C650" s="72" t="str">
        <f t="shared" si="108"/>
        <v>Naftos perdirbimo įrenginiai</v>
      </c>
      <c r="D650" s="72" t="str">
        <f t="shared" si="108"/>
        <v>Vandenilio gamyba</v>
      </c>
      <c r="E650" s="72"/>
      <c r="F650" s="441" t="str">
        <f t="shared" si="116"/>
        <v>Proceso metu išsiskiriančios ŠESD</v>
      </c>
      <c r="G650" s="425" t="str">
        <f t="shared" si="109"/>
        <v>netaik.</v>
      </c>
      <c r="H650" s="456"/>
      <c r="I650" s="456"/>
      <c r="J650" s="72"/>
      <c r="K650" s="72"/>
      <c r="L650" s="456"/>
      <c r="M650" s="457"/>
      <c r="N650" s="425" t="str">
        <f t="shared" si="110"/>
        <v>netaik.</v>
      </c>
      <c r="O650" s="427" t="str">
        <f t="shared" si="111"/>
        <v>Naftos perdirbimo įrenginiai: Vandenilio gamyba</v>
      </c>
      <c r="P650" s="72"/>
      <c r="Q650" s="435" t="str">
        <f t="shared" si="112"/>
        <v>ConvF_Naftos perdirbimo įrenginiai: Vandenilio gamyba</v>
      </c>
      <c r="U650" s="65"/>
      <c r="X650" s="59" t="b">
        <f t="shared" si="105"/>
        <v>1</v>
      </c>
      <c r="Z650" s="70" t="str">
        <f t="shared" si="113"/>
        <v>netaik.</v>
      </c>
      <c r="AA650" s="95"/>
      <c r="AB650" s="95"/>
      <c r="AC650" s="55"/>
      <c r="AD650" s="55"/>
      <c r="AE650" s="95"/>
      <c r="AF650" s="63"/>
      <c r="AG650" s="70" t="str">
        <f t="shared" si="114"/>
        <v>netaik.</v>
      </c>
    </row>
    <row r="651" spans="1:37" ht="12.75" customHeight="1" outlineLevel="1" x14ac:dyDescent="0.2">
      <c r="A651" s="59">
        <f t="shared" si="115"/>
        <v>11</v>
      </c>
      <c r="B651" s="449" t="str">
        <f t="shared" si="108"/>
        <v>Kokso gamyba</v>
      </c>
      <c r="C651" s="72" t="str">
        <f t="shared" si="108"/>
        <v>Koksas</v>
      </c>
      <c r="D651" s="72" t="str">
        <f t="shared" si="108"/>
        <v>Kuras kaip proceso žaliava</v>
      </c>
      <c r="E651" s="72"/>
      <c r="F651" s="441" t="str">
        <f t="shared" si="116"/>
        <v>Degimas</v>
      </c>
      <c r="G651" s="425" t="str">
        <f t="shared" si="109"/>
        <v>netaik.</v>
      </c>
      <c r="H651" s="456"/>
      <c r="I651" s="456"/>
      <c r="J651" s="72"/>
      <c r="K651" s="72"/>
      <c r="L651" s="456"/>
      <c r="M651" s="457"/>
      <c r="N651" s="425" t="str">
        <f t="shared" si="110"/>
        <v>netaik.</v>
      </c>
      <c r="O651" s="427" t="str">
        <f t="shared" si="111"/>
        <v>Koksas: Kuras kaip proceso žaliava</v>
      </c>
      <c r="P651" s="72"/>
      <c r="Q651" s="435" t="str">
        <f t="shared" si="112"/>
        <v>ConvF_Koksas: Kuras kaip proceso žaliava</v>
      </c>
      <c r="U651" s="65"/>
      <c r="X651" s="59" t="b">
        <f t="shared" si="105"/>
        <v>1</v>
      </c>
      <c r="Z651" s="70" t="str">
        <f t="shared" si="113"/>
        <v>netaik.</v>
      </c>
      <c r="AA651" s="95"/>
      <c r="AB651" s="95"/>
      <c r="AC651" s="55"/>
      <c r="AD651" s="55"/>
      <c r="AE651" s="95"/>
      <c r="AF651" s="63"/>
      <c r="AG651" s="70" t="str">
        <f t="shared" si="114"/>
        <v>netaik.</v>
      </c>
    </row>
    <row r="652" spans="1:37" ht="12.75" customHeight="1" outlineLevel="1" x14ac:dyDescent="0.2">
      <c r="A652" s="59">
        <f t="shared" si="115"/>
        <v>12</v>
      </c>
      <c r="B652" s="449" t="str">
        <f t="shared" si="108"/>
        <v>Kokso gamyba</v>
      </c>
      <c r="C652" s="72" t="str">
        <f t="shared" si="108"/>
        <v>Koksas</v>
      </c>
      <c r="D652" s="72" t="str">
        <f t="shared" si="108"/>
        <v>Karbonatų sąnaudos (A metodas)</v>
      </c>
      <c r="E652" s="72"/>
      <c r="F652" s="441" t="str">
        <f t="shared" si="116"/>
        <v>Proceso metu išsiskiriančios ŠESD</v>
      </c>
      <c r="G652" s="425">
        <v>1</v>
      </c>
      <c r="H652" s="456" t="str">
        <f>H$684</f>
        <v>KonvK = 1</v>
      </c>
      <c r="I652" s="456" t="str">
        <f>I$684</f>
        <v>Laboratoriniai ir stechiometriniai</v>
      </c>
      <c r="J652" s="72"/>
      <c r="K652" s="72"/>
      <c r="L652" s="456"/>
      <c r="M652" s="457"/>
      <c r="N652" s="425">
        <v>1</v>
      </c>
      <c r="O652" s="427" t="str">
        <f t="shared" si="111"/>
        <v>Koksas: Karbonatų sąnaudos (A metodas)</v>
      </c>
      <c r="P652" s="72"/>
      <c r="Q652" s="435"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5"/>
      <c r="AD652" s="55"/>
      <c r="AE652" s="95"/>
      <c r="AF652" s="63"/>
      <c r="AG652" s="70">
        <f t="shared" si="114"/>
        <v>2</v>
      </c>
      <c r="AJ652" s="59">
        <f>AJ$684</f>
        <v>1</v>
      </c>
      <c r="AK652" s="59">
        <v>2</v>
      </c>
    </row>
    <row r="653" spans="1:37" ht="12.75" customHeight="1" outlineLevel="1" x14ac:dyDescent="0.2">
      <c r="A653" s="59">
        <f t="shared" si="115"/>
        <v>13</v>
      </c>
      <c r="B653" s="449" t="str">
        <f t="shared" si="108"/>
        <v>Kokso gamyba</v>
      </c>
      <c r="C653" s="72" t="str">
        <f t="shared" si="108"/>
        <v>Koksas</v>
      </c>
      <c r="D653" s="72" t="str">
        <f t="shared" si="108"/>
        <v>Oksido išeiga (B metodas)</v>
      </c>
      <c r="E653" s="72"/>
      <c r="F653" s="441" t="str">
        <f t="shared" si="116"/>
        <v>Proceso metu išsiskiriančios ŠESD</v>
      </c>
      <c r="G653" s="425">
        <v>1</v>
      </c>
      <c r="H653" s="456" t="str">
        <f>H$685</f>
        <v>KonvK = 1</v>
      </c>
      <c r="I653" s="456" t="str">
        <f>I$685</f>
        <v>Laboratoriniai ir stechiometriniai</v>
      </c>
      <c r="J653" s="72"/>
      <c r="K653" s="72"/>
      <c r="L653" s="456"/>
      <c r="M653" s="457"/>
      <c r="N653" s="425">
        <v>1</v>
      </c>
      <c r="O653" s="427" t="str">
        <f t="shared" si="111"/>
        <v>Koksas: Oksido išeiga (B metodas)</v>
      </c>
      <c r="P653" s="72"/>
      <c r="Q653" s="435"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5"/>
      <c r="AD653" s="55"/>
      <c r="AE653" s="95"/>
      <c r="AF653" s="63"/>
      <c r="AG653" s="70">
        <f t="shared" si="114"/>
        <v>2</v>
      </c>
      <c r="AJ653" s="59">
        <f>AJ$685</f>
        <v>1</v>
      </c>
      <c r="AK653" s="59">
        <v>2</v>
      </c>
    </row>
    <row r="654" spans="1:37" ht="12.75" customHeight="1" outlineLevel="1" x14ac:dyDescent="0.2">
      <c r="A654" s="59">
        <f t="shared" si="115"/>
        <v>14</v>
      </c>
      <c r="B654" s="449" t="str">
        <f t="shared" si="108"/>
        <v>Kokso gamyba</v>
      </c>
      <c r="C654" s="72" t="str">
        <f t="shared" si="108"/>
        <v>Koksas</v>
      </c>
      <c r="D654" s="72" t="str">
        <f t="shared" si="108"/>
        <v>Masės balansas</v>
      </c>
      <c r="E654" s="72"/>
      <c r="F654" s="441" t="str">
        <f t="shared" si="116"/>
        <v>Masės balansas</v>
      </c>
      <c r="G654" s="425" t="str">
        <f t="shared" si="109"/>
        <v>netaik.</v>
      </c>
      <c r="H654" s="456"/>
      <c r="I654" s="456"/>
      <c r="J654" s="72"/>
      <c r="K654" s="72"/>
      <c r="L654" s="456"/>
      <c r="M654" s="457"/>
      <c r="N654" s="425" t="str">
        <f t="shared" si="110"/>
        <v>netaik.</v>
      </c>
      <c r="O654" s="427" t="str">
        <f t="shared" si="111"/>
        <v>Koksas: Masės balansas</v>
      </c>
      <c r="P654" s="72"/>
      <c r="Q654" s="435" t="str">
        <f t="shared" si="112"/>
        <v>ConvF_Koksas: Masės balansas</v>
      </c>
      <c r="U654" s="65"/>
      <c r="X654" s="59" t="b">
        <f t="shared" si="105"/>
        <v>1</v>
      </c>
      <c r="Z654" s="70" t="str">
        <f t="shared" si="113"/>
        <v>netaik.</v>
      </c>
      <c r="AA654" s="95"/>
      <c r="AB654" s="95"/>
      <c r="AC654" s="55"/>
      <c r="AD654" s="55"/>
      <c r="AE654" s="95"/>
      <c r="AF654" s="63"/>
      <c r="AG654" s="70" t="str">
        <f t="shared" si="114"/>
        <v>netaik.</v>
      </c>
    </row>
    <row r="655" spans="1:37" ht="12.75" customHeight="1" outlineLevel="1" x14ac:dyDescent="0.2">
      <c r="A655" s="59">
        <f t="shared" si="115"/>
        <v>15</v>
      </c>
      <c r="B655" s="449" t="str">
        <f t="shared" si="108"/>
        <v>Metalo rūdų deginimas ir kepinimas</v>
      </c>
      <c r="C655" s="72" t="str">
        <f t="shared" si="108"/>
        <v>Metalų rūda</v>
      </c>
      <c r="D655" s="72" t="str">
        <f t="shared" si="108"/>
        <v>Karbonatų sąnaudos</v>
      </c>
      <c r="E655" s="72"/>
      <c r="F655" s="441" t="str">
        <f t="shared" si="116"/>
        <v>Proceso metu išsiskiriančios ŠESD</v>
      </c>
      <c r="G655" s="425">
        <v>1</v>
      </c>
      <c r="H655" s="456" t="str">
        <f>H$684</f>
        <v>KonvK = 1</v>
      </c>
      <c r="I655" s="456" t="str">
        <f>I$684</f>
        <v>Laboratoriniai ir stechiometriniai</v>
      </c>
      <c r="J655" s="72"/>
      <c r="K655" s="72"/>
      <c r="L655" s="456"/>
      <c r="M655" s="457"/>
      <c r="N655" s="425">
        <v>1</v>
      </c>
      <c r="O655" s="427" t="str">
        <f t="shared" si="111"/>
        <v>Metalų rūda: Karbonatų sąnaudos</v>
      </c>
      <c r="P655" s="72"/>
      <c r="Q655" s="435"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5"/>
      <c r="AD655" s="55"/>
      <c r="AE655" s="95"/>
      <c r="AF655" s="63"/>
      <c r="AG655" s="70">
        <f t="shared" si="114"/>
        <v>2</v>
      </c>
      <c r="AJ655" s="59">
        <f>AJ$684</f>
        <v>1</v>
      </c>
      <c r="AK655" s="59">
        <v>2</v>
      </c>
    </row>
    <row r="656" spans="1:37" ht="12.75" customHeight="1" outlineLevel="1" x14ac:dyDescent="0.2">
      <c r="A656" s="59">
        <f t="shared" si="115"/>
        <v>16</v>
      </c>
      <c r="B656" s="449" t="str">
        <f t="shared" si="108"/>
        <v>Metalo rūdų deginimas ir kepinimas</v>
      </c>
      <c r="C656" s="72" t="str">
        <f t="shared" si="108"/>
        <v>Metalų rūda</v>
      </c>
      <c r="D656" s="72" t="str">
        <f t="shared" si="108"/>
        <v>Masės balansas</v>
      </c>
      <c r="E656" s="72"/>
      <c r="F656" s="441" t="str">
        <f t="shared" si="116"/>
        <v>Masės balansas</v>
      </c>
      <c r="G656" s="425" t="str">
        <f>EUconst_NA</f>
        <v>netaik.</v>
      </c>
      <c r="H656" s="456"/>
      <c r="I656" s="456"/>
      <c r="J656" s="72"/>
      <c r="K656" s="72"/>
      <c r="L656" s="456"/>
      <c r="M656" s="457"/>
      <c r="N656" s="425" t="str">
        <f t="shared" si="110"/>
        <v>netaik.</v>
      </c>
      <c r="O656" s="427" t="str">
        <f t="shared" si="111"/>
        <v>Metalų rūda: Masės balansas</v>
      </c>
      <c r="P656" s="72"/>
      <c r="Q656" s="435" t="str">
        <f t="shared" si="112"/>
        <v>ConvF_Metalų rūda: Masės balansas</v>
      </c>
      <c r="U656" s="65"/>
      <c r="X656" s="59" t="b">
        <f t="shared" si="105"/>
        <v>1</v>
      </c>
      <c r="Z656" s="70" t="str">
        <f>EUconst_NA</f>
        <v>netaik.</v>
      </c>
      <c r="AA656" s="95"/>
      <c r="AB656" s="95"/>
      <c r="AC656" s="55"/>
      <c r="AD656" s="55"/>
      <c r="AE656" s="95"/>
      <c r="AF656" s="63"/>
      <c r="AG656" s="70" t="str">
        <f t="shared" si="114"/>
        <v>netaik.</v>
      </c>
    </row>
    <row r="657" spans="1:37" ht="12.75" customHeight="1" outlineLevel="1" x14ac:dyDescent="0.2">
      <c r="A657" s="59">
        <f t="shared" si="115"/>
        <v>17</v>
      </c>
      <c r="B657" s="449" t="str">
        <f t="shared" si="108"/>
        <v>Geležies ir plieno gamyba</v>
      </c>
      <c r="C657" s="72" t="str">
        <f t="shared" si="108"/>
        <v>Geležis ir plienas</v>
      </c>
      <c r="D657" s="72" t="str">
        <f t="shared" si="108"/>
        <v>Kuras kaip proceso žaliava</v>
      </c>
      <c r="E657" s="72"/>
      <c r="F657" s="441" t="str">
        <f t="shared" si="116"/>
        <v>Degimas</v>
      </c>
      <c r="G657" s="425" t="str">
        <f>EUconst_NA</f>
        <v>netaik.</v>
      </c>
      <c r="H657" s="456"/>
      <c r="I657" s="456"/>
      <c r="J657" s="72"/>
      <c r="K657" s="72"/>
      <c r="L657" s="456"/>
      <c r="M657" s="457"/>
      <c r="N657" s="425" t="str">
        <f t="shared" si="110"/>
        <v>netaik.</v>
      </c>
      <c r="O657" s="427" t="str">
        <f t="shared" si="111"/>
        <v>Geležis ir plienas: Kuras kaip proceso žaliava</v>
      </c>
      <c r="P657" s="72"/>
      <c r="Q657" s="435" t="str">
        <f t="shared" si="112"/>
        <v>ConvF_Geležis ir plienas: Kuras kaip proceso žaliava</v>
      </c>
      <c r="U657" s="65"/>
      <c r="X657" s="59" t="b">
        <f t="shared" si="105"/>
        <v>1</v>
      </c>
      <c r="Z657" s="70" t="str">
        <f>EUconst_NA</f>
        <v>netaik.</v>
      </c>
      <c r="AA657" s="95"/>
      <c r="AB657" s="95"/>
      <c r="AC657" s="55"/>
      <c r="AD657" s="55"/>
      <c r="AE657" s="95"/>
      <c r="AF657" s="63"/>
      <c r="AG657" s="70" t="str">
        <f t="shared" si="114"/>
        <v>netaik.</v>
      </c>
    </row>
    <row r="658" spans="1:37" ht="12.75" customHeight="1" outlineLevel="1" x14ac:dyDescent="0.2">
      <c r="A658" s="59">
        <f t="shared" si="115"/>
        <v>18</v>
      </c>
      <c r="B658" s="449" t="str">
        <f t="shared" si="108"/>
        <v>Geležies ir plieno gamyba</v>
      </c>
      <c r="C658" s="72" t="str">
        <f t="shared" si="108"/>
        <v>Geležis ir plienas</v>
      </c>
      <c r="D658" s="72" t="str">
        <f t="shared" si="108"/>
        <v>Karbonatų sąnaudos</v>
      </c>
      <c r="E658" s="72"/>
      <c r="F658" s="441" t="str">
        <f t="shared" si="116"/>
        <v>Proceso metu išsiskiriančios ŠESD</v>
      </c>
      <c r="G658" s="425">
        <v>1</v>
      </c>
      <c r="H658" s="456" t="str">
        <f>H$684</f>
        <v>KonvK = 1</v>
      </c>
      <c r="I658" s="456" t="str">
        <f>I$684</f>
        <v>Laboratoriniai ir stechiometriniai</v>
      </c>
      <c r="J658" s="72"/>
      <c r="K658" s="72"/>
      <c r="L658" s="456"/>
      <c r="M658" s="457"/>
      <c r="N658" s="425">
        <v>1</v>
      </c>
      <c r="O658" s="427" t="str">
        <f t="shared" si="111"/>
        <v>Geležis ir plienas: Karbonatų sąnaudos</v>
      </c>
      <c r="P658" s="72"/>
      <c r="Q658" s="435"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5"/>
      <c r="AD658" s="55"/>
      <c r="AE658" s="95"/>
      <c r="AF658" s="63"/>
      <c r="AG658" s="70">
        <f t="shared" si="114"/>
        <v>2</v>
      </c>
      <c r="AJ658" s="59">
        <f>AJ$684</f>
        <v>1</v>
      </c>
      <c r="AK658" s="59">
        <v>2</v>
      </c>
    </row>
    <row r="659" spans="1:37" ht="12.75" customHeight="1" outlineLevel="1" x14ac:dyDescent="0.2">
      <c r="A659" s="59">
        <f t="shared" si="115"/>
        <v>19</v>
      </c>
      <c r="B659" s="449" t="str">
        <f t="shared" si="108"/>
        <v>Geležies ir plieno gamyba</v>
      </c>
      <c r="C659" s="72" t="str">
        <f t="shared" si="108"/>
        <v>Geležis ir plienas</v>
      </c>
      <c r="D659" s="72" t="str">
        <f t="shared" si="108"/>
        <v>Masės balansas</v>
      </c>
      <c r="E659" s="72"/>
      <c r="F659" s="441" t="str">
        <f t="shared" si="116"/>
        <v>Masės balansas</v>
      </c>
      <c r="G659" s="425" t="str">
        <f>EUconst_NA</f>
        <v>netaik.</v>
      </c>
      <c r="H659" s="456"/>
      <c r="I659" s="456"/>
      <c r="J659" s="72"/>
      <c r="K659" s="72"/>
      <c r="L659" s="456"/>
      <c r="M659" s="457"/>
      <c r="N659" s="425" t="str">
        <f t="shared" si="110"/>
        <v>netaik.</v>
      </c>
      <c r="O659" s="427" t="str">
        <f t="shared" si="111"/>
        <v>Geležis ir plienas: Masės balansas</v>
      </c>
      <c r="P659" s="72"/>
      <c r="Q659" s="435" t="str">
        <f t="shared" si="112"/>
        <v>ConvF_Geležis ir plienas: Masės balansas</v>
      </c>
      <c r="U659" s="65"/>
      <c r="X659" s="59" t="b">
        <f t="shared" si="105"/>
        <v>1</v>
      </c>
      <c r="Z659" s="70" t="str">
        <f>EUconst_NA</f>
        <v>netaik.</v>
      </c>
      <c r="AA659" s="95"/>
      <c r="AB659" s="95"/>
      <c r="AC659" s="55"/>
      <c r="AD659" s="55"/>
      <c r="AE659" s="95"/>
      <c r="AF659" s="63"/>
      <c r="AG659" s="70" t="str">
        <f t="shared" si="114"/>
        <v>netaik.</v>
      </c>
    </row>
    <row r="660" spans="1:37" ht="12.75" customHeight="1" outlineLevel="1" x14ac:dyDescent="0.2">
      <c r="A660" s="59">
        <f t="shared" si="115"/>
        <v>20</v>
      </c>
      <c r="B660" s="449" t="str">
        <f t="shared" si="108"/>
        <v>Cemento klinkerio gamyba</v>
      </c>
      <c r="C660" s="72" t="str">
        <f t="shared" si="108"/>
        <v>Cemento klinkeriai</v>
      </c>
      <c r="D660" s="72" t="str">
        <f t="shared" si="108"/>
        <v>Grindžiamas krosnies žaliava (A metodas)</v>
      </c>
      <c r="E660" s="72"/>
      <c r="F660" s="441" t="str">
        <f t="shared" si="116"/>
        <v>Proceso metu išsiskiriančios ŠESD</v>
      </c>
      <c r="G660" s="425">
        <v>1</v>
      </c>
      <c r="H660" s="456" t="str">
        <f>H$684</f>
        <v>KonvK = 1</v>
      </c>
      <c r="I660" s="456" t="str">
        <f>I$684</f>
        <v>Laboratoriniai ir stechiometriniai</v>
      </c>
      <c r="J660" s="72"/>
      <c r="K660" s="72"/>
      <c r="L660" s="456"/>
      <c r="M660" s="457"/>
      <c r="N660" s="425">
        <v>1</v>
      </c>
      <c r="O660" s="427" t="str">
        <f t="shared" si="111"/>
        <v>Cemento klinkeriai: Grindžiamas krosnies žaliava (A metodas)</v>
      </c>
      <c r="P660" s="72"/>
      <c r="Q660" s="435"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5"/>
      <c r="AD660" s="55"/>
      <c r="AE660" s="95"/>
      <c r="AF660" s="63"/>
      <c r="AG660" s="70">
        <f t="shared" si="114"/>
        <v>2</v>
      </c>
      <c r="AJ660" s="59">
        <f>AJ$684</f>
        <v>1</v>
      </c>
      <c r="AK660" s="59">
        <v>2</v>
      </c>
    </row>
    <row r="661" spans="1:37" ht="12.75" customHeight="1" outlineLevel="1" x14ac:dyDescent="0.2">
      <c r="A661" s="59">
        <f t="shared" si="115"/>
        <v>21</v>
      </c>
      <c r="B661" s="449" t="str">
        <f t="shared" ref="B661:D680" si="117">B613</f>
        <v>Cemento klinkerio gamyba</v>
      </c>
      <c r="C661" s="72" t="str">
        <f t="shared" si="117"/>
        <v>Cemento klinkeriai</v>
      </c>
      <c r="D661" s="72" t="str">
        <f t="shared" si="117"/>
        <v>Klinkerio išeiga (B metodas)</v>
      </c>
      <c r="E661" s="72"/>
      <c r="F661" s="441" t="str">
        <f t="shared" si="116"/>
        <v>Proceso metu išsiskiriančios ŠESD</v>
      </c>
      <c r="G661" s="425">
        <v>1</v>
      </c>
      <c r="H661" s="456" t="str">
        <f>H$685</f>
        <v>KonvK = 1</v>
      </c>
      <c r="I661" s="456" t="str">
        <f>I$685</f>
        <v>Laboratoriniai ir stechiometriniai</v>
      </c>
      <c r="J661" s="72"/>
      <c r="K661" s="72"/>
      <c r="L661" s="456"/>
      <c r="M661" s="457"/>
      <c r="N661" s="425">
        <v>1</v>
      </c>
      <c r="O661" s="427" t="str">
        <f t="shared" si="111"/>
        <v>Cemento klinkeriai: Klinkerio išeiga (B metodas)</v>
      </c>
      <c r="P661" s="72"/>
      <c r="Q661" s="435"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5"/>
      <c r="AD661" s="55"/>
      <c r="AE661" s="95"/>
      <c r="AF661" s="63"/>
      <c r="AG661" s="70">
        <f t="shared" si="114"/>
        <v>2</v>
      </c>
      <c r="AJ661" s="59">
        <f>AJ$685</f>
        <v>1</v>
      </c>
      <c r="AK661" s="59">
        <v>2</v>
      </c>
    </row>
    <row r="662" spans="1:37" ht="12.75" customHeight="1" outlineLevel="1" x14ac:dyDescent="0.2">
      <c r="A662" s="59">
        <f t="shared" si="115"/>
        <v>22</v>
      </c>
      <c r="B662" s="449" t="str">
        <f t="shared" si="117"/>
        <v>Cemento klinkerio gamyba</v>
      </c>
      <c r="C662" s="72" t="str">
        <f t="shared" si="117"/>
        <v>Cemento klinkeriai</v>
      </c>
      <c r="D662" s="72" t="str">
        <f t="shared" si="117"/>
        <v>Cemento degimo krosnių dulkės</v>
      </c>
      <c r="E662" s="72"/>
      <c r="F662" s="441" t="str">
        <f t="shared" si="116"/>
        <v>Proceso metu išsiskiriančios ŠESD</v>
      </c>
      <c r="G662" s="425" t="str">
        <f>EUconst_NA</f>
        <v>netaik.</v>
      </c>
      <c r="H662" s="456"/>
      <c r="I662" s="456"/>
      <c r="J662" s="72"/>
      <c r="K662" s="72"/>
      <c r="L662" s="456"/>
      <c r="M662" s="457"/>
      <c r="N662" s="425" t="str">
        <f t="shared" si="110"/>
        <v>netaik.</v>
      </c>
      <c r="O662" s="427" t="str">
        <f t="shared" si="111"/>
        <v>Cemento klinkeriai: Cemento degimo krosnių dulkės</v>
      </c>
      <c r="P662" s="72"/>
      <c r="Q662" s="435" t="str">
        <f t="shared" si="112"/>
        <v>ConvF_Cemento klinkeriai: Cemento degimo krosnių dulkės</v>
      </c>
      <c r="U662" s="65"/>
      <c r="X662" s="59" t="b">
        <f t="shared" si="105"/>
        <v>1</v>
      </c>
      <c r="Z662" s="70" t="str">
        <f>EUconst_NA</f>
        <v>netaik.</v>
      </c>
      <c r="AA662" s="95"/>
      <c r="AB662" s="95"/>
      <c r="AC662" s="55"/>
      <c r="AD662" s="55"/>
      <c r="AE662" s="95"/>
      <c r="AF662" s="63"/>
      <c r="AG662" s="70" t="str">
        <f t="shared" si="114"/>
        <v>netaik.</v>
      </c>
    </row>
    <row r="663" spans="1:37" ht="12.75" customHeight="1" outlineLevel="1" x14ac:dyDescent="0.2">
      <c r="A663" s="59">
        <f t="shared" si="115"/>
        <v>23</v>
      </c>
      <c r="B663" s="449" t="str">
        <f t="shared" si="117"/>
        <v>Cemento klinkerio gamyba</v>
      </c>
      <c r="C663" s="72" t="str">
        <f t="shared" si="117"/>
        <v>Cemento klinkeriai</v>
      </c>
      <c r="D663" s="72" t="str">
        <f t="shared" si="117"/>
        <v>Nekarbonatinė anglis</v>
      </c>
      <c r="E663" s="72"/>
      <c r="F663" s="441" t="str">
        <f t="shared" si="116"/>
        <v>Proceso metu išsiskiriančios ŠESD</v>
      </c>
      <c r="G663" s="425">
        <v>1</v>
      </c>
      <c r="H663" s="456" t="str">
        <f>$H$685</f>
        <v>KonvK = 1</v>
      </c>
      <c r="I663" s="456" t="str">
        <f>Translations!$B$452</f>
        <v>Geriausia praktika</v>
      </c>
      <c r="J663" s="72"/>
      <c r="K663" s="72"/>
      <c r="L663" s="456"/>
      <c r="M663" s="457"/>
      <c r="N663" s="425">
        <v>1</v>
      </c>
      <c r="O663" s="427" t="str">
        <f t="shared" si="111"/>
        <v>Cemento klinkeriai: Nekarbonatinė anglis</v>
      </c>
      <c r="P663" s="72"/>
      <c r="Q663" s="435"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5"/>
      <c r="AD663" s="55"/>
      <c r="AE663" s="95"/>
      <c r="AF663" s="63"/>
      <c r="AG663" s="70">
        <f t="shared" si="114"/>
        <v>2</v>
      </c>
      <c r="AJ663" s="59">
        <f>$AJ$685</f>
        <v>1</v>
      </c>
      <c r="AK663" s="59" t="str">
        <f>Translations!$B$452</f>
        <v>Geriausia praktika</v>
      </c>
    </row>
    <row r="664" spans="1:37" ht="12.75" customHeight="1" outlineLevel="1" x14ac:dyDescent="0.2">
      <c r="A664" s="59">
        <f t="shared" si="115"/>
        <v>24</v>
      </c>
      <c r="B664" s="449" t="str">
        <f t="shared" si="117"/>
        <v>Kalkių gamyba ir dolomitų bei magnezitų kalcinavimas</v>
      </c>
      <c r="C664" s="72" t="str">
        <f t="shared" si="117"/>
        <v>Kalkės, dolomitas, magnezitas</v>
      </c>
      <c r="D664" s="72" t="str">
        <f t="shared" si="117"/>
        <v>Karbonatai (A metodas)</v>
      </c>
      <c r="E664" s="72"/>
      <c r="F664" s="441" t="str">
        <f t="shared" si="116"/>
        <v>Proceso metu išsiskiriančios ŠESD</v>
      </c>
      <c r="G664" s="425">
        <v>1</v>
      </c>
      <c r="H664" s="456" t="str">
        <f>H$684</f>
        <v>KonvK = 1</v>
      </c>
      <c r="I664" s="456" t="str">
        <f>I$684</f>
        <v>Laboratoriniai ir stechiometriniai</v>
      </c>
      <c r="J664" s="72"/>
      <c r="K664" s="72"/>
      <c r="L664" s="456"/>
      <c r="M664" s="457"/>
      <c r="N664" s="425">
        <v>1</v>
      </c>
      <c r="O664" s="427" t="str">
        <f t="shared" si="111"/>
        <v>Kalkės, dolomitas, magnezitas: Karbonatai (A metodas)</v>
      </c>
      <c r="P664" s="72"/>
      <c r="Q664" s="435"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5"/>
      <c r="AD664" s="55"/>
      <c r="AE664" s="95"/>
      <c r="AF664" s="63"/>
      <c r="AG664" s="70">
        <f t="shared" si="114"/>
        <v>2</v>
      </c>
      <c r="AJ664" s="59">
        <f>AJ$684</f>
        <v>1</v>
      </c>
      <c r="AK664" s="59">
        <v>2</v>
      </c>
    </row>
    <row r="665" spans="1:37" ht="12.75" customHeight="1" outlineLevel="1" x14ac:dyDescent="0.2">
      <c r="A665" s="59">
        <f t="shared" si="115"/>
        <v>25</v>
      </c>
      <c r="B665" s="449" t="str">
        <f t="shared" si="117"/>
        <v>Kalkių gamyba ir dolomitų bei magnezitų kalcinavimas</v>
      </c>
      <c r="C665" s="72" t="str">
        <f t="shared" si="117"/>
        <v>Kalkės, dolomitas, magnezitas</v>
      </c>
      <c r="D665" s="72" t="str">
        <f t="shared" si="117"/>
        <v>Šarminių žemių metalų oksidas (B metodas)</v>
      </c>
      <c r="E665" s="72"/>
      <c r="F665" s="441" t="str">
        <f t="shared" si="116"/>
        <v>Proceso metu išsiskiriančios ŠESD</v>
      </c>
      <c r="G665" s="425">
        <v>1</v>
      </c>
      <c r="H665" s="456" t="str">
        <f>H$685</f>
        <v>KonvK = 1</v>
      </c>
      <c r="I665" s="456" t="str">
        <f>I$685</f>
        <v>Laboratoriniai ir stechiometriniai</v>
      </c>
      <c r="J665" s="72"/>
      <c r="K665" s="72"/>
      <c r="L665" s="456"/>
      <c r="M665" s="457"/>
      <c r="N665" s="425">
        <v>1</v>
      </c>
      <c r="O665" s="427" t="str">
        <f t="shared" si="111"/>
        <v>Kalkės, dolomitas, magnezitas: Šarminių žemių metalų oksidas (B metodas)</v>
      </c>
      <c r="P665" s="72"/>
      <c r="Q665" s="435"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5"/>
      <c r="AD665" s="55"/>
      <c r="AE665" s="95"/>
      <c r="AF665" s="63"/>
      <c r="AG665" s="70">
        <f t="shared" si="114"/>
        <v>2</v>
      </c>
      <c r="AJ665" s="59">
        <f>AJ$685</f>
        <v>1</v>
      </c>
      <c r="AK665" s="59">
        <v>2</v>
      </c>
    </row>
    <row r="666" spans="1:37" ht="12.75" customHeight="1" outlineLevel="1" x14ac:dyDescent="0.2">
      <c r="A666" s="59">
        <f t="shared" si="115"/>
        <v>26</v>
      </c>
      <c r="B666" s="449" t="str">
        <f t="shared" si="117"/>
        <v>Kalkių gamyba ir dolomitų bei magnezitų kalcinavimas</v>
      </c>
      <c r="C666" s="72" t="str">
        <f t="shared" si="117"/>
        <v>Kalkės, dolomitas, magnezitas</v>
      </c>
      <c r="D666" s="72" t="str">
        <f t="shared" si="117"/>
        <v>Degimo krosnių dulkės (B metodas)</v>
      </c>
      <c r="E666" s="72"/>
      <c r="F666" s="441" t="str">
        <f t="shared" si="116"/>
        <v>Proceso metu išsiskiriančios ŠESD</v>
      </c>
      <c r="G666" s="425">
        <v>1</v>
      </c>
      <c r="H666" s="456" t="str">
        <f>H$685</f>
        <v>KonvK = 1</v>
      </c>
      <c r="I666" s="456" t="str">
        <f>I$685</f>
        <v>Laboratoriniai ir stechiometriniai</v>
      </c>
      <c r="J666" s="72"/>
      <c r="K666" s="72"/>
      <c r="L666" s="456"/>
      <c r="M666" s="457"/>
      <c r="N666" s="425">
        <v>1</v>
      </c>
      <c r="O666" s="427" t="str">
        <f t="shared" si="111"/>
        <v>Kalkės, dolomitas, magnezitas: Degimo krosnių dulkės (B metodas)</v>
      </c>
      <c r="P666" s="72"/>
      <c r="Q666" s="435" t="str">
        <f t="shared" si="112"/>
        <v>ConvF_Kalkės, dolomitas, magnezitas: Degimo krosnių dulkės (B metodas)</v>
      </c>
      <c r="U666" s="65"/>
      <c r="X666" s="59" t="b">
        <f t="shared" si="105"/>
        <v>0</v>
      </c>
      <c r="Z666" s="70" t="str">
        <f>EUconst_NA</f>
        <v>netaik.</v>
      </c>
      <c r="AA666" s="95"/>
      <c r="AB666" s="95"/>
      <c r="AC666" s="55"/>
      <c r="AD666" s="55"/>
      <c r="AE666" s="95"/>
      <c r="AF666" s="63"/>
      <c r="AG666" s="70" t="str">
        <f t="shared" si="114"/>
        <v>netaik.</v>
      </c>
    </row>
    <row r="667" spans="1:37" ht="12.75" customHeight="1" outlineLevel="1" x14ac:dyDescent="0.2">
      <c r="A667" s="59">
        <f t="shared" si="115"/>
        <v>27</v>
      </c>
      <c r="B667" s="449" t="str">
        <f t="shared" si="117"/>
        <v>Stiklo ir mineralinės vatos gamyba</v>
      </c>
      <c r="C667" s="72" t="str">
        <f t="shared" si="117"/>
        <v>Stiklas ir mineralinė vata</v>
      </c>
      <c r="D667" s="72" t="str">
        <f t="shared" si="117"/>
        <v>Karbonatai (žaliava)</v>
      </c>
      <c r="E667" s="72"/>
      <c r="F667" s="441" t="str">
        <f t="shared" si="116"/>
        <v>Proceso metu išsiskiriančios ŠESD</v>
      </c>
      <c r="G667" s="425">
        <v>1</v>
      </c>
      <c r="H667" s="456" t="str">
        <f>H$684</f>
        <v>KonvK = 1</v>
      </c>
      <c r="I667" s="456"/>
      <c r="J667" s="72"/>
      <c r="K667" s="72"/>
      <c r="L667" s="456"/>
      <c r="M667" s="457"/>
      <c r="N667" s="425">
        <v>1</v>
      </c>
      <c r="O667" s="427" t="str">
        <f t="shared" si="111"/>
        <v>Stiklas ir mineralinė vata: Karbonatai (žaliava)</v>
      </c>
      <c r="P667" s="72"/>
      <c r="Q667" s="435" t="str">
        <f t="shared" si="112"/>
        <v>ConvF_Stiklas ir mineralinė vata: Karbonatai (žaliava)</v>
      </c>
      <c r="U667" s="65"/>
      <c r="X667" s="59" t="b">
        <f t="shared" si="105"/>
        <v>0</v>
      </c>
      <c r="Z667" s="70" t="str">
        <f>EUconst_NA</f>
        <v>netaik.</v>
      </c>
      <c r="AA667" s="95"/>
      <c r="AB667" s="95"/>
      <c r="AC667" s="55"/>
      <c r="AD667" s="55"/>
      <c r="AE667" s="95"/>
      <c r="AF667" s="63"/>
      <c r="AG667" s="70" t="str">
        <f t="shared" si="114"/>
        <v>netaik.</v>
      </c>
      <c r="AJ667" s="59">
        <f>AJ$684</f>
        <v>1</v>
      </c>
    </row>
    <row r="668" spans="1:37" ht="12.75" customHeight="1" outlineLevel="1" x14ac:dyDescent="0.2">
      <c r="A668" s="59">
        <f t="shared" si="115"/>
        <v>28</v>
      </c>
      <c r="B668" s="449" t="str">
        <f t="shared" si="117"/>
        <v>Keramikos produktų gamyba</v>
      </c>
      <c r="C668" s="72" t="str">
        <f t="shared" si="117"/>
        <v>Keramikos dirbiniai.</v>
      </c>
      <c r="D668" s="72" t="str">
        <f t="shared" si="117"/>
        <v>Anglies sąnaudos (A metodas)</v>
      </c>
      <c r="E668" s="72"/>
      <c r="F668" s="441" t="str">
        <f t="shared" si="116"/>
        <v>Proceso metu išsiskiriančios ŠESD</v>
      </c>
      <c r="G668" s="425">
        <v>1</v>
      </c>
      <c r="H668" s="456" t="str">
        <f>H$684</f>
        <v>KonvK = 1</v>
      </c>
      <c r="I668" s="456" t="str">
        <f>I$684</f>
        <v>Laboratoriniai ir stechiometriniai</v>
      </c>
      <c r="J668" s="72"/>
      <c r="K668" s="72"/>
      <c r="L668" s="456"/>
      <c r="M668" s="457"/>
      <c r="N668" s="425">
        <v>1</v>
      </c>
      <c r="O668" s="427" t="str">
        <f t="shared" si="111"/>
        <v>Keramikos dirbiniai.: Anglies sąnaudos (A metodas)</v>
      </c>
      <c r="P668" s="72"/>
      <c r="Q668" s="435"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5"/>
      <c r="AD668" s="55"/>
      <c r="AE668" s="95"/>
      <c r="AF668" s="63"/>
      <c r="AG668" s="70">
        <f t="shared" si="114"/>
        <v>2</v>
      </c>
      <c r="AJ668" s="59">
        <f>AJ$684</f>
        <v>1</v>
      </c>
      <c r="AK668" s="59">
        <v>2</v>
      </c>
    </row>
    <row r="669" spans="1:37" ht="12.75" customHeight="1" outlineLevel="1" x14ac:dyDescent="0.2">
      <c r="A669" s="59">
        <f t="shared" si="115"/>
        <v>29</v>
      </c>
      <c r="B669" s="449" t="str">
        <f t="shared" si="117"/>
        <v>Keramikos produktų gamyba</v>
      </c>
      <c r="C669" s="72" t="str">
        <f t="shared" si="117"/>
        <v>Keramikos dirbiniai.</v>
      </c>
      <c r="D669" s="72" t="str">
        <f t="shared" si="117"/>
        <v>Šarminių metalų oksidas (B metodas)</v>
      </c>
      <c r="E669" s="72"/>
      <c r="F669" s="441" t="str">
        <f t="shared" si="116"/>
        <v>Proceso metu išsiskiriančios ŠESD</v>
      </c>
      <c r="G669" s="425">
        <v>1</v>
      </c>
      <c r="H669" s="456" t="str">
        <f>H$685</f>
        <v>KonvK = 1</v>
      </c>
      <c r="I669" s="456" t="str">
        <f>I$685</f>
        <v>Laboratoriniai ir stechiometriniai</v>
      </c>
      <c r="J669" s="72"/>
      <c r="K669" s="72"/>
      <c r="L669" s="456"/>
      <c r="M669" s="457"/>
      <c r="N669" s="425">
        <v>1</v>
      </c>
      <c r="O669" s="427" t="str">
        <f t="shared" si="111"/>
        <v>Keramikos dirbiniai.: Šarminių metalų oksidas (B metodas)</v>
      </c>
      <c r="P669" s="72"/>
      <c r="Q669" s="435"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5"/>
      <c r="AD669" s="55"/>
      <c r="AE669" s="95"/>
      <c r="AF669" s="63"/>
      <c r="AG669" s="70">
        <f t="shared" si="114"/>
        <v>2</v>
      </c>
      <c r="AJ669" s="59">
        <f>AJ$685</f>
        <v>1</v>
      </c>
      <c r="AK669" s="59">
        <v>2</v>
      </c>
    </row>
    <row r="670" spans="1:37" ht="12.75" customHeight="1" outlineLevel="1" x14ac:dyDescent="0.2">
      <c r="A670" s="59">
        <f t="shared" si="115"/>
        <v>30</v>
      </c>
      <c r="B670" s="449" t="str">
        <f t="shared" si="117"/>
        <v>Keramikos produktų gamyba</v>
      </c>
      <c r="C670" s="72" t="str">
        <f t="shared" si="117"/>
        <v>Keramikos dirbiniai.</v>
      </c>
      <c r="D670" s="72" t="str">
        <f t="shared" si="117"/>
        <v>Dujų plovimas</v>
      </c>
      <c r="E670" s="72"/>
      <c r="F670" s="441" t="str">
        <f t="shared" si="116"/>
        <v>Proceso metu išsiskiriančios ŠESD</v>
      </c>
      <c r="G670" s="425" t="str">
        <f t="shared" ref="G670:G676" si="118">EUconst_NA</f>
        <v>netaik.</v>
      </c>
      <c r="H670" s="456"/>
      <c r="I670" s="456"/>
      <c r="J670" s="72"/>
      <c r="K670" s="72"/>
      <c r="L670" s="456"/>
      <c r="M670" s="457"/>
      <c r="N670" s="425" t="str">
        <f t="shared" si="110"/>
        <v>netaik.</v>
      </c>
      <c r="O670" s="427" t="str">
        <f t="shared" si="111"/>
        <v>Keramikos dirbiniai.: Dujų plovimas</v>
      </c>
      <c r="P670" s="72"/>
      <c r="Q670" s="435" t="str">
        <f t="shared" si="112"/>
        <v>ConvF_Keramikos dirbiniai.: Dujų plovimas</v>
      </c>
      <c r="X670" s="59" t="b">
        <f t="shared" si="105"/>
        <v>1</v>
      </c>
      <c r="Z670" s="70" t="str">
        <f t="shared" ref="Z670:Z676" si="119">EUconst_NA</f>
        <v>netaik.</v>
      </c>
      <c r="AA670" s="95"/>
      <c r="AB670" s="95"/>
      <c r="AC670" s="55"/>
      <c r="AD670" s="55"/>
      <c r="AE670" s="95"/>
      <c r="AF670" s="63"/>
      <c r="AG670" s="70" t="str">
        <f t="shared" si="114"/>
        <v>netaik.</v>
      </c>
    </row>
    <row r="671" spans="1:37" ht="12.75" customHeight="1" outlineLevel="1" x14ac:dyDescent="0.2">
      <c r="A671" s="59">
        <f t="shared" si="115"/>
        <v>31</v>
      </c>
      <c r="B671" s="449" t="str">
        <f t="shared" si="117"/>
        <v>Celiuliozės ir popieriaus gamyba</v>
      </c>
      <c r="C671" s="72" t="str">
        <f t="shared" si="117"/>
        <v>Celiuliozė ir popierius</v>
      </c>
      <c r="D671" s="72" t="str">
        <f t="shared" si="117"/>
        <v>Sudėtinės cheminės medžiagos</v>
      </c>
      <c r="E671" s="72"/>
      <c r="F671" s="441" t="str">
        <f t="shared" si="116"/>
        <v>Proceso metu išsiskiriančios ŠESD</v>
      </c>
      <c r="G671" s="425">
        <v>1</v>
      </c>
      <c r="H671" s="456" t="str">
        <f>H684</f>
        <v>KonvK = 1</v>
      </c>
      <c r="I671" s="456"/>
      <c r="J671" s="72"/>
      <c r="K671" s="72"/>
      <c r="L671" s="456"/>
      <c r="M671" s="457"/>
      <c r="N671" s="425">
        <v>1</v>
      </c>
      <c r="O671" s="427" t="str">
        <f t="shared" si="111"/>
        <v>Celiuliozė ir popierius: Sudėtinės cheminės medžiagos</v>
      </c>
      <c r="P671" s="72"/>
      <c r="Q671" s="435" t="str">
        <f t="shared" si="112"/>
        <v>ConvF_Celiuliozė ir popierius: Sudėtinės cheminės medžiagos</v>
      </c>
      <c r="X671" s="59" t="b">
        <f t="shared" si="105"/>
        <v>0</v>
      </c>
      <c r="Z671" s="70" t="str">
        <f t="shared" si="119"/>
        <v>netaik.</v>
      </c>
      <c r="AA671" s="95"/>
      <c r="AB671" s="95"/>
      <c r="AC671" s="55"/>
      <c r="AD671" s="55"/>
      <c r="AE671" s="95"/>
      <c r="AF671" s="63"/>
      <c r="AG671" s="70" t="str">
        <f t="shared" si="114"/>
        <v>netaik.</v>
      </c>
      <c r="AJ671" s="59">
        <f>AJ684</f>
        <v>1</v>
      </c>
    </row>
    <row r="672" spans="1:37" ht="12.75" customHeight="1" outlineLevel="1" x14ac:dyDescent="0.2">
      <c r="A672" s="59">
        <f t="shared" si="115"/>
        <v>32</v>
      </c>
      <c r="B672" s="449" t="str">
        <f t="shared" si="117"/>
        <v>Suodžių gamyba</v>
      </c>
      <c r="C672" s="72" t="str">
        <f t="shared" si="117"/>
        <v>Padengtas kartonas Suodžiai</v>
      </c>
      <c r="D672" s="72" t="str">
        <f t="shared" si="117"/>
        <v>Masės balanso metodika</v>
      </c>
      <c r="E672" s="72"/>
      <c r="F672" s="441" t="str">
        <f t="shared" si="116"/>
        <v>Masės balansas</v>
      </c>
      <c r="G672" s="425" t="str">
        <f t="shared" si="118"/>
        <v>netaik.</v>
      </c>
      <c r="H672" s="456"/>
      <c r="I672" s="456"/>
      <c r="J672" s="72"/>
      <c r="K672" s="72"/>
      <c r="L672" s="456"/>
      <c r="M672" s="457"/>
      <c r="N672" s="425" t="str">
        <f t="shared" si="110"/>
        <v>netaik.</v>
      </c>
      <c r="O672" s="427" t="str">
        <f t="shared" si="111"/>
        <v>Padengtas kartonas Suodžiai: Masės balanso metodika</v>
      </c>
      <c r="P672" s="72"/>
      <c r="Q672" s="435" t="str">
        <f t="shared" si="112"/>
        <v>ConvF_Padengtas kartonas Suodžiai: Masės balanso metodika</v>
      </c>
      <c r="X672" s="59" t="b">
        <f t="shared" si="105"/>
        <v>1</v>
      </c>
      <c r="Z672" s="70" t="str">
        <f t="shared" si="119"/>
        <v>netaik.</v>
      </c>
      <c r="AA672" s="95"/>
      <c r="AB672" s="95"/>
      <c r="AC672" s="55"/>
      <c r="AD672" s="55"/>
      <c r="AE672" s="95"/>
      <c r="AF672" s="63"/>
      <c r="AG672" s="70" t="str">
        <f t="shared" si="114"/>
        <v>netaik.</v>
      </c>
    </row>
    <row r="673" spans="1:37" ht="12.75" customHeight="1" outlineLevel="1" x14ac:dyDescent="0.2">
      <c r="A673" s="59">
        <f t="shared" si="115"/>
        <v>33</v>
      </c>
      <c r="B673" s="449" t="str">
        <f t="shared" si="117"/>
        <v>Amoniako gamyba</v>
      </c>
      <c r="C673" s="72" t="str">
        <f t="shared" si="117"/>
        <v>Amoniakas</v>
      </c>
      <c r="D673" s="72" t="str">
        <f t="shared" si="117"/>
        <v>Kuras kaip proceso žaliava</v>
      </c>
      <c r="E673" s="72"/>
      <c r="F673" s="441" t="str">
        <f t="shared" si="116"/>
        <v>Degimas</v>
      </c>
      <c r="G673" s="425" t="str">
        <f t="shared" si="118"/>
        <v>netaik.</v>
      </c>
      <c r="H673" s="456"/>
      <c r="I673" s="456"/>
      <c r="J673" s="72"/>
      <c r="K673" s="72"/>
      <c r="L673" s="456"/>
      <c r="M673" s="457"/>
      <c r="N673" s="425" t="str">
        <f t="shared" si="110"/>
        <v>netaik.</v>
      </c>
      <c r="O673" s="427" t="str">
        <f t="shared" si="111"/>
        <v>Amoniakas: Kuras kaip proceso žaliava</v>
      </c>
      <c r="P673" s="72"/>
      <c r="Q673" s="435" t="str">
        <f t="shared" si="112"/>
        <v>ConvF_Amoniakas: Kuras kaip proceso žaliava</v>
      </c>
      <c r="X673" s="59" t="b">
        <f t="shared" ref="X673:X682" si="120">IF(G673=EUconst_NA,TRUE,FALSE)</f>
        <v>1</v>
      </c>
      <c r="Z673" s="70" t="str">
        <f t="shared" si="119"/>
        <v>netaik.</v>
      </c>
      <c r="AA673" s="95"/>
      <c r="AB673" s="95"/>
      <c r="AC673" s="55"/>
      <c r="AD673" s="55"/>
      <c r="AE673" s="95"/>
      <c r="AF673" s="63"/>
      <c r="AG673" s="70" t="str">
        <f t="shared" si="114"/>
        <v>netaik.</v>
      </c>
    </row>
    <row r="674" spans="1:37" ht="12.75" customHeight="1" outlineLevel="1" x14ac:dyDescent="0.2">
      <c r="A674" s="59">
        <f t="shared" si="115"/>
        <v>34</v>
      </c>
      <c r="B674" s="449" t="str">
        <f t="shared" si="117"/>
        <v>Vandenilio ar sintezės dujų gamyba</v>
      </c>
      <c r="C674" s="72" t="str">
        <f t="shared" si="117"/>
        <v>Vandenilis ir sintezės dujos</v>
      </c>
      <c r="D674" s="72" t="str">
        <f t="shared" si="117"/>
        <v>Kuras kaip proceso žaliava</v>
      </c>
      <c r="E674" s="72"/>
      <c r="F674" s="441" t="str">
        <f t="shared" si="116"/>
        <v>Degimas</v>
      </c>
      <c r="G674" s="425" t="str">
        <f t="shared" si="118"/>
        <v>netaik.</v>
      </c>
      <c r="H674" s="456"/>
      <c r="I674" s="456"/>
      <c r="J674" s="72"/>
      <c r="K674" s="72"/>
      <c r="L674" s="456"/>
      <c r="M674" s="457"/>
      <c r="N674" s="425" t="str">
        <f t="shared" si="110"/>
        <v>netaik.</v>
      </c>
      <c r="O674" s="427" t="str">
        <f t="shared" si="111"/>
        <v>Vandenilis ir sintezės dujos: Kuras kaip proceso žaliava</v>
      </c>
      <c r="P674" s="72"/>
      <c r="Q674" s="435" t="str">
        <f t="shared" si="112"/>
        <v>ConvF_Vandenilis ir sintezės dujos: Kuras kaip proceso žaliava</v>
      </c>
      <c r="X674" s="59" t="b">
        <f t="shared" si="120"/>
        <v>1</v>
      </c>
      <c r="Z674" s="70" t="str">
        <f t="shared" si="119"/>
        <v>netaik.</v>
      </c>
      <c r="AA674" s="95"/>
      <c r="AB674" s="95"/>
      <c r="AC674" s="55"/>
      <c r="AD674" s="55"/>
      <c r="AE674" s="95"/>
      <c r="AF674" s="63"/>
      <c r="AG674" s="70" t="str">
        <f t="shared" si="114"/>
        <v>netaik.</v>
      </c>
    </row>
    <row r="675" spans="1:37" ht="12.75" customHeight="1" outlineLevel="1" x14ac:dyDescent="0.2">
      <c r="A675" s="59">
        <f t="shared" si="115"/>
        <v>35</v>
      </c>
      <c r="B675" s="449" t="str">
        <f t="shared" si="117"/>
        <v>Vandenilio ar sintezės dujų gamyba</v>
      </c>
      <c r="C675" s="72" t="str">
        <f t="shared" si="117"/>
        <v>Vandenilis ir sintezės dujos</v>
      </c>
      <c r="D675" s="72" t="str">
        <f t="shared" si="117"/>
        <v>Masės balanso metodika</v>
      </c>
      <c r="E675" s="72"/>
      <c r="F675" s="441" t="str">
        <f t="shared" si="116"/>
        <v>Masės balansas</v>
      </c>
      <c r="G675" s="425" t="str">
        <f t="shared" si="118"/>
        <v>netaik.</v>
      </c>
      <c r="H675" s="456"/>
      <c r="I675" s="456"/>
      <c r="J675" s="72"/>
      <c r="K675" s="72"/>
      <c r="L675" s="456"/>
      <c r="M675" s="457"/>
      <c r="N675" s="425" t="str">
        <f t="shared" si="110"/>
        <v>netaik.</v>
      </c>
      <c r="O675" s="427" t="str">
        <f t="shared" si="111"/>
        <v>Vandenilis ir sintezės dujos: Masės balanso metodika</v>
      </c>
      <c r="P675" s="72"/>
      <c r="Q675" s="435" t="str">
        <f t="shared" si="112"/>
        <v>ConvF_Vandenilis ir sintezės dujos: Masės balanso metodika</v>
      </c>
      <c r="X675" s="59" t="b">
        <f t="shared" si="120"/>
        <v>1</v>
      </c>
      <c r="Z675" s="70" t="str">
        <f t="shared" si="119"/>
        <v>netaik.</v>
      </c>
      <c r="AA675" s="95"/>
      <c r="AB675" s="95"/>
      <c r="AC675" s="55"/>
      <c r="AD675" s="55"/>
      <c r="AE675" s="95"/>
      <c r="AF675" s="63"/>
      <c r="AG675" s="70" t="str">
        <f t="shared" si="114"/>
        <v>netaik.</v>
      </c>
    </row>
    <row r="676" spans="1:37" ht="12.75" customHeight="1" outlineLevel="1" x14ac:dyDescent="0.2">
      <c r="A676" s="59">
        <f t="shared" si="115"/>
        <v>36</v>
      </c>
      <c r="B676" s="449" t="str">
        <f t="shared" si="117"/>
        <v>Biriųjų organinių cheminių medžiagų gamyba</v>
      </c>
      <c r="C676" s="72" t="str">
        <f t="shared" si="117"/>
        <v>Didelio masto organinių cheminių medžiagų gamyba</v>
      </c>
      <c r="D676" s="72" t="str">
        <f t="shared" si="117"/>
        <v>Masės balanso metodika</v>
      </c>
      <c r="E676" s="72"/>
      <c r="F676" s="441" t="str">
        <f t="shared" si="116"/>
        <v>Masės balansas</v>
      </c>
      <c r="G676" s="425" t="str">
        <f t="shared" si="118"/>
        <v>netaik.</v>
      </c>
      <c r="H676" s="456"/>
      <c r="I676" s="456"/>
      <c r="J676" s="72"/>
      <c r="K676" s="72"/>
      <c r="L676" s="456"/>
      <c r="M676" s="457"/>
      <c r="N676" s="425" t="str">
        <f t="shared" si="110"/>
        <v>netaik.</v>
      </c>
      <c r="O676" s="427" t="str">
        <f t="shared" si="111"/>
        <v>Didelio masto organinių cheminių medžiagų gamyba: Masės balanso metodika</v>
      </c>
      <c r="P676" s="72"/>
      <c r="Q676" s="435" t="str">
        <f t="shared" si="112"/>
        <v>ConvF_Didelio masto organinių cheminių medžiagų gamyba: Masės balanso metodika</v>
      </c>
      <c r="X676" s="59" t="b">
        <f t="shared" si="120"/>
        <v>1</v>
      </c>
      <c r="Z676" s="70" t="str">
        <f t="shared" si="119"/>
        <v>netaik.</v>
      </c>
      <c r="AA676" s="95"/>
      <c r="AB676" s="95"/>
      <c r="AC676" s="55"/>
      <c r="AD676" s="55"/>
      <c r="AE676" s="95"/>
      <c r="AF676" s="63"/>
      <c r="AG676" s="70" t="str">
        <f t="shared" si="114"/>
        <v>netaik.</v>
      </c>
    </row>
    <row r="677" spans="1:37" ht="12.75" customHeight="1" outlineLevel="1" x14ac:dyDescent="0.2">
      <c r="A677" s="59">
        <f t="shared" si="115"/>
        <v>37</v>
      </c>
      <c r="B677" s="449" t="str">
        <f t="shared" si="117"/>
        <v>Juodųjų ir spalvotųjų metalų, įskaitant antrinį aliuminį, gamyba ar apdirbimas</v>
      </c>
      <c r="C677" s="72" t="str">
        <f t="shared" si="117"/>
        <v>(Ne)spalvotieji, antrinis aliuminis</v>
      </c>
      <c r="D677" s="72" t="str">
        <f t="shared" si="117"/>
        <v>Proceso metu išsiskiriančios ŠESD</v>
      </c>
      <c r="E677" s="72"/>
      <c r="F677" s="441" t="str">
        <f t="shared" si="116"/>
        <v>Proceso metu išsiskiriančios ŠESD</v>
      </c>
      <c r="G677" s="425">
        <v>1</v>
      </c>
      <c r="H677" s="456" t="str">
        <f>H$684</f>
        <v>KonvK = 1</v>
      </c>
      <c r="I677" s="456" t="str">
        <f>I$684</f>
        <v>Laboratoriniai ir stechiometriniai</v>
      </c>
      <c r="J677" s="72"/>
      <c r="K677" s="72"/>
      <c r="L677" s="456"/>
      <c r="M677" s="457"/>
      <c r="N677" s="425">
        <v>1</v>
      </c>
      <c r="O677" s="427" t="str">
        <f t="shared" si="111"/>
        <v>(Ne)spalvotieji, antrinis aliuminis: Proceso metu išsiskiriančios ŠESD</v>
      </c>
      <c r="P677" s="72"/>
      <c r="Q677" s="435"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5"/>
      <c r="AD677" s="55"/>
      <c r="AE677" s="95"/>
      <c r="AF677" s="63"/>
      <c r="AG677" s="70">
        <f t="shared" si="114"/>
        <v>2</v>
      </c>
      <c r="AJ677" s="59">
        <f>AJ$684</f>
        <v>1</v>
      </c>
      <c r="AK677" s="59">
        <v>2</v>
      </c>
    </row>
    <row r="678" spans="1:37" ht="12.75" customHeight="1" outlineLevel="1" x14ac:dyDescent="0.2">
      <c r="A678" s="59">
        <f t="shared" si="115"/>
        <v>38</v>
      </c>
      <c r="B678" s="449" t="str">
        <f t="shared" si="117"/>
        <v>Juodųjų ir spalvotųjų metalų, įskaitant antrinį aliuminį, gamyba ar apdirbimas</v>
      </c>
      <c r="C678" s="72" t="str">
        <f t="shared" si="117"/>
        <v>(Ne)spalvotieji, antrinis aliuminis</v>
      </c>
      <c r="D678" s="72" t="str">
        <f t="shared" si="117"/>
        <v>Masės balanso metodika</v>
      </c>
      <c r="E678" s="72"/>
      <c r="F678" s="441" t="str">
        <f t="shared" si="116"/>
        <v>Masės balansas</v>
      </c>
      <c r="G678" s="425" t="str">
        <f>EUconst_NA</f>
        <v>netaik.</v>
      </c>
      <c r="H678" s="456"/>
      <c r="I678" s="456"/>
      <c r="J678" s="72"/>
      <c r="K678" s="72"/>
      <c r="L678" s="456"/>
      <c r="M678" s="457"/>
      <c r="N678" s="425" t="str">
        <f t="shared" si="110"/>
        <v>netaik.</v>
      </c>
      <c r="O678" s="427" t="str">
        <f t="shared" si="111"/>
        <v>(Ne)spalvotieji, antrinis aliuminis: Masės balanso metodika</v>
      </c>
      <c r="P678" s="72"/>
      <c r="Q678" s="435" t="str">
        <f t="shared" si="112"/>
        <v>ConvF_(Ne)spalvotieji, antrinis aliuminis: Masės balanso metodika</v>
      </c>
      <c r="X678" s="59" t="b">
        <f t="shared" si="120"/>
        <v>1</v>
      </c>
      <c r="Z678" s="70" t="str">
        <f>EUconst_NA</f>
        <v>netaik.</v>
      </c>
      <c r="AA678" s="95"/>
      <c r="AB678" s="95"/>
      <c r="AC678" s="55"/>
      <c r="AD678" s="55"/>
      <c r="AE678" s="95"/>
      <c r="AF678" s="63"/>
      <c r="AG678" s="70" t="str">
        <f t="shared" si="114"/>
        <v>netaik.</v>
      </c>
    </row>
    <row r="679" spans="1:37" ht="12.75" customHeight="1" outlineLevel="1" x14ac:dyDescent="0.2">
      <c r="A679" s="59">
        <f t="shared" si="115"/>
        <v>39</v>
      </c>
      <c r="B679" s="449" t="str">
        <f t="shared" si="117"/>
        <v>Natrio karbonato ir natrio hidrokarbonato gamyba</v>
      </c>
      <c r="C679" s="72" t="str">
        <f>C631</f>
        <v>Natrio karbonatas / natrio hidrokarbonatas</v>
      </c>
      <c r="D679" s="72" t="str">
        <f t="shared" si="117"/>
        <v>Masės balanso metodika</v>
      </c>
      <c r="E679" s="72"/>
      <c r="F679" s="441" t="str">
        <f t="shared" si="116"/>
        <v>Masės balansas</v>
      </c>
      <c r="G679" s="425" t="str">
        <f>EUconst_NA</f>
        <v>netaik.</v>
      </c>
      <c r="H679" s="456"/>
      <c r="I679" s="456"/>
      <c r="J679" s="72"/>
      <c r="K679" s="72"/>
      <c r="L679" s="456"/>
      <c r="M679" s="457"/>
      <c r="N679" s="425" t="str">
        <f t="shared" si="110"/>
        <v>netaik.</v>
      </c>
      <c r="O679" s="427" t="str">
        <f>C679 &amp; ": " &amp;D679</f>
        <v>Natrio karbonatas / natrio hidrokarbonatas: Masės balanso metodika</v>
      </c>
      <c r="P679" s="72"/>
      <c r="Q679" s="435" t="str">
        <f>EUconst_CNTR_ConversionFactor&amp;O679</f>
        <v>ConvF_Natrio karbonatas / natrio hidrokarbonatas: Masės balanso metodika</v>
      </c>
      <c r="X679" s="59" t="b">
        <f t="shared" si="120"/>
        <v>1</v>
      </c>
      <c r="Z679" s="70" t="str">
        <f>EUconst_NA</f>
        <v>netaik.</v>
      </c>
      <c r="AA679" s="95"/>
      <c r="AB679" s="95"/>
      <c r="AC679" s="55"/>
      <c r="AD679" s="55"/>
      <c r="AE679" s="95"/>
      <c r="AF679" s="63"/>
      <c r="AG679" s="70" t="str">
        <f t="shared" si="114"/>
        <v>netaik.</v>
      </c>
    </row>
    <row r="680" spans="1:37" ht="12.75" customHeight="1" outlineLevel="1" x14ac:dyDescent="0.2">
      <c r="A680" s="59">
        <f t="shared" si="115"/>
        <v>40</v>
      </c>
      <c r="B680" s="449" t="str">
        <f t="shared" si="117"/>
        <v>Pirminio aliuminio gamyba</v>
      </c>
      <c r="C680" s="72" t="str">
        <f t="shared" si="117"/>
        <v>Pirminis aliuminis</v>
      </c>
      <c r="D680" s="72" t="str">
        <f t="shared" si="117"/>
        <v>Masės balanso metodika</v>
      </c>
      <c r="E680" s="72"/>
      <c r="F680" s="441" t="str">
        <f t="shared" si="116"/>
        <v>Masės balansas</v>
      </c>
      <c r="G680" s="425" t="str">
        <f>EUconst_NA</f>
        <v>netaik.</v>
      </c>
      <c r="H680" s="456"/>
      <c r="I680" s="456"/>
      <c r="J680" s="72"/>
      <c r="K680" s="72"/>
      <c r="L680" s="456"/>
      <c r="M680" s="457"/>
      <c r="N680" s="425" t="str">
        <f t="shared" si="110"/>
        <v>netaik.</v>
      </c>
      <c r="O680" s="427" t="str">
        <f>C680 &amp; ": " &amp;D680</f>
        <v>Pirminis aliuminis: Masės balanso metodika</v>
      </c>
      <c r="P680" s="72"/>
      <c r="Q680" s="435" t="str">
        <f>EUconst_CNTR_ConversionFactor&amp;O680</f>
        <v>ConvF_Pirminis aliuminis: Masės balanso metodika</v>
      </c>
      <c r="X680" s="59" t="b">
        <f t="shared" si="120"/>
        <v>1</v>
      </c>
      <c r="Z680" s="70" t="str">
        <f>EUconst_NA</f>
        <v>netaik.</v>
      </c>
      <c r="AA680" s="95"/>
      <c r="AB680" s="95"/>
      <c r="AC680" s="55"/>
      <c r="AD680" s="55"/>
      <c r="AE680" s="95"/>
      <c r="AF680" s="63"/>
      <c r="AG680" s="70" t="str">
        <f t="shared" si="114"/>
        <v>netaik.</v>
      </c>
    </row>
    <row r="681" spans="1:37" ht="12.75" customHeight="1" outlineLevel="1" x14ac:dyDescent="0.2">
      <c r="A681" s="59">
        <f t="shared" si="115"/>
        <v>41</v>
      </c>
      <c r="B681" s="449" t="str">
        <f t="shared" ref="B681:D682" si="121">B633</f>
        <v>Pirminio aliuminio gamyba</v>
      </c>
      <c r="C681" s="72" t="str">
        <f t="shared" si="121"/>
        <v>Pirminis aliuminis</v>
      </c>
      <c r="D681" s="72" t="str">
        <f t="shared" si="121"/>
        <v>Išmetamas PFC kiekis (nuolydžio metodas)</v>
      </c>
      <c r="E681" s="72"/>
      <c r="F681" s="441" t="str">
        <f t="shared" si="116"/>
        <v>Išmetamas PFC kiekis</v>
      </c>
      <c r="G681" s="425" t="str">
        <f>EUconst_NA</f>
        <v>netaik.</v>
      </c>
      <c r="H681" s="456"/>
      <c r="I681" s="456"/>
      <c r="J681" s="72"/>
      <c r="K681" s="72"/>
      <c r="L681" s="456"/>
      <c r="M681" s="457"/>
      <c r="N681" s="425" t="str">
        <f t="shared" si="110"/>
        <v>netaik.</v>
      </c>
      <c r="O681" s="427" t="str">
        <f>C681 &amp; ": " &amp;D681</f>
        <v>Pirminis aliuminis: Išmetamas PFC kiekis (nuolydžio metodas)</v>
      </c>
      <c r="P681" s="72"/>
      <c r="Q681" s="435" t="str">
        <f>EUconst_CNTR_ConversionFactor&amp;O681</f>
        <v>ConvF_Pirminis aliuminis: Išmetamas PFC kiekis (nuolydžio metodas)</v>
      </c>
      <c r="X681" s="59" t="b">
        <f t="shared" si="120"/>
        <v>1</v>
      </c>
      <c r="Z681" s="70" t="str">
        <f>EUconst_NA</f>
        <v>netaik.</v>
      </c>
      <c r="AA681" s="95"/>
      <c r="AB681" s="95"/>
      <c r="AC681" s="55"/>
      <c r="AD681" s="55"/>
      <c r="AE681" s="95"/>
      <c r="AF681" s="63"/>
      <c r="AG681" s="70" t="str">
        <f t="shared" si="114"/>
        <v>netaik.</v>
      </c>
    </row>
    <row r="682" spans="1:37" ht="12.75" customHeight="1" outlineLevel="1" thickBot="1" x14ac:dyDescent="0.25">
      <c r="A682" s="59">
        <f t="shared" si="115"/>
        <v>42</v>
      </c>
      <c r="B682" s="450" t="str">
        <f t="shared" si="121"/>
        <v>Pirminio aliuminio gamyba</v>
      </c>
      <c r="C682" s="438" t="str">
        <f t="shared" si="121"/>
        <v>Pirminis aliuminis</v>
      </c>
      <c r="D682" s="438" t="str">
        <f t="shared" si="121"/>
        <v>Išmetamas PFC kiekis (viršįtampio metodas)</v>
      </c>
      <c r="E682" s="438"/>
      <c r="F682" s="451" t="str">
        <f t="shared" si="116"/>
        <v>Išmetamas PFC kiekis</v>
      </c>
      <c r="G682" s="436" t="str">
        <f>EUconst_NA</f>
        <v>netaik.</v>
      </c>
      <c r="H682" s="460"/>
      <c r="I682" s="460"/>
      <c r="J682" s="438"/>
      <c r="K682" s="438"/>
      <c r="L682" s="460"/>
      <c r="M682" s="461"/>
      <c r="N682" s="436" t="str">
        <f t="shared" si="110"/>
        <v>netaik.</v>
      </c>
      <c r="O682" s="439" t="str">
        <f>C682 &amp; ": " &amp;D682</f>
        <v>Pirminis aliuminis: Išmetamas PFC kiekis (viršįtampio metodas)</v>
      </c>
      <c r="P682" s="438"/>
      <c r="Q682" s="440" t="str">
        <f>EUconst_CNTR_ConversionFactor&amp;O682</f>
        <v>ConvF_Pirminis aliuminis: Išmetamas PFC kiekis (viršįtampio metodas)</v>
      </c>
      <c r="X682" s="59" t="b">
        <f t="shared" si="120"/>
        <v>1</v>
      </c>
      <c r="Z682" s="70" t="str">
        <f>EUconst_NA</f>
        <v>netaik.</v>
      </c>
      <c r="AA682" s="95"/>
      <c r="AB682" s="95"/>
      <c r="AC682" s="55"/>
      <c r="AD682" s="55"/>
      <c r="AE682" s="95"/>
      <c r="AF682" s="63"/>
      <c r="AG682" s="70" t="str">
        <f t="shared" si="114"/>
        <v>netaik.</v>
      </c>
    </row>
    <row r="683" spans="1:37" ht="12.75" customHeight="1" outlineLevel="1" x14ac:dyDescent="0.2">
      <c r="B683" s="55"/>
      <c r="C683" s="55"/>
      <c r="D683" s="55"/>
      <c r="E683" s="55"/>
      <c r="F683" s="103"/>
      <c r="G683" s="55"/>
      <c r="H683" s="95"/>
      <c r="I683" s="95"/>
      <c r="J683" s="55"/>
      <c r="K683" s="55"/>
      <c r="L683" s="95"/>
      <c r="M683" s="63"/>
      <c r="N683" s="70"/>
      <c r="O683" s="55"/>
      <c r="P683" s="55"/>
      <c r="Q683" s="55"/>
      <c r="Z683" s="55"/>
      <c r="AA683" s="95"/>
      <c r="AB683" s="95"/>
      <c r="AC683" s="55"/>
      <c r="AD683" s="55"/>
      <c r="AE683" s="95"/>
      <c r="AF683" s="63"/>
      <c r="AG683" s="70"/>
    </row>
    <row r="684" spans="1:37" ht="12.75" customHeight="1" outlineLevel="1" x14ac:dyDescent="0.2">
      <c r="B684" s="55" t="s">
        <v>93</v>
      </c>
      <c r="C684" s="55"/>
      <c r="D684" s="55"/>
      <c r="E684" s="55"/>
      <c r="F684" s="55"/>
      <c r="G684" s="55"/>
      <c r="H684" s="95" t="str">
        <f>Translations!$B$922</f>
        <v>KonvK = 1</v>
      </c>
      <c r="I684" s="94" t="str">
        <f>Translations!$B$920</f>
        <v>Laboratoriniai ir stechiometriniai</v>
      </c>
      <c r="J684" s="55"/>
      <c r="K684" s="55"/>
      <c r="L684" s="95"/>
      <c r="M684" s="63"/>
      <c r="N684" s="70"/>
      <c r="O684" s="55"/>
      <c r="P684" s="55"/>
      <c r="Q684" s="55"/>
      <c r="Z684" s="55"/>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5"/>
      <c r="AD684" s="55"/>
      <c r="AE684" s="95"/>
      <c r="AF684" s="63"/>
      <c r="AG684" s="70"/>
      <c r="AJ684" s="59">
        <v>1</v>
      </c>
      <c r="AK684" s="59">
        <v>2</v>
      </c>
    </row>
    <row r="685" spans="1:37" ht="12.75" customHeight="1" outlineLevel="1" x14ac:dyDescent="0.2">
      <c r="B685" s="55" t="s">
        <v>94</v>
      </c>
      <c r="C685" s="55"/>
      <c r="D685" s="55"/>
      <c r="E685" s="55"/>
      <c r="F685" s="55"/>
      <c r="G685" s="55"/>
      <c r="H685" s="95" t="str">
        <f>H684</f>
        <v>KonvK = 1</v>
      </c>
      <c r="I685" s="95" t="str">
        <f>I684</f>
        <v>Laboratoriniai ir stechiometriniai</v>
      </c>
      <c r="J685" s="55"/>
      <c r="K685" s="55"/>
      <c r="L685" s="95"/>
      <c r="M685" s="63"/>
      <c r="N685" s="70"/>
      <c r="O685" s="55"/>
      <c r="P685" s="55"/>
      <c r="Q685" s="55"/>
      <c r="Z685" s="55"/>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5"/>
      <c r="AD685" s="55"/>
      <c r="AE685" s="95"/>
      <c r="AF685" s="63"/>
      <c r="AG685" s="70"/>
      <c r="AJ685" s="59">
        <f>AJ684</f>
        <v>1</v>
      </c>
      <c r="AK685" s="59">
        <v>2</v>
      </c>
    </row>
    <row r="686" spans="1:37" ht="12.75" customHeight="1" outlineLevel="1" x14ac:dyDescent="0.2">
      <c r="B686" s="55" t="str">
        <f>Translations!$B$431</f>
        <v>masių balansas</v>
      </c>
      <c r="C686" s="55"/>
      <c r="D686" s="55"/>
      <c r="E686" s="55"/>
      <c r="F686" s="55"/>
      <c r="G686" s="55"/>
      <c r="H686" s="95"/>
      <c r="I686" s="95"/>
      <c r="J686" s="55"/>
      <c r="K686" s="55"/>
      <c r="L686" s="95"/>
      <c r="M686" s="63"/>
      <c r="N686" s="70"/>
      <c r="O686" s="55"/>
      <c r="P686" s="55"/>
      <c r="Q686" s="55"/>
      <c r="Z686" s="55"/>
      <c r="AA686" s="95"/>
      <c r="AB686" s="95"/>
      <c r="AC686" s="55"/>
      <c r="AD686" s="55"/>
      <c r="AE686" s="95"/>
      <c r="AF686" s="63"/>
      <c r="AG686" s="70"/>
    </row>
    <row r="687" spans="1:37" ht="12.75" customHeight="1" outlineLevel="1" x14ac:dyDescent="0.2">
      <c r="B687" s="55"/>
      <c r="C687" s="55"/>
      <c r="D687" s="55"/>
      <c r="E687" s="55"/>
      <c r="F687" s="55"/>
      <c r="G687" s="55"/>
      <c r="H687" s="55"/>
      <c r="I687" s="55"/>
      <c r="J687" s="55"/>
      <c r="K687" s="55"/>
      <c r="L687" s="55"/>
      <c r="M687" s="55"/>
      <c r="N687" s="55"/>
      <c r="O687" s="55"/>
      <c r="P687" s="55"/>
      <c r="Q687" s="55"/>
      <c r="Z687" s="55"/>
      <c r="AA687" s="55"/>
      <c r="AB687" s="55"/>
      <c r="AC687" s="55"/>
      <c r="AD687" s="55"/>
      <c r="AE687" s="55"/>
      <c r="AF687" s="55"/>
      <c r="AG687" s="55"/>
    </row>
    <row r="688" spans="1:37" s="80" customFormat="1" ht="13.5" thickBot="1" x14ac:dyDescent="0.25">
      <c r="B688" s="96" t="str">
        <f>Translations!$B$487</f>
        <v>Matavimas</v>
      </c>
      <c r="C688" s="86"/>
      <c r="D688" s="86"/>
      <c r="E688" s="86"/>
      <c r="F688" s="96"/>
      <c r="G688" s="89" t="str">
        <f>Translations!$B$338</f>
        <v>Mažiausiai</v>
      </c>
      <c r="H688" s="89">
        <v>1</v>
      </c>
      <c r="I688" s="89">
        <v>2</v>
      </c>
      <c r="J688" s="89" t="s">
        <v>262</v>
      </c>
      <c r="K688" s="89" t="str">
        <f>Translations!$B$306</f>
        <v>2b</v>
      </c>
      <c r="L688" s="89">
        <v>3</v>
      </c>
      <c r="M688" s="144">
        <v>4</v>
      </c>
      <c r="N688" s="89" t="str">
        <f>Translations!$B$339</f>
        <v>Didžiausia</v>
      </c>
    </row>
    <row r="689" spans="2:33" ht="12.75" customHeight="1" outlineLevel="1" x14ac:dyDescent="0.2">
      <c r="B689" s="445" t="str">
        <f>B95</f>
        <v>CO2</v>
      </c>
      <c r="C689" s="432"/>
      <c r="D689" s="432"/>
      <c r="E689" s="432"/>
      <c r="F689" s="432"/>
      <c r="G689" s="432">
        <v>2</v>
      </c>
      <c r="H689" s="431" t="str">
        <f>Translations!$B$488</f>
        <v>± 10,0%</v>
      </c>
      <c r="I689" s="431" t="str">
        <f>Translations!$B$344</f>
        <v>± 7,5%</v>
      </c>
      <c r="J689" s="432"/>
      <c r="K689" s="432"/>
      <c r="L689" s="431" t="str">
        <f>Translations!$B$345</f>
        <v>± 5,0%</v>
      </c>
      <c r="M689" s="431" t="str">
        <f>Translations!$B$346</f>
        <v>± 2,5%</v>
      </c>
      <c r="N689" s="462">
        <f>IF(G689=EUconst_NA,EUconst_NA,IF(ISBLANK(J689),COUNTA(H689:M689),COUNTA(H689,J689,L689)))</f>
        <v>4</v>
      </c>
      <c r="Z689" s="55"/>
      <c r="AA689" s="55"/>
      <c r="AB689" s="55"/>
      <c r="AC689" s="55"/>
      <c r="AD689" s="55"/>
      <c r="AE689" s="55"/>
      <c r="AF689" s="55"/>
      <c r="AG689" s="55"/>
    </row>
    <row r="690" spans="2:33" ht="12.75" customHeight="1" outlineLevel="1" x14ac:dyDescent="0.2">
      <c r="B690" s="449" t="str">
        <f>C95</f>
        <v>N2O</v>
      </c>
      <c r="C690" s="72"/>
      <c r="D690" s="72"/>
      <c r="E690" s="72"/>
      <c r="F690" s="72"/>
      <c r="G690" s="72">
        <v>2</v>
      </c>
      <c r="H690" s="426" t="str">
        <f>Translations!$B$488</f>
        <v>± 10,0%</v>
      </c>
      <c r="I690" s="426" t="str">
        <f>Translations!$B$344</f>
        <v>± 7,5%</v>
      </c>
      <c r="J690" s="72"/>
      <c r="K690" s="72"/>
      <c r="L690" s="426" t="str">
        <f>Translations!$B$345</f>
        <v>± 5,0%</v>
      </c>
      <c r="M690" s="429" t="str">
        <f>EUconst_NA</f>
        <v>netaik.</v>
      </c>
      <c r="N690" s="463">
        <v>3</v>
      </c>
      <c r="Z690" s="55"/>
      <c r="AA690" s="55"/>
      <c r="AB690" s="55"/>
      <c r="AC690" s="55"/>
      <c r="AD690" s="55"/>
      <c r="AE690" s="55"/>
      <c r="AF690" s="55"/>
      <c r="AG690" s="55"/>
    </row>
    <row r="691" spans="2:33" ht="12.75" customHeight="1" outlineLevel="1" thickBot="1" x14ac:dyDescent="0.25">
      <c r="B691" s="450" t="str">
        <f>D95</f>
        <v>CO2 perdavimas</v>
      </c>
      <c r="C691" s="438"/>
      <c r="D691" s="438"/>
      <c r="E691" s="438"/>
      <c r="F691" s="438"/>
      <c r="G691" s="438"/>
      <c r="H691" s="437" t="str">
        <f>Translations!$B$488</f>
        <v>± 10,0%</v>
      </c>
      <c r="I691" s="437" t="str">
        <f>Translations!$B$344</f>
        <v>± 7,5%</v>
      </c>
      <c r="J691" s="438"/>
      <c r="K691" s="438"/>
      <c r="L691" s="437" t="str">
        <f>Translations!$B$345</f>
        <v>± 5,0%</v>
      </c>
      <c r="M691" s="437" t="str">
        <f>Translations!$B$346</f>
        <v>± 2,5%</v>
      </c>
      <c r="N691" s="464">
        <f>IF(G691=EUconst_NA,EUconst_NA,IF(ISBLANK(J691),COUNTA(H691:M691),COUNTA(H691,J691,L691)))</f>
        <v>4</v>
      </c>
      <c r="Z691" s="55"/>
      <c r="AA691" s="55"/>
      <c r="AB691" s="55"/>
      <c r="AC691" s="55"/>
      <c r="AD691" s="55"/>
      <c r="AE691" s="55"/>
      <c r="AF691" s="55"/>
      <c r="AG691" s="55"/>
    </row>
    <row r="692" spans="2:33" ht="12.75" customHeight="1" outlineLevel="1" x14ac:dyDescent="0.2">
      <c r="Z692" s="55"/>
      <c r="AA692" s="55"/>
      <c r="AB692" s="55"/>
      <c r="AC692" s="55"/>
      <c r="AD692" s="55"/>
      <c r="AE692" s="55"/>
      <c r="AF692" s="55"/>
      <c r="AG692" s="55"/>
    </row>
    <row r="693" spans="2:33" s="80" customFormat="1" x14ac:dyDescent="0.2"/>
    <row r="694" spans="2:33" s="20" customFormat="1" x14ac:dyDescent="0.2">
      <c r="B694" s="67"/>
      <c r="C694" s="85"/>
      <c r="D694" s="108"/>
      <c r="E694" s="108"/>
      <c r="F694" s="85"/>
      <c r="G694" s="108"/>
      <c r="H694" s="108"/>
      <c r="J694" s="67"/>
      <c r="K694" s="109"/>
      <c r="L694" s="109"/>
      <c r="M694" s="110"/>
      <c r="N694" s="110"/>
      <c r="O694" s="109"/>
      <c r="P694" s="110"/>
    </row>
    <row r="695" spans="2:33" s="80" customFormat="1" ht="13.5" thickBot="1" x14ac:dyDescent="0.25">
      <c r="D695" s="111" t="str">
        <f>Translations!$B$489</f>
        <v>Pakopa</v>
      </c>
    </row>
    <row r="696" spans="2:33" s="46" customFormat="1" x14ac:dyDescent="0.2">
      <c r="B696" s="59"/>
      <c r="C696" s="465">
        <v>1</v>
      </c>
      <c r="D696" s="384">
        <v>1</v>
      </c>
      <c r="E696" s="59"/>
      <c r="F696" s="59"/>
    </row>
    <row r="697" spans="2:33" s="46" customFormat="1" x14ac:dyDescent="0.2">
      <c r="B697" s="59"/>
      <c r="C697" s="466">
        <v>2</v>
      </c>
      <c r="D697" s="405">
        <v>2</v>
      </c>
      <c r="E697" s="59"/>
      <c r="F697" s="59"/>
    </row>
    <row r="698" spans="2:33" s="46" customFormat="1" x14ac:dyDescent="0.2">
      <c r="B698" s="59"/>
      <c r="C698" s="466">
        <v>3</v>
      </c>
      <c r="D698" s="405" t="s">
        <v>262</v>
      </c>
      <c r="E698" s="59"/>
      <c r="F698" s="59"/>
    </row>
    <row r="699" spans="2:33" s="46" customFormat="1" x14ac:dyDescent="0.2">
      <c r="B699" s="59"/>
      <c r="C699" s="466">
        <v>4</v>
      </c>
      <c r="D699" s="405" t="str">
        <f>Translations!$B$306</f>
        <v>2b</v>
      </c>
      <c r="E699" s="59"/>
      <c r="F699" s="59"/>
    </row>
    <row r="700" spans="2:33" s="46" customFormat="1" x14ac:dyDescent="0.2">
      <c r="B700" s="59"/>
      <c r="C700" s="466">
        <v>5</v>
      </c>
      <c r="D700" s="405">
        <v>3</v>
      </c>
      <c r="E700" s="59"/>
      <c r="F700" s="59"/>
    </row>
    <row r="701" spans="2:33" s="46" customFormat="1" ht="13.5" thickBot="1" x14ac:dyDescent="0.25">
      <c r="B701" s="59"/>
      <c r="C701" s="467">
        <v>6</v>
      </c>
      <c r="D701" s="406">
        <v>4</v>
      </c>
      <c r="E701" s="59"/>
      <c r="F701" s="59"/>
    </row>
    <row r="702" spans="2:33" s="112" customFormat="1" x14ac:dyDescent="0.2"/>
    <row r="703" spans="2:33" s="46" customFormat="1" ht="13.5" thickBot="1" x14ac:dyDescent="0.25">
      <c r="B703" s="52" t="s">
        <v>579</v>
      </c>
    </row>
    <row r="704" spans="2:33" s="1139" customFormat="1" x14ac:dyDescent="0.2">
      <c r="B704" s="1138" t="str">
        <f>Translations!$B$923</f>
        <v>1. a) Naftos ir dujų perdirbimo gamyklos</v>
      </c>
    </row>
    <row r="705" spans="2:2" s="1139" customFormat="1" x14ac:dyDescent="0.2">
      <c r="B705" s="1048" t="str">
        <f>Translations!$B$924</f>
        <v>1. b) Dujofikavimo ir skystinimo įrenginiai</v>
      </c>
    </row>
    <row r="706" spans="2:2" s="1139" customFormat="1" x14ac:dyDescent="0.2">
      <c r="B706" s="1048" t="str">
        <f>Translations!$B$925</f>
        <v>1. c) Šiluminės elektrinės ir kiti deginimo įrenginiai</v>
      </c>
    </row>
    <row r="707" spans="2:2" s="1139" customFormat="1" x14ac:dyDescent="0.2">
      <c r="B707" s="1048" t="str">
        <f>Translations!$B$926</f>
        <v>1. d) Koksavimo krosnys</v>
      </c>
    </row>
    <row r="708" spans="2:2" s="1139" customFormat="1" x14ac:dyDescent="0.2">
      <c r="B708" s="1048" t="str">
        <f>Translations!$B$927</f>
        <v>1. e) Anglių smulkinimo įrenginiai</v>
      </c>
    </row>
    <row r="709" spans="2:2" s="1139" customFormat="1" x14ac:dyDescent="0.2">
      <c r="B709" s="1048" t="str">
        <f>Translations!$B$928</f>
        <v>1. f) Anglių produktų ir kietojo bedūmio kuro
gamybos įmonės</v>
      </c>
    </row>
    <row r="710" spans="2:2" s="1139" customFormat="1" x14ac:dyDescent="0.2">
      <c r="B710" s="1048" t="str">
        <f>Translations!$B$929</f>
        <v>2. a) Metalo rūdų (įskaitant sulfido rūdą) išdeginimo arba sukepinimo įrenginiai</v>
      </c>
    </row>
    <row r="711" spans="2:2" s="1139" customFormat="1" x14ac:dyDescent="0.2">
      <c r="B711" s="1048" t="str">
        <f>Translations!$B$930</f>
        <v>2. b) Ketaus ar plieno (pirminio ar
antrinio lydymo) gamybos luitais įrenginiai, įskaitant nepertraukiamą liejimą</v>
      </c>
    </row>
    <row r="712" spans="2:2" s="1139" customFormat="1" x14ac:dyDescent="0.2">
      <c r="B712" s="1048" t="str">
        <f>Translations!$B$931</f>
        <v>2. c) i) Juodųjų metalų apdorojimo įrenginiai: karštojo valcavimo įmonės</v>
      </c>
    </row>
    <row r="713" spans="2:2" s="1139" customFormat="1" x14ac:dyDescent="0.2">
      <c r="B713" s="1048" t="str">
        <f>Translations!$B$932</f>
        <v>2. c) ii) Juodųjų metalų apdorojimo įrenginiai: kalvės, kuriose naudojami kūjai</v>
      </c>
    </row>
    <row r="714" spans="2:2" s="1139" customFormat="1" x14ac:dyDescent="0.2">
      <c r="B714" s="1048" t="str">
        <f>Translations!$B$933</f>
        <v>2. c) iii) Juodųjų metalų apdorojimo įrenginiai: dengimo lydalinėmis metalo dangomis įrenginiai</v>
      </c>
    </row>
    <row r="715" spans="2:2" s="1139" customFormat="1" x14ac:dyDescent="0.2">
      <c r="B715" s="1048" t="str">
        <f>Translations!$B$934</f>
        <v>2. d) Juodųjų metalų liejyklos</v>
      </c>
    </row>
    <row r="716" spans="2:2" s="1139" customFormat="1" x14ac:dyDescent="0.2">
      <c r="B716" s="1048" t="str">
        <f>Translations!$B$935</f>
        <v>2.e i) Spalvotųjų žaliavinių metalų gamybos iš rūdos,
koncentratų ar antrinių žaliavų metalurginiais,
cheminiais ar elektrolizės procesais</v>
      </c>
    </row>
    <row r="717" spans="2:2" s="1139" customFormat="1" x14ac:dyDescent="0.2">
      <c r="B717" s="1048" t="str">
        <f>Translations!$B$936</f>
        <v>2.e ii) Spalvotųjų metalų lydymo, įskaitant legiravimą,
taip pat ir perdirbtų produktų (taurinimas, liejimas ir kt.)</v>
      </c>
    </row>
    <row r="718" spans="2:2" s="1139" customFormat="1" x14ac:dyDescent="0.2">
      <c r="B718" s="1048" t="str">
        <f>Translations!$B$937</f>
        <v>2. f) Metalų ir plastikų paviršiaus apdorojimo elektrolizės
ar cheminiais procesais įrenginiai</v>
      </c>
    </row>
    <row r="719" spans="2:2" s="1139" customFormat="1" x14ac:dyDescent="0.2">
      <c r="B719" s="1048" t="str">
        <f>Translations!$B$938</f>
        <v>3. a) Požeminė kasyba ir susijusios operacijos</v>
      </c>
    </row>
    <row r="720" spans="2:2" s="1139" customFormat="1" x14ac:dyDescent="0.2">
      <c r="B720" s="1048" t="str">
        <f>Translations!$B$939</f>
        <v>3. b) Atviroji kasyba ir karjerų eksploatavimas</v>
      </c>
    </row>
    <row r="721" spans="2:2" s="1139" customFormat="1" x14ac:dyDescent="0.2">
      <c r="B721" s="1048" t="str">
        <f>Translations!$B$940</f>
        <v>3. c) i) Įrenginiai, skirti gaminti: cemento klinkeriui sukamosiose krosnyse</v>
      </c>
    </row>
    <row r="722" spans="2:2" s="1139" customFormat="1" x14ac:dyDescent="0.2">
      <c r="B722" s="1048" t="str">
        <f>Translations!$B$941</f>
        <v>3. c) ii) Įrenginiai, skirti gaminti: kalkėms sukamosiose krosnyse</v>
      </c>
    </row>
    <row r="723" spans="2:2" s="1139" customFormat="1" x14ac:dyDescent="0.2">
      <c r="B723" s="1048" t="str">
        <f>Translations!$B$942</f>
        <v>3. c) iii) Įrenginiai, skirti gaminti: cemento klinkeriui ar kalkėms kitose krosnyse</v>
      </c>
    </row>
    <row r="724" spans="2:2" s="1139" customFormat="1" x14ac:dyDescent="0.2">
      <c r="B724" s="1048" t="str">
        <f>Translations!$B$943</f>
        <v>3. d) Asbesto ir asbestinių produktų gamybos įrenginiai</v>
      </c>
    </row>
    <row r="725" spans="2:2" s="1139" customFormat="1" x14ac:dyDescent="0.2">
      <c r="B725" s="1048" t="str">
        <f>Translations!$B$944</f>
        <v>3. e) Stiklo, įskaitant stiklo pluoštą, gamybos įrenginiai</v>
      </c>
    </row>
    <row r="726" spans="2:2" s="1139" customFormat="1" x14ac:dyDescent="0.2">
      <c r="B726" s="1048" t="str">
        <f>Translations!$B$945</f>
        <v>3. f) Mineralų lydymo įrenginiai, įskaitant mineralinio pluošto gamybą</v>
      </c>
    </row>
    <row r="727" spans="2:2" s="1139" customFormat="1" x14ac:dyDescent="0.2">
      <c r="B727" s="1048" t="str">
        <f>Translations!$B$946</f>
        <v>3. g) Keramikos gaminių gamybos degimo būdu,
ypač čerpių, plytų, ugniai atsparių plytų, plytelių,
keramikos ar porceliano, įrenginiai</v>
      </c>
    </row>
    <row r="728" spans="2:2" s="1139" customFormat="1" x14ac:dyDescent="0.2">
      <c r="B728" s="1048" t="str">
        <f>Translations!$B$947</f>
        <v>4. a) i) Chemijos įrenginiai, skirti šioms pagrindinėms organinėms
cheminėms medžiagoms pramoniniu būdu gaminti: angliavandeniliams (linijiniams ar cikliniams, sotiesiems ar nesotiesiems,
alifatiniams ar aromatiniams)</v>
      </c>
    </row>
    <row r="729" spans="2:2" s="1139" customFormat="1" x14ac:dyDescent="0.2">
      <c r="B729" s="1048"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9" customFormat="1" x14ac:dyDescent="0.2">
      <c r="B730" s="1048" t="str">
        <f>Translations!$B$949</f>
        <v>4. a) iii) Chemijos įrenginiai, skirti šioms pagrindinėms organinėms
cheminėms medžiagoms pramoniniu būdu gaminti: sieros angliavandeniliams</v>
      </c>
    </row>
    <row r="731" spans="2:2" s="1139" customFormat="1" x14ac:dyDescent="0.2">
      <c r="B731" s="1048"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9" customFormat="1" x14ac:dyDescent="0.2">
      <c r="B732" s="1048" t="str">
        <f>Translations!$B$951</f>
        <v>4. a) v) Chemijos įrenginiai, skirti šioms pagrindinėms organinėms
cheminėms medžiagoms pramoniniu būdu gaminti: fosforo turintiems angliavandeniliams</v>
      </c>
    </row>
    <row r="733" spans="2:2" s="1139" customFormat="1" x14ac:dyDescent="0.2">
      <c r="B733" s="1048" t="str">
        <f>Translations!$B$952</f>
        <v>4. a) vi) Chemijos įrenginiai, skirti šioms pagrindinėms organinėms
cheminėms medžiagoms pramoniniu būdu gaminti: halogeniniams angliavandeniliams</v>
      </c>
    </row>
    <row r="734" spans="2:2" s="1139" customFormat="1" x14ac:dyDescent="0.2">
      <c r="B734" s="1048" t="str">
        <f>Translations!$B$953</f>
        <v>4. a) vii) Chemijos įrenginiai, skirti šioms pagrindinėms organinėms
cheminėms medžiagoms pramoniniu būdu gaminti: organometaliniams junginiams</v>
      </c>
    </row>
    <row r="735" spans="2:2" s="1139" customFormat="1" x14ac:dyDescent="0.2">
      <c r="B735" s="1048" t="str">
        <f>Translations!$B$954</f>
        <v>4. a) viii) Chemijos įrenginiai, skirti šioms pagrindinėms organinėms
cheminėms medžiagoms pramoniniu būdu gaminti: pagrindinėms plastinėms medžiagoms (polimerams, sintetiniam pluoštui ir celiuliozės
pluoštui)</v>
      </c>
    </row>
    <row r="736" spans="2:2" s="1139" customFormat="1" x14ac:dyDescent="0.2">
      <c r="B736" s="1048" t="str">
        <f>Translations!$B$955</f>
        <v>4. a) ix) Chemijos įrenginiai, skirti šioms pagrindinėms organinėms
cheminėms medžiagoms pramoniniu būdu gaminti: sintetinei gumai</v>
      </c>
    </row>
    <row r="737" spans="2:3" s="1139" customFormat="1" x14ac:dyDescent="0.2">
      <c r="B737" s="1048" t="str">
        <f>Translations!$B$956</f>
        <v>4. a) x) Chemijos įrenginiai, skirti šioms pagrindinėms organinėms
cheminėms medžiagoms pramoniniu būdu gaminti: dažams ir pigmentams</v>
      </c>
    </row>
    <row r="738" spans="2:3" s="1139" customFormat="1" x14ac:dyDescent="0.2">
      <c r="B738" s="1048" t="str">
        <f>Translations!$B$957</f>
        <v>4. a) xi) Chemijos įrenginiai, skirti šioms pagrindinėms organinėms
cheminėms medžiagoms pramoniniu būdu gaminti: paviršinio aktyvumo agentams ir medžiagoms</v>
      </c>
    </row>
    <row r="739" spans="2:3" s="1139" customFormat="1" x14ac:dyDescent="0.2">
      <c r="B739" s="1048"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9" customFormat="1" x14ac:dyDescent="0.2">
      <c r="B740" s="1048"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9" customFormat="1" x14ac:dyDescent="0.2">
      <c r="B741" s="1048" t="str">
        <f>Translations!$B$960</f>
        <v>4. b) iii) Chemijos įrenginiai, skirti šioms pagrindinėms neorganinėms
cheminėms medžiagoms pramoniniu būdu gaminti: bazėms, pvz., amonio hidroksidui, kalio hidroksidui,
natrio hidroksidui</v>
      </c>
    </row>
    <row r="742" spans="2:3" s="1139" customFormat="1" x14ac:dyDescent="0.2">
      <c r="B742" s="1048"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9" customFormat="1" x14ac:dyDescent="0.2">
      <c r="B743" s="1048"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9" customFormat="1" x14ac:dyDescent="0.2">
      <c r="B744" s="1048" t="str">
        <f>Translations!$B$963</f>
        <v>4. c) Chemijos įrenginiai, skirti fosforo, azoto ar kalio trąšoms
(paprastosioms ar mišriosioms trąšoms) pramoniniu būdu gaminti</v>
      </c>
    </row>
    <row r="745" spans="2:3" s="1139" customFormat="1" x14ac:dyDescent="0.2">
      <c r="B745" s="1048" t="str">
        <f>Translations!$B$964</f>
        <v>4. d) Chemijos įrenginiai, skirti pagrindiniams augalų apsaugos
produktams ir biocidams pramoniniu būdu gaminti</v>
      </c>
    </row>
    <row r="746" spans="2:3" s="1139" customFormat="1" x14ac:dyDescent="0.2">
      <c r="B746" s="1048" t="str">
        <f>Translations!$B$965</f>
        <v>4. e) Įrenginiai, skirti taikant cheminį ar biologinį procesą
pagrindiniams farmacijos produktams pramoniniu būdu gaminti</v>
      </c>
    </row>
    <row r="747" spans="2:3" s="1139" customFormat="1" x14ac:dyDescent="0.2">
      <c r="B747" s="1048" t="str">
        <f>Translations!$B$966</f>
        <v>4. f) Įrenginiai, skirti sprogmenims ir pirotechnikos gaminiams
pramoniniu būdu gaminti</v>
      </c>
    </row>
    <row r="748" spans="2:3" s="1139" customFormat="1" x14ac:dyDescent="0.2">
      <c r="B748" s="1048" t="str">
        <f>Translations!$B$967</f>
        <v>5. a) Pavojingų atliekų utilizavimo ar šalinimo įrenginiai</v>
      </c>
      <c r="C748" s="1140"/>
    </row>
    <row r="749" spans="2:3" s="1139" customFormat="1" x14ac:dyDescent="0.2">
      <c r="B749" s="1048" t="str">
        <f>Translations!$B$968</f>
        <v>5. b) Nepavojingų atliekų deginimo įrenginiai, kuriems taikoma
2000 m. gruodžio 4 d. Europos Parlamento ir Tarybos direktyva
2000/76/EB dėl atliekų deginimo</v>
      </c>
      <c r="C749" s="20"/>
    </row>
    <row r="750" spans="2:3" s="1139" customFormat="1" x14ac:dyDescent="0.2">
      <c r="B750" s="1048" t="str">
        <f>Translations!$B$969</f>
        <v>5. c) Nepavojingų atliekų šalinimo įrenginiai</v>
      </c>
      <c r="C750" s="20"/>
    </row>
    <row r="751" spans="2:3" s="1139" customFormat="1" x14ac:dyDescent="0.2">
      <c r="B751" s="1048"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0"/>
    </row>
    <row r="752" spans="2:3" s="1139" customFormat="1" x14ac:dyDescent="0.2">
      <c r="B752" s="1048" t="str">
        <f>Translations!$B$971</f>
        <v>5. e) Gyvūnų skerdenų ir gyvūninių atliekų šalinimo ar perdirbimo įrenginiai</v>
      </c>
      <c r="C752" s="20"/>
    </row>
    <row r="753" spans="2:3" s="1139" customFormat="1" x14ac:dyDescent="0.2">
      <c r="B753" s="1048" t="str">
        <f>Translations!$B$972</f>
        <v>5. f) Miesto nuotekų valymo įrenginiai</v>
      </c>
      <c r="C753" s="20"/>
    </row>
    <row r="754" spans="2:3" s="1139" customFormat="1" x14ac:dyDescent="0.2">
      <c r="B754" s="1048" t="str">
        <f>Translations!$B$973</f>
        <v>5. g) Nepriklausomai dirbantys pramonės nuotekų valymo įrenginiai, naudojami vienai ar kelioms šiame priede nurodytoms veiklos rūšims</v>
      </c>
      <c r="C754" s="20"/>
    </row>
    <row r="755" spans="2:3" s="1139" customFormat="1" x14ac:dyDescent="0.2">
      <c r="B755" s="1048" t="str">
        <f>Translations!$B$974</f>
        <v>6. a) Celiuliozės gamybos iš medienos ar panašių pluoštinių
medžiagų pramoniniai įrenginiai</v>
      </c>
      <c r="C755" s="20"/>
    </row>
    <row r="756" spans="2:3" s="1139" customFormat="1" x14ac:dyDescent="0.2">
      <c r="B756" s="1048" t="str">
        <f>Translations!$B$975</f>
        <v>6. b) Popieriaus bei kartono ir kitų pirminių medienos produktų
(pvz., medienos drožlių plokščių, plaušo plokščių ir faneros)
gamybos pramoniniai įrenginiai</v>
      </c>
      <c r="C756" s="20"/>
    </row>
    <row r="757" spans="2:3" s="1139" customFormat="1" x14ac:dyDescent="0.2">
      <c r="B757" s="1048" t="str">
        <f>Translations!$B$976</f>
        <v>6. c) Medienos ir medienos produktų konservavimo
chemikalais pramoniniai įrenginiai</v>
      </c>
      <c r="C757" s="20"/>
    </row>
    <row r="758" spans="2:3" s="1139" customFormat="1" x14ac:dyDescent="0.2">
      <c r="B758" s="1048" t="str">
        <f>Translations!$B$977</f>
        <v>7. a) Intensyvaus paukščių arba kiaulių auginimo įrenginiai</v>
      </c>
      <c r="C758" s="20"/>
    </row>
    <row r="759" spans="2:3" s="1139" customFormat="1" x14ac:dyDescent="0.2">
      <c r="B759" s="1048" t="str">
        <f>Translations!$B$978</f>
        <v>7. b) Intensyvi akvakultūra</v>
      </c>
      <c r="C759" s="20"/>
    </row>
    <row r="760" spans="2:3" s="1139" customFormat="1" x14ac:dyDescent="0.2">
      <c r="B760" s="1048" t="str">
        <f>Translations!$B$979</f>
        <v>8. a) Skerdyklos</v>
      </c>
      <c r="C760" s="20"/>
    </row>
    <row r="761" spans="2:3" s="1139" customFormat="1" x14ac:dyDescent="0.2">
      <c r="B761" s="1141" t="str">
        <f>Translations!$B$980</f>
        <v>8. b) i) Apdorojimas ir perdirbimas, skirti maistui ir gėrimams gaminti iš:
gyvulinių žaliavų (išskyrus pieną)</v>
      </c>
      <c r="C761" s="20"/>
    </row>
    <row r="762" spans="2:3" s="1139" customFormat="1" x14ac:dyDescent="0.2">
      <c r="B762" s="1141" t="str">
        <f>Translations!$B$981</f>
        <v>8. b) ii) Apdorojimas ir perdirbimas, skirti maistui ir gėrimams gaminti iš:
augalinės kilmės žaliavų</v>
      </c>
      <c r="C762" s="20"/>
    </row>
    <row r="763" spans="2:3" s="1139" customFormat="1" x14ac:dyDescent="0.2">
      <c r="B763" s="1048" t="str">
        <f>Translations!$B$982</f>
        <v>8. c) Pieno apdorojimas ir perdirbimas</v>
      </c>
      <c r="C763" s="20"/>
    </row>
    <row r="764" spans="2:3" s="1139" customFormat="1" x14ac:dyDescent="0.2">
      <c r="B764" s="1048" t="str">
        <f>Translations!$B$983</f>
        <v>9. a) Pluošto ar tekstilės pirminio apdorojimo (tokiomis operacijomis
kaip plovimas, balinimas, merserizavimas) ar dažymo įrenginiai</v>
      </c>
    </row>
    <row r="765" spans="2:3" s="1139" customFormat="1" x14ac:dyDescent="0.2">
      <c r="B765" s="1048" t="str">
        <f>Translations!$B$984</f>
        <v>9. b) Kailių ir odų rauginimo įrenginiai</v>
      </c>
    </row>
    <row r="766" spans="2:3" s="1139" customFormat="1" x14ac:dyDescent="0.2">
      <c r="B766" s="1048" t="str">
        <f>Translations!$B$985</f>
        <v>9. c) Medžiagų, daiktų arba gaminių paviršiaus apdorojimo naudojant
organinius tirpiklius, ypač apdailos, spausdinimo, dengimo, riebalų
šalinimo, hermetizavimo, klijavimo, dažymo, valymo ar
impregnavimo įrenginiai</v>
      </c>
    </row>
    <row r="767" spans="2:3" s="1139" customFormat="1" x14ac:dyDescent="0.2">
      <c r="B767" s="1048" t="str">
        <f>Translations!$B$986</f>
        <v>9. d) Anglies (perdegtos anglies) ar anglies grafito gamybos deginimo
ar grafitizacijos būdu įrenginiai</v>
      </c>
    </row>
    <row r="768" spans="2:3" s="1139" customFormat="1" ht="13.5" thickBot="1" x14ac:dyDescent="0.25">
      <c r="B768" s="1142" t="str">
        <f>Translations!$B$987</f>
        <v>9. e) Laivų statymo, dažymo ar dažų šalinimo įrenginiai</v>
      </c>
    </row>
    <row r="769" spans="1:1" s="46" customFormat="1" x14ac:dyDescent="0.2"/>
    <row r="770" spans="1:1" s="46" customFormat="1" x14ac:dyDescent="0.2"/>
    <row r="771" spans="1:1" s="56" customFormat="1" ht="9" customHeight="1" x14ac:dyDescent="0.2">
      <c r="A771" s="56" t="s">
        <v>199</v>
      </c>
    </row>
  </sheetData>
  <sheetProtection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enableFormatConditionsCalculation="0">
    <tabColor theme="3"/>
  </sheetPr>
  <dimension ref="A2:DH376"/>
  <sheetViews>
    <sheetView zoomScale="85" zoomScaleNormal="85" workbookViewId="0">
      <pane xSplit="1" topLeftCell="B1" activePane="topRight" state="frozen"/>
      <selection pane="topRight"/>
    </sheetView>
  </sheetViews>
  <sheetFormatPr defaultColWidth="11.42578125" defaultRowHeight="12.75" x14ac:dyDescent="0.2"/>
  <cols>
    <col min="1" max="1" width="32.28515625" style="59" customWidth="1"/>
    <col min="2" max="2" width="18.85546875" style="59" customWidth="1"/>
    <col min="3" max="47" width="12.7109375" style="59" customWidth="1"/>
    <col min="48" max="16384" width="11.42578125" style="59"/>
  </cols>
  <sheetData>
    <row r="2" spans="1:84" ht="23.25" x14ac:dyDescent="0.35">
      <c r="A2" s="114" t="s">
        <v>345</v>
      </c>
      <c r="B2" s="114"/>
      <c r="C2" s="114"/>
      <c r="J2" s="114"/>
      <c r="K2" s="114"/>
    </row>
    <row r="4" spans="1:84" s="339" customFormat="1" x14ac:dyDescent="0.2">
      <c r="A4" s="339" t="s">
        <v>88</v>
      </c>
    </row>
    <row r="5" spans="1:84" ht="13.5" thickBot="1" x14ac:dyDescent="0.25"/>
    <row r="6" spans="1:84" ht="13.5" thickBot="1" x14ac:dyDescent="0.25">
      <c r="A6" s="59" t="s">
        <v>587</v>
      </c>
      <c r="B6" s="1067" t="b">
        <v>1</v>
      </c>
      <c r="C6" s="81" t="s">
        <v>601</v>
      </c>
    </row>
    <row r="7" spans="1:84" ht="13.5" thickBot="1" x14ac:dyDescent="0.25">
      <c r="A7" s="59" t="s">
        <v>597</v>
      </c>
      <c r="B7" s="1067" t="b">
        <v>0</v>
      </c>
      <c r="C7" s="81" t="s">
        <v>602</v>
      </c>
    </row>
    <row r="8" spans="1:84" ht="13.5" thickBot="1" x14ac:dyDescent="0.25">
      <c r="A8" s="59" t="s">
        <v>600</v>
      </c>
      <c r="B8" s="1067" t="b">
        <v>1</v>
      </c>
      <c r="C8" s="81" t="s">
        <v>603</v>
      </c>
    </row>
    <row r="10" spans="1:84" s="339" customFormat="1" ht="13.5" thickBot="1" x14ac:dyDescent="0.25">
      <c r="A10" s="339" t="s">
        <v>88</v>
      </c>
    </row>
    <row r="11" spans="1:84" ht="13.5" thickBot="1" x14ac:dyDescent="0.25">
      <c r="A11" s="50" t="s">
        <v>289</v>
      </c>
      <c r="B11" s="50"/>
      <c r="O11" s="908" t="s">
        <v>471</v>
      </c>
      <c r="P11" s="819" t="str">
        <f ca="1">IF(ISERROR(CELL("filename",Q11)),"MSParameters",MID(CELL("filename",Q11),FIND("]",CELL("filename",Q11))+1,1024))</f>
        <v>MSParameters</v>
      </c>
    </row>
    <row r="12" spans="1:84" ht="13.5" thickBot="1" x14ac:dyDescent="0.25">
      <c r="A12" s="50" t="s">
        <v>36</v>
      </c>
      <c r="B12" s="50"/>
      <c r="O12" s="85"/>
    </row>
    <row r="13" spans="1:84" ht="13.5" thickBot="1" x14ac:dyDescent="0.25">
      <c r="A13" s="340" t="s">
        <v>38</v>
      </c>
      <c r="B13" s="340"/>
      <c r="M13" s="52" t="s">
        <v>535</v>
      </c>
      <c r="P13" s="1041" t="str">
        <f>IF(COUNTIF(MSPara_CategoryMatrix,"")&gt;0,EUconst_ERR_Incomplete,"")</f>
        <v/>
      </c>
    </row>
    <row r="14" spans="1:84" x14ac:dyDescent="0.2">
      <c r="A14" s="340" t="s">
        <v>37</v>
      </c>
      <c r="B14" s="340"/>
    </row>
    <row r="15" spans="1:84" x14ac:dyDescent="0.2">
      <c r="A15" s="340" t="s">
        <v>592</v>
      </c>
      <c r="B15" s="340"/>
    </row>
    <row r="16" spans="1:84" x14ac:dyDescent="0.2">
      <c r="A16" s="340" t="s">
        <v>29</v>
      </c>
      <c r="G16" s="349"/>
      <c r="I16" s="349"/>
      <c r="L16" s="349"/>
      <c r="N16" s="349"/>
      <c r="P16" s="349"/>
      <c r="R16" s="349"/>
      <c r="T16" s="349"/>
      <c r="V16" s="349"/>
      <c r="X16" s="349"/>
      <c r="Z16" s="349"/>
      <c r="AB16" s="349"/>
      <c r="AD16" s="349"/>
      <c r="AF16" s="349"/>
      <c r="AH16" s="349"/>
      <c r="AJ16" s="349"/>
      <c r="AL16" s="349"/>
      <c r="AN16" s="349"/>
      <c r="AP16" s="349"/>
      <c r="AR16" s="349"/>
      <c r="AT16" s="349"/>
      <c r="AV16" s="349"/>
      <c r="AX16" s="349"/>
      <c r="AZ16" s="349"/>
      <c r="BB16" s="349"/>
      <c r="BD16" s="349"/>
      <c r="BF16" s="349"/>
      <c r="BH16" s="349"/>
      <c r="BJ16" s="349"/>
      <c r="BL16" s="349"/>
      <c r="BN16" s="349"/>
      <c r="BP16" s="349"/>
      <c r="BR16" s="349"/>
      <c r="BT16" s="349"/>
      <c r="BV16" s="349"/>
      <c r="BX16" s="349"/>
      <c r="BZ16" s="349"/>
      <c r="CB16" s="349"/>
      <c r="CD16" s="349"/>
      <c r="CF16" s="349"/>
    </row>
    <row r="17" spans="1:106" ht="13.5" thickBot="1" x14ac:dyDescent="0.25">
      <c r="A17" s="371"/>
      <c r="B17" s="371"/>
      <c r="C17" s="371"/>
      <c r="D17" s="371"/>
      <c r="E17" s="342" t="s">
        <v>39</v>
      </c>
      <c r="F17" s="371"/>
      <c r="G17" s="341" t="s">
        <v>219</v>
      </c>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342"/>
      <c r="AZ17" s="342"/>
      <c r="BA17" s="342"/>
      <c r="BB17" s="342"/>
      <c r="BC17" s="342"/>
      <c r="BD17" s="342"/>
      <c r="BE17" s="342"/>
      <c r="BF17" s="342"/>
      <c r="BG17" s="342"/>
      <c r="BH17" s="342"/>
      <c r="BI17" s="342"/>
      <c r="BJ17" s="342"/>
      <c r="BK17" s="342"/>
      <c r="BL17" s="342"/>
      <c r="BM17" s="342"/>
      <c r="BN17" s="342"/>
      <c r="BO17" s="342"/>
      <c r="BP17" s="342"/>
      <c r="BQ17" s="342"/>
      <c r="BR17" s="342"/>
      <c r="BS17" s="342"/>
      <c r="BT17" s="342"/>
      <c r="BU17" s="342"/>
      <c r="BV17" s="342"/>
      <c r="BW17" s="342"/>
      <c r="BX17" s="342"/>
      <c r="BY17" s="342"/>
      <c r="BZ17" s="342"/>
      <c r="CA17" s="342"/>
      <c r="CB17" s="342"/>
      <c r="CC17" s="342"/>
      <c r="CD17" s="342"/>
      <c r="CE17" s="342"/>
      <c r="CF17" s="342"/>
      <c r="CG17" s="342"/>
      <c r="CH17" s="342"/>
      <c r="CI17" s="342"/>
      <c r="CJ17" s="342"/>
      <c r="CK17" s="342"/>
      <c r="CL17" s="342"/>
      <c r="CM17" s="342"/>
      <c r="CN17" s="342"/>
      <c r="CO17" s="342"/>
      <c r="CP17" s="342"/>
      <c r="CQ17" s="342"/>
      <c r="CR17" s="342"/>
      <c r="CS17" s="342"/>
      <c r="CT17" s="342"/>
      <c r="CU17" s="342"/>
      <c r="CV17" s="342"/>
      <c r="CW17" s="342"/>
      <c r="CX17" s="342"/>
      <c r="CY17" s="342"/>
      <c r="CZ17" s="342"/>
      <c r="DA17" s="342"/>
      <c r="DB17" s="342"/>
    </row>
    <row r="18" spans="1:106" ht="13.5" thickBot="1" x14ac:dyDescent="0.25">
      <c r="A18" s="481">
        <v>1</v>
      </c>
      <c r="B18" s="371" t="str">
        <f t="shared" ref="B18:B59" si="0">INDEX(EUConst_TierActivityListNames,A18)</f>
        <v>Degimas: Komercinis standartinių rūšių kuras</v>
      </c>
      <c r="C18" s="371"/>
      <c r="D18" s="373"/>
      <c r="E18" s="816" t="str">
        <f t="shared" ref="E18:E59" ca="1" si="1">ADDRESS(ROW(),COLUMN(G18),,,$P$11)&amp;":"&amp;ADDRESS(ROW(),COLUMN(G18)+MAX(0,99-COUNTIF(G18:DB18,EUconst_NA)-COUNTIF(G18:DB18,"")))</f>
        <v>MSParameters!$G$18:$Q$18</v>
      </c>
      <c r="F18" s="904"/>
      <c r="G18" s="976" t="str">
        <f>Translations!$B$988</f>
        <v>Dujinis – Etanas</v>
      </c>
      <c r="H18" s="977" t="str">
        <f>Translations!$B$989</f>
        <v>Dujinis – Propanas</v>
      </c>
      <c r="I18" s="977" t="str">
        <f>Translations!$B$990</f>
        <v>Dujinis – Butanas</v>
      </c>
      <c r="J18" s="977" t="str">
        <f>Translations!$B$991</f>
        <v>Skystasis – Dyzelinis krosnių kuras</v>
      </c>
      <c r="K18" s="977" t="str">
        <f>Translations!$B$992</f>
        <v>Skystasis – Gazolis</v>
      </c>
      <c r="L18" s="977" t="str">
        <f>Translations!$B$993</f>
        <v>Skystasis – Gazolinas</v>
      </c>
      <c r="M18" s="977" t="str">
        <f>Translations!$B$994</f>
        <v>Skystasis – Valytas žibalas</v>
      </c>
      <c r="N18" s="977" t="str">
        <f>Translations!$B$995</f>
        <v>Skystasis – Žibalas</v>
      </c>
      <c r="O18" s="977" t="str">
        <f>Translations!$B$996</f>
        <v>Skystasis – Reaktyvinis žibalas (Jet A1 arba Jet A)</v>
      </c>
      <c r="P18" s="977" t="str">
        <f>Translations!$B$997</f>
        <v>Skystasis – Reaktyvinis gazolinas (benzinas) (Jet B)</v>
      </c>
      <c r="Q18" s="977" t="str">
        <f>Translations!$B$998</f>
        <v>Skystasis – Aviacinis gazolinas (benzinas) (AvGas)</v>
      </c>
      <c r="R18" s="977" t="str">
        <f>Translations!$B$157</f>
        <v>netaik.</v>
      </c>
      <c r="S18" s="977" t="str">
        <f>Translations!$B$157</f>
        <v>netaik.</v>
      </c>
      <c r="T18" s="977" t="str">
        <f>Translations!$B$157</f>
        <v>netaik.</v>
      </c>
      <c r="U18" s="977" t="str">
        <f>Translations!$B$157</f>
        <v>netaik.</v>
      </c>
      <c r="V18" s="977" t="str">
        <f>Translations!$B$157</f>
        <v>netaik.</v>
      </c>
      <c r="W18" s="977" t="str">
        <f>Translations!$B$157</f>
        <v>netaik.</v>
      </c>
      <c r="X18" s="977" t="str">
        <f>Translations!$B$157</f>
        <v>netaik.</v>
      </c>
      <c r="Y18" s="977" t="str">
        <f>Translations!$B$157</f>
        <v>netaik.</v>
      </c>
      <c r="Z18" s="977" t="str">
        <f>Translations!$B$157</f>
        <v>netaik.</v>
      </c>
      <c r="AA18" s="977" t="str">
        <f>Translations!$B$157</f>
        <v>netaik.</v>
      </c>
      <c r="AB18" s="977" t="str">
        <f>Translations!$B$157</f>
        <v>netaik.</v>
      </c>
      <c r="AC18" s="977" t="str">
        <f>Translations!$B$157</f>
        <v>netaik.</v>
      </c>
      <c r="AD18" s="977" t="str">
        <f>Translations!$B$157</f>
        <v>netaik.</v>
      </c>
      <c r="AE18" s="977" t="str">
        <f>Translations!$B$157</f>
        <v>netaik.</v>
      </c>
      <c r="AF18" s="977" t="str">
        <f>Translations!$B$157</f>
        <v>netaik.</v>
      </c>
      <c r="AG18" s="977" t="str">
        <f>Translations!$B$157</f>
        <v>netaik.</v>
      </c>
      <c r="AH18" s="977" t="str">
        <f>Translations!$B$157</f>
        <v>netaik.</v>
      </c>
      <c r="AI18" s="977" t="str">
        <f>Translations!$B$157</f>
        <v>netaik.</v>
      </c>
      <c r="AJ18" s="977" t="str">
        <f>Translations!$B$157</f>
        <v>netaik.</v>
      </c>
      <c r="AK18" s="977" t="str">
        <f>Translations!$B$157</f>
        <v>netaik.</v>
      </c>
      <c r="AL18" s="977" t="str">
        <f>Translations!$B$157</f>
        <v>netaik.</v>
      </c>
      <c r="AM18" s="977" t="str">
        <f>Translations!$B$157</f>
        <v>netaik.</v>
      </c>
      <c r="AN18" s="977" t="str">
        <f>Translations!$B$157</f>
        <v>netaik.</v>
      </c>
      <c r="AO18" s="977" t="str">
        <f>Translations!$B$157</f>
        <v>netaik.</v>
      </c>
      <c r="AP18" s="977" t="str">
        <f>Translations!$B$157</f>
        <v>netaik.</v>
      </c>
      <c r="AQ18" s="977" t="str">
        <f>Translations!$B$157</f>
        <v>netaik.</v>
      </c>
      <c r="AR18" s="977" t="str">
        <f>Translations!$B$157</f>
        <v>netaik.</v>
      </c>
      <c r="AS18" s="977" t="str">
        <f>Translations!$B$157</f>
        <v>netaik.</v>
      </c>
      <c r="AT18" s="977" t="str">
        <f>Translations!$B$157</f>
        <v>netaik.</v>
      </c>
      <c r="AU18" s="977" t="str">
        <f>Translations!$B$157</f>
        <v>netaik.</v>
      </c>
      <c r="AV18" s="977" t="str">
        <f>Translations!$B$157</f>
        <v>netaik.</v>
      </c>
      <c r="AW18" s="977" t="str">
        <f>Translations!$B$157</f>
        <v>netaik.</v>
      </c>
      <c r="AX18" s="977" t="str">
        <f>Translations!$B$157</f>
        <v>netaik.</v>
      </c>
      <c r="AY18" s="977" t="str">
        <f>Translations!$B$157</f>
        <v>netaik.</v>
      </c>
      <c r="AZ18" s="977" t="str">
        <f>Translations!$B$157</f>
        <v>netaik.</v>
      </c>
      <c r="BA18" s="977" t="str">
        <f>Translations!$B$157</f>
        <v>netaik.</v>
      </c>
      <c r="BB18" s="977" t="str">
        <f>Translations!$B$157</f>
        <v>netaik.</v>
      </c>
      <c r="BC18" s="977" t="str">
        <f>Translations!$B$157</f>
        <v>netaik.</v>
      </c>
      <c r="BD18" s="977" t="str">
        <f>Translations!$B$157</f>
        <v>netaik.</v>
      </c>
      <c r="BE18" s="977" t="str">
        <f>Translations!$B$157</f>
        <v>netaik.</v>
      </c>
      <c r="BF18" s="977" t="str">
        <f>Translations!$B$157</f>
        <v>netaik.</v>
      </c>
      <c r="BG18" s="977" t="str">
        <f>Translations!$B$157</f>
        <v>netaik.</v>
      </c>
      <c r="BH18" s="977" t="str">
        <f>Translations!$B$157</f>
        <v>netaik.</v>
      </c>
      <c r="BI18" s="977" t="str">
        <f>Translations!$B$157</f>
        <v>netaik.</v>
      </c>
      <c r="BJ18" s="977" t="str">
        <f>Translations!$B$157</f>
        <v>netaik.</v>
      </c>
      <c r="BK18" s="977" t="str">
        <f>Translations!$B$157</f>
        <v>netaik.</v>
      </c>
      <c r="BL18" s="977" t="str">
        <f>Translations!$B$157</f>
        <v>netaik.</v>
      </c>
      <c r="BM18" s="977" t="str">
        <f>Translations!$B$157</f>
        <v>netaik.</v>
      </c>
      <c r="BN18" s="977" t="str">
        <f>Translations!$B$157</f>
        <v>netaik.</v>
      </c>
      <c r="BO18" s="977" t="str">
        <f>Translations!$B$157</f>
        <v>netaik.</v>
      </c>
      <c r="BP18" s="977" t="str">
        <f>Translations!$B$157</f>
        <v>netaik.</v>
      </c>
      <c r="BQ18" s="977" t="str">
        <f>Translations!$B$157</f>
        <v>netaik.</v>
      </c>
      <c r="BR18" s="977" t="str">
        <f>Translations!$B$157</f>
        <v>netaik.</v>
      </c>
      <c r="BS18" s="977" t="str">
        <f>Translations!$B$157</f>
        <v>netaik.</v>
      </c>
      <c r="BT18" s="977" t="str">
        <f>Translations!$B$157</f>
        <v>netaik.</v>
      </c>
      <c r="BU18" s="977" t="str">
        <f>Translations!$B$157</f>
        <v>netaik.</v>
      </c>
      <c r="BV18" s="977" t="str">
        <f>Translations!$B$157</f>
        <v>netaik.</v>
      </c>
      <c r="BW18" s="977" t="str">
        <f>Translations!$B$157</f>
        <v>netaik.</v>
      </c>
      <c r="BX18" s="977" t="str">
        <f>Translations!$B$157</f>
        <v>netaik.</v>
      </c>
      <c r="BY18" s="977" t="str">
        <f>Translations!$B$157</f>
        <v>netaik.</v>
      </c>
      <c r="BZ18" s="977" t="str">
        <f>Translations!$B$157</f>
        <v>netaik.</v>
      </c>
      <c r="CA18" s="977" t="str">
        <f>Translations!$B$157</f>
        <v>netaik.</v>
      </c>
      <c r="CB18" s="977" t="str">
        <f>Translations!$B$157</f>
        <v>netaik.</v>
      </c>
      <c r="CC18" s="977" t="str">
        <f>Translations!$B$157</f>
        <v>netaik.</v>
      </c>
      <c r="CD18" s="977" t="str">
        <f>Translations!$B$157</f>
        <v>netaik.</v>
      </c>
      <c r="CE18" s="978" t="str">
        <f>Translations!$B$157</f>
        <v>netaik.</v>
      </c>
      <c r="CF18" s="977" t="str">
        <f>Translations!$B$157</f>
        <v>netaik.</v>
      </c>
      <c r="CG18" s="977" t="str">
        <f>Translations!$B$157</f>
        <v>netaik.</v>
      </c>
      <c r="CH18" s="977" t="str">
        <f>Translations!$B$157</f>
        <v>netaik.</v>
      </c>
      <c r="CI18" s="977" t="str">
        <f>Translations!$B$157</f>
        <v>netaik.</v>
      </c>
      <c r="CJ18" s="977" t="str">
        <f>Translations!$B$157</f>
        <v>netaik.</v>
      </c>
      <c r="CK18" s="977" t="str">
        <f>Translations!$B$157</f>
        <v>netaik.</v>
      </c>
      <c r="CL18" s="977" t="str">
        <f>Translations!$B$157</f>
        <v>netaik.</v>
      </c>
      <c r="CM18" s="977" t="str">
        <f>Translations!$B$157</f>
        <v>netaik.</v>
      </c>
      <c r="CN18" s="977" t="str">
        <f>Translations!$B$157</f>
        <v>netaik.</v>
      </c>
      <c r="CO18" s="977" t="str">
        <f>Translations!$B$157</f>
        <v>netaik.</v>
      </c>
      <c r="CP18" s="977" t="str">
        <f>Translations!$B$157</f>
        <v>netaik.</v>
      </c>
      <c r="CQ18" s="977" t="str">
        <f>Translations!$B$157</f>
        <v>netaik.</v>
      </c>
      <c r="CR18" s="977" t="str">
        <f>Translations!$B$157</f>
        <v>netaik.</v>
      </c>
      <c r="CS18" s="977" t="str">
        <f>Translations!$B$157</f>
        <v>netaik.</v>
      </c>
      <c r="CT18" s="977" t="str">
        <f>Translations!$B$157</f>
        <v>netaik.</v>
      </c>
      <c r="CU18" s="977" t="str">
        <f>Translations!$B$157</f>
        <v>netaik.</v>
      </c>
      <c r="CV18" s="977" t="str">
        <f>Translations!$B$157</f>
        <v>netaik.</v>
      </c>
      <c r="CW18" s="977" t="str">
        <f>Translations!$B$157</f>
        <v>netaik.</v>
      </c>
      <c r="CX18" s="977" t="str">
        <f>Translations!$B$157</f>
        <v>netaik.</v>
      </c>
      <c r="CY18" s="977" t="str">
        <f>Translations!$B$157</f>
        <v>netaik.</v>
      </c>
      <c r="CZ18" s="977" t="str">
        <f>Translations!$B$157</f>
        <v>netaik.</v>
      </c>
      <c r="DA18" s="977" t="str">
        <f>Translations!$B$157</f>
        <v>netaik.</v>
      </c>
      <c r="DB18" s="977" t="str">
        <f>Translations!$B$157</f>
        <v>netaik.</v>
      </c>
    </row>
    <row r="19" spans="1:106" ht="13.5" thickBot="1" x14ac:dyDescent="0.25">
      <c r="A19" s="481">
        <v>2</v>
      </c>
      <c r="B19" s="371" t="str">
        <f t="shared" si="0"/>
        <v>Degimas: Kitas dujinis ir skystasis kuras</v>
      </c>
      <c r="C19" s="371"/>
      <c r="D19" s="373"/>
      <c r="E19" s="817" t="str">
        <f t="shared" ca="1" si="1"/>
        <v>MSParameters!$G$19:$AU$19</v>
      </c>
      <c r="F19" s="904"/>
      <c r="G19" s="976" t="str">
        <f>Translations!$B$999</f>
        <v>Dujinis – Gamtinės dujos</v>
      </c>
      <c r="H19" s="977" t="str">
        <f>Translations!$B$1000</f>
        <v>Dujinis – Dujų gamyklos dujos</v>
      </c>
      <c r="I19" s="977" t="str">
        <f>Translations!$B$1001</f>
        <v>Dujinis – Koksavimo dujos</v>
      </c>
      <c r="J19" s="977" t="str">
        <f>Translations!$B$1002</f>
        <v>Dujinis – Aukštakrosnių dujos</v>
      </c>
      <c r="K19" s="977" t="str">
        <f>Translations!$B$1003</f>
        <v>Dujinis – Deguoninių plieno aukštakrosnių dujos</v>
      </c>
      <c r="L19" s="979" t="str">
        <f>Translations!$B$1004</f>
        <v>Dujinis – Biodujos</v>
      </c>
      <c r="M19" s="979" t="str">
        <f>Translations!$B$1005</f>
        <v>Dujinis – Dumblo dujos</v>
      </c>
      <c r="N19" s="979" t="str">
        <f>Translations!$B$1006</f>
        <v>Dujinis – Sąvartynų dujos</v>
      </c>
      <c r="O19" s="979" t="str">
        <f>Translations!$B$1007</f>
        <v>Dujinis – Anglies monoksidas</v>
      </c>
      <c r="P19" s="979" t="str">
        <f>Translations!$B$1008</f>
        <v>Dujinis – Metanas</v>
      </c>
      <c r="Q19" s="979" t="str">
        <f>Translations!$B$1009</f>
        <v>Dujinis – Kitų rūšių dujinis kuras</v>
      </c>
      <c r="R19" s="979" t="str">
        <f>Translations!$B$1010</f>
        <v>Dujinis – Kitų rūšių dujinė biomasė</v>
      </c>
      <c r="S19" s="979" t="str">
        <f>Translations!$B$1011</f>
        <v>Skystasis – Labai lengvos distiliacijos kuras</v>
      </c>
      <c r="T19" s="979" t="str">
        <f>Translations!$B$1012</f>
        <v>Skystasis – Vidutinės distiliacijos kuras</v>
      </c>
      <c r="U19" s="977" t="str">
        <f>Translations!$B$1013</f>
        <v>Skystasis – Sunkusis mazutas</v>
      </c>
      <c r="V19" s="977" t="str">
        <f>Translations!$B$1014</f>
        <v>Skystasis – Suskystintosios naftos dujos</v>
      </c>
      <c r="W19" s="977" t="str">
        <f>Translations!$B$1015</f>
        <v>Skystasis – Žalia nafta</v>
      </c>
      <c r="X19" s="977" t="str">
        <f>Translations!$B$1016</f>
        <v>Skystasis – Orimulsija</v>
      </c>
      <c r="Y19" s="977" t="str">
        <f>Translations!$B$1017</f>
        <v>Skystasis – Gamtinių dujų kondensatai</v>
      </c>
      <c r="Z19" s="977" t="str">
        <f>Translations!$B$1018</f>
        <v>Skystasis – Automobilinis benzinas</v>
      </c>
      <c r="AA19" s="977" t="str">
        <f>Translations!$B$1019</f>
        <v>Skystasis – Skalūnų alyva</v>
      </c>
      <c r="AB19" s="977" t="str">
        <f>Translations!$B$1020</f>
        <v>Skystasis – Dujos ir (arba) dyzelinas</v>
      </c>
      <c r="AC19" s="977" t="str">
        <f>Translations!$B$1021</f>
        <v>Skystasis – Mazuto distiliavimo likutis</v>
      </c>
      <c r="AD19" s="977" t="str">
        <f>Translations!$B$1022</f>
        <v>Skystasis – Pirminis benzinas</v>
      </c>
      <c r="AE19" s="977" t="str">
        <f>Translations!$B$1023</f>
        <v>Skystasis – Tepalai</v>
      </c>
      <c r="AF19" s="977" t="str">
        <f>Translations!$B$1024</f>
        <v>Skystasis – Vaitspiritas ir SBP</v>
      </c>
      <c r="AG19" s="977" t="str">
        <f>Translations!$B$1025</f>
        <v>Skystasis – Skalūnų alyva ir gudoniniai smėliai</v>
      </c>
      <c r="AH19" s="977" t="str">
        <f>Translations!$B$1026</f>
        <v>Skystasis – Akmens anglių briketai</v>
      </c>
      <c r="AI19" s="977" t="str">
        <f>Translations!$B$1027</f>
        <v>Skystasis – Alyvų atliekos</v>
      </c>
      <c r="AJ19" s="977" t="str">
        <f>Translations!$B$1028</f>
        <v>Skystasis – Biobenzinas</v>
      </c>
      <c r="AK19" s="977" t="str">
        <f>Translations!$B$1029</f>
        <v>Skystasi – Biodyzelinas</v>
      </c>
      <c r="AL19" s="977" t="str">
        <f>Translations!$B$1030</f>
        <v>Skystasis – Bitumas</v>
      </c>
      <c r="AM19" s="977" t="str">
        <f>Translations!$B$1031</f>
        <v>Skystasis – Organiniai tirpikliai</v>
      </c>
      <c r="AN19" s="977" t="str">
        <f>Translations!$B$1032</f>
        <v>Skystasis – Kitų rūšių skystasis kuras</v>
      </c>
      <c r="AO19" s="977" t="str">
        <f>Translations!$B$1033</f>
        <v>Skystasis – Kitų rūšių skystoji biomasė</v>
      </c>
      <c r="AP19" s="977" t="str">
        <f>Translations!$B$1034</f>
        <v>Atliekos – Komunalinės ir pramoninės atliekos</v>
      </c>
      <c r="AQ19" s="977" t="str">
        <f>Translations!$B$1035</f>
        <v>Atliekos – Pramoninės atliekos</v>
      </c>
      <c r="AR19" s="977" t="str">
        <f>Translations!$B$1036</f>
        <v>Naftos perdirbimo įmonių žaliava – Naftos perdirbimo įmonių dujos</v>
      </c>
      <c r="AS19" s="977" t="str">
        <f>Translations!$B$1037</f>
        <v>Naftos perdirbimo įmonių žaliava – Liekanos</v>
      </c>
      <c r="AT19" s="977" t="str">
        <f>Translations!$B$1038</f>
        <v>Naftos perdirbimo įmonių žaliava – Kita naftos perdirbimo įmonių žaliava</v>
      </c>
      <c r="AU19" s="977" t="str">
        <f>Translations!$B$1039</f>
        <v>Naftos perdirbimo įmonių žaliava – Kiti naftos produktai</v>
      </c>
      <c r="AV19" s="977" t="str">
        <f>Translations!$B$157</f>
        <v>netaik.</v>
      </c>
      <c r="AW19" s="977" t="str">
        <f>Translations!$B$157</f>
        <v>netaik.</v>
      </c>
      <c r="AX19" s="977" t="str">
        <f>Translations!$B$157</f>
        <v>netaik.</v>
      </c>
      <c r="AY19" s="977" t="str">
        <f>Translations!$B$157</f>
        <v>netaik.</v>
      </c>
      <c r="AZ19" s="977" t="str">
        <f>Translations!$B$157</f>
        <v>netaik.</v>
      </c>
      <c r="BA19" s="977" t="str">
        <f>Translations!$B$157</f>
        <v>netaik.</v>
      </c>
      <c r="BB19" s="977" t="str">
        <f>Translations!$B$157</f>
        <v>netaik.</v>
      </c>
      <c r="BC19" s="977" t="str">
        <f>Translations!$B$157</f>
        <v>netaik.</v>
      </c>
      <c r="BD19" s="977" t="str">
        <f>Translations!$B$157</f>
        <v>netaik.</v>
      </c>
      <c r="BE19" s="977" t="str">
        <f>Translations!$B$157</f>
        <v>netaik.</v>
      </c>
      <c r="BF19" s="977" t="str">
        <f>Translations!$B$157</f>
        <v>netaik.</v>
      </c>
      <c r="BG19" s="977" t="str">
        <f>Translations!$B$157</f>
        <v>netaik.</v>
      </c>
      <c r="BH19" s="977" t="str">
        <f>Translations!$B$157</f>
        <v>netaik.</v>
      </c>
      <c r="BI19" s="977" t="str">
        <f>Translations!$B$157</f>
        <v>netaik.</v>
      </c>
      <c r="BJ19" s="977" t="str">
        <f>Translations!$B$157</f>
        <v>netaik.</v>
      </c>
      <c r="BK19" s="977" t="str">
        <f>Translations!$B$157</f>
        <v>netaik.</v>
      </c>
      <c r="BL19" s="977" t="str">
        <f>Translations!$B$157</f>
        <v>netaik.</v>
      </c>
      <c r="BM19" s="977" t="str">
        <f>Translations!$B$157</f>
        <v>netaik.</v>
      </c>
      <c r="BN19" s="977" t="str">
        <f>Translations!$B$157</f>
        <v>netaik.</v>
      </c>
      <c r="BO19" s="977" t="str">
        <f>Translations!$B$157</f>
        <v>netaik.</v>
      </c>
      <c r="BP19" s="977" t="str">
        <f>Translations!$B$157</f>
        <v>netaik.</v>
      </c>
      <c r="BQ19" s="977" t="str">
        <f>Translations!$B$157</f>
        <v>netaik.</v>
      </c>
      <c r="BR19" s="977" t="str">
        <f>Translations!$B$157</f>
        <v>netaik.</v>
      </c>
      <c r="BS19" s="977" t="str">
        <f>Translations!$B$157</f>
        <v>netaik.</v>
      </c>
      <c r="BT19" s="977" t="str">
        <f>Translations!$B$157</f>
        <v>netaik.</v>
      </c>
      <c r="BU19" s="977" t="str">
        <f>Translations!$B$157</f>
        <v>netaik.</v>
      </c>
      <c r="BV19" s="977" t="str">
        <f>Translations!$B$157</f>
        <v>netaik.</v>
      </c>
      <c r="BW19" s="977" t="str">
        <f>Translations!$B$157</f>
        <v>netaik.</v>
      </c>
      <c r="BX19" s="977" t="str">
        <f>Translations!$B$157</f>
        <v>netaik.</v>
      </c>
      <c r="BY19" s="977" t="str">
        <f>Translations!$B$157</f>
        <v>netaik.</v>
      </c>
      <c r="BZ19" s="977" t="str">
        <f>Translations!$B$157</f>
        <v>netaik.</v>
      </c>
      <c r="CA19" s="977" t="str">
        <f>Translations!$B$157</f>
        <v>netaik.</v>
      </c>
      <c r="CB19" s="977" t="str">
        <f>Translations!$B$157</f>
        <v>netaik.</v>
      </c>
      <c r="CC19" s="977" t="str">
        <f>Translations!$B$157</f>
        <v>netaik.</v>
      </c>
      <c r="CD19" s="977" t="str">
        <f>Translations!$B$157</f>
        <v>netaik.</v>
      </c>
      <c r="CE19" s="978" t="str">
        <f>Translations!$B$157</f>
        <v>netaik.</v>
      </c>
      <c r="CF19" s="977" t="str">
        <f>Translations!$B$157</f>
        <v>netaik.</v>
      </c>
      <c r="CG19" s="977" t="str">
        <f>Translations!$B$157</f>
        <v>netaik.</v>
      </c>
      <c r="CH19" s="977" t="str">
        <f>Translations!$B$157</f>
        <v>netaik.</v>
      </c>
      <c r="CI19" s="977" t="str">
        <f>Translations!$B$157</f>
        <v>netaik.</v>
      </c>
      <c r="CJ19" s="977" t="str">
        <f>Translations!$B$157</f>
        <v>netaik.</v>
      </c>
      <c r="CK19" s="977" t="str">
        <f>Translations!$B$157</f>
        <v>netaik.</v>
      </c>
      <c r="CL19" s="977" t="str">
        <f>Translations!$B$157</f>
        <v>netaik.</v>
      </c>
      <c r="CM19" s="977" t="str">
        <f>Translations!$B$157</f>
        <v>netaik.</v>
      </c>
      <c r="CN19" s="977" t="str">
        <f>Translations!$B$157</f>
        <v>netaik.</v>
      </c>
      <c r="CO19" s="977" t="str">
        <f>Translations!$B$157</f>
        <v>netaik.</v>
      </c>
      <c r="CP19" s="977" t="str">
        <f>Translations!$B$157</f>
        <v>netaik.</v>
      </c>
      <c r="CQ19" s="977" t="str">
        <f>Translations!$B$157</f>
        <v>netaik.</v>
      </c>
      <c r="CR19" s="977" t="str">
        <f>Translations!$B$157</f>
        <v>netaik.</v>
      </c>
      <c r="CS19" s="977" t="str">
        <f>Translations!$B$157</f>
        <v>netaik.</v>
      </c>
      <c r="CT19" s="977" t="str">
        <f>Translations!$B$157</f>
        <v>netaik.</v>
      </c>
      <c r="CU19" s="977" t="str">
        <f>Translations!$B$157</f>
        <v>netaik.</v>
      </c>
      <c r="CV19" s="977" t="str">
        <f>Translations!$B$157</f>
        <v>netaik.</v>
      </c>
      <c r="CW19" s="977" t="str">
        <f>Translations!$B$157</f>
        <v>netaik.</v>
      </c>
      <c r="CX19" s="977" t="str">
        <f>Translations!$B$157</f>
        <v>netaik.</v>
      </c>
      <c r="CY19" s="977" t="str">
        <f>Translations!$B$157</f>
        <v>netaik.</v>
      </c>
      <c r="CZ19" s="977" t="str">
        <f>Translations!$B$157</f>
        <v>netaik.</v>
      </c>
      <c r="DA19" s="977" t="str">
        <f>Translations!$B$157</f>
        <v>netaik.</v>
      </c>
      <c r="DB19" s="977" t="str">
        <f>Translations!$B$157</f>
        <v>netaik.</v>
      </c>
    </row>
    <row r="20" spans="1:106" ht="13.5" thickBot="1" x14ac:dyDescent="0.25">
      <c r="A20" s="481">
        <v>3</v>
      </c>
      <c r="B20" s="371" t="str">
        <f t="shared" si="0"/>
        <v>Degimas: Kietasis kuras</v>
      </c>
      <c r="C20" s="371"/>
      <c r="D20" s="373"/>
      <c r="E20" s="817" t="str">
        <f t="shared" ca="1" si="1"/>
        <v>MSParameters!$G$20:$AG$20</v>
      </c>
      <c r="F20" s="904"/>
      <c r="G20" s="976" t="str">
        <f>Translations!$B$1040</f>
        <v>Kietasis – Koksas</v>
      </c>
      <c r="H20" s="977" t="str">
        <f>Translations!$B$1041</f>
        <v>Kietasis – Naftos koksas</v>
      </c>
      <c r="I20" s="977" t="str">
        <f>Translations!$B$1042</f>
        <v>Kietasis – Akmens anglys</v>
      </c>
      <c r="J20" s="977" t="str">
        <f>Translations!$B$1043</f>
        <v>Kietasis – Lignitas</v>
      </c>
      <c r="K20" s="977" t="str">
        <f>Translations!$B$1044</f>
        <v>Kietasis – Antracitas</v>
      </c>
      <c r="L20" s="977" t="str">
        <f>Translations!$B$1045</f>
        <v>Kietasis – Koksinės anglys</v>
      </c>
      <c r="M20" s="977" t="str">
        <f>Translations!$B$1046</f>
        <v>Kietasis – Subbituminės akmens anglys</v>
      </c>
      <c r="N20" s="977" t="str">
        <f>Translations!$B$1047</f>
        <v>Kietasis – Kitos bituminės akmens anglys</v>
      </c>
      <c r="O20" s="977" t="str">
        <f>Translations!$B$1048</f>
        <v>Kietasis – Dujinis koksas</v>
      </c>
      <c r="P20" s="979" t="str">
        <f>Translations!$B$1049</f>
        <v>Kietasis – Parafinas</v>
      </c>
      <c r="Q20" s="979" t="str">
        <f>Translations!$B$1050</f>
        <v>Kietasis – Sulfatinės išviros</v>
      </c>
      <c r="R20" s="979" t="str">
        <f>Translations!$B$1051</f>
        <v>Kietasis – Malkos</v>
      </c>
      <c r="S20" s="979" t="str">
        <f>Translations!$B$1052</f>
        <v>Kietasis – Mediena (ne atliekos)</v>
      </c>
      <c r="T20" s="979" t="str">
        <f>Translations!$B$1053</f>
        <v>Kietasis – Mediena (atliekos)</v>
      </c>
      <c r="U20" s="979" t="str">
        <f>Translations!$B$1054</f>
        <v>Kietasis – Durpės</v>
      </c>
      <c r="V20" s="979" t="str">
        <f>Translations!$B$1055</f>
        <v>Kietasis – Kanalizacijos dumblas</v>
      </c>
      <c r="W20" s="979" t="str">
        <f>Translations!$B$1056</f>
        <v>Kietasis – Komunalinių nuotekų dumblas</v>
      </c>
      <c r="X20" s="977" t="str">
        <f>Translations!$B$1057</f>
        <v>Kietasis – Akmens anglių degutas</v>
      </c>
      <c r="Y20" s="977" t="str">
        <f>Translations!$B$1058</f>
        <v>Kietasis – Medžio anglys</v>
      </c>
      <c r="Z20" s="977" t="str">
        <f>Translations!$B$1059</f>
        <v>Kietasis – Panaudos padangos</v>
      </c>
      <c r="AA20" s="977" t="str">
        <f>Translations!$B$1060</f>
        <v>Kietasis – Kitų rūšių kietasis kuras</v>
      </c>
      <c r="AB20" s="977" t="str">
        <f>Translations!$B$1061</f>
        <v>Kietasis – Kitų rūšių kietoji biomasė</v>
      </c>
      <c r="AC20" s="977" t="str">
        <f>Translations!$B$1034</f>
        <v>Atliekos – Komunalinės ir pramoninės atliekos</v>
      </c>
      <c r="AD20" s="977" t="str">
        <f>Translations!$B$1035</f>
        <v>Atliekos – Pramoninės atliekos</v>
      </c>
      <c r="AE20" s="977" t="str">
        <f>Translations!$B$1037</f>
        <v>Naftos perdirbimo įmonių žaliava – Liekanos</v>
      </c>
      <c r="AF20" s="977" t="str">
        <f>Translations!$B$1038</f>
        <v>Naftos perdirbimo įmonių žaliava – Kita naftos perdirbimo įmonių žaliava</v>
      </c>
      <c r="AG20" s="977" t="str">
        <f>Translations!$B$1039</f>
        <v>Naftos perdirbimo įmonių žaliava – Kiti naftos produktai</v>
      </c>
      <c r="AH20" s="977" t="str">
        <f>Translations!$B$157</f>
        <v>netaik.</v>
      </c>
      <c r="AI20" s="977" t="str">
        <f>Translations!$B$157</f>
        <v>netaik.</v>
      </c>
      <c r="AJ20" s="977" t="str">
        <f>Translations!$B$157</f>
        <v>netaik.</v>
      </c>
      <c r="AK20" s="977" t="str">
        <f>Translations!$B$157</f>
        <v>netaik.</v>
      </c>
      <c r="AL20" s="977" t="str">
        <f>Translations!$B$157</f>
        <v>netaik.</v>
      </c>
      <c r="AM20" s="977" t="str">
        <f>Translations!$B$157</f>
        <v>netaik.</v>
      </c>
      <c r="AN20" s="977" t="str">
        <f>Translations!$B$157</f>
        <v>netaik.</v>
      </c>
      <c r="AO20" s="977" t="str">
        <f>Translations!$B$157</f>
        <v>netaik.</v>
      </c>
      <c r="AP20" s="977" t="str">
        <f>Translations!$B$157</f>
        <v>netaik.</v>
      </c>
      <c r="AQ20" s="977" t="str">
        <f>Translations!$B$157</f>
        <v>netaik.</v>
      </c>
      <c r="AR20" s="977" t="str">
        <f>Translations!$B$157</f>
        <v>netaik.</v>
      </c>
      <c r="AS20" s="977" t="str">
        <f>Translations!$B$157</f>
        <v>netaik.</v>
      </c>
      <c r="AT20" s="977" t="str">
        <f>Translations!$B$157</f>
        <v>netaik.</v>
      </c>
      <c r="AU20" s="977" t="str">
        <f>Translations!$B$157</f>
        <v>netaik.</v>
      </c>
      <c r="AV20" s="977" t="str">
        <f>Translations!$B$157</f>
        <v>netaik.</v>
      </c>
      <c r="AW20" s="977" t="str">
        <f>Translations!$B$157</f>
        <v>netaik.</v>
      </c>
      <c r="AX20" s="977" t="str">
        <f>Translations!$B$157</f>
        <v>netaik.</v>
      </c>
      <c r="AY20" s="977" t="str">
        <f>Translations!$B$157</f>
        <v>netaik.</v>
      </c>
      <c r="AZ20" s="977" t="str">
        <f>Translations!$B$157</f>
        <v>netaik.</v>
      </c>
      <c r="BA20" s="977" t="str">
        <f>Translations!$B$157</f>
        <v>netaik.</v>
      </c>
      <c r="BB20" s="977" t="str">
        <f>Translations!$B$157</f>
        <v>netaik.</v>
      </c>
      <c r="BC20" s="977" t="str">
        <f>Translations!$B$157</f>
        <v>netaik.</v>
      </c>
      <c r="BD20" s="977" t="str">
        <f>Translations!$B$157</f>
        <v>netaik.</v>
      </c>
      <c r="BE20" s="977" t="str">
        <f>Translations!$B$157</f>
        <v>netaik.</v>
      </c>
      <c r="BF20" s="977" t="str">
        <f>Translations!$B$157</f>
        <v>netaik.</v>
      </c>
      <c r="BG20" s="977" t="str">
        <f>Translations!$B$157</f>
        <v>netaik.</v>
      </c>
      <c r="BH20" s="977" t="str">
        <f>Translations!$B$157</f>
        <v>netaik.</v>
      </c>
      <c r="BI20" s="977" t="str">
        <f>Translations!$B$157</f>
        <v>netaik.</v>
      </c>
      <c r="BJ20" s="977" t="str">
        <f>Translations!$B$157</f>
        <v>netaik.</v>
      </c>
      <c r="BK20" s="977" t="str">
        <f>Translations!$B$157</f>
        <v>netaik.</v>
      </c>
      <c r="BL20" s="977" t="str">
        <f>Translations!$B$157</f>
        <v>netaik.</v>
      </c>
      <c r="BM20" s="977" t="str">
        <f>Translations!$B$157</f>
        <v>netaik.</v>
      </c>
      <c r="BN20" s="977" t="str">
        <f>Translations!$B$157</f>
        <v>netaik.</v>
      </c>
      <c r="BO20" s="977" t="str">
        <f>Translations!$B$157</f>
        <v>netaik.</v>
      </c>
      <c r="BP20" s="977" t="str">
        <f>Translations!$B$157</f>
        <v>netaik.</v>
      </c>
      <c r="BQ20" s="977" t="str">
        <f>Translations!$B$157</f>
        <v>netaik.</v>
      </c>
      <c r="BR20" s="977" t="str">
        <f>Translations!$B$157</f>
        <v>netaik.</v>
      </c>
      <c r="BS20" s="977" t="str">
        <f>Translations!$B$157</f>
        <v>netaik.</v>
      </c>
      <c r="BT20" s="977" t="str">
        <f>Translations!$B$157</f>
        <v>netaik.</v>
      </c>
      <c r="BU20" s="977" t="str">
        <f>Translations!$B$157</f>
        <v>netaik.</v>
      </c>
      <c r="BV20" s="977" t="str">
        <f>Translations!$B$157</f>
        <v>netaik.</v>
      </c>
      <c r="BW20" s="977" t="str">
        <f>Translations!$B$157</f>
        <v>netaik.</v>
      </c>
      <c r="BX20" s="977" t="str">
        <f>Translations!$B$157</f>
        <v>netaik.</v>
      </c>
      <c r="BY20" s="977" t="str">
        <f>Translations!$B$157</f>
        <v>netaik.</v>
      </c>
      <c r="BZ20" s="977" t="str">
        <f>Translations!$B$157</f>
        <v>netaik.</v>
      </c>
      <c r="CA20" s="977" t="str">
        <f>Translations!$B$157</f>
        <v>netaik.</v>
      </c>
      <c r="CB20" s="977" t="str">
        <f>Translations!$B$157</f>
        <v>netaik.</v>
      </c>
      <c r="CC20" s="977" t="str">
        <f>Translations!$B$157</f>
        <v>netaik.</v>
      </c>
      <c r="CD20" s="977" t="str">
        <f>Translations!$B$157</f>
        <v>netaik.</v>
      </c>
      <c r="CE20" s="978" t="str">
        <f>Translations!$B$157</f>
        <v>netaik.</v>
      </c>
      <c r="CF20" s="977" t="str">
        <f>Translations!$B$157</f>
        <v>netaik.</v>
      </c>
      <c r="CG20" s="977" t="str">
        <f>Translations!$B$157</f>
        <v>netaik.</v>
      </c>
      <c r="CH20" s="977" t="str">
        <f>Translations!$B$157</f>
        <v>netaik.</v>
      </c>
      <c r="CI20" s="977" t="str">
        <f>Translations!$B$157</f>
        <v>netaik.</v>
      </c>
      <c r="CJ20" s="977" t="str">
        <f>Translations!$B$157</f>
        <v>netaik.</v>
      </c>
      <c r="CK20" s="977" t="str">
        <f>Translations!$B$157</f>
        <v>netaik.</v>
      </c>
      <c r="CL20" s="977" t="str">
        <f>Translations!$B$157</f>
        <v>netaik.</v>
      </c>
      <c r="CM20" s="977" t="str">
        <f>Translations!$B$157</f>
        <v>netaik.</v>
      </c>
      <c r="CN20" s="977" t="str">
        <f>Translations!$B$157</f>
        <v>netaik.</v>
      </c>
      <c r="CO20" s="977" t="str">
        <f>Translations!$B$157</f>
        <v>netaik.</v>
      </c>
      <c r="CP20" s="977" t="str">
        <f>Translations!$B$157</f>
        <v>netaik.</v>
      </c>
      <c r="CQ20" s="977" t="str">
        <f>Translations!$B$157</f>
        <v>netaik.</v>
      </c>
      <c r="CR20" s="977" t="str">
        <f>Translations!$B$157</f>
        <v>netaik.</v>
      </c>
      <c r="CS20" s="977" t="str">
        <f>Translations!$B$157</f>
        <v>netaik.</v>
      </c>
      <c r="CT20" s="977" t="str">
        <f>Translations!$B$157</f>
        <v>netaik.</v>
      </c>
      <c r="CU20" s="977" t="str">
        <f>Translations!$B$157</f>
        <v>netaik.</v>
      </c>
      <c r="CV20" s="977" t="str">
        <f>Translations!$B$157</f>
        <v>netaik.</v>
      </c>
      <c r="CW20" s="977" t="str">
        <f>Translations!$B$157</f>
        <v>netaik.</v>
      </c>
      <c r="CX20" s="977" t="str">
        <f>Translations!$B$157</f>
        <v>netaik.</v>
      </c>
      <c r="CY20" s="977" t="str">
        <f>Translations!$B$157</f>
        <v>netaik.</v>
      </c>
      <c r="CZ20" s="977" t="str">
        <f>Translations!$B$157</f>
        <v>netaik.</v>
      </c>
      <c r="DA20" s="977" t="str">
        <f>Translations!$B$157</f>
        <v>netaik.</v>
      </c>
      <c r="DB20" s="977" t="str">
        <f>Translations!$B$157</f>
        <v>netaik.</v>
      </c>
    </row>
    <row r="21" spans="1:106" ht="13.5" thickBot="1" x14ac:dyDescent="0.25">
      <c r="A21" s="481">
        <v>4</v>
      </c>
      <c r="B21" s="371" t="str">
        <f t="shared" si="0"/>
        <v>Degimas: Dujų perdirbimo terminalai</v>
      </c>
      <c r="C21" s="371"/>
      <c r="D21" s="373"/>
      <c r="E21" s="817" t="str">
        <f t="shared" ca="1" si="1"/>
        <v>MSParameters!$G$21:$BJ$21</v>
      </c>
      <c r="F21" s="904"/>
      <c r="G21" s="976" t="str">
        <f>Translations!$B$1062</f>
        <v>Medžiaga – Kitų rūšių žaliavos</v>
      </c>
      <c r="H21" s="977" t="str">
        <f>Translations!$B$1063</f>
        <v>Medžiaga – Kitų rūšių produktai</v>
      </c>
      <c r="I21" s="977" t="str">
        <f>Translations!$B$1064</f>
        <v>Medžiaga – Kitos medžiagos</v>
      </c>
      <c r="J21" s="979" t="str">
        <f>Translations!$B$999</f>
        <v>Dujinis – Gamtinės dujos</v>
      </c>
      <c r="K21" s="979" t="str">
        <f>Translations!$B$1000</f>
        <v>Dujinis – Dujų gamyklos dujos</v>
      </c>
      <c r="L21" s="979" t="str">
        <f>Translations!$B$1001</f>
        <v>Dujinis – Koksavimo dujos</v>
      </c>
      <c r="M21" s="979" t="str">
        <f>Translations!$B$1002</f>
        <v>Dujinis – Aukštakrosnių dujos</v>
      </c>
      <c r="N21" s="977" t="str">
        <f>Translations!$B$1003</f>
        <v>Dujinis – Deguoninių plieno aukštakrosnių dujos</v>
      </c>
      <c r="O21" s="977" t="str">
        <f>Translations!$B$1004</f>
        <v>Dujinis – Biodujos</v>
      </c>
      <c r="P21" s="977" t="str">
        <f>Translations!$B$1005</f>
        <v>Dujinis – Dumblo dujos</v>
      </c>
      <c r="Q21" s="977" t="str">
        <f>Translations!$B$1006</f>
        <v>Dujinis – Sąvartynų dujos</v>
      </c>
      <c r="R21" s="979" t="str">
        <f>Translations!$B$1007</f>
        <v>Dujinis – Anglies monoksidas</v>
      </c>
      <c r="S21" s="979" t="str">
        <f>Translations!$B$1008</f>
        <v>Dujinis – Metanas</v>
      </c>
      <c r="T21" s="979" t="str">
        <f>Translations!$B$988</f>
        <v>Dujinis – Etanas</v>
      </c>
      <c r="U21" s="979" t="str">
        <f>Translations!$B$989</f>
        <v>Dujinis – Propanas</v>
      </c>
      <c r="V21" s="977" t="str">
        <f>Translations!$B$990</f>
        <v>Dujinis – Butanas</v>
      </c>
      <c r="W21" s="977" t="str">
        <f>Translations!$B$1009</f>
        <v>Dujinis – Kitų rūšių dujinis kuras</v>
      </c>
      <c r="X21" s="977" t="str">
        <f>Translations!$B$1010</f>
        <v>Dujinis – Kitų rūšių dujinė biomasė</v>
      </c>
      <c r="Y21" s="977" t="str">
        <f>Translations!$B$991</f>
        <v>Skystasis – Dyzelinis krosnių kuras</v>
      </c>
      <c r="Z21" s="977" t="str">
        <f>Translations!$B$1011</f>
        <v>Skystasis – Labai lengvos distiliacijos kuras</v>
      </c>
      <c r="AA21" s="977" t="str">
        <f>Translations!$B$1012</f>
        <v>Skystasis – Vidutinės distiliacijos kuras</v>
      </c>
      <c r="AB21" s="977" t="str">
        <f>Translations!$B$1013</f>
        <v>Skystasis – Sunkusis mazutas</v>
      </c>
      <c r="AC21" s="977" t="str">
        <f>Translations!$B$992</f>
        <v>Skystasis – Gazolis</v>
      </c>
      <c r="AD21" s="977" t="str">
        <f>Translations!$B$993</f>
        <v>Skystasis – Gazolinas</v>
      </c>
      <c r="AE21" s="977" t="str">
        <f>Translations!$B$994</f>
        <v>Skystasis – Valytas žibalas</v>
      </c>
      <c r="AF21" s="977" t="str">
        <f>Translations!$B$995</f>
        <v>Skystasis – Žibalas</v>
      </c>
      <c r="AG21" s="977" t="str">
        <f>Translations!$B$996</f>
        <v>Skystasis – Reaktyvinis žibalas (Jet A1 arba Jet A)</v>
      </c>
      <c r="AH21" s="977" t="str">
        <f>Translations!$B$997</f>
        <v>Skystasis – Reaktyvinis gazolinas (benzinas) (Jet B)</v>
      </c>
      <c r="AI21" s="977" t="str">
        <f>Translations!$B$998</f>
        <v>Skystasis – Aviacinis gazolinas (benzinas) (AvGas)</v>
      </c>
      <c r="AJ21" s="977" t="str">
        <f>Translations!$B$1014</f>
        <v>Skystasis – Suskystintosios naftos dujos</v>
      </c>
      <c r="AK21" s="977" t="str">
        <f>Translations!$B$1015</f>
        <v>Skystasis – Žalia nafta</v>
      </c>
      <c r="AL21" s="977" t="str">
        <f>Translations!$B$1016</f>
        <v>Skystasis – Orimulsija</v>
      </c>
      <c r="AM21" s="977" t="str">
        <f>Translations!$B$1017</f>
        <v>Skystasis – Gamtinių dujų kondensatai</v>
      </c>
      <c r="AN21" s="977" t="str">
        <f>Translations!$B$1018</f>
        <v>Skystasis – Automobilinis benzinas</v>
      </c>
      <c r="AO21" s="977" t="str">
        <f>Translations!$B$1019</f>
        <v>Skystasis – Skalūnų alyva</v>
      </c>
      <c r="AP21" s="977" t="str">
        <f>Translations!$B$1020</f>
        <v>Skystasis – Dujos ir (arba) dyzelinas</v>
      </c>
      <c r="AQ21" s="977" t="str">
        <f>Translations!$B$1021</f>
        <v>Skystasis – Mazuto distiliavimo likutis</v>
      </c>
      <c r="AR21" s="977" t="str">
        <f>Translations!$B$1022</f>
        <v>Skystasis – Pirminis benzinas</v>
      </c>
      <c r="AS21" s="977" t="str">
        <f>Translations!$B$1023</f>
        <v>Skystasis – Tepalai</v>
      </c>
      <c r="AT21" s="977" t="str">
        <f>Translations!$B$1024</f>
        <v>Skystasis – Vaitspiritas ir SBP</v>
      </c>
      <c r="AU21" s="977" t="str">
        <f>Translations!$B$1025</f>
        <v>Skystasis – Skalūnų alyva ir gudoniniai smėliai</v>
      </c>
      <c r="AV21" s="977" t="str">
        <f>Translations!$B$1026</f>
        <v>Skystasis – Akmens anglių briketai</v>
      </c>
      <c r="AW21" s="977" t="str">
        <f>Translations!$B$1027</f>
        <v>Skystasis – Alyvų atliekos</v>
      </c>
      <c r="AX21" s="977" t="str">
        <f>Translations!$B$1028</f>
        <v>Skystasis – Biobenzinas</v>
      </c>
      <c r="AY21" s="977" t="str">
        <f>Translations!$B$1029</f>
        <v>Skystasi – Biodyzelinas</v>
      </c>
      <c r="AZ21" s="977" t="str">
        <f>Translations!$B$1032</f>
        <v>Skystasis – Kitų rūšių skystasis kuras</v>
      </c>
      <c r="BA21" s="977" t="str">
        <f>Translations!$B$1033</f>
        <v>Skystasis – Kitų rūšių skystoji biomasė</v>
      </c>
      <c r="BB21" s="977" t="str">
        <f>Translations!$B$1050</f>
        <v>Kietasis – Sulfatinės išviros</v>
      </c>
      <c r="BC21" s="977" t="str">
        <f>Translations!$B$1055</f>
        <v>Kietasis – Kanalizacijos dumblas</v>
      </c>
      <c r="BD21" s="977" t="str">
        <f>Translations!$B$1056</f>
        <v>Kietasis – Komunalinių nuotekų dumblas</v>
      </c>
      <c r="BE21" s="977" t="str">
        <f>Translations!$B$1034</f>
        <v>Atliekos – Komunalinės ir pramoninės atliekos</v>
      </c>
      <c r="BF21" s="977" t="str">
        <f>Translations!$B$1035</f>
        <v>Atliekos – Pramoninės atliekos</v>
      </c>
      <c r="BG21" s="977" t="str">
        <f>Translations!$B$1036</f>
        <v>Naftos perdirbimo įmonių žaliava – Naftos perdirbimo įmonių dujos</v>
      </c>
      <c r="BH21" s="977" t="str">
        <f>Translations!$B$1037</f>
        <v>Naftos perdirbimo įmonių žaliava – Liekanos</v>
      </c>
      <c r="BI21" s="977" t="str">
        <f>Translations!$B$1038</f>
        <v>Naftos perdirbimo įmonių žaliava – Kita naftos perdirbimo įmonių žaliava</v>
      </c>
      <c r="BJ21" s="977" t="str">
        <f>Translations!$B$1039</f>
        <v>Naftos perdirbimo įmonių žaliava – Kiti naftos produktai</v>
      </c>
      <c r="BK21" s="977" t="str">
        <f>Translations!$B$157</f>
        <v>netaik.</v>
      </c>
      <c r="BL21" s="977" t="str">
        <f>Translations!$B$157</f>
        <v>netaik.</v>
      </c>
      <c r="BM21" s="977" t="str">
        <f>Translations!$B$157</f>
        <v>netaik.</v>
      </c>
      <c r="BN21" s="977" t="str">
        <f>Translations!$B$157</f>
        <v>netaik.</v>
      </c>
      <c r="BO21" s="977" t="str">
        <f>Translations!$B$157</f>
        <v>netaik.</v>
      </c>
      <c r="BP21" s="977" t="str">
        <f>Translations!$B$157</f>
        <v>netaik.</v>
      </c>
      <c r="BQ21" s="977" t="str">
        <f>Translations!$B$157</f>
        <v>netaik.</v>
      </c>
      <c r="BR21" s="977" t="str">
        <f>Translations!$B$157</f>
        <v>netaik.</v>
      </c>
      <c r="BS21" s="977" t="str">
        <f>Translations!$B$157</f>
        <v>netaik.</v>
      </c>
      <c r="BT21" s="977" t="str">
        <f>Translations!$B$157</f>
        <v>netaik.</v>
      </c>
      <c r="BU21" s="977" t="str">
        <f>Translations!$B$157</f>
        <v>netaik.</v>
      </c>
      <c r="BV21" s="977" t="str">
        <f>Translations!$B$157</f>
        <v>netaik.</v>
      </c>
      <c r="BW21" s="977" t="str">
        <f>Translations!$B$157</f>
        <v>netaik.</v>
      </c>
      <c r="BX21" s="977" t="str">
        <f>Translations!$B$157</f>
        <v>netaik.</v>
      </c>
      <c r="BY21" s="977" t="str">
        <f>Translations!$B$157</f>
        <v>netaik.</v>
      </c>
      <c r="BZ21" s="977" t="str">
        <f>Translations!$B$157</f>
        <v>netaik.</v>
      </c>
      <c r="CA21" s="977" t="str">
        <f>Translations!$B$157</f>
        <v>netaik.</v>
      </c>
      <c r="CB21" s="977" t="str">
        <f>Translations!$B$157</f>
        <v>netaik.</v>
      </c>
      <c r="CC21" s="977" t="str">
        <f>Translations!$B$157</f>
        <v>netaik.</v>
      </c>
      <c r="CD21" s="977" t="str">
        <f>Translations!$B$157</f>
        <v>netaik.</v>
      </c>
      <c r="CE21" s="978" t="str">
        <f>Translations!$B$157</f>
        <v>netaik.</v>
      </c>
      <c r="CF21" s="977" t="str">
        <f>Translations!$B$157</f>
        <v>netaik.</v>
      </c>
      <c r="CG21" s="977" t="str">
        <f>Translations!$B$157</f>
        <v>netaik.</v>
      </c>
      <c r="CH21" s="977" t="str">
        <f>Translations!$B$157</f>
        <v>netaik.</v>
      </c>
      <c r="CI21" s="977" t="str">
        <f>Translations!$B$157</f>
        <v>netaik.</v>
      </c>
      <c r="CJ21" s="977" t="str">
        <f>Translations!$B$157</f>
        <v>netaik.</v>
      </c>
      <c r="CK21" s="977" t="str">
        <f>Translations!$B$157</f>
        <v>netaik.</v>
      </c>
      <c r="CL21" s="977" t="str">
        <f>Translations!$B$157</f>
        <v>netaik.</v>
      </c>
      <c r="CM21" s="977" t="str">
        <f>Translations!$B$157</f>
        <v>netaik.</v>
      </c>
      <c r="CN21" s="977" t="str">
        <f>Translations!$B$157</f>
        <v>netaik.</v>
      </c>
      <c r="CO21" s="977" t="str">
        <f>Translations!$B$157</f>
        <v>netaik.</v>
      </c>
      <c r="CP21" s="977" t="str">
        <f>Translations!$B$157</f>
        <v>netaik.</v>
      </c>
      <c r="CQ21" s="977" t="str">
        <f>Translations!$B$157</f>
        <v>netaik.</v>
      </c>
      <c r="CR21" s="977" t="str">
        <f>Translations!$B$157</f>
        <v>netaik.</v>
      </c>
      <c r="CS21" s="977" t="str">
        <f>Translations!$B$157</f>
        <v>netaik.</v>
      </c>
      <c r="CT21" s="977" t="str">
        <f>Translations!$B$157</f>
        <v>netaik.</v>
      </c>
      <c r="CU21" s="977" t="str">
        <f>Translations!$B$157</f>
        <v>netaik.</v>
      </c>
      <c r="CV21" s="977" t="str">
        <f>Translations!$B$157</f>
        <v>netaik.</v>
      </c>
      <c r="CW21" s="977" t="str">
        <f>Translations!$B$157</f>
        <v>netaik.</v>
      </c>
      <c r="CX21" s="977" t="str">
        <f>Translations!$B$157</f>
        <v>netaik.</v>
      </c>
      <c r="CY21" s="977" t="str">
        <f>Translations!$B$157</f>
        <v>netaik.</v>
      </c>
      <c r="CZ21" s="977" t="str">
        <f>Translations!$B$157</f>
        <v>netaik.</v>
      </c>
      <c r="DA21" s="977" t="str">
        <f>Translations!$B$157</f>
        <v>netaik.</v>
      </c>
      <c r="DB21" s="977" t="str">
        <f>Translations!$B$157</f>
        <v>netaik.</v>
      </c>
    </row>
    <row r="22" spans="1:106" ht="13.5" thickBot="1" x14ac:dyDescent="0.25">
      <c r="A22" s="481">
        <v>5</v>
      </c>
      <c r="B22" s="371" t="str">
        <f t="shared" si="0"/>
        <v>Degimas: Fakelai</v>
      </c>
      <c r="C22" s="371"/>
      <c r="D22" s="373"/>
      <c r="E22" s="817" t="str">
        <f t="shared" ca="1" si="1"/>
        <v>MSParameters!$G$22:$BG$22</v>
      </c>
      <c r="F22" s="904"/>
      <c r="G22" s="976" t="str">
        <f>Translations!$B$999</f>
        <v>Dujinis – Gamtinės dujos</v>
      </c>
      <c r="H22" s="977" t="str">
        <f>Translations!$B$1000</f>
        <v>Dujinis – Dujų gamyklos dujos</v>
      </c>
      <c r="I22" s="977" t="str">
        <f>Translations!$B$1001</f>
        <v>Dujinis – Koksavimo dujos</v>
      </c>
      <c r="J22" s="977" t="str">
        <f>Translations!$B$1002</f>
        <v>Dujinis – Aukštakrosnių dujos</v>
      </c>
      <c r="K22" s="977" t="str">
        <f>Translations!$B$1003</f>
        <v>Dujinis – Deguoninių plieno aukštakrosnių dujos</v>
      </c>
      <c r="L22" s="977" t="str">
        <f>Translations!$B$1004</f>
        <v>Dujinis – Biodujos</v>
      </c>
      <c r="M22" s="977" t="str">
        <f>Translations!$B$1005</f>
        <v>Dujinis – Dumblo dujos</v>
      </c>
      <c r="N22" s="979" t="str">
        <f>Translations!$B$1006</f>
        <v>Dujinis – Sąvartynų dujos</v>
      </c>
      <c r="O22" s="979" t="str">
        <f>Translations!$B$1007</f>
        <v>Dujinis – Anglies monoksidas</v>
      </c>
      <c r="P22" s="979" t="str">
        <f>Translations!$B$1008</f>
        <v>Dujinis – Metanas</v>
      </c>
      <c r="Q22" s="979" t="str">
        <f>Translations!$B$988</f>
        <v>Dujinis – Etanas</v>
      </c>
      <c r="R22" s="979" t="str">
        <f>Translations!$B$989</f>
        <v>Dujinis – Propanas</v>
      </c>
      <c r="S22" s="979" t="str">
        <f>Translations!$B$990</f>
        <v>Dujinis – Butanas</v>
      </c>
      <c r="T22" s="979" t="str">
        <f>Translations!$B$1009</f>
        <v>Dujinis – Kitų rūšių dujinis kuras</v>
      </c>
      <c r="U22" s="979" t="str">
        <f>Translations!$B$1010</f>
        <v>Dujinis – Kitų rūšių dujinė biomasė</v>
      </c>
      <c r="V22" s="979" t="str">
        <f>Translations!$B$991</f>
        <v>Skystasis – Dyzelinis krosnių kuras</v>
      </c>
      <c r="W22" s="979" t="str">
        <f>Translations!$B$1011</f>
        <v>Skystasis – Labai lengvos distiliacijos kuras</v>
      </c>
      <c r="X22" s="977" t="str">
        <f>Translations!$B$1012</f>
        <v>Skystasis – Vidutinės distiliacijos kuras</v>
      </c>
      <c r="Y22" s="977" t="str">
        <f>Translations!$B$1013</f>
        <v>Skystasis – Sunkusis mazutas</v>
      </c>
      <c r="Z22" s="977" t="str">
        <f>Translations!$B$992</f>
        <v>Skystasis – Gazolis</v>
      </c>
      <c r="AA22" s="977" t="str">
        <f>Translations!$B$993</f>
        <v>Skystasis – Gazolinas</v>
      </c>
      <c r="AB22" s="977" t="str">
        <f>Translations!$B$994</f>
        <v>Skystasis – Valytas žibalas</v>
      </c>
      <c r="AC22" s="977" t="str">
        <f>Translations!$B$995</f>
        <v>Skystasis – Žibalas</v>
      </c>
      <c r="AD22" s="977" t="str">
        <f>Translations!$B$996</f>
        <v>Skystasis – Reaktyvinis žibalas (Jet A1 arba Jet A)</v>
      </c>
      <c r="AE22" s="977" t="str">
        <f>Translations!$B$997</f>
        <v>Skystasis – Reaktyvinis gazolinas (benzinas) (Jet B)</v>
      </c>
      <c r="AF22" s="977" t="str">
        <f>Translations!$B$998</f>
        <v>Skystasis – Aviacinis gazolinas (benzinas) (AvGas)</v>
      </c>
      <c r="AG22" s="977" t="str">
        <f>Translations!$B$1014</f>
        <v>Skystasis – Suskystintosios naftos dujos</v>
      </c>
      <c r="AH22" s="977" t="str">
        <f>Translations!$B$1015</f>
        <v>Skystasis – Žalia nafta</v>
      </c>
      <c r="AI22" s="977" t="str">
        <f>Translations!$B$1016</f>
        <v>Skystasis – Orimulsija</v>
      </c>
      <c r="AJ22" s="977" t="str">
        <f>Translations!$B$1017</f>
        <v>Skystasis – Gamtinių dujų kondensatai</v>
      </c>
      <c r="AK22" s="977" t="str">
        <f>Translations!$B$1018</f>
        <v>Skystasis – Automobilinis benzinas</v>
      </c>
      <c r="AL22" s="977" t="str">
        <f>Translations!$B$1019</f>
        <v>Skystasis – Skalūnų alyva</v>
      </c>
      <c r="AM22" s="977" t="str">
        <f>Translations!$B$1020</f>
        <v>Skystasis – Dujos ir (arba) dyzelinas</v>
      </c>
      <c r="AN22" s="977" t="str">
        <f>Translations!$B$1021</f>
        <v>Skystasis – Mazuto distiliavimo likutis</v>
      </c>
      <c r="AO22" s="977" t="str">
        <f>Translations!$B$1022</f>
        <v>Skystasis – Pirminis benzinas</v>
      </c>
      <c r="AP22" s="977" t="str">
        <f>Translations!$B$1023</f>
        <v>Skystasis – Tepalai</v>
      </c>
      <c r="AQ22" s="977" t="str">
        <f>Translations!$B$1024</f>
        <v>Skystasis – Vaitspiritas ir SBP</v>
      </c>
      <c r="AR22" s="977" t="str">
        <f>Translations!$B$1025</f>
        <v>Skystasis – Skalūnų alyva ir gudoniniai smėliai</v>
      </c>
      <c r="AS22" s="977" t="str">
        <f>Translations!$B$1026</f>
        <v>Skystasis – Akmens anglių briketai</v>
      </c>
      <c r="AT22" s="977" t="str">
        <f>Translations!$B$1027</f>
        <v>Skystasis – Alyvų atliekos</v>
      </c>
      <c r="AU22" s="977" t="str">
        <f>Translations!$B$1028</f>
        <v>Skystasis – Biobenzinas</v>
      </c>
      <c r="AV22" s="977" t="str">
        <f>Translations!$B$1029</f>
        <v>Skystasi – Biodyzelinas</v>
      </c>
      <c r="AW22" s="977" t="str">
        <f>Translations!$B$1032</f>
        <v>Skystasis – Kitų rūšių skystasis kuras</v>
      </c>
      <c r="AX22" s="977" t="str">
        <f>Translations!$B$1033</f>
        <v>Skystasis – Kitų rūšių skystoji biomasė</v>
      </c>
      <c r="AY22" s="977" t="str">
        <f>Translations!$B$1050</f>
        <v>Kietasis – Sulfatinės išviros</v>
      </c>
      <c r="AZ22" s="977" t="str">
        <f>Translations!$B$1055</f>
        <v>Kietasis – Kanalizacijos dumblas</v>
      </c>
      <c r="BA22" s="977" t="str">
        <f>Translations!$B$1056</f>
        <v>Kietasis – Komunalinių nuotekų dumblas</v>
      </c>
      <c r="BB22" s="977" t="str">
        <f>Translations!$B$1034</f>
        <v>Atliekos – Komunalinės ir pramoninės atliekos</v>
      </c>
      <c r="BC22" s="977" t="str">
        <f>Translations!$B$1035</f>
        <v>Atliekos – Pramoninės atliekos</v>
      </c>
      <c r="BD22" s="977" t="str">
        <f>Translations!$B$1036</f>
        <v>Naftos perdirbimo įmonių žaliava – Naftos perdirbimo įmonių dujos</v>
      </c>
      <c r="BE22" s="977" t="str">
        <f>Translations!$B$1037</f>
        <v>Naftos perdirbimo įmonių žaliava – Liekanos</v>
      </c>
      <c r="BF22" s="977" t="str">
        <f>Translations!$B$1038</f>
        <v>Naftos perdirbimo įmonių žaliava – Kita naftos perdirbimo įmonių žaliava</v>
      </c>
      <c r="BG22" s="977" t="str">
        <f>Translations!$B$1039</f>
        <v>Naftos perdirbimo įmonių žaliava – Kiti naftos produktai</v>
      </c>
      <c r="BH22" s="977" t="str">
        <f>Translations!$B$157</f>
        <v>netaik.</v>
      </c>
      <c r="BI22" s="977" t="str">
        <f>Translations!$B$157</f>
        <v>netaik.</v>
      </c>
      <c r="BJ22" s="977" t="str">
        <f>Translations!$B$157</f>
        <v>netaik.</v>
      </c>
      <c r="BK22" s="977" t="str">
        <f>Translations!$B$157</f>
        <v>netaik.</v>
      </c>
      <c r="BL22" s="977" t="str">
        <f>Translations!$B$157</f>
        <v>netaik.</v>
      </c>
      <c r="BM22" s="977" t="str">
        <f>Translations!$B$157</f>
        <v>netaik.</v>
      </c>
      <c r="BN22" s="977" t="str">
        <f>Translations!$B$157</f>
        <v>netaik.</v>
      </c>
      <c r="BO22" s="977" t="str">
        <f>Translations!$B$157</f>
        <v>netaik.</v>
      </c>
      <c r="BP22" s="977" t="str">
        <f>Translations!$B$157</f>
        <v>netaik.</v>
      </c>
      <c r="BQ22" s="977" t="str">
        <f>Translations!$B$157</f>
        <v>netaik.</v>
      </c>
      <c r="BR22" s="977" t="str">
        <f>Translations!$B$157</f>
        <v>netaik.</v>
      </c>
      <c r="BS22" s="977" t="str">
        <f>Translations!$B$157</f>
        <v>netaik.</v>
      </c>
      <c r="BT22" s="977" t="str">
        <f>Translations!$B$157</f>
        <v>netaik.</v>
      </c>
      <c r="BU22" s="977" t="str">
        <f>Translations!$B$157</f>
        <v>netaik.</v>
      </c>
      <c r="BV22" s="977" t="str">
        <f>Translations!$B$157</f>
        <v>netaik.</v>
      </c>
      <c r="BW22" s="977" t="str">
        <f>Translations!$B$157</f>
        <v>netaik.</v>
      </c>
      <c r="BX22" s="977" t="str">
        <f>Translations!$B$157</f>
        <v>netaik.</v>
      </c>
      <c r="BY22" s="977" t="str">
        <f>Translations!$B$157</f>
        <v>netaik.</v>
      </c>
      <c r="BZ22" s="977" t="str">
        <f>Translations!$B$157</f>
        <v>netaik.</v>
      </c>
      <c r="CA22" s="977" t="str">
        <f>Translations!$B$157</f>
        <v>netaik.</v>
      </c>
      <c r="CB22" s="977" t="str">
        <f>Translations!$B$157</f>
        <v>netaik.</v>
      </c>
      <c r="CC22" s="977" t="str">
        <f>Translations!$B$157</f>
        <v>netaik.</v>
      </c>
      <c r="CD22" s="977" t="str">
        <f>Translations!$B$157</f>
        <v>netaik.</v>
      </c>
      <c r="CE22" s="978" t="str">
        <f>Translations!$B$157</f>
        <v>netaik.</v>
      </c>
      <c r="CF22" s="977" t="str">
        <f>Translations!$B$157</f>
        <v>netaik.</v>
      </c>
      <c r="CG22" s="977" t="str">
        <f>Translations!$B$157</f>
        <v>netaik.</v>
      </c>
      <c r="CH22" s="977" t="str">
        <f>Translations!$B$157</f>
        <v>netaik.</v>
      </c>
      <c r="CI22" s="977" t="str">
        <f>Translations!$B$157</f>
        <v>netaik.</v>
      </c>
      <c r="CJ22" s="977" t="str">
        <f>Translations!$B$157</f>
        <v>netaik.</v>
      </c>
      <c r="CK22" s="977" t="str">
        <f>Translations!$B$157</f>
        <v>netaik.</v>
      </c>
      <c r="CL22" s="977" t="str">
        <f>Translations!$B$157</f>
        <v>netaik.</v>
      </c>
      <c r="CM22" s="977" t="str">
        <f>Translations!$B$157</f>
        <v>netaik.</v>
      </c>
      <c r="CN22" s="977" t="str">
        <f>Translations!$B$157</f>
        <v>netaik.</v>
      </c>
      <c r="CO22" s="977" t="str">
        <f>Translations!$B$157</f>
        <v>netaik.</v>
      </c>
      <c r="CP22" s="977" t="str">
        <f>Translations!$B$157</f>
        <v>netaik.</v>
      </c>
      <c r="CQ22" s="977" t="str">
        <f>Translations!$B$157</f>
        <v>netaik.</v>
      </c>
      <c r="CR22" s="977" t="str">
        <f>Translations!$B$157</f>
        <v>netaik.</v>
      </c>
      <c r="CS22" s="977" t="str">
        <f>Translations!$B$157</f>
        <v>netaik.</v>
      </c>
      <c r="CT22" s="977" t="str">
        <f>Translations!$B$157</f>
        <v>netaik.</v>
      </c>
      <c r="CU22" s="977" t="str">
        <f>Translations!$B$157</f>
        <v>netaik.</v>
      </c>
      <c r="CV22" s="977" t="str">
        <f>Translations!$B$157</f>
        <v>netaik.</v>
      </c>
      <c r="CW22" s="977" t="str">
        <f>Translations!$B$157</f>
        <v>netaik.</v>
      </c>
      <c r="CX22" s="977" t="str">
        <f>Translations!$B$157</f>
        <v>netaik.</v>
      </c>
      <c r="CY22" s="977" t="str">
        <f>Translations!$B$157</f>
        <v>netaik.</v>
      </c>
      <c r="CZ22" s="977" t="str">
        <f>Translations!$B$157</f>
        <v>netaik.</v>
      </c>
      <c r="DA22" s="977" t="str">
        <f>Translations!$B$157</f>
        <v>netaik.</v>
      </c>
      <c r="DB22" s="977" t="str">
        <f>Translations!$B$157</f>
        <v>netaik.</v>
      </c>
    </row>
    <row r="23" spans="1:106" ht="13.5" thickBot="1" x14ac:dyDescent="0.25">
      <c r="A23" s="481">
        <v>6</v>
      </c>
      <c r="B23" s="371" t="str">
        <f t="shared" si="0"/>
        <v>Degimas: Dujų plovimas (karbonatai)</v>
      </c>
      <c r="C23" s="371"/>
      <c r="D23" s="373"/>
      <c r="E23" s="817" t="str">
        <f t="shared" ca="1" si="1"/>
        <v>MSParameters!$G$23:$V$23</v>
      </c>
      <c r="F23" s="904"/>
      <c r="G23" s="976" t="str">
        <f>Translations!$B$1065</f>
        <v>Medžiaga – Kalkakmenis</v>
      </c>
      <c r="H23" s="977" t="str">
        <f>Translations!$B$1066</f>
        <v>Medžiaga – Dolomitas</v>
      </c>
      <c r="I23" s="977" t="str">
        <f>Translations!$B$1067</f>
        <v>Medžiaga – Natrio vandenilio karbonatas</v>
      </c>
      <c r="J23" s="977" t="str">
        <f>Translations!$B$1068</f>
        <v>Medžiaga – Natrio karbonatas</v>
      </c>
      <c r="K23" s="977" t="str">
        <f>Translations!$B$1069</f>
        <v>Medžiaga – Kalio karbonatas (potašas)</v>
      </c>
      <c r="L23" s="977" t="str">
        <f>Translations!$B$1070</f>
        <v>Medžiaga – CaCO3</v>
      </c>
      <c r="M23" s="977" t="str">
        <f>Translations!$B$1071</f>
        <v>Medžiaga – MgCO3</v>
      </c>
      <c r="N23" s="977" t="str">
        <f>Translations!$B$1072</f>
        <v>Medžiaga – Na2CO3</v>
      </c>
      <c r="O23" s="977" t="str">
        <f>Translations!$B$1073</f>
        <v>Medžiaga – BaCO3</v>
      </c>
      <c r="P23" s="977" t="str">
        <f>Translations!$B$1074</f>
        <v>Medžiaga – Li2CO3</v>
      </c>
      <c r="Q23" s="977" t="str">
        <f>Translations!$B$1075</f>
        <v>Medžiaga – K2CO3</v>
      </c>
      <c r="R23" s="977" t="str">
        <f>Translations!$B$1076</f>
        <v>Medžiaga – SrCO3</v>
      </c>
      <c r="S23" s="977" t="str">
        <f>Translations!$B$1077</f>
        <v>Medžiaga – NaHCO3</v>
      </c>
      <c r="T23" s="977" t="str">
        <f>Translations!$B$1078</f>
        <v>Medžiaga – FeCO3</v>
      </c>
      <c r="U23" s="977" t="str">
        <f>Translations!$B$1079</f>
        <v>Medžiaga – Kiti karbonatai</v>
      </c>
      <c r="V23" s="977" t="str">
        <f>Translations!$B$1064</f>
        <v>Medžiaga – Kitos medžiagos</v>
      </c>
      <c r="W23" s="977" t="str">
        <f>Translations!$B$157</f>
        <v>netaik.</v>
      </c>
      <c r="X23" s="977" t="str">
        <f>Translations!$B$157</f>
        <v>netaik.</v>
      </c>
      <c r="Y23" s="977" t="str">
        <f>Translations!$B$157</f>
        <v>netaik.</v>
      </c>
      <c r="Z23" s="977" t="str">
        <f>Translations!$B$157</f>
        <v>netaik.</v>
      </c>
      <c r="AA23" s="977" t="str">
        <f>Translations!$B$157</f>
        <v>netaik.</v>
      </c>
      <c r="AB23" s="977" t="str">
        <f>Translations!$B$157</f>
        <v>netaik.</v>
      </c>
      <c r="AC23" s="977" t="str">
        <f>Translations!$B$157</f>
        <v>netaik.</v>
      </c>
      <c r="AD23" s="977" t="str">
        <f>Translations!$B$157</f>
        <v>netaik.</v>
      </c>
      <c r="AE23" s="977" t="str">
        <f>Translations!$B$157</f>
        <v>netaik.</v>
      </c>
      <c r="AF23" s="977" t="str">
        <f>Translations!$B$157</f>
        <v>netaik.</v>
      </c>
      <c r="AG23" s="977" t="str">
        <f>Translations!$B$157</f>
        <v>netaik.</v>
      </c>
      <c r="AH23" s="977" t="str">
        <f>Translations!$B$157</f>
        <v>netaik.</v>
      </c>
      <c r="AI23" s="977" t="str">
        <f>Translations!$B$157</f>
        <v>netaik.</v>
      </c>
      <c r="AJ23" s="977" t="str">
        <f>Translations!$B$157</f>
        <v>netaik.</v>
      </c>
      <c r="AK23" s="977" t="str">
        <f>Translations!$B$157</f>
        <v>netaik.</v>
      </c>
      <c r="AL23" s="977" t="str">
        <f>Translations!$B$157</f>
        <v>netaik.</v>
      </c>
      <c r="AM23" s="977" t="str">
        <f>Translations!$B$157</f>
        <v>netaik.</v>
      </c>
      <c r="AN23" s="977" t="str">
        <f>Translations!$B$157</f>
        <v>netaik.</v>
      </c>
      <c r="AO23" s="977" t="str">
        <f>Translations!$B$157</f>
        <v>netaik.</v>
      </c>
      <c r="AP23" s="977" t="str">
        <f>Translations!$B$157</f>
        <v>netaik.</v>
      </c>
      <c r="AQ23" s="977" t="str">
        <f>Translations!$B$157</f>
        <v>netaik.</v>
      </c>
      <c r="AR23" s="977" t="str">
        <f>Translations!$B$157</f>
        <v>netaik.</v>
      </c>
      <c r="AS23" s="977" t="str">
        <f>Translations!$B$157</f>
        <v>netaik.</v>
      </c>
      <c r="AT23" s="977" t="str">
        <f>Translations!$B$157</f>
        <v>netaik.</v>
      </c>
      <c r="AU23" s="977" t="str">
        <f>Translations!$B$157</f>
        <v>netaik.</v>
      </c>
      <c r="AV23" s="977" t="str">
        <f>Translations!$B$157</f>
        <v>netaik.</v>
      </c>
      <c r="AW23" s="977" t="str">
        <f>Translations!$B$157</f>
        <v>netaik.</v>
      </c>
      <c r="AX23" s="977" t="str">
        <f>Translations!$B$157</f>
        <v>netaik.</v>
      </c>
      <c r="AY23" s="977" t="str">
        <f>Translations!$B$157</f>
        <v>netaik.</v>
      </c>
      <c r="AZ23" s="977" t="str">
        <f>Translations!$B$157</f>
        <v>netaik.</v>
      </c>
      <c r="BA23" s="977" t="str">
        <f>Translations!$B$157</f>
        <v>netaik.</v>
      </c>
      <c r="BB23" s="977" t="str">
        <f>Translations!$B$157</f>
        <v>netaik.</v>
      </c>
      <c r="BC23" s="977" t="str">
        <f>Translations!$B$157</f>
        <v>netaik.</v>
      </c>
      <c r="BD23" s="977" t="str">
        <f>Translations!$B$157</f>
        <v>netaik.</v>
      </c>
      <c r="BE23" s="977" t="str">
        <f>Translations!$B$157</f>
        <v>netaik.</v>
      </c>
      <c r="BF23" s="977" t="str">
        <f>Translations!$B$157</f>
        <v>netaik.</v>
      </c>
      <c r="BG23" s="977" t="str">
        <f>Translations!$B$157</f>
        <v>netaik.</v>
      </c>
      <c r="BH23" s="977" t="str">
        <f>Translations!$B$157</f>
        <v>netaik.</v>
      </c>
      <c r="BI23" s="977" t="str">
        <f>Translations!$B$157</f>
        <v>netaik.</v>
      </c>
      <c r="BJ23" s="977" t="str">
        <f>Translations!$B$157</f>
        <v>netaik.</v>
      </c>
      <c r="BK23" s="977" t="str">
        <f>Translations!$B$157</f>
        <v>netaik.</v>
      </c>
      <c r="BL23" s="977" t="str">
        <f>Translations!$B$157</f>
        <v>netaik.</v>
      </c>
      <c r="BM23" s="977" t="str">
        <f>Translations!$B$157</f>
        <v>netaik.</v>
      </c>
      <c r="BN23" s="977" t="str">
        <f>Translations!$B$157</f>
        <v>netaik.</v>
      </c>
      <c r="BO23" s="977" t="str">
        <f>Translations!$B$157</f>
        <v>netaik.</v>
      </c>
      <c r="BP23" s="977" t="str">
        <f>Translations!$B$157</f>
        <v>netaik.</v>
      </c>
      <c r="BQ23" s="977" t="str">
        <f>Translations!$B$157</f>
        <v>netaik.</v>
      </c>
      <c r="BR23" s="977" t="str">
        <f>Translations!$B$157</f>
        <v>netaik.</v>
      </c>
      <c r="BS23" s="977" t="str">
        <f>Translations!$B$157</f>
        <v>netaik.</v>
      </c>
      <c r="BT23" s="977" t="str">
        <f>Translations!$B$157</f>
        <v>netaik.</v>
      </c>
      <c r="BU23" s="977" t="str">
        <f>Translations!$B$157</f>
        <v>netaik.</v>
      </c>
      <c r="BV23" s="977" t="str">
        <f>Translations!$B$157</f>
        <v>netaik.</v>
      </c>
      <c r="BW23" s="977" t="str">
        <f>Translations!$B$157</f>
        <v>netaik.</v>
      </c>
      <c r="BX23" s="977" t="str">
        <f>Translations!$B$157</f>
        <v>netaik.</v>
      </c>
      <c r="BY23" s="977" t="str">
        <f>Translations!$B$157</f>
        <v>netaik.</v>
      </c>
      <c r="BZ23" s="977" t="str">
        <f>Translations!$B$157</f>
        <v>netaik.</v>
      </c>
      <c r="CA23" s="977" t="str">
        <f>Translations!$B$157</f>
        <v>netaik.</v>
      </c>
      <c r="CB23" s="977" t="str">
        <f>Translations!$B$157</f>
        <v>netaik.</v>
      </c>
      <c r="CC23" s="977" t="str">
        <f>Translations!$B$157</f>
        <v>netaik.</v>
      </c>
      <c r="CD23" s="977" t="str">
        <f>Translations!$B$157</f>
        <v>netaik.</v>
      </c>
      <c r="CE23" s="978" t="str">
        <f>Translations!$B$157</f>
        <v>netaik.</v>
      </c>
      <c r="CF23" s="977" t="str">
        <f>Translations!$B$157</f>
        <v>netaik.</v>
      </c>
      <c r="CG23" s="977" t="str">
        <f>Translations!$B$157</f>
        <v>netaik.</v>
      </c>
      <c r="CH23" s="977" t="str">
        <f>Translations!$B$157</f>
        <v>netaik.</v>
      </c>
      <c r="CI23" s="977" t="str">
        <f>Translations!$B$157</f>
        <v>netaik.</v>
      </c>
      <c r="CJ23" s="977" t="str">
        <f>Translations!$B$157</f>
        <v>netaik.</v>
      </c>
      <c r="CK23" s="977" t="str">
        <f>Translations!$B$157</f>
        <v>netaik.</v>
      </c>
      <c r="CL23" s="977" t="str">
        <f>Translations!$B$157</f>
        <v>netaik.</v>
      </c>
      <c r="CM23" s="977" t="str">
        <f>Translations!$B$157</f>
        <v>netaik.</v>
      </c>
      <c r="CN23" s="977" t="str">
        <f>Translations!$B$157</f>
        <v>netaik.</v>
      </c>
      <c r="CO23" s="977" t="str">
        <f>Translations!$B$157</f>
        <v>netaik.</v>
      </c>
      <c r="CP23" s="977" t="str">
        <f>Translations!$B$157</f>
        <v>netaik.</v>
      </c>
      <c r="CQ23" s="977" t="str">
        <f>Translations!$B$157</f>
        <v>netaik.</v>
      </c>
      <c r="CR23" s="977" t="str">
        <f>Translations!$B$157</f>
        <v>netaik.</v>
      </c>
      <c r="CS23" s="977" t="str">
        <f>Translations!$B$157</f>
        <v>netaik.</v>
      </c>
      <c r="CT23" s="977" t="str">
        <f>Translations!$B$157</f>
        <v>netaik.</v>
      </c>
      <c r="CU23" s="977" t="str">
        <f>Translations!$B$157</f>
        <v>netaik.</v>
      </c>
      <c r="CV23" s="977" t="str">
        <f>Translations!$B$157</f>
        <v>netaik.</v>
      </c>
      <c r="CW23" s="977" t="str">
        <f>Translations!$B$157</f>
        <v>netaik.</v>
      </c>
      <c r="CX23" s="977" t="str">
        <f>Translations!$B$157</f>
        <v>netaik.</v>
      </c>
      <c r="CY23" s="977" t="str">
        <f>Translations!$B$157</f>
        <v>netaik.</v>
      </c>
      <c r="CZ23" s="977" t="str">
        <f>Translations!$B$157</f>
        <v>netaik.</v>
      </c>
      <c r="DA23" s="977" t="str">
        <f>Translations!$B$157</f>
        <v>netaik.</v>
      </c>
      <c r="DB23" s="977" t="str">
        <f>Translations!$B$157</f>
        <v>netaik.</v>
      </c>
    </row>
    <row r="24" spans="1:106" ht="13.5" thickBot="1" x14ac:dyDescent="0.25">
      <c r="A24" s="481">
        <v>7</v>
      </c>
      <c r="B24" s="371" t="str">
        <f t="shared" si="0"/>
        <v>Degimas: Dujų plovimas (gipsas)</v>
      </c>
      <c r="C24" s="371"/>
      <c r="D24" s="373"/>
      <c r="E24" s="817" t="str">
        <f t="shared" ca="1" si="1"/>
        <v>MSParameters!$G$24:$G$24</v>
      </c>
      <c r="F24" s="904"/>
      <c r="G24" s="976" t="str">
        <f>Translations!$B$1080</f>
        <v>Medžiaga – Gipsas</v>
      </c>
      <c r="H24" s="977" t="str">
        <f>Translations!$B$157</f>
        <v>netaik.</v>
      </c>
      <c r="I24" s="977" t="str">
        <f>Translations!$B$157</f>
        <v>netaik.</v>
      </c>
      <c r="J24" s="977" t="str">
        <f>Translations!$B$157</f>
        <v>netaik.</v>
      </c>
      <c r="K24" s="977" t="str">
        <f>Translations!$B$157</f>
        <v>netaik.</v>
      </c>
      <c r="L24" s="977" t="str">
        <f>Translations!$B$157</f>
        <v>netaik.</v>
      </c>
      <c r="M24" s="977" t="str">
        <f>Translations!$B$157</f>
        <v>netaik.</v>
      </c>
      <c r="N24" s="977" t="str">
        <f>Translations!$B$157</f>
        <v>netaik.</v>
      </c>
      <c r="O24" s="977" t="str">
        <f>Translations!$B$157</f>
        <v>netaik.</v>
      </c>
      <c r="P24" s="977" t="str">
        <f>Translations!$B$157</f>
        <v>netaik.</v>
      </c>
      <c r="Q24" s="977" t="str">
        <f>Translations!$B$157</f>
        <v>netaik.</v>
      </c>
      <c r="R24" s="977" t="str">
        <f>Translations!$B$157</f>
        <v>netaik.</v>
      </c>
      <c r="S24" s="977" t="str">
        <f>Translations!$B$157</f>
        <v>netaik.</v>
      </c>
      <c r="T24" s="977" t="str">
        <f>Translations!$B$157</f>
        <v>netaik.</v>
      </c>
      <c r="U24" s="977" t="str">
        <f>Translations!$B$157</f>
        <v>netaik.</v>
      </c>
      <c r="V24" s="977" t="str">
        <f>Translations!$B$157</f>
        <v>netaik.</v>
      </c>
      <c r="W24" s="977" t="str">
        <f>Translations!$B$157</f>
        <v>netaik.</v>
      </c>
      <c r="X24" s="977" t="str">
        <f>Translations!$B$157</f>
        <v>netaik.</v>
      </c>
      <c r="Y24" s="977" t="str">
        <f>Translations!$B$157</f>
        <v>netaik.</v>
      </c>
      <c r="Z24" s="977" t="str">
        <f>Translations!$B$157</f>
        <v>netaik.</v>
      </c>
      <c r="AA24" s="977" t="str">
        <f>Translations!$B$157</f>
        <v>netaik.</v>
      </c>
      <c r="AB24" s="977" t="str">
        <f>Translations!$B$157</f>
        <v>netaik.</v>
      </c>
      <c r="AC24" s="977" t="str">
        <f>Translations!$B$157</f>
        <v>netaik.</v>
      </c>
      <c r="AD24" s="977" t="str">
        <f>Translations!$B$157</f>
        <v>netaik.</v>
      </c>
      <c r="AE24" s="977" t="str">
        <f>Translations!$B$157</f>
        <v>netaik.</v>
      </c>
      <c r="AF24" s="977" t="str">
        <f>Translations!$B$157</f>
        <v>netaik.</v>
      </c>
      <c r="AG24" s="977" t="str">
        <f>Translations!$B$157</f>
        <v>netaik.</v>
      </c>
      <c r="AH24" s="977" t="str">
        <f>Translations!$B$157</f>
        <v>netaik.</v>
      </c>
      <c r="AI24" s="977" t="str">
        <f>Translations!$B$157</f>
        <v>netaik.</v>
      </c>
      <c r="AJ24" s="977" t="str">
        <f>Translations!$B$157</f>
        <v>netaik.</v>
      </c>
      <c r="AK24" s="977" t="str">
        <f>Translations!$B$157</f>
        <v>netaik.</v>
      </c>
      <c r="AL24" s="977" t="str">
        <f>Translations!$B$157</f>
        <v>netaik.</v>
      </c>
      <c r="AM24" s="977" t="str">
        <f>Translations!$B$157</f>
        <v>netaik.</v>
      </c>
      <c r="AN24" s="977" t="str">
        <f>Translations!$B$157</f>
        <v>netaik.</v>
      </c>
      <c r="AO24" s="977" t="str">
        <f>Translations!$B$157</f>
        <v>netaik.</v>
      </c>
      <c r="AP24" s="977" t="str">
        <f>Translations!$B$157</f>
        <v>netaik.</v>
      </c>
      <c r="AQ24" s="977" t="str">
        <f>Translations!$B$157</f>
        <v>netaik.</v>
      </c>
      <c r="AR24" s="977" t="str">
        <f>Translations!$B$157</f>
        <v>netaik.</v>
      </c>
      <c r="AS24" s="977" t="str">
        <f>Translations!$B$157</f>
        <v>netaik.</v>
      </c>
      <c r="AT24" s="977" t="str">
        <f>Translations!$B$157</f>
        <v>netaik.</v>
      </c>
      <c r="AU24" s="977" t="str">
        <f>Translations!$B$157</f>
        <v>netaik.</v>
      </c>
      <c r="AV24" s="977" t="str">
        <f>Translations!$B$157</f>
        <v>netaik.</v>
      </c>
      <c r="AW24" s="977" t="str">
        <f>Translations!$B$157</f>
        <v>netaik.</v>
      </c>
      <c r="AX24" s="977" t="str">
        <f>Translations!$B$157</f>
        <v>netaik.</v>
      </c>
      <c r="AY24" s="977" t="str">
        <f>Translations!$B$157</f>
        <v>netaik.</v>
      </c>
      <c r="AZ24" s="977" t="str">
        <f>Translations!$B$157</f>
        <v>netaik.</v>
      </c>
      <c r="BA24" s="977" t="str">
        <f>Translations!$B$157</f>
        <v>netaik.</v>
      </c>
      <c r="BB24" s="977" t="str">
        <f>Translations!$B$157</f>
        <v>netaik.</v>
      </c>
      <c r="BC24" s="977" t="str">
        <f>Translations!$B$157</f>
        <v>netaik.</v>
      </c>
      <c r="BD24" s="977" t="str">
        <f>Translations!$B$157</f>
        <v>netaik.</v>
      </c>
      <c r="BE24" s="977" t="str">
        <f>Translations!$B$157</f>
        <v>netaik.</v>
      </c>
      <c r="BF24" s="977" t="str">
        <f>Translations!$B$157</f>
        <v>netaik.</v>
      </c>
      <c r="BG24" s="977" t="str">
        <f>Translations!$B$157</f>
        <v>netaik.</v>
      </c>
      <c r="BH24" s="977" t="str">
        <f>Translations!$B$157</f>
        <v>netaik.</v>
      </c>
      <c r="BI24" s="977" t="str">
        <f>Translations!$B$157</f>
        <v>netaik.</v>
      </c>
      <c r="BJ24" s="977" t="str">
        <f>Translations!$B$157</f>
        <v>netaik.</v>
      </c>
      <c r="BK24" s="977" t="str">
        <f>Translations!$B$157</f>
        <v>netaik.</v>
      </c>
      <c r="BL24" s="977" t="str">
        <f>Translations!$B$157</f>
        <v>netaik.</v>
      </c>
      <c r="BM24" s="977" t="str">
        <f>Translations!$B$157</f>
        <v>netaik.</v>
      </c>
      <c r="BN24" s="977" t="str">
        <f>Translations!$B$157</f>
        <v>netaik.</v>
      </c>
      <c r="BO24" s="977" t="str">
        <f>Translations!$B$157</f>
        <v>netaik.</v>
      </c>
      <c r="BP24" s="977" t="str">
        <f>Translations!$B$157</f>
        <v>netaik.</v>
      </c>
      <c r="BQ24" s="977" t="str">
        <f>Translations!$B$157</f>
        <v>netaik.</v>
      </c>
      <c r="BR24" s="977" t="str">
        <f>Translations!$B$157</f>
        <v>netaik.</v>
      </c>
      <c r="BS24" s="977" t="str">
        <f>Translations!$B$157</f>
        <v>netaik.</v>
      </c>
      <c r="BT24" s="977" t="str">
        <f>Translations!$B$157</f>
        <v>netaik.</v>
      </c>
      <c r="BU24" s="977" t="str">
        <f>Translations!$B$157</f>
        <v>netaik.</v>
      </c>
      <c r="BV24" s="977" t="str">
        <f>Translations!$B$157</f>
        <v>netaik.</v>
      </c>
      <c r="BW24" s="977" t="str">
        <f>Translations!$B$157</f>
        <v>netaik.</v>
      </c>
      <c r="BX24" s="977" t="str">
        <f>Translations!$B$157</f>
        <v>netaik.</v>
      </c>
      <c r="BY24" s="977" t="str">
        <f>Translations!$B$157</f>
        <v>netaik.</v>
      </c>
      <c r="BZ24" s="977" t="str">
        <f>Translations!$B$157</f>
        <v>netaik.</v>
      </c>
      <c r="CA24" s="977" t="str">
        <f>Translations!$B$157</f>
        <v>netaik.</v>
      </c>
      <c r="CB24" s="977" t="str">
        <f>Translations!$B$157</f>
        <v>netaik.</v>
      </c>
      <c r="CC24" s="977" t="str">
        <f>Translations!$B$157</f>
        <v>netaik.</v>
      </c>
      <c r="CD24" s="977" t="str">
        <f>Translations!$B$157</f>
        <v>netaik.</v>
      </c>
      <c r="CE24" s="978" t="str">
        <f>Translations!$B$157</f>
        <v>netaik.</v>
      </c>
      <c r="CF24" s="977" t="str">
        <f>Translations!$B$157</f>
        <v>netaik.</v>
      </c>
      <c r="CG24" s="977" t="str">
        <f>Translations!$B$157</f>
        <v>netaik.</v>
      </c>
      <c r="CH24" s="977" t="str">
        <f>Translations!$B$157</f>
        <v>netaik.</v>
      </c>
      <c r="CI24" s="977" t="str">
        <f>Translations!$B$157</f>
        <v>netaik.</v>
      </c>
      <c r="CJ24" s="977" t="str">
        <f>Translations!$B$157</f>
        <v>netaik.</v>
      </c>
      <c r="CK24" s="977" t="str">
        <f>Translations!$B$157</f>
        <v>netaik.</v>
      </c>
      <c r="CL24" s="977" t="str">
        <f>Translations!$B$157</f>
        <v>netaik.</v>
      </c>
      <c r="CM24" s="977" t="str">
        <f>Translations!$B$157</f>
        <v>netaik.</v>
      </c>
      <c r="CN24" s="977" t="str">
        <f>Translations!$B$157</f>
        <v>netaik.</v>
      </c>
      <c r="CO24" s="977" t="str">
        <f>Translations!$B$157</f>
        <v>netaik.</v>
      </c>
      <c r="CP24" s="977" t="str">
        <f>Translations!$B$157</f>
        <v>netaik.</v>
      </c>
      <c r="CQ24" s="977" t="str">
        <f>Translations!$B$157</f>
        <v>netaik.</v>
      </c>
      <c r="CR24" s="977" t="str">
        <f>Translations!$B$157</f>
        <v>netaik.</v>
      </c>
      <c r="CS24" s="977" t="str">
        <f>Translations!$B$157</f>
        <v>netaik.</v>
      </c>
      <c r="CT24" s="977" t="str">
        <f>Translations!$B$157</f>
        <v>netaik.</v>
      </c>
      <c r="CU24" s="977" t="str">
        <f>Translations!$B$157</f>
        <v>netaik.</v>
      </c>
      <c r="CV24" s="977" t="str">
        <f>Translations!$B$157</f>
        <v>netaik.</v>
      </c>
      <c r="CW24" s="977" t="str">
        <f>Translations!$B$157</f>
        <v>netaik.</v>
      </c>
      <c r="CX24" s="977" t="str">
        <f>Translations!$B$157</f>
        <v>netaik.</v>
      </c>
      <c r="CY24" s="977" t="str">
        <f>Translations!$B$157</f>
        <v>netaik.</v>
      </c>
      <c r="CZ24" s="977" t="str">
        <f>Translations!$B$157</f>
        <v>netaik.</v>
      </c>
      <c r="DA24" s="977" t="str">
        <f>Translations!$B$157</f>
        <v>netaik.</v>
      </c>
      <c r="DB24" s="977" t="str">
        <f>Translations!$B$157</f>
        <v>netaik.</v>
      </c>
    </row>
    <row r="25" spans="1:106" ht="13.5" thickBot="1" x14ac:dyDescent="0.25">
      <c r="A25" s="481">
        <v>8</v>
      </c>
      <c r="B25" s="371" t="str">
        <f t="shared" si="0"/>
        <v>Naftos perdirbimo įrenginiai: Masės balansas</v>
      </c>
      <c r="C25" s="371"/>
      <c r="D25" s="373"/>
      <c r="E25" s="817" t="str">
        <f t="shared" ca="1" si="1"/>
        <v>MSParameters!$G$25:$CB$25</v>
      </c>
      <c r="F25" s="904"/>
      <c r="G25" s="976" t="str">
        <f>Translations!$B$1064</f>
        <v>Medžiaga – Kitos medžiagos</v>
      </c>
      <c r="H25" s="977" t="str">
        <f>Translations!$B$999</f>
        <v>Dujinis – Gamtinės dujos</v>
      </c>
      <c r="I25" s="977" t="str">
        <f>Translations!$B$1000</f>
        <v>Dujinis – Dujų gamyklos dujos</v>
      </c>
      <c r="J25" s="977" t="str">
        <f>Translations!$B$1001</f>
        <v>Dujinis – Koksavimo dujos</v>
      </c>
      <c r="K25" s="977" t="str">
        <f>Translations!$B$1002</f>
        <v>Dujinis – Aukštakrosnių dujos</v>
      </c>
      <c r="L25" s="977" t="str">
        <f>Translations!$B$1003</f>
        <v>Dujinis – Deguoninių plieno aukštakrosnių dujos</v>
      </c>
      <c r="M25" s="977" t="str">
        <f>Translations!$B$1004</f>
        <v>Dujinis – Biodujos</v>
      </c>
      <c r="N25" s="977" t="str">
        <f>Translations!$B$1005</f>
        <v>Dujinis – Dumblo dujos</v>
      </c>
      <c r="O25" s="977" t="str">
        <f>Translations!$B$1006</f>
        <v>Dujinis – Sąvartynų dujos</v>
      </c>
      <c r="P25" s="977" t="str">
        <f>Translations!$B$1007</f>
        <v>Dujinis – Anglies monoksidas</v>
      </c>
      <c r="Q25" s="977" t="str">
        <f>Translations!$B$1008</f>
        <v>Dujinis – Metanas</v>
      </c>
      <c r="R25" s="977" t="str">
        <f>Translations!$B$988</f>
        <v>Dujinis – Etanas</v>
      </c>
      <c r="S25" s="979" t="str">
        <f>Translations!$B$989</f>
        <v>Dujinis – Propanas</v>
      </c>
      <c r="T25" s="979" t="str">
        <f>Translations!$B$990</f>
        <v>Dujinis – Butanas</v>
      </c>
      <c r="U25" s="979" t="str">
        <f>Translations!$B$1009</f>
        <v>Dujinis – Kitų rūšių dujinis kuras</v>
      </c>
      <c r="V25" s="979" t="str">
        <f>Translations!$B$1010</f>
        <v>Dujinis – Kitų rūšių dujinė biomasė</v>
      </c>
      <c r="W25" s="979" t="str">
        <f>Translations!$B$991</f>
        <v>Skystasis – Dyzelinis krosnių kuras</v>
      </c>
      <c r="X25" s="979" t="str">
        <f>Translations!$B$1011</f>
        <v>Skystasis – Labai lengvos distiliacijos kuras</v>
      </c>
      <c r="Y25" s="979" t="str">
        <f>Translations!$B$1012</f>
        <v>Skystasis – Vidutinės distiliacijos kuras</v>
      </c>
      <c r="Z25" s="979" t="str">
        <f>Translations!$B$1013</f>
        <v>Skystasis – Sunkusis mazutas</v>
      </c>
      <c r="AA25" s="979" t="str">
        <f>Translations!$B$992</f>
        <v>Skystasis – Gazolis</v>
      </c>
      <c r="AB25" s="979" t="str">
        <f>Translations!$B$993</f>
        <v>Skystasis – Gazolinas</v>
      </c>
      <c r="AC25" s="979" t="str">
        <f>Translations!$B$994</f>
        <v>Skystasis – Valytas žibalas</v>
      </c>
      <c r="AD25" s="979" t="str">
        <f>Translations!$B$995</f>
        <v>Skystasis – Žibalas</v>
      </c>
      <c r="AE25" s="979" t="str">
        <f>Translations!$B$996</f>
        <v>Skystasis – Reaktyvinis žibalas (Jet A1 arba Jet A)</v>
      </c>
      <c r="AF25" s="979" t="str">
        <f>Translations!$B$997</f>
        <v>Skystasis – Reaktyvinis gazolinas (benzinas) (Jet B)</v>
      </c>
      <c r="AG25" s="979" t="str">
        <f>Translations!$B$998</f>
        <v>Skystasis – Aviacinis gazolinas (benzinas) (AvGas)</v>
      </c>
      <c r="AH25" s="979" t="str">
        <f>Translations!$B$1014</f>
        <v>Skystasis – Suskystintosios naftos dujos</v>
      </c>
      <c r="AI25" s="979" t="str">
        <f>Translations!$B$1015</f>
        <v>Skystasis – Žalia nafta</v>
      </c>
      <c r="AJ25" s="979" t="str">
        <f>Translations!$B$1016</f>
        <v>Skystasis – Orimulsija</v>
      </c>
      <c r="AK25" s="979" t="str">
        <f>Translations!$B$1017</f>
        <v>Skystasis – Gamtinių dujų kondensatai</v>
      </c>
      <c r="AL25" s="979" t="str">
        <f>Translations!$B$1018</f>
        <v>Skystasis – Automobilinis benzinas</v>
      </c>
      <c r="AM25" s="979" t="str">
        <f>Translations!$B$1019</f>
        <v>Skystasis – Skalūnų alyva</v>
      </c>
      <c r="AN25" s="979" t="str">
        <f>Translations!$B$1020</f>
        <v>Skystasis – Dujos ir (arba) dyzelinas</v>
      </c>
      <c r="AO25" s="979" t="str">
        <f>Translations!$B$1021</f>
        <v>Skystasis – Mazuto distiliavimo likutis</v>
      </c>
      <c r="AP25" s="979" t="str">
        <f>Translations!$B$1022</f>
        <v>Skystasis – Pirminis benzinas</v>
      </c>
      <c r="AQ25" s="979" t="str">
        <f>Translations!$B$1023</f>
        <v>Skystasis – Tepalai</v>
      </c>
      <c r="AR25" s="979" t="str">
        <f>Translations!$B$1024</f>
        <v>Skystasis – Vaitspiritas ir SBP</v>
      </c>
      <c r="AS25" s="979" t="str">
        <f>Translations!$B$1025</f>
        <v>Skystasis – Skalūnų alyva ir gudoniniai smėliai</v>
      </c>
      <c r="AT25" s="979" t="str">
        <f>Translations!$B$1026</f>
        <v>Skystasis – Akmens anglių briketai</v>
      </c>
      <c r="AU25" s="979" t="str">
        <f>Translations!$B$1027</f>
        <v>Skystasis – Alyvų atliekos</v>
      </c>
      <c r="AV25" s="979" t="str">
        <f>Translations!$B$1028</f>
        <v>Skystasis – Biobenzinas</v>
      </c>
      <c r="AW25" s="979" t="str">
        <f>Translations!$B$1029</f>
        <v>Skystasi – Biodyzelinas</v>
      </c>
      <c r="AX25" s="979" t="str">
        <f>Translations!$B$1030</f>
        <v>Skystasis – Bitumas</v>
      </c>
      <c r="AY25" s="979" t="str">
        <f>Translations!$B$1032</f>
        <v>Skystasis – Kitų rūšių skystasis kuras</v>
      </c>
      <c r="AZ25" s="979" t="str">
        <f>Translations!$B$1033</f>
        <v>Skystasis – Kitų rūšių skystoji biomasė</v>
      </c>
      <c r="BA25" s="979" t="str">
        <f>Translations!$B$1040</f>
        <v>Kietasis – Koksas</v>
      </c>
      <c r="BB25" s="979" t="str">
        <f>Translations!$B$1041</f>
        <v>Kietasis – Naftos koksas</v>
      </c>
      <c r="BC25" s="979" t="str">
        <f>Translations!$B$1042</f>
        <v>Kietasis – Akmens anglys</v>
      </c>
      <c r="BD25" s="979" t="str">
        <f>Translations!$B$1043</f>
        <v>Kietasis – Lignitas</v>
      </c>
      <c r="BE25" s="979" t="str">
        <f>Translations!$B$1044</f>
        <v>Kietasis – Antracitas</v>
      </c>
      <c r="BF25" s="979" t="str">
        <f>Translations!$B$1045</f>
        <v>Kietasis – Koksinės anglys</v>
      </c>
      <c r="BG25" s="979" t="str">
        <f>Translations!$B$1046</f>
        <v>Kietasis – Subbituminės akmens anglys</v>
      </c>
      <c r="BH25" s="979" t="str">
        <f>Translations!$B$1047</f>
        <v>Kietasis – Kitos bituminės akmens anglys</v>
      </c>
      <c r="BI25" s="979" t="str">
        <f>Translations!$B$1048</f>
        <v>Kietasis – Dujinis koksas</v>
      </c>
      <c r="BJ25" s="979" t="str">
        <f>Translations!$B$1049</f>
        <v>Kietasis – Parafinas</v>
      </c>
      <c r="BK25" s="979" t="str">
        <f>Translations!$B$1050</f>
        <v>Kietasis – Sulfatinės išviros</v>
      </c>
      <c r="BL25" s="979" t="str">
        <f>Translations!$B$1051</f>
        <v>Kietasis – Malkos</v>
      </c>
      <c r="BM25" s="979" t="str">
        <f>Translations!$B$1052</f>
        <v>Kietasis – Mediena (ne atliekos)</v>
      </c>
      <c r="BN25" s="979" t="str">
        <f>Translations!$B$1053</f>
        <v>Kietasis – Mediena (atliekos)</v>
      </c>
      <c r="BO25" s="979" t="str">
        <f>Translations!$B$1054</f>
        <v>Kietasis – Durpės</v>
      </c>
      <c r="BP25" s="979" t="str">
        <f>Translations!$B$1055</f>
        <v>Kietasis – Kanalizacijos dumblas</v>
      </c>
      <c r="BQ25" s="979" t="str">
        <f>Translations!$B$1056</f>
        <v>Kietasis – Komunalinių nuotekų dumblas</v>
      </c>
      <c r="BR25" s="979" t="str">
        <f>Translations!$B$1057</f>
        <v>Kietasis – Akmens anglių degutas</v>
      </c>
      <c r="BS25" s="979" t="str">
        <f>Translations!$B$1058</f>
        <v>Kietasis – Medžio anglys</v>
      </c>
      <c r="BT25" s="979" t="str">
        <f>Translations!$B$1059</f>
        <v>Kietasis – Panaudos padangos</v>
      </c>
      <c r="BU25" s="979" t="str">
        <f>Translations!$B$1060</f>
        <v>Kietasis – Kitų rūšių kietasis kuras</v>
      </c>
      <c r="BV25" s="979" t="str">
        <f>Translations!$B$1061</f>
        <v>Kietasis – Kitų rūšių kietoji biomasė</v>
      </c>
      <c r="BW25" s="979" t="str">
        <f>Translations!$B$1034</f>
        <v>Atliekos – Komunalinės ir pramoninės atliekos</v>
      </c>
      <c r="BX25" s="979" t="str">
        <f>Translations!$B$1035</f>
        <v>Atliekos – Pramoninės atliekos</v>
      </c>
      <c r="BY25" s="979" t="str">
        <f>Translations!$B$1036</f>
        <v>Naftos perdirbimo įmonių žaliava – Naftos perdirbimo įmonių dujos</v>
      </c>
      <c r="BZ25" s="979" t="str">
        <f>Translations!$B$1037</f>
        <v>Naftos perdirbimo įmonių žaliava – Liekanos</v>
      </c>
      <c r="CA25" s="979" t="str">
        <f>Translations!$B$1038</f>
        <v>Naftos perdirbimo įmonių žaliava – Kita naftos perdirbimo įmonių žaliava</v>
      </c>
      <c r="CB25" s="979" t="str">
        <f>Translations!$B$1039</f>
        <v>Naftos perdirbimo įmonių žaliava – Kiti naftos produktai</v>
      </c>
      <c r="CC25" s="979" t="str">
        <f>Translations!$B$157</f>
        <v>netaik.</v>
      </c>
      <c r="CD25" s="977" t="str">
        <f>Translations!$B$157</f>
        <v>netaik.</v>
      </c>
      <c r="CE25" s="978" t="str">
        <f>Translations!$B$157</f>
        <v>netaik.</v>
      </c>
      <c r="CF25" s="979" t="str">
        <f>Translations!$B$157</f>
        <v>netaik.</v>
      </c>
      <c r="CG25" s="979" t="str">
        <f>Translations!$B$157</f>
        <v>netaik.</v>
      </c>
      <c r="CH25" s="979" t="str">
        <f>Translations!$B$157</f>
        <v>netaik.</v>
      </c>
      <c r="CI25" s="979" t="str">
        <f>Translations!$B$157</f>
        <v>netaik.</v>
      </c>
      <c r="CJ25" s="979" t="str">
        <f>Translations!$B$157</f>
        <v>netaik.</v>
      </c>
      <c r="CK25" s="979" t="str">
        <f>Translations!$B$157</f>
        <v>netaik.</v>
      </c>
      <c r="CL25" s="979" t="str">
        <f>Translations!$B$157</f>
        <v>netaik.</v>
      </c>
      <c r="CM25" s="979" t="str">
        <f>Translations!$B$157</f>
        <v>netaik.</v>
      </c>
      <c r="CN25" s="979" t="str">
        <f>Translations!$B$157</f>
        <v>netaik.</v>
      </c>
      <c r="CO25" s="979" t="str">
        <f>Translations!$B$157</f>
        <v>netaik.</v>
      </c>
      <c r="CP25" s="979" t="str">
        <f>Translations!$B$157</f>
        <v>netaik.</v>
      </c>
      <c r="CQ25" s="979" t="str">
        <f>Translations!$B$157</f>
        <v>netaik.</v>
      </c>
      <c r="CR25" s="979" t="str">
        <f>Translations!$B$157</f>
        <v>netaik.</v>
      </c>
      <c r="CS25" s="979" t="str">
        <f>Translations!$B$157</f>
        <v>netaik.</v>
      </c>
      <c r="CT25" s="979" t="str">
        <f>Translations!$B$157</f>
        <v>netaik.</v>
      </c>
      <c r="CU25" s="979" t="str">
        <f>Translations!$B$157</f>
        <v>netaik.</v>
      </c>
      <c r="CV25" s="979" t="str">
        <f>Translations!$B$157</f>
        <v>netaik.</v>
      </c>
      <c r="CW25" s="979" t="str">
        <f>Translations!$B$157</f>
        <v>netaik.</v>
      </c>
      <c r="CX25" s="979" t="str">
        <f>Translations!$B$157</f>
        <v>netaik.</v>
      </c>
      <c r="CY25" s="979" t="str">
        <f>Translations!$B$157</f>
        <v>netaik.</v>
      </c>
      <c r="CZ25" s="979" t="str">
        <f>Translations!$B$157</f>
        <v>netaik.</v>
      </c>
      <c r="DA25" s="979" t="str">
        <f>Translations!$B$157</f>
        <v>netaik.</v>
      </c>
      <c r="DB25" s="979" t="str">
        <f>Translations!$B$157</f>
        <v>netaik.</v>
      </c>
    </row>
    <row r="26" spans="1:106" ht="13.5" thickBot="1" x14ac:dyDescent="0.25">
      <c r="A26" s="481">
        <v>9</v>
      </c>
      <c r="B26" s="371" t="str">
        <f t="shared" si="0"/>
        <v>Naftos perdirbimo įrenginiai: Regeneravimas katalizinio krekingo įrenginiu</v>
      </c>
      <c r="C26" s="371"/>
      <c r="D26" s="373"/>
      <c r="E26" s="817" t="str">
        <f t="shared" ca="1" si="1"/>
        <v>MSParameters!$G$26:$CB$26</v>
      </c>
      <c r="F26" s="904"/>
      <c r="G26" s="976" t="str">
        <f>Translations!$B$1064</f>
        <v>Medžiaga – Kitos medžiagos</v>
      </c>
      <c r="H26" s="977" t="str">
        <f>Translations!$B$999</f>
        <v>Dujinis – Gamtinės dujos</v>
      </c>
      <c r="I26" s="977" t="str">
        <f>Translations!$B$1000</f>
        <v>Dujinis – Dujų gamyklos dujos</v>
      </c>
      <c r="J26" s="977" t="str">
        <f>Translations!$B$1001</f>
        <v>Dujinis – Koksavimo dujos</v>
      </c>
      <c r="K26" s="977" t="str">
        <f>Translations!$B$1002</f>
        <v>Dujinis – Aukštakrosnių dujos</v>
      </c>
      <c r="L26" s="977" t="str">
        <f>Translations!$B$1003</f>
        <v>Dujinis – Deguoninių plieno aukštakrosnių dujos</v>
      </c>
      <c r="M26" s="977" t="str">
        <f>Translations!$B$1004</f>
        <v>Dujinis – Biodujos</v>
      </c>
      <c r="N26" s="977" t="str">
        <f>Translations!$B$1005</f>
        <v>Dujinis – Dumblo dujos</v>
      </c>
      <c r="O26" s="977" t="str">
        <f>Translations!$B$1006</f>
        <v>Dujinis – Sąvartynų dujos</v>
      </c>
      <c r="P26" s="977" t="str">
        <f>Translations!$B$1007</f>
        <v>Dujinis – Anglies monoksidas</v>
      </c>
      <c r="Q26" s="977" t="str">
        <f>Translations!$B$1008</f>
        <v>Dujinis – Metanas</v>
      </c>
      <c r="R26" s="977" t="str">
        <f>Translations!$B$988</f>
        <v>Dujinis – Etanas</v>
      </c>
      <c r="S26" s="979" t="str">
        <f>Translations!$B$989</f>
        <v>Dujinis – Propanas</v>
      </c>
      <c r="T26" s="979" t="str">
        <f>Translations!$B$990</f>
        <v>Dujinis – Butanas</v>
      </c>
      <c r="U26" s="979" t="str">
        <f>Translations!$B$1009</f>
        <v>Dujinis – Kitų rūšių dujinis kuras</v>
      </c>
      <c r="V26" s="979" t="str">
        <f>Translations!$B$1010</f>
        <v>Dujinis – Kitų rūšių dujinė biomasė</v>
      </c>
      <c r="W26" s="979" t="str">
        <f>Translations!$B$991</f>
        <v>Skystasis – Dyzelinis krosnių kuras</v>
      </c>
      <c r="X26" s="979" t="str">
        <f>Translations!$B$1011</f>
        <v>Skystasis – Labai lengvos distiliacijos kuras</v>
      </c>
      <c r="Y26" s="979" t="str">
        <f>Translations!$B$1012</f>
        <v>Skystasis – Vidutinės distiliacijos kuras</v>
      </c>
      <c r="Z26" s="979" t="str">
        <f>Translations!$B$1013</f>
        <v>Skystasis – Sunkusis mazutas</v>
      </c>
      <c r="AA26" s="979" t="str">
        <f>Translations!$B$992</f>
        <v>Skystasis – Gazolis</v>
      </c>
      <c r="AB26" s="979" t="str">
        <f>Translations!$B$993</f>
        <v>Skystasis – Gazolinas</v>
      </c>
      <c r="AC26" s="979" t="str">
        <f>Translations!$B$994</f>
        <v>Skystasis – Valytas žibalas</v>
      </c>
      <c r="AD26" s="979" t="str">
        <f>Translations!$B$995</f>
        <v>Skystasis – Žibalas</v>
      </c>
      <c r="AE26" s="979" t="str">
        <f>Translations!$B$996</f>
        <v>Skystasis – Reaktyvinis žibalas (Jet A1 arba Jet A)</v>
      </c>
      <c r="AF26" s="979" t="str">
        <f>Translations!$B$997</f>
        <v>Skystasis – Reaktyvinis gazolinas (benzinas) (Jet B)</v>
      </c>
      <c r="AG26" s="979" t="str">
        <f>Translations!$B$998</f>
        <v>Skystasis – Aviacinis gazolinas (benzinas) (AvGas)</v>
      </c>
      <c r="AH26" s="979" t="str">
        <f>Translations!$B$1014</f>
        <v>Skystasis – Suskystintosios naftos dujos</v>
      </c>
      <c r="AI26" s="979" t="str">
        <f>Translations!$B$1015</f>
        <v>Skystasis – Žalia nafta</v>
      </c>
      <c r="AJ26" s="979" t="str">
        <f>Translations!$B$1016</f>
        <v>Skystasis – Orimulsija</v>
      </c>
      <c r="AK26" s="979" t="str">
        <f>Translations!$B$1017</f>
        <v>Skystasis – Gamtinių dujų kondensatai</v>
      </c>
      <c r="AL26" s="979" t="str">
        <f>Translations!$B$1018</f>
        <v>Skystasis – Automobilinis benzinas</v>
      </c>
      <c r="AM26" s="979" t="str">
        <f>Translations!$B$1019</f>
        <v>Skystasis – Skalūnų alyva</v>
      </c>
      <c r="AN26" s="979" t="str">
        <f>Translations!$B$1020</f>
        <v>Skystasis – Dujos ir (arba) dyzelinas</v>
      </c>
      <c r="AO26" s="979" t="str">
        <f>Translations!$B$1021</f>
        <v>Skystasis – Mazuto distiliavimo likutis</v>
      </c>
      <c r="AP26" s="979" t="str">
        <f>Translations!$B$1022</f>
        <v>Skystasis – Pirminis benzinas</v>
      </c>
      <c r="AQ26" s="979" t="str">
        <f>Translations!$B$1023</f>
        <v>Skystasis – Tepalai</v>
      </c>
      <c r="AR26" s="979" t="str">
        <f>Translations!$B$1024</f>
        <v>Skystasis – Vaitspiritas ir SBP</v>
      </c>
      <c r="AS26" s="979" t="str">
        <f>Translations!$B$1025</f>
        <v>Skystasis – Skalūnų alyva ir gudoniniai smėliai</v>
      </c>
      <c r="AT26" s="979" t="str">
        <f>Translations!$B$1026</f>
        <v>Skystasis – Akmens anglių briketai</v>
      </c>
      <c r="AU26" s="979" t="str">
        <f>Translations!$B$1027</f>
        <v>Skystasis – Alyvų atliekos</v>
      </c>
      <c r="AV26" s="979" t="str">
        <f>Translations!$B$1028</f>
        <v>Skystasis – Biobenzinas</v>
      </c>
      <c r="AW26" s="979" t="str">
        <f>Translations!$B$1029</f>
        <v>Skystasi – Biodyzelinas</v>
      </c>
      <c r="AX26" s="979" t="str">
        <f>Translations!$B$1030</f>
        <v>Skystasis – Bitumas</v>
      </c>
      <c r="AY26" s="979" t="str">
        <f>Translations!$B$1032</f>
        <v>Skystasis – Kitų rūšių skystasis kuras</v>
      </c>
      <c r="AZ26" s="979" t="str">
        <f>Translations!$B$1033</f>
        <v>Skystasis – Kitų rūšių skystoji biomasė</v>
      </c>
      <c r="BA26" s="979" t="str">
        <f>Translations!$B$1040</f>
        <v>Kietasis – Koksas</v>
      </c>
      <c r="BB26" s="979" t="str">
        <f>Translations!$B$1041</f>
        <v>Kietasis – Naftos koksas</v>
      </c>
      <c r="BC26" s="979" t="str">
        <f>Translations!$B$1042</f>
        <v>Kietasis – Akmens anglys</v>
      </c>
      <c r="BD26" s="979" t="str">
        <f>Translations!$B$1043</f>
        <v>Kietasis – Lignitas</v>
      </c>
      <c r="BE26" s="979" t="str">
        <f>Translations!$B$1044</f>
        <v>Kietasis – Antracitas</v>
      </c>
      <c r="BF26" s="979" t="str">
        <f>Translations!$B$1045</f>
        <v>Kietasis – Koksinės anglys</v>
      </c>
      <c r="BG26" s="979" t="str">
        <f>Translations!$B$1046</f>
        <v>Kietasis – Subbituminės akmens anglys</v>
      </c>
      <c r="BH26" s="979" t="str">
        <f>Translations!$B$1047</f>
        <v>Kietasis – Kitos bituminės akmens anglys</v>
      </c>
      <c r="BI26" s="979" t="str">
        <f>Translations!$B$1048</f>
        <v>Kietasis – Dujinis koksas</v>
      </c>
      <c r="BJ26" s="979" t="str">
        <f>Translations!$B$1049</f>
        <v>Kietasis – Parafinas</v>
      </c>
      <c r="BK26" s="979" t="str">
        <f>Translations!$B$1050</f>
        <v>Kietasis – Sulfatinės išviros</v>
      </c>
      <c r="BL26" s="979" t="str">
        <f>Translations!$B$1051</f>
        <v>Kietasis – Malkos</v>
      </c>
      <c r="BM26" s="979" t="str">
        <f>Translations!$B$1052</f>
        <v>Kietasis – Mediena (ne atliekos)</v>
      </c>
      <c r="BN26" s="979" t="str">
        <f>Translations!$B$1053</f>
        <v>Kietasis – Mediena (atliekos)</v>
      </c>
      <c r="BO26" s="979" t="str">
        <f>Translations!$B$1054</f>
        <v>Kietasis – Durpės</v>
      </c>
      <c r="BP26" s="979" t="str">
        <f>Translations!$B$1055</f>
        <v>Kietasis – Kanalizacijos dumblas</v>
      </c>
      <c r="BQ26" s="979" t="str">
        <f>Translations!$B$1056</f>
        <v>Kietasis – Komunalinių nuotekų dumblas</v>
      </c>
      <c r="BR26" s="979" t="str">
        <f>Translations!$B$1057</f>
        <v>Kietasis – Akmens anglių degutas</v>
      </c>
      <c r="BS26" s="979" t="str">
        <f>Translations!$B$1058</f>
        <v>Kietasis – Medžio anglys</v>
      </c>
      <c r="BT26" s="979" t="str">
        <f>Translations!$B$1059</f>
        <v>Kietasis – Panaudos padangos</v>
      </c>
      <c r="BU26" s="979" t="str">
        <f>Translations!$B$1060</f>
        <v>Kietasis – Kitų rūšių kietasis kuras</v>
      </c>
      <c r="BV26" s="979" t="str">
        <f>Translations!$B$1061</f>
        <v>Kietasis – Kitų rūšių kietoji biomasė</v>
      </c>
      <c r="BW26" s="979" t="str">
        <f>Translations!$B$1034</f>
        <v>Atliekos – Komunalinės ir pramoninės atliekos</v>
      </c>
      <c r="BX26" s="979" t="str">
        <f>Translations!$B$1035</f>
        <v>Atliekos – Pramoninės atliekos</v>
      </c>
      <c r="BY26" s="979" t="str">
        <f>Translations!$B$1036</f>
        <v>Naftos perdirbimo įmonių žaliava – Naftos perdirbimo įmonių dujos</v>
      </c>
      <c r="BZ26" s="979" t="str">
        <f>Translations!$B$1037</f>
        <v>Naftos perdirbimo įmonių žaliava – Liekanos</v>
      </c>
      <c r="CA26" s="979" t="str">
        <f>Translations!$B$1038</f>
        <v>Naftos perdirbimo įmonių žaliava – Kita naftos perdirbimo įmonių žaliava</v>
      </c>
      <c r="CB26" s="979" t="str">
        <f>Translations!$B$1039</f>
        <v>Naftos perdirbimo įmonių žaliava – Kiti naftos produktai</v>
      </c>
      <c r="CC26" s="979" t="str">
        <f>Translations!$B$157</f>
        <v>netaik.</v>
      </c>
      <c r="CD26" s="977" t="str">
        <f>Translations!$B$157</f>
        <v>netaik.</v>
      </c>
      <c r="CE26" s="978" t="str">
        <f>Translations!$B$157</f>
        <v>netaik.</v>
      </c>
      <c r="CF26" s="979" t="str">
        <f>Translations!$B$157</f>
        <v>netaik.</v>
      </c>
      <c r="CG26" s="979" t="str">
        <f>Translations!$B$157</f>
        <v>netaik.</v>
      </c>
      <c r="CH26" s="979" t="str">
        <f>Translations!$B$157</f>
        <v>netaik.</v>
      </c>
      <c r="CI26" s="979" t="str">
        <f>Translations!$B$157</f>
        <v>netaik.</v>
      </c>
      <c r="CJ26" s="979" t="str">
        <f>Translations!$B$157</f>
        <v>netaik.</v>
      </c>
      <c r="CK26" s="979" t="str">
        <f>Translations!$B$157</f>
        <v>netaik.</v>
      </c>
      <c r="CL26" s="979" t="str">
        <f>Translations!$B$157</f>
        <v>netaik.</v>
      </c>
      <c r="CM26" s="979" t="str">
        <f>Translations!$B$157</f>
        <v>netaik.</v>
      </c>
      <c r="CN26" s="979" t="str">
        <f>Translations!$B$157</f>
        <v>netaik.</v>
      </c>
      <c r="CO26" s="979" t="str">
        <f>Translations!$B$157</f>
        <v>netaik.</v>
      </c>
      <c r="CP26" s="979" t="str">
        <f>Translations!$B$157</f>
        <v>netaik.</v>
      </c>
      <c r="CQ26" s="979" t="str">
        <f>Translations!$B$157</f>
        <v>netaik.</v>
      </c>
      <c r="CR26" s="979" t="str">
        <f>Translations!$B$157</f>
        <v>netaik.</v>
      </c>
      <c r="CS26" s="979" t="str">
        <f>Translations!$B$157</f>
        <v>netaik.</v>
      </c>
      <c r="CT26" s="979" t="str">
        <f>Translations!$B$157</f>
        <v>netaik.</v>
      </c>
      <c r="CU26" s="979" t="str">
        <f>Translations!$B$157</f>
        <v>netaik.</v>
      </c>
      <c r="CV26" s="979" t="str">
        <f>Translations!$B$157</f>
        <v>netaik.</v>
      </c>
      <c r="CW26" s="979" t="str">
        <f>Translations!$B$157</f>
        <v>netaik.</v>
      </c>
      <c r="CX26" s="979" t="str">
        <f>Translations!$B$157</f>
        <v>netaik.</v>
      </c>
      <c r="CY26" s="979" t="str">
        <f>Translations!$B$157</f>
        <v>netaik.</v>
      </c>
      <c r="CZ26" s="979" t="str">
        <f>Translations!$B$157</f>
        <v>netaik.</v>
      </c>
      <c r="DA26" s="979" t="str">
        <f>Translations!$B$157</f>
        <v>netaik.</v>
      </c>
      <c r="DB26" s="979" t="str">
        <f>Translations!$B$157</f>
        <v>netaik.</v>
      </c>
    </row>
    <row r="27" spans="1:106" ht="13.5" thickBot="1" x14ac:dyDescent="0.25">
      <c r="A27" s="481">
        <v>10</v>
      </c>
      <c r="B27" s="371" t="str">
        <f t="shared" si="0"/>
        <v>Naftos perdirbimo įrenginiai: Vandenilio gamyba</v>
      </c>
      <c r="C27" s="371"/>
      <c r="D27" s="373"/>
      <c r="E27" s="817" t="str">
        <f t="shared" ca="1" si="1"/>
        <v>MSParameters!$G$27:$H$27</v>
      </c>
      <c r="F27" s="904"/>
      <c r="G27" s="976" t="str">
        <f>Translations!$B$1081</f>
        <v>Medžiaga – Proceso medžiaga</v>
      </c>
      <c r="H27" s="1039" t="str">
        <f>Translations!$B$1037</f>
        <v>Naftos perdirbimo įmonių žaliava – Liekanos</v>
      </c>
      <c r="I27" s="977" t="str">
        <f>Translations!$B$157</f>
        <v>netaik.</v>
      </c>
      <c r="J27" s="977" t="str">
        <f>Translations!$B$157</f>
        <v>netaik.</v>
      </c>
      <c r="K27" s="977" t="str">
        <f>Translations!$B$157</f>
        <v>netaik.</v>
      </c>
      <c r="L27" s="977" t="str">
        <f>Translations!$B$157</f>
        <v>netaik.</v>
      </c>
      <c r="M27" s="977" t="str">
        <f>Translations!$B$157</f>
        <v>netaik.</v>
      </c>
      <c r="N27" s="977" t="str">
        <f>Translations!$B$157</f>
        <v>netaik.</v>
      </c>
      <c r="O27" s="977" t="str">
        <f>Translations!$B$157</f>
        <v>netaik.</v>
      </c>
      <c r="P27" s="977" t="str">
        <f>Translations!$B$157</f>
        <v>netaik.</v>
      </c>
      <c r="Q27" s="977" t="str">
        <f>Translations!$B$157</f>
        <v>netaik.</v>
      </c>
      <c r="R27" s="977" t="str">
        <f>Translations!$B$157</f>
        <v>netaik.</v>
      </c>
      <c r="S27" s="979" t="str">
        <f>Translations!$B$157</f>
        <v>netaik.</v>
      </c>
      <c r="T27" s="979" t="str">
        <f>Translations!$B$157</f>
        <v>netaik.</v>
      </c>
      <c r="U27" s="979" t="str">
        <f>Translations!$B$157</f>
        <v>netaik.</v>
      </c>
      <c r="V27" s="979" t="str">
        <f>Translations!$B$157</f>
        <v>netaik.</v>
      </c>
      <c r="W27" s="979" t="str">
        <f>Translations!$B$157</f>
        <v>netaik.</v>
      </c>
      <c r="X27" s="979" t="str">
        <f>Translations!$B$157</f>
        <v>netaik.</v>
      </c>
      <c r="Y27" s="979" t="str">
        <f>Translations!$B$157</f>
        <v>netaik.</v>
      </c>
      <c r="Z27" s="979" t="str">
        <f>Translations!$B$157</f>
        <v>netaik.</v>
      </c>
      <c r="AA27" s="979" t="str">
        <f>Translations!$B$157</f>
        <v>netaik.</v>
      </c>
      <c r="AB27" s="979" t="str">
        <f>Translations!$B$157</f>
        <v>netaik.</v>
      </c>
      <c r="AC27" s="979" t="str">
        <f>Translations!$B$157</f>
        <v>netaik.</v>
      </c>
      <c r="AD27" s="979" t="str">
        <f>Translations!$B$157</f>
        <v>netaik.</v>
      </c>
      <c r="AE27" s="979" t="str">
        <f>Translations!$B$157</f>
        <v>netaik.</v>
      </c>
      <c r="AF27" s="979" t="str">
        <f>Translations!$B$157</f>
        <v>netaik.</v>
      </c>
      <c r="AG27" s="979" t="str">
        <f>Translations!$B$157</f>
        <v>netaik.</v>
      </c>
      <c r="AH27" s="977" t="str">
        <f>Translations!$B$157</f>
        <v>netaik.</v>
      </c>
      <c r="AI27" s="977" t="str">
        <f>Translations!$B$157</f>
        <v>netaik.</v>
      </c>
      <c r="AJ27" s="977" t="str">
        <f>Translations!$B$157</f>
        <v>netaik.</v>
      </c>
      <c r="AK27" s="977" t="str">
        <f>Translations!$B$157</f>
        <v>netaik.</v>
      </c>
      <c r="AL27" s="979" t="str">
        <f>Translations!$B$157</f>
        <v>netaik.</v>
      </c>
      <c r="AM27" s="979" t="str">
        <f>Translations!$B$157</f>
        <v>netaik.</v>
      </c>
      <c r="AN27" s="979" t="str">
        <f>Translations!$B$157</f>
        <v>netaik.</v>
      </c>
      <c r="AO27" s="979" t="str">
        <f>Translations!$B$157</f>
        <v>netaik.</v>
      </c>
      <c r="AP27" s="979" t="str">
        <f>Translations!$B$157</f>
        <v>netaik.</v>
      </c>
      <c r="AQ27" s="979" t="str">
        <f>Translations!$B$157</f>
        <v>netaik.</v>
      </c>
      <c r="AR27" s="979" t="str">
        <f>Translations!$B$157</f>
        <v>netaik.</v>
      </c>
      <c r="AS27" s="979" t="str">
        <f>Translations!$B$157</f>
        <v>netaik.</v>
      </c>
      <c r="AT27" s="979" t="str">
        <f>Translations!$B$157</f>
        <v>netaik.</v>
      </c>
      <c r="AU27" s="979" t="str">
        <f>Translations!$B$157</f>
        <v>netaik.</v>
      </c>
      <c r="AV27" s="979" t="str">
        <f>Translations!$B$157</f>
        <v>netaik.</v>
      </c>
      <c r="AW27" s="979" t="str">
        <f>Translations!$B$157</f>
        <v>netaik.</v>
      </c>
      <c r="AX27" s="979" t="str">
        <f>Translations!$B$157</f>
        <v>netaik.</v>
      </c>
      <c r="AY27" s="979" t="str">
        <f>Translations!$B$157</f>
        <v>netaik.</v>
      </c>
      <c r="AZ27" s="979" t="str">
        <f>Translations!$B$157</f>
        <v>netaik.</v>
      </c>
      <c r="BA27" s="979" t="str">
        <f>Translations!$B$157</f>
        <v>netaik.</v>
      </c>
      <c r="BB27" s="979" t="str">
        <f>Translations!$B$157</f>
        <v>netaik.</v>
      </c>
      <c r="BC27" s="979" t="str">
        <f>Translations!$B$157</f>
        <v>netaik.</v>
      </c>
      <c r="BD27" s="979" t="str">
        <f>Translations!$B$157</f>
        <v>netaik.</v>
      </c>
      <c r="BE27" s="979" t="str">
        <f>Translations!$B$157</f>
        <v>netaik.</v>
      </c>
      <c r="BF27" s="979" t="str">
        <f>Translations!$B$157</f>
        <v>netaik.</v>
      </c>
      <c r="BG27" s="979" t="str">
        <f>Translations!$B$157</f>
        <v>netaik.</v>
      </c>
      <c r="BH27" s="979" t="str">
        <f>Translations!$B$157</f>
        <v>netaik.</v>
      </c>
      <c r="BI27" s="979" t="str">
        <f>Translations!$B$157</f>
        <v>netaik.</v>
      </c>
      <c r="BJ27" s="979" t="str">
        <f>Translations!$B$157</f>
        <v>netaik.</v>
      </c>
      <c r="BK27" s="979" t="str">
        <f>Translations!$B$157</f>
        <v>netaik.</v>
      </c>
      <c r="BL27" s="979" t="str">
        <f>Translations!$B$157</f>
        <v>netaik.</v>
      </c>
      <c r="BM27" s="979" t="str">
        <f>Translations!$B$157</f>
        <v>netaik.</v>
      </c>
      <c r="BN27" s="979" t="str">
        <f>Translations!$B$157</f>
        <v>netaik.</v>
      </c>
      <c r="BO27" s="979" t="str">
        <f>Translations!$B$157</f>
        <v>netaik.</v>
      </c>
      <c r="BP27" s="979" t="str">
        <f>Translations!$B$157</f>
        <v>netaik.</v>
      </c>
      <c r="BQ27" s="979" t="str">
        <f>Translations!$B$157</f>
        <v>netaik.</v>
      </c>
      <c r="BR27" s="979" t="str">
        <f>Translations!$B$157</f>
        <v>netaik.</v>
      </c>
      <c r="BS27" s="979" t="str">
        <f>Translations!$B$157</f>
        <v>netaik.</v>
      </c>
      <c r="BT27" s="979" t="str">
        <f>Translations!$B$157</f>
        <v>netaik.</v>
      </c>
      <c r="BU27" s="979" t="str">
        <f>Translations!$B$157</f>
        <v>netaik.</v>
      </c>
      <c r="BV27" s="979" t="str">
        <f>Translations!$B$157</f>
        <v>netaik.</v>
      </c>
      <c r="BW27" s="979" t="str">
        <f>Translations!$B$157</f>
        <v>netaik.</v>
      </c>
      <c r="BX27" s="979" t="str">
        <f>Translations!$B$157</f>
        <v>netaik.</v>
      </c>
      <c r="BY27" s="979" t="str">
        <f>Translations!$B$157</f>
        <v>netaik.</v>
      </c>
      <c r="BZ27" s="979" t="str">
        <f>Translations!$B$157</f>
        <v>netaik.</v>
      </c>
      <c r="CA27" s="979" t="str">
        <f>Translations!$B$157</f>
        <v>netaik.</v>
      </c>
      <c r="CB27" s="979" t="str">
        <f>Translations!$B$157</f>
        <v>netaik.</v>
      </c>
      <c r="CC27" s="979" t="str">
        <f>Translations!$B$157</f>
        <v>netaik.</v>
      </c>
      <c r="CD27" s="977" t="str">
        <f>Translations!$B$157</f>
        <v>netaik.</v>
      </c>
      <c r="CE27" s="978" t="str">
        <f>Translations!$B$157</f>
        <v>netaik.</v>
      </c>
      <c r="CF27" s="979" t="str">
        <f>Translations!$B$157</f>
        <v>netaik.</v>
      </c>
      <c r="CG27" s="979" t="str">
        <f>Translations!$B$157</f>
        <v>netaik.</v>
      </c>
      <c r="CH27" s="979" t="str">
        <f>Translations!$B$157</f>
        <v>netaik.</v>
      </c>
      <c r="CI27" s="979" t="str">
        <f>Translations!$B$157</f>
        <v>netaik.</v>
      </c>
      <c r="CJ27" s="979" t="str">
        <f>Translations!$B$157</f>
        <v>netaik.</v>
      </c>
      <c r="CK27" s="979" t="str">
        <f>Translations!$B$157</f>
        <v>netaik.</v>
      </c>
      <c r="CL27" s="979" t="str">
        <f>Translations!$B$157</f>
        <v>netaik.</v>
      </c>
      <c r="CM27" s="979" t="str">
        <f>Translations!$B$157</f>
        <v>netaik.</v>
      </c>
      <c r="CN27" s="979" t="str">
        <f>Translations!$B$157</f>
        <v>netaik.</v>
      </c>
      <c r="CO27" s="979" t="str">
        <f>Translations!$B$157</f>
        <v>netaik.</v>
      </c>
      <c r="CP27" s="979" t="str">
        <f>Translations!$B$157</f>
        <v>netaik.</v>
      </c>
      <c r="CQ27" s="979" t="str">
        <f>Translations!$B$157</f>
        <v>netaik.</v>
      </c>
      <c r="CR27" s="979" t="str">
        <f>Translations!$B$157</f>
        <v>netaik.</v>
      </c>
      <c r="CS27" s="979" t="str">
        <f>Translations!$B$157</f>
        <v>netaik.</v>
      </c>
      <c r="CT27" s="979" t="str">
        <f>Translations!$B$157</f>
        <v>netaik.</v>
      </c>
      <c r="CU27" s="979" t="str">
        <f>Translations!$B$157</f>
        <v>netaik.</v>
      </c>
      <c r="CV27" s="979" t="str">
        <f>Translations!$B$157</f>
        <v>netaik.</v>
      </c>
      <c r="CW27" s="979" t="str">
        <f>Translations!$B$157</f>
        <v>netaik.</v>
      </c>
      <c r="CX27" s="979" t="str">
        <f>Translations!$B$157</f>
        <v>netaik.</v>
      </c>
      <c r="CY27" s="979" t="str">
        <f>Translations!$B$157</f>
        <v>netaik.</v>
      </c>
      <c r="CZ27" s="979" t="str">
        <f>Translations!$B$157</f>
        <v>netaik.</v>
      </c>
      <c r="DA27" s="979" t="str">
        <f>Translations!$B$157</f>
        <v>netaik.</v>
      </c>
      <c r="DB27" s="979" t="str">
        <f>Translations!$B$157</f>
        <v>netaik.</v>
      </c>
    </row>
    <row r="28" spans="1:106" ht="13.5" thickBot="1" x14ac:dyDescent="0.25">
      <c r="A28" s="481">
        <v>11</v>
      </c>
      <c r="B28" s="371" t="str">
        <f t="shared" si="0"/>
        <v>Koksas: Kuras kaip proceso žaliava</v>
      </c>
      <c r="C28" s="371"/>
      <c r="D28" s="373"/>
      <c r="E28" s="817" t="str">
        <f t="shared" ca="1" si="1"/>
        <v>MSParameters!$G$28:$BX$28</v>
      </c>
      <c r="F28" s="904"/>
      <c r="G28" s="976" t="str">
        <f>Translations!$B$999</f>
        <v>Dujinis – Gamtinės dujos</v>
      </c>
      <c r="H28" s="977" t="str">
        <f>Translations!$B$1000</f>
        <v>Dujinis – Dujų gamyklos dujos</v>
      </c>
      <c r="I28" s="977" t="str">
        <f>Translations!$B$1001</f>
        <v>Dujinis – Koksavimo dujos</v>
      </c>
      <c r="J28" s="977" t="str">
        <f>Translations!$B$1002</f>
        <v>Dujinis – Aukštakrosnių dujos</v>
      </c>
      <c r="K28" s="977" t="str">
        <f>Translations!$B$1003</f>
        <v>Dujinis – Deguoninių plieno aukštakrosnių dujos</v>
      </c>
      <c r="L28" s="977" t="str">
        <f>Translations!$B$1004</f>
        <v>Dujinis – Biodujos</v>
      </c>
      <c r="M28" s="977" t="str">
        <f>Translations!$B$1005</f>
        <v>Dujinis – Dumblo dujos</v>
      </c>
      <c r="N28" s="977" t="str">
        <f>Translations!$B$1006</f>
        <v>Dujinis – Sąvartynų dujos</v>
      </c>
      <c r="O28" s="977" t="str">
        <f>Translations!$B$1007</f>
        <v>Dujinis – Anglies monoksidas</v>
      </c>
      <c r="P28" s="977" t="str">
        <f>Translations!$B$1008</f>
        <v>Dujinis – Metanas</v>
      </c>
      <c r="Q28" s="977" t="str">
        <f>Translations!$B$988</f>
        <v>Dujinis – Etanas</v>
      </c>
      <c r="R28" s="977" t="str">
        <f>Translations!$B$989</f>
        <v>Dujinis – Propanas</v>
      </c>
      <c r="S28" s="979" t="str">
        <f>Translations!$B$990</f>
        <v>Dujinis – Butanas</v>
      </c>
      <c r="T28" s="979" t="str">
        <f>Translations!$B$1009</f>
        <v>Dujinis – Kitų rūšių dujinis kuras</v>
      </c>
      <c r="U28" s="979" t="str">
        <f>Translations!$B$1010</f>
        <v>Dujinis – Kitų rūšių dujinė biomasė</v>
      </c>
      <c r="V28" s="979" t="str">
        <f>Translations!$B$991</f>
        <v>Skystasis – Dyzelinis krosnių kuras</v>
      </c>
      <c r="W28" s="979" t="str">
        <f>Translations!$B$1011</f>
        <v>Skystasis – Labai lengvos distiliacijos kuras</v>
      </c>
      <c r="X28" s="979" t="str">
        <f>Translations!$B$1012</f>
        <v>Skystasis – Vidutinės distiliacijos kuras</v>
      </c>
      <c r="Y28" s="979" t="str">
        <f>Translations!$B$1013</f>
        <v>Skystasis – Sunkusis mazutas</v>
      </c>
      <c r="Z28" s="979" t="str">
        <f>Translations!$B$992</f>
        <v>Skystasis – Gazolis</v>
      </c>
      <c r="AA28" s="979" t="str">
        <f>Translations!$B$993</f>
        <v>Skystasis – Gazolinas</v>
      </c>
      <c r="AB28" s="979" t="str">
        <f>Translations!$B$994</f>
        <v>Skystasis – Valytas žibalas</v>
      </c>
      <c r="AC28" s="979" t="str">
        <f>Translations!$B$995</f>
        <v>Skystasis – Žibalas</v>
      </c>
      <c r="AD28" s="979" t="str">
        <f>Translations!$B$996</f>
        <v>Skystasis – Reaktyvinis žibalas (Jet A1 arba Jet A)</v>
      </c>
      <c r="AE28" s="979" t="str">
        <f>Translations!$B$997</f>
        <v>Skystasis – Reaktyvinis gazolinas (benzinas) (Jet B)</v>
      </c>
      <c r="AF28" s="979" t="str">
        <f>Translations!$B$998</f>
        <v>Skystasis – Aviacinis gazolinas (benzinas) (AvGas)</v>
      </c>
      <c r="AG28" s="979" t="str">
        <f>Translations!$B$1014</f>
        <v>Skystasis – Suskystintosios naftos dujos</v>
      </c>
      <c r="AH28" s="979" t="str">
        <f>Translations!$B$1015</f>
        <v>Skystasis – Žalia nafta</v>
      </c>
      <c r="AI28" s="979" t="str">
        <f>Translations!$B$1016</f>
        <v>Skystasis – Orimulsija</v>
      </c>
      <c r="AJ28" s="979" t="str">
        <f>Translations!$B$1017</f>
        <v>Skystasis – Gamtinių dujų kondensatai</v>
      </c>
      <c r="AK28" s="979" t="str">
        <f>Translations!$B$1018</f>
        <v>Skystasis – Automobilinis benzinas</v>
      </c>
      <c r="AL28" s="979" t="str">
        <f>Translations!$B$1019</f>
        <v>Skystasis – Skalūnų alyva</v>
      </c>
      <c r="AM28" s="979" t="str">
        <f>Translations!$B$1020</f>
        <v>Skystasis – Dujos ir (arba) dyzelinas</v>
      </c>
      <c r="AN28" s="979" t="str">
        <f>Translations!$B$1021</f>
        <v>Skystasis – Mazuto distiliavimo likutis</v>
      </c>
      <c r="AO28" s="979" t="str">
        <f>Translations!$B$1022</f>
        <v>Skystasis – Pirminis benzinas</v>
      </c>
      <c r="AP28" s="979" t="str">
        <f>Translations!$B$1023</f>
        <v>Skystasis – Tepalai</v>
      </c>
      <c r="AQ28" s="979" t="str">
        <f>Translations!$B$1024</f>
        <v>Skystasis – Vaitspiritas ir SBP</v>
      </c>
      <c r="AR28" s="979" t="str">
        <f>Translations!$B$1025</f>
        <v>Skystasis – Skalūnų alyva ir gudoniniai smėliai</v>
      </c>
      <c r="AS28" s="979" t="str">
        <f>Translations!$B$1026</f>
        <v>Skystasis – Akmens anglių briketai</v>
      </c>
      <c r="AT28" s="979" t="str">
        <f>Translations!$B$1027</f>
        <v>Skystasis – Alyvų atliekos</v>
      </c>
      <c r="AU28" s="979" t="str">
        <f>Translations!$B$1028</f>
        <v>Skystasis – Biobenzinas</v>
      </c>
      <c r="AV28" s="979" t="str">
        <f>Translations!$B$1029</f>
        <v>Skystasi – Biodyzelinas</v>
      </c>
      <c r="AW28" s="979" t="str">
        <f>Translations!$B$1030</f>
        <v>Skystasis – Bitumas</v>
      </c>
      <c r="AX28" s="979" t="str">
        <f>Translations!$B$1032</f>
        <v>Skystasis – Kitų rūšių skystasis kuras</v>
      </c>
      <c r="AY28" s="979" t="str">
        <f>Translations!$B$1033</f>
        <v>Skystasis – Kitų rūšių skystoji biomasė</v>
      </c>
      <c r="AZ28" s="979" t="str">
        <f>Translations!$B$1040</f>
        <v>Kietasis – Koksas</v>
      </c>
      <c r="BA28" s="979" t="str">
        <f>Translations!$B$1041</f>
        <v>Kietasis – Naftos koksas</v>
      </c>
      <c r="BB28" s="979" t="str">
        <f>Translations!$B$1042</f>
        <v>Kietasis – Akmens anglys</v>
      </c>
      <c r="BC28" s="979" t="str">
        <f>Translations!$B$1043</f>
        <v>Kietasis – Lignitas</v>
      </c>
      <c r="BD28" s="979" t="str">
        <f>Translations!$B$1044</f>
        <v>Kietasis – Antracitas</v>
      </c>
      <c r="BE28" s="979" t="str">
        <f>Translations!$B$1045</f>
        <v>Kietasis – Koksinės anglys</v>
      </c>
      <c r="BF28" s="979" t="str">
        <f>Translations!$B$1046</f>
        <v>Kietasis – Subbituminės akmens anglys</v>
      </c>
      <c r="BG28" s="979" t="str">
        <f>Translations!$B$1047</f>
        <v>Kietasis – Kitos bituminės akmens anglys</v>
      </c>
      <c r="BH28" s="979" t="str">
        <f>Translations!$B$1048</f>
        <v>Kietasis – Dujinis koksas</v>
      </c>
      <c r="BI28" s="979" t="str">
        <f>Translations!$B$1049</f>
        <v>Kietasis – Parafinas</v>
      </c>
      <c r="BJ28" s="979" t="str">
        <f>Translations!$B$1050</f>
        <v>Kietasis – Sulfatinės išviros</v>
      </c>
      <c r="BK28" s="979" t="str">
        <f>Translations!$B$1051</f>
        <v>Kietasis – Malkos</v>
      </c>
      <c r="BL28" s="979" t="str">
        <f>Translations!$B$1052</f>
        <v>Kietasis – Mediena (ne atliekos)</v>
      </c>
      <c r="BM28" s="979" t="str">
        <f>Translations!$B$1053</f>
        <v>Kietasis – Mediena (atliekos)</v>
      </c>
      <c r="BN28" s="979" t="str">
        <f>Translations!$B$1054</f>
        <v>Kietasis – Durpės</v>
      </c>
      <c r="BO28" s="979" t="str">
        <f>Translations!$B$1055</f>
        <v>Kietasis – Kanalizacijos dumblas</v>
      </c>
      <c r="BP28" s="979" t="str">
        <f>Translations!$B$1056</f>
        <v>Kietasis – Komunalinių nuotekų dumblas</v>
      </c>
      <c r="BQ28" s="979" t="str">
        <f>Translations!$B$1057</f>
        <v>Kietasis – Akmens anglių degutas</v>
      </c>
      <c r="BR28" s="979" t="str">
        <f>Translations!$B$1058</f>
        <v>Kietasis – Medžio anglys</v>
      </c>
      <c r="BS28" s="979" t="str">
        <f>Translations!$B$1059</f>
        <v>Kietasis – Panaudos padangos</v>
      </c>
      <c r="BT28" s="979" t="str">
        <f>Translations!$B$1060</f>
        <v>Kietasis – Kitų rūšių kietasis kuras</v>
      </c>
      <c r="BU28" s="979" t="str">
        <f>Translations!$B$1061</f>
        <v>Kietasis – Kitų rūšių kietoji biomasė</v>
      </c>
      <c r="BV28" s="979" t="str">
        <f>Translations!$B$1034</f>
        <v>Atliekos – Komunalinės ir pramoninės atliekos</v>
      </c>
      <c r="BW28" s="979" t="str">
        <f>Translations!$B$1035</f>
        <v>Atliekos – Pramoninės atliekos</v>
      </c>
      <c r="BX28" s="979" t="str">
        <f>Translations!$B$1036</f>
        <v>Naftos perdirbimo įmonių žaliava – Naftos perdirbimo įmonių dujos</v>
      </c>
      <c r="BY28" s="979" t="str">
        <f>Translations!$B$157</f>
        <v>netaik.</v>
      </c>
      <c r="BZ28" s="979" t="str">
        <f>Translations!$B$157</f>
        <v>netaik.</v>
      </c>
      <c r="CA28" s="979" t="str">
        <f>Translations!$B$157</f>
        <v>netaik.</v>
      </c>
      <c r="CB28" s="979" t="str">
        <f>Translations!$B$157</f>
        <v>netaik.</v>
      </c>
      <c r="CC28" s="979" t="str">
        <f>Translations!$B$157</f>
        <v>netaik.</v>
      </c>
      <c r="CD28" s="977" t="str">
        <f>Translations!$B$157</f>
        <v>netaik.</v>
      </c>
      <c r="CE28" s="978" t="str">
        <f>Translations!$B$157</f>
        <v>netaik.</v>
      </c>
      <c r="CF28" s="979" t="str">
        <f>Translations!$B$157</f>
        <v>netaik.</v>
      </c>
      <c r="CG28" s="979" t="str">
        <f>Translations!$B$157</f>
        <v>netaik.</v>
      </c>
      <c r="CH28" s="979" t="str">
        <f>Translations!$B$157</f>
        <v>netaik.</v>
      </c>
      <c r="CI28" s="979" t="str">
        <f>Translations!$B$157</f>
        <v>netaik.</v>
      </c>
      <c r="CJ28" s="979" t="str">
        <f>Translations!$B$157</f>
        <v>netaik.</v>
      </c>
      <c r="CK28" s="979" t="str">
        <f>Translations!$B$157</f>
        <v>netaik.</v>
      </c>
      <c r="CL28" s="979" t="str">
        <f>Translations!$B$157</f>
        <v>netaik.</v>
      </c>
      <c r="CM28" s="979" t="str">
        <f>Translations!$B$157</f>
        <v>netaik.</v>
      </c>
      <c r="CN28" s="979" t="str">
        <f>Translations!$B$157</f>
        <v>netaik.</v>
      </c>
      <c r="CO28" s="979" t="str">
        <f>Translations!$B$157</f>
        <v>netaik.</v>
      </c>
      <c r="CP28" s="979" t="str">
        <f>Translations!$B$157</f>
        <v>netaik.</v>
      </c>
      <c r="CQ28" s="979" t="str">
        <f>Translations!$B$157</f>
        <v>netaik.</v>
      </c>
      <c r="CR28" s="979" t="str">
        <f>Translations!$B$157</f>
        <v>netaik.</v>
      </c>
      <c r="CS28" s="979" t="str">
        <f>Translations!$B$157</f>
        <v>netaik.</v>
      </c>
      <c r="CT28" s="979" t="str">
        <f>Translations!$B$157</f>
        <v>netaik.</v>
      </c>
      <c r="CU28" s="979" t="str">
        <f>Translations!$B$157</f>
        <v>netaik.</v>
      </c>
      <c r="CV28" s="979" t="str">
        <f>Translations!$B$157</f>
        <v>netaik.</v>
      </c>
      <c r="CW28" s="979" t="str">
        <f>Translations!$B$157</f>
        <v>netaik.</v>
      </c>
      <c r="CX28" s="979" t="str">
        <f>Translations!$B$157</f>
        <v>netaik.</v>
      </c>
      <c r="CY28" s="979" t="str">
        <f>Translations!$B$157</f>
        <v>netaik.</v>
      </c>
      <c r="CZ28" s="979" t="str">
        <f>Translations!$B$157</f>
        <v>netaik.</v>
      </c>
      <c r="DA28" s="979" t="str">
        <f>Translations!$B$157</f>
        <v>netaik.</v>
      </c>
      <c r="DB28" s="979" t="str">
        <f>Translations!$B$157</f>
        <v>netaik.</v>
      </c>
    </row>
    <row r="29" spans="1:106" ht="13.5" thickBot="1" x14ac:dyDescent="0.25">
      <c r="A29" s="481">
        <v>12</v>
      </c>
      <c r="B29" s="371" t="str">
        <f t="shared" si="0"/>
        <v>Koksas: Karbonatų sąnaudos (A metodas)</v>
      </c>
      <c r="C29" s="371"/>
      <c r="D29" s="373"/>
      <c r="E29" s="817" t="str">
        <f t="shared" ca="1" si="1"/>
        <v>MSParameters!$G$29:$U$29</v>
      </c>
      <c r="F29" s="904"/>
      <c r="G29" s="1038" t="str">
        <f>Translations!$B$1065</f>
        <v>Medžiaga – Kalkakmenis</v>
      </c>
      <c r="H29" s="977" t="str">
        <f>Translations!$B$1066</f>
        <v>Medžiaga – Dolomitas</v>
      </c>
      <c r="I29" s="977" t="str">
        <f>Translations!$B$1067</f>
        <v>Medžiaga – Natrio vandenilio karbonatas</v>
      </c>
      <c r="J29" s="977" t="str">
        <f>Translations!$B$1068</f>
        <v>Medžiaga – Natrio karbonatas</v>
      </c>
      <c r="K29" s="977" t="str">
        <f>Translations!$B$1069</f>
        <v>Medžiaga – Kalio karbonatas (potašas)</v>
      </c>
      <c r="L29" s="977" t="str">
        <f>Translations!$B$1070</f>
        <v>Medžiaga – CaCO3</v>
      </c>
      <c r="M29" s="977" t="str">
        <f>Translations!$B$1071</f>
        <v>Medžiaga – MgCO3</v>
      </c>
      <c r="N29" s="977" t="str">
        <f>Translations!$B$1072</f>
        <v>Medžiaga – Na2CO3</v>
      </c>
      <c r="O29" s="977" t="str">
        <f>Translations!$B$1073</f>
        <v>Medžiaga – BaCO3</v>
      </c>
      <c r="P29" s="977" t="str">
        <f>Translations!$B$1074</f>
        <v>Medžiaga – Li2CO3</v>
      </c>
      <c r="Q29" s="977" t="str">
        <f>Translations!$B$1075</f>
        <v>Medžiaga – K2CO3</v>
      </c>
      <c r="R29" s="977" t="str">
        <f>Translations!$B$1076</f>
        <v>Medžiaga – SrCO3</v>
      </c>
      <c r="S29" s="977" t="str">
        <f>Translations!$B$1077</f>
        <v>Medžiaga – NaHCO3</v>
      </c>
      <c r="T29" s="977" t="str">
        <f>Translations!$B$1078</f>
        <v>Medžiaga – FeCO3</v>
      </c>
      <c r="U29" s="977" t="str">
        <f>Translations!$B$1079</f>
        <v>Medžiaga – Kiti karbonatai</v>
      </c>
      <c r="V29" s="977" t="str">
        <f>Translations!$B$157</f>
        <v>netaik.</v>
      </c>
      <c r="W29" s="977" t="str">
        <f>Translations!$B$157</f>
        <v>netaik.</v>
      </c>
      <c r="X29" s="977" t="str">
        <f>Translations!$B$157</f>
        <v>netaik.</v>
      </c>
      <c r="Y29" s="977" t="str">
        <f>Translations!$B$157</f>
        <v>netaik.</v>
      </c>
      <c r="Z29" s="977" t="str">
        <f>Translations!$B$157</f>
        <v>netaik.</v>
      </c>
      <c r="AA29" s="977" t="str">
        <f>Translations!$B$157</f>
        <v>netaik.</v>
      </c>
      <c r="AB29" s="977" t="str">
        <f>Translations!$B$157</f>
        <v>netaik.</v>
      </c>
      <c r="AC29" s="977" t="str">
        <f>Translations!$B$157</f>
        <v>netaik.</v>
      </c>
      <c r="AD29" s="977" t="str">
        <f>Translations!$B$157</f>
        <v>netaik.</v>
      </c>
      <c r="AE29" s="977" t="str">
        <f>Translations!$B$157</f>
        <v>netaik.</v>
      </c>
      <c r="AF29" s="977" t="str">
        <f>Translations!$B$157</f>
        <v>netaik.</v>
      </c>
      <c r="AG29" s="977" t="str">
        <f>Translations!$B$157</f>
        <v>netaik.</v>
      </c>
      <c r="AH29" s="977" t="str">
        <f>Translations!$B$157</f>
        <v>netaik.</v>
      </c>
      <c r="AI29" s="977" t="str">
        <f>Translations!$B$157</f>
        <v>netaik.</v>
      </c>
      <c r="AJ29" s="977" t="str">
        <f>Translations!$B$157</f>
        <v>netaik.</v>
      </c>
      <c r="AK29" s="977" t="str">
        <f>Translations!$B$157</f>
        <v>netaik.</v>
      </c>
      <c r="AL29" s="977" t="str">
        <f>Translations!$B$157</f>
        <v>netaik.</v>
      </c>
      <c r="AM29" s="977" t="str">
        <f>Translations!$B$157</f>
        <v>netaik.</v>
      </c>
      <c r="AN29" s="977" t="str">
        <f>Translations!$B$157</f>
        <v>netaik.</v>
      </c>
      <c r="AO29" s="977" t="str">
        <f>Translations!$B$157</f>
        <v>netaik.</v>
      </c>
      <c r="AP29" s="977" t="str">
        <f>Translations!$B$157</f>
        <v>netaik.</v>
      </c>
      <c r="AQ29" s="977" t="str">
        <f>Translations!$B$157</f>
        <v>netaik.</v>
      </c>
      <c r="AR29" s="977" t="str">
        <f>Translations!$B$157</f>
        <v>netaik.</v>
      </c>
      <c r="AS29" s="977" t="str">
        <f>Translations!$B$157</f>
        <v>netaik.</v>
      </c>
      <c r="AT29" s="977" t="str">
        <f>Translations!$B$157</f>
        <v>netaik.</v>
      </c>
      <c r="AU29" s="977" t="str">
        <f>Translations!$B$157</f>
        <v>netaik.</v>
      </c>
      <c r="AV29" s="977" t="str">
        <f>Translations!$B$157</f>
        <v>netaik.</v>
      </c>
      <c r="AW29" s="977" t="str">
        <f>Translations!$B$157</f>
        <v>netaik.</v>
      </c>
      <c r="AX29" s="977" t="str">
        <f>Translations!$B$157</f>
        <v>netaik.</v>
      </c>
      <c r="AY29" s="977" t="str">
        <f>Translations!$B$157</f>
        <v>netaik.</v>
      </c>
      <c r="AZ29" s="977" t="str">
        <f>Translations!$B$157</f>
        <v>netaik.</v>
      </c>
      <c r="BA29" s="977" t="str">
        <f>Translations!$B$157</f>
        <v>netaik.</v>
      </c>
      <c r="BB29" s="977" t="str">
        <f>Translations!$B$157</f>
        <v>netaik.</v>
      </c>
      <c r="BC29" s="977" t="str">
        <f>Translations!$B$157</f>
        <v>netaik.</v>
      </c>
      <c r="BD29" s="977" t="str">
        <f>Translations!$B$157</f>
        <v>netaik.</v>
      </c>
      <c r="BE29" s="977" t="str">
        <f>Translations!$B$157</f>
        <v>netaik.</v>
      </c>
      <c r="BF29" s="977" t="str">
        <f>Translations!$B$157</f>
        <v>netaik.</v>
      </c>
      <c r="BG29" s="977" t="str">
        <f>Translations!$B$157</f>
        <v>netaik.</v>
      </c>
      <c r="BH29" s="977" t="str">
        <f>Translations!$B$157</f>
        <v>netaik.</v>
      </c>
      <c r="BI29" s="977" t="str">
        <f>Translations!$B$157</f>
        <v>netaik.</v>
      </c>
      <c r="BJ29" s="977" t="str">
        <f>Translations!$B$157</f>
        <v>netaik.</v>
      </c>
      <c r="BK29" s="977" t="str">
        <f>Translations!$B$157</f>
        <v>netaik.</v>
      </c>
      <c r="BL29" s="977" t="str">
        <f>Translations!$B$157</f>
        <v>netaik.</v>
      </c>
      <c r="BM29" s="977" t="str">
        <f>Translations!$B$157</f>
        <v>netaik.</v>
      </c>
      <c r="BN29" s="977" t="str">
        <f>Translations!$B$157</f>
        <v>netaik.</v>
      </c>
      <c r="BO29" s="977" t="str">
        <f>Translations!$B$157</f>
        <v>netaik.</v>
      </c>
      <c r="BP29" s="977" t="str">
        <f>Translations!$B$157</f>
        <v>netaik.</v>
      </c>
      <c r="BQ29" s="977" t="str">
        <f>Translations!$B$157</f>
        <v>netaik.</v>
      </c>
      <c r="BR29" s="977" t="str">
        <f>Translations!$B$157</f>
        <v>netaik.</v>
      </c>
      <c r="BS29" s="977" t="str">
        <f>Translations!$B$157</f>
        <v>netaik.</v>
      </c>
      <c r="BT29" s="977" t="str">
        <f>Translations!$B$157</f>
        <v>netaik.</v>
      </c>
      <c r="BU29" s="977" t="str">
        <f>Translations!$B$157</f>
        <v>netaik.</v>
      </c>
      <c r="BV29" s="977" t="str">
        <f>Translations!$B$157</f>
        <v>netaik.</v>
      </c>
      <c r="BW29" s="977" t="str">
        <f>Translations!$B$157</f>
        <v>netaik.</v>
      </c>
      <c r="BX29" s="977" t="str">
        <f>Translations!$B$157</f>
        <v>netaik.</v>
      </c>
      <c r="BY29" s="977" t="str">
        <f>Translations!$B$157</f>
        <v>netaik.</v>
      </c>
      <c r="BZ29" s="977" t="str">
        <f>Translations!$B$157</f>
        <v>netaik.</v>
      </c>
      <c r="CA29" s="977" t="str">
        <f>Translations!$B$157</f>
        <v>netaik.</v>
      </c>
      <c r="CB29" s="977" t="str">
        <f>Translations!$B$157</f>
        <v>netaik.</v>
      </c>
      <c r="CC29" s="977" t="str">
        <f>Translations!$B$157</f>
        <v>netaik.</v>
      </c>
      <c r="CD29" s="977" t="str">
        <f>Translations!$B$157</f>
        <v>netaik.</v>
      </c>
      <c r="CE29" s="978" t="str">
        <f>Translations!$B$157</f>
        <v>netaik.</v>
      </c>
      <c r="CF29" s="977" t="str">
        <f>Translations!$B$157</f>
        <v>netaik.</v>
      </c>
      <c r="CG29" s="977" t="str">
        <f>Translations!$B$157</f>
        <v>netaik.</v>
      </c>
      <c r="CH29" s="977" t="str">
        <f>Translations!$B$157</f>
        <v>netaik.</v>
      </c>
      <c r="CI29" s="977" t="str">
        <f>Translations!$B$157</f>
        <v>netaik.</v>
      </c>
      <c r="CJ29" s="977" t="str">
        <f>Translations!$B$157</f>
        <v>netaik.</v>
      </c>
      <c r="CK29" s="977" t="str">
        <f>Translations!$B$157</f>
        <v>netaik.</v>
      </c>
      <c r="CL29" s="977" t="str">
        <f>Translations!$B$157</f>
        <v>netaik.</v>
      </c>
      <c r="CM29" s="977" t="str">
        <f>Translations!$B$157</f>
        <v>netaik.</v>
      </c>
      <c r="CN29" s="977" t="str">
        <f>Translations!$B$157</f>
        <v>netaik.</v>
      </c>
      <c r="CO29" s="977" t="str">
        <f>Translations!$B$157</f>
        <v>netaik.</v>
      </c>
      <c r="CP29" s="977" t="str">
        <f>Translations!$B$157</f>
        <v>netaik.</v>
      </c>
      <c r="CQ29" s="977" t="str">
        <f>Translations!$B$157</f>
        <v>netaik.</v>
      </c>
      <c r="CR29" s="977" t="str">
        <f>Translations!$B$157</f>
        <v>netaik.</v>
      </c>
      <c r="CS29" s="977" t="str">
        <f>Translations!$B$157</f>
        <v>netaik.</v>
      </c>
      <c r="CT29" s="977" t="str">
        <f>Translations!$B$157</f>
        <v>netaik.</v>
      </c>
      <c r="CU29" s="977" t="str">
        <f>Translations!$B$157</f>
        <v>netaik.</v>
      </c>
      <c r="CV29" s="977" t="str">
        <f>Translations!$B$157</f>
        <v>netaik.</v>
      </c>
      <c r="CW29" s="977" t="str">
        <f>Translations!$B$157</f>
        <v>netaik.</v>
      </c>
      <c r="CX29" s="977" t="str">
        <f>Translations!$B$157</f>
        <v>netaik.</v>
      </c>
      <c r="CY29" s="977" t="str">
        <f>Translations!$B$157</f>
        <v>netaik.</v>
      </c>
      <c r="CZ29" s="977" t="str">
        <f>Translations!$B$157</f>
        <v>netaik.</v>
      </c>
      <c r="DA29" s="977" t="str">
        <f>Translations!$B$157</f>
        <v>netaik.</v>
      </c>
      <c r="DB29" s="977" t="str">
        <f>Translations!$B$157</f>
        <v>netaik.</v>
      </c>
    </row>
    <row r="30" spans="1:106" ht="13.5" thickBot="1" x14ac:dyDescent="0.25">
      <c r="A30" s="481">
        <v>13</v>
      </c>
      <c r="B30" s="371" t="str">
        <f t="shared" si="0"/>
        <v>Koksas: Oksido išeiga (B metodas)</v>
      </c>
      <c r="C30" s="371"/>
      <c r="D30" s="373"/>
      <c r="E30" s="817" t="str">
        <f t="shared" ca="1" si="1"/>
        <v>MSParameters!$G$30:$J$30</v>
      </c>
      <c r="F30" s="904"/>
      <c r="G30" s="976" t="str">
        <f>Translations!$B$1082</f>
        <v>Medžiaga – CaO</v>
      </c>
      <c r="H30" s="977" t="str">
        <f>Translations!$B$1083</f>
        <v>Medžiaga – MgO</v>
      </c>
      <c r="I30" s="977" t="str">
        <f>Translations!$B$1084</f>
        <v>Medžiaga – BaO</v>
      </c>
      <c r="J30" s="977" t="str">
        <f>Translations!$B$1085</f>
        <v>Medžiaga – Kiti produktai</v>
      </c>
      <c r="K30" s="977" t="str">
        <f>Translations!$B$157</f>
        <v>netaik.</v>
      </c>
      <c r="L30" s="977" t="str">
        <f>Translations!$B$157</f>
        <v>netaik.</v>
      </c>
      <c r="M30" s="977" t="str">
        <f>Translations!$B$157</f>
        <v>netaik.</v>
      </c>
      <c r="N30" s="977" t="str">
        <f>Translations!$B$157</f>
        <v>netaik.</v>
      </c>
      <c r="O30" s="977" t="str">
        <f>Translations!$B$157</f>
        <v>netaik.</v>
      </c>
      <c r="P30" s="977" t="str">
        <f>Translations!$B$157</f>
        <v>netaik.</v>
      </c>
      <c r="Q30" s="977" t="str">
        <f>Translations!$B$157</f>
        <v>netaik.</v>
      </c>
      <c r="R30" s="977" t="str">
        <f>Translations!$B$157</f>
        <v>netaik.</v>
      </c>
      <c r="S30" s="977" t="str">
        <f>Translations!$B$157</f>
        <v>netaik.</v>
      </c>
      <c r="T30" s="977" t="str">
        <f>Translations!$B$157</f>
        <v>netaik.</v>
      </c>
      <c r="U30" s="977" t="str">
        <f>Translations!$B$157</f>
        <v>netaik.</v>
      </c>
      <c r="V30" s="977" t="str">
        <f>Translations!$B$157</f>
        <v>netaik.</v>
      </c>
      <c r="W30" s="977" t="str">
        <f>Translations!$B$157</f>
        <v>netaik.</v>
      </c>
      <c r="X30" s="977" t="str">
        <f>Translations!$B$157</f>
        <v>netaik.</v>
      </c>
      <c r="Y30" s="977" t="str">
        <f>Translations!$B$157</f>
        <v>netaik.</v>
      </c>
      <c r="Z30" s="977" t="str">
        <f>Translations!$B$157</f>
        <v>netaik.</v>
      </c>
      <c r="AA30" s="977" t="str">
        <f>Translations!$B$157</f>
        <v>netaik.</v>
      </c>
      <c r="AB30" s="977" t="str">
        <f>Translations!$B$157</f>
        <v>netaik.</v>
      </c>
      <c r="AC30" s="977" t="str">
        <f>Translations!$B$157</f>
        <v>netaik.</v>
      </c>
      <c r="AD30" s="977" t="str">
        <f>Translations!$B$157</f>
        <v>netaik.</v>
      </c>
      <c r="AE30" s="977" t="str">
        <f>Translations!$B$157</f>
        <v>netaik.</v>
      </c>
      <c r="AF30" s="977" t="str">
        <f>Translations!$B$157</f>
        <v>netaik.</v>
      </c>
      <c r="AG30" s="977" t="str">
        <f>Translations!$B$157</f>
        <v>netaik.</v>
      </c>
      <c r="AH30" s="977" t="str">
        <f>Translations!$B$157</f>
        <v>netaik.</v>
      </c>
      <c r="AI30" s="977" t="str">
        <f>Translations!$B$157</f>
        <v>netaik.</v>
      </c>
      <c r="AJ30" s="977" t="str">
        <f>Translations!$B$157</f>
        <v>netaik.</v>
      </c>
      <c r="AK30" s="977" t="str">
        <f>Translations!$B$157</f>
        <v>netaik.</v>
      </c>
      <c r="AL30" s="977" t="str">
        <f>Translations!$B$157</f>
        <v>netaik.</v>
      </c>
      <c r="AM30" s="977" t="str">
        <f>Translations!$B$157</f>
        <v>netaik.</v>
      </c>
      <c r="AN30" s="977" t="str">
        <f>Translations!$B$157</f>
        <v>netaik.</v>
      </c>
      <c r="AO30" s="977" t="str">
        <f>Translations!$B$157</f>
        <v>netaik.</v>
      </c>
      <c r="AP30" s="977" t="str">
        <f>Translations!$B$157</f>
        <v>netaik.</v>
      </c>
      <c r="AQ30" s="977" t="str">
        <f>Translations!$B$157</f>
        <v>netaik.</v>
      </c>
      <c r="AR30" s="977" t="str">
        <f>Translations!$B$157</f>
        <v>netaik.</v>
      </c>
      <c r="AS30" s="977" t="str">
        <f>Translations!$B$157</f>
        <v>netaik.</v>
      </c>
      <c r="AT30" s="977" t="str">
        <f>Translations!$B$157</f>
        <v>netaik.</v>
      </c>
      <c r="AU30" s="977" t="str">
        <f>Translations!$B$157</f>
        <v>netaik.</v>
      </c>
      <c r="AV30" s="977" t="str">
        <f>Translations!$B$157</f>
        <v>netaik.</v>
      </c>
      <c r="AW30" s="977" t="str">
        <f>Translations!$B$157</f>
        <v>netaik.</v>
      </c>
      <c r="AX30" s="977" t="str">
        <f>Translations!$B$157</f>
        <v>netaik.</v>
      </c>
      <c r="AY30" s="977" t="str">
        <f>Translations!$B$157</f>
        <v>netaik.</v>
      </c>
      <c r="AZ30" s="977" t="str">
        <f>Translations!$B$157</f>
        <v>netaik.</v>
      </c>
      <c r="BA30" s="977" t="str">
        <f>Translations!$B$157</f>
        <v>netaik.</v>
      </c>
      <c r="BB30" s="977" t="str">
        <f>Translations!$B$157</f>
        <v>netaik.</v>
      </c>
      <c r="BC30" s="977" t="str">
        <f>Translations!$B$157</f>
        <v>netaik.</v>
      </c>
      <c r="BD30" s="977" t="str">
        <f>Translations!$B$157</f>
        <v>netaik.</v>
      </c>
      <c r="BE30" s="977" t="str">
        <f>Translations!$B$157</f>
        <v>netaik.</v>
      </c>
      <c r="BF30" s="977" t="str">
        <f>Translations!$B$157</f>
        <v>netaik.</v>
      </c>
      <c r="BG30" s="977" t="str">
        <f>Translations!$B$157</f>
        <v>netaik.</v>
      </c>
      <c r="BH30" s="977" t="str">
        <f>Translations!$B$157</f>
        <v>netaik.</v>
      </c>
      <c r="BI30" s="977" t="str">
        <f>Translations!$B$157</f>
        <v>netaik.</v>
      </c>
      <c r="BJ30" s="977" t="str">
        <f>Translations!$B$157</f>
        <v>netaik.</v>
      </c>
      <c r="BK30" s="977" t="str">
        <f>Translations!$B$157</f>
        <v>netaik.</v>
      </c>
      <c r="BL30" s="977" t="str">
        <f>Translations!$B$157</f>
        <v>netaik.</v>
      </c>
      <c r="BM30" s="977" t="str">
        <f>Translations!$B$157</f>
        <v>netaik.</v>
      </c>
      <c r="BN30" s="977" t="str">
        <f>Translations!$B$157</f>
        <v>netaik.</v>
      </c>
      <c r="BO30" s="977" t="str">
        <f>Translations!$B$157</f>
        <v>netaik.</v>
      </c>
      <c r="BP30" s="977" t="str">
        <f>Translations!$B$157</f>
        <v>netaik.</v>
      </c>
      <c r="BQ30" s="977" t="str">
        <f>Translations!$B$157</f>
        <v>netaik.</v>
      </c>
      <c r="BR30" s="977" t="str">
        <f>Translations!$B$157</f>
        <v>netaik.</v>
      </c>
      <c r="BS30" s="977" t="str">
        <f>Translations!$B$157</f>
        <v>netaik.</v>
      </c>
      <c r="BT30" s="977" t="str">
        <f>Translations!$B$157</f>
        <v>netaik.</v>
      </c>
      <c r="BU30" s="977" t="str">
        <f>Translations!$B$157</f>
        <v>netaik.</v>
      </c>
      <c r="BV30" s="977" t="str">
        <f>Translations!$B$157</f>
        <v>netaik.</v>
      </c>
      <c r="BW30" s="977" t="str">
        <f>Translations!$B$157</f>
        <v>netaik.</v>
      </c>
      <c r="BX30" s="977" t="str">
        <f>Translations!$B$157</f>
        <v>netaik.</v>
      </c>
      <c r="BY30" s="977" t="str">
        <f>Translations!$B$157</f>
        <v>netaik.</v>
      </c>
      <c r="BZ30" s="977" t="str">
        <f>Translations!$B$157</f>
        <v>netaik.</v>
      </c>
      <c r="CA30" s="977" t="str">
        <f>Translations!$B$157</f>
        <v>netaik.</v>
      </c>
      <c r="CB30" s="977" t="str">
        <f>Translations!$B$157</f>
        <v>netaik.</v>
      </c>
      <c r="CC30" s="977" t="str">
        <f>Translations!$B$157</f>
        <v>netaik.</v>
      </c>
      <c r="CD30" s="977" t="str">
        <f>Translations!$B$157</f>
        <v>netaik.</v>
      </c>
      <c r="CE30" s="978" t="str">
        <f>Translations!$B$157</f>
        <v>netaik.</v>
      </c>
      <c r="CF30" s="977" t="str">
        <f>Translations!$B$157</f>
        <v>netaik.</v>
      </c>
      <c r="CG30" s="977" t="str">
        <f>Translations!$B$157</f>
        <v>netaik.</v>
      </c>
      <c r="CH30" s="977" t="str">
        <f>Translations!$B$157</f>
        <v>netaik.</v>
      </c>
      <c r="CI30" s="977" t="str">
        <f>Translations!$B$157</f>
        <v>netaik.</v>
      </c>
      <c r="CJ30" s="977" t="str">
        <f>Translations!$B$157</f>
        <v>netaik.</v>
      </c>
      <c r="CK30" s="977" t="str">
        <f>Translations!$B$157</f>
        <v>netaik.</v>
      </c>
      <c r="CL30" s="977" t="str">
        <f>Translations!$B$157</f>
        <v>netaik.</v>
      </c>
      <c r="CM30" s="977" t="str">
        <f>Translations!$B$157</f>
        <v>netaik.</v>
      </c>
      <c r="CN30" s="977" t="str">
        <f>Translations!$B$157</f>
        <v>netaik.</v>
      </c>
      <c r="CO30" s="977" t="str">
        <f>Translations!$B$157</f>
        <v>netaik.</v>
      </c>
      <c r="CP30" s="977" t="str">
        <f>Translations!$B$157</f>
        <v>netaik.</v>
      </c>
      <c r="CQ30" s="977" t="str">
        <f>Translations!$B$157</f>
        <v>netaik.</v>
      </c>
      <c r="CR30" s="977" t="str">
        <f>Translations!$B$157</f>
        <v>netaik.</v>
      </c>
      <c r="CS30" s="977" t="str">
        <f>Translations!$B$157</f>
        <v>netaik.</v>
      </c>
      <c r="CT30" s="977" t="str">
        <f>Translations!$B$157</f>
        <v>netaik.</v>
      </c>
      <c r="CU30" s="977" t="str">
        <f>Translations!$B$157</f>
        <v>netaik.</v>
      </c>
      <c r="CV30" s="977" t="str">
        <f>Translations!$B$157</f>
        <v>netaik.</v>
      </c>
      <c r="CW30" s="977" t="str">
        <f>Translations!$B$157</f>
        <v>netaik.</v>
      </c>
      <c r="CX30" s="977" t="str">
        <f>Translations!$B$157</f>
        <v>netaik.</v>
      </c>
      <c r="CY30" s="977" t="str">
        <f>Translations!$B$157</f>
        <v>netaik.</v>
      </c>
      <c r="CZ30" s="977" t="str">
        <f>Translations!$B$157</f>
        <v>netaik.</v>
      </c>
      <c r="DA30" s="977" t="str">
        <f>Translations!$B$157</f>
        <v>netaik.</v>
      </c>
      <c r="DB30" s="977" t="str">
        <f>Translations!$B$157</f>
        <v>netaik.</v>
      </c>
    </row>
    <row r="31" spans="1:106" ht="13.5" thickBot="1" x14ac:dyDescent="0.25">
      <c r="A31" s="481">
        <v>14</v>
      </c>
      <c r="B31" s="371" t="str">
        <f t="shared" si="0"/>
        <v>Koksas: Masės balansas</v>
      </c>
      <c r="C31" s="371"/>
      <c r="D31" s="373"/>
      <c r="E31" s="817" t="str">
        <f t="shared" ca="1" si="1"/>
        <v>MSParameters!$G$31:$CD$31</v>
      </c>
      <c r="F31" s="904"/>
      <c r="G31" s="976" t="str">
        <f>Translations!$B$1086</f>
        <v>Medžiaga – Rūdos</v>
      </c>
      <c r="H31" s="977" t="str">
        <f>Translations!$B$1087</f>
        <v>Medžiaga – Priedai</v>
      </c>
      <c r="I31" s="977" t="str">
        <f>Translations!$B$1088</f>
        <v>Medžiaga – Metalo laužas</v>
      </c>
      <c r="J31" s="977" t="str">
        <f>Translations!$B$1089</f>
        <v>Medžiaga – Geležies rūdos</v>
      </c>
      <c r="K31" s="977" t="str">
        <f>Translations!$B$1090</f>
        <v>Medžiaga – Aukštakrosnių šlakas</v>
      </c>
      <c r="L31" s="977" t="str">
        <f>Translations!$B$1091</f>
        <v>Medžiaga – Kitų rūšių šlakas</v>
      </c>
      <c r="M31" s="977" t="str">
        <f>Translations!$B$1092</f>
        <v>Medžiaga – Kitų rūšių reduktoriai</v>
      </c>
      <c r="N31" s="977" t="str">
        <f>Translations!$B$999</f>
        <v>Dujinis – Gamtinės dujos</v>
      </c>
      <c r="O31" s="977" t="str">
        <f>Translations!$B$1000</f>
        <v>Dujinis – Dujų gamyklos dujos</v>
      </c>
      <c r="P31" s="977" t="str">
        <f>Translations!$B$1001</f>
        <v>Dujinis – Koksavimo dujos</v>
      </c>
      <c r="Q31" s="977" t="str">
        <f>Translations!$B$1002</f>
        <v>Dujinis – Aukštakrosnių dujos</v>
      </c>
      <c r="R31" s="979" t="str">
        <f>Translations!$B$1003</f>
        <v>Dujinis – Deguoninių plieno aukštakrosnių dujos</v>
      </c>
      <c r="S31" s="979" t="str">
        <f>Translations!$B$1004</f>
        <v>Dujinis – Biodujos</v>
      </c>
      <c r="T31" s="979" t="str">
        <f>Translations!$B$1005</f>
        <v>Dujinis – Dumblo dujos</v>
      </c>
      <c r="U31" s="979" t="str">
        <f>Translations!$B$1006</f>
        <v>Dujinis – Sąvartynų dujos</v>
      </c>
      <c r="V31" s="979" t="str">
        <f>Translations!$B$1007</f>
        <v>Dujinis – Anglies monoksidas</v>
      </c>
      <c r="W31" s="979" t="str">
        <f>Translations!$B$1008</f>
        <v>Dujinis – Metanas</v>
      </c>
      <c r="X31" s="979" t="str">
        <f>Translations!$B$988</f>
        <v>Dujinis – Etanas</v>
      </c>
      <c r="Y31" s="979" t="str">
        <f>Translations!$B$989</f>
        <v>Dujinis – Propanas</v>
      </c>
      <c r="Z31" s="979" t="str">
        <f>Translations!$B$990</f>
        <v>Dujinis – Butanas</v>
      </c>
      <c r="AA31" s="977" t="str">
        <f>Translations!$B$1009</f>
        <v>Dujinis – Kitų rūšių dujinis kuras</v>
      </c>
      <c r="AB31" s="977" t="str">
        <f>Translations!$B$1010</f>
        <v>Dujinis – Kitų rūšių dujinė biomasė</v>
      </c>
      <c r="AC31" s="977" t="str">
        <f>Translations!$B$991</f>
        <v>Skystasis – Dyzelinis krosnių kuras</v>
      </c>
      <c r="AD31" s="977" t="str">
        <f>Translations!$B$1011</f>
        <v>Skystasis – Labai lengvos distiliacijos kuras</v>
      </c>
      <c r="AE31" s="977" t="str">
        <f>Translations!$B$1012</f>
        <v>Skystasis – Vidutinės distiliacijos kuras</v>
      </c>
      <c r="AF31" s="977" t="str">
        <f>Translations!$B$1013</f>
        <v>Skystasis – Sunkusis mazutas</v>
      </c>
      <c r="AG31" s="977" t="str">
        <f>Translations!$B$992</f>
        <v>Skystasis – Gazolis</v>
      </c>
      <c r="AH31" s="977" t="str">
        <f>Translations!$B$993</f>
        <v>Skystasis – Gazolinas</v>
      </c>
      <c r="AI31" s="977" t="str">
        <f>Translations!$B$994</f>
        <v>Skystasis – Valytas žibalas</v>
      </c>
      <c r="AJ31" s="977" t="str">
        <f>Translations!$B$995</f>
        <v>Skystasis – Žibalas</v>
      </c>
      <c r="AK31" s="977" t="str">
        <f>Translations!$B$996</f>
        <v>Skystasis – Reaktyvinis žibalas (Jet A1 arba Jet A)</v>
      </c>
      <c r="AL31" s="977" t="str">
        <f>Translations!$B$997</f>
        <v>Skystasis – Reaktyvinis gazolinas (benzinas) (Jet B)</v>
      </c>
      <c r="AM31" s="977" t="str">
        <f>Translations!$B$998</f>
        <v>Skystasis – Aviacinis gazolinas (benzinas) (AvGas)</v>
      </c>
      <c r="AN31" s="977" t="str">
        <f>Translations!$B$1014</f>
        <v>Skystasis – Suskystintosios naftos dujos</v>
      </c>
      <c r="AO31" s="977" t="str">
        <f>Translations!$B$1015</f>
        <v>Skystasis – Žalia nafta</v>
      </c>
      <c r="AP31" s="977" t="str">
        <f>Translations!$B$1016</f>
        <v>Skystasis – Orimulsija</v>
      </c>
      <c r="AQ31" s="977" t="str">
        <f>Translations!$B$1017</f>
        <v>Skystasis – Gamtinių dujų kondensatai</v>
      </c>
      <c r="AR31" s="977" t="str">
        <f>Translations!$B$1018</f>
        <v>Skystasis – Automobilinis benzinas</v>
      </c>
      <c r="AS31" s="977" t="str">
        <f>Translations!$B$1019</f>
        <v>Skystasis – Skalūnų alyva</v>
      </c>
      <c r="AT31" s="977" t="str">
        <f>Translations!$B$1020</f>
        <v>Skystasis – Dujos ir (arba) dyzelinas</v>
      </c>
      <c r="AU31" s="977" t="str">
        <f>Translations!$B$1021</f>
        <v>Skystasis – Mazuto distiliavimo likutis</v>
      </c>
      <c r="AV31" s="977" t="str">
        <f>Translations!$B$1022</f>
        <v>Skystasis – Pirminis benzinas</v>
      </c>
      <c r="AW31" s="977" t="str">
        <f>Translations!$B$1023</f>
        <v>Skystasis – Tepalai</v>
      </c>
      <c r="AX31" s="977" t="str">
        <f>Translations!$B$1024</f>
        <v>Skystasis – Vaitspiritas ir SBP</v>
      </c>
      <c r="AY31" s="977" t="str">
        <f>Translations!$B$1025</f>
        <v>Skystasis – Skalūnų alyva ir gudoniniai smėliai</v>
      </c>
      <c r="AZ31" s="977" t="str">
        <f>Translations!$B$1026</f>
        <v>Skystasis – Akmens anglių briketai</v>
      </c>
      <c r="BA31" s="977" t="str">
        <f>Translations!$B$1027</f>
        <v>Skystasis – Alyvų atliekos</v>
      </c>
      <c r="BB31" s="977" t="str">
        <f>Translations!$B$1028</f>
        <v>Skystasis – Biobenzinas</v>
      </c>
      <c r="BC31" s="977" t="str">
        <f>Translations!$B$1029</f>
        <v>Skystasi – Biodyzelinas</v>
      </c>
      <c r="BD31" s="977" t="str">
        <f>Translations!$B$1030</f>
        <v>Skystasis – Bitumas</v>
      </c>
      <c r="BE31" s="977" t="str">
        <f>Translations!$B$1032</f>
        <v>Skystasis – Kitų rūšių skystasis kuras</v>
      </c>
      <c r="BF31" s="977" t="str">
        <f>Translations!$B$1033</f>
        <v>Skystasis – Kitų rūšių skystoji biomasė</v>
      </c>
      <c r="BG31" s="977" t="str">
        <f>Translations!$B$1040</f>
        <v>Kietasis – Koksas</v>
      </c>
      <c r="BH31" s="977" t="str">
        <f>Translations!$B$1041</f>
        <v>Kietasis – Naftos koksas</v>
      </c>
      <c r="BI31" s="977" t="str">
        <f>Translations!$B$1042</f>
        <v>Kietasis – Akmens anglys</v>
      </c>
      <c r="BJ31" s="977" t="str">
        <f>Translations!$B$1043</f>
        <v>Kietasis – Lignitas</v>
      </c>
      <c r="BK31" s="977" t="str">
        <f>Translations!$B$1044</f>
        <v>Kietasis – Antracitas</v>
      </c>
      <c r="BL31" s="977" t="str">
        <f>Translations!$B$1045</f>
        <v>Kietasis – Koksinės anglys</v>
      </c>
      <c r="BM31" s="977" t="str">
        <f>Translations!$B$1046</f>
        <v>Kietasis – Subbituminės akmens anglys</v>
      </c>
      <c r="BN31" s="977" t="str">
        <f>Translations!$B$1047</f>
        <v>Kietasis – Kitos bituminės akmens anglys</v>
      </c>
      <c r="BO31" s="977" t="str">
        <f>Translations!$B$1048</f>
        <v>Kietasis – Dujinis koksas</v>
      </c>
      <c r="BP31" s="977" t="str">
        <f>Translations!$B$1049</f>
        <v>Kietasis – Parafinas</v>
      </c>
      <c r="BQ31" s="977" t="str">
        <f>Translations!$B$1050</f>
        <v>Kietasis – Sulfatinės išviros</v>
      </c>
      <c r="BR31" s="977" t="str">
        <f>Translations!$B$1051</f>
        <v>Kietasis – Malkos</v>
      </c>
      <c r="BS31" s="977" t="str">
        <f>Translations!$B$1052</f>
        <v>Kietasis – Mediena (ne atliekos)</v>
      </c>
      <c r="BT31" s="977" t="str">
        <f>Translations!$B$1053</f>
        <v>Kietasis – Mediena (atliekos)</v>
      </c>
      <c r="BU31" s="977" t="str">
        <f>Translations!$B$1054</f>
        <v>Kietasis – Durpės</v>
      </c>
      <c r="BV31" s="977" t="str">
        <f>Translations!$B$1055</f>
        <v>Kietasis – Kanalizacijos dumblas</v>
      </c>
      <c r="BW31" s="977" t="str">
        <f>Translations!$B$1056</f>
        <v>Kietasis – Komunalinių nuotekų dumblas</v>
      </c>
      <c r="BX31" s="977" t="str">
        <f>Translations!$B$1057</f>
        <v>Kietasis – Akmens anglių degutas</v>
      </c>
      <c r="BY31" s="977" t="str">
        <f>Translations!$B$1058</f>
        <v>Kietasis – Medžio anglys</v>
      </c>
      <c r="BZ31" s="977" t="str">
        <f>Translations!$B$1059</f>
        <v>Kietasis – Panaudos padangos</v>
      </c>
      <c r="CA31" s="977" t="str">
        <f>Translations!$B$1060</f>
        <v>Kietasis – Kitų rūšių kietasis kuras</v>
      </c>
      <c r="CB31" s="977" t="str">
        <f>Translations!$B$1061</f>
        <v>Kietasis – Kitų rūšių kietoji biomasė</v>
      </c>
      <c r="CC31" s="977" t="str">
        <f>Translations!$B$1034</f>
        <v>Atliekos – Komunalinės ir pramoninės atliekos</v>
      </c>
      <c r="CD31" s="977" t="str">
        <f>Translations!$B$1035</f>
        <v>Atliekos – Pramoninės atliekos</v>
      </c>
      <c r="CE31" s="978" t="str">
        <f>Translations!$B$157</f>
        <v>netaik.</v>
      </c>
      <c r="CF31" s="977" t="str">
        <f>Translations!$B$157</f>
        <v>netaik.</v>
      </c>
      <c r="CG31" s="977" t="str">
        <f>Translations!$B$157</f>
        <v>netaik.</v>
      </c>
      <c r="CH31" s="977" t="str">
        <f>Translations!$B$157</f>
        <v>netaik.</v>
      </c>
      <c r="CI31" s="977" t="str">
        <f>Translations!$B$157</f>
        <v>netaik.</v>
      </c>
      <c r="CJ31" s="977" t="str">
        <f>Translations!$B$157</f>
        <v>netaik.</v>
      </c>
      <c r="CK31" s="977" t="str">
        <f>Translations!$B$157</f>
        <v>netaik.</v>
      </c>
      <c r="CL31" s="977" t="str">
        <f>Translations!$B$157</f>
        <v>netaik.</v>
      </c>
      <c r="CM31" s="977" t="str">
        <f>Translations!$B$157</f>
        <v>netaik.</v>
      </c>
      <c r="CN31" s="977" t="str">
        <f>Translations!$B$157</f>
        <v>netaik.</v>
      </c>
      <c r="CO31" s="977" t="str">
        <f>Translations!$B$157</f>
        <v>netaik.</v>
      </c>
      <c r="CP31" s="977" t="str">
        <f>Translations!$B$157</f>
        <v>netaik.</v>
      </c>
      <c r="CQ31" s="977" t="str">
        <f>Translations!$B$157</f>
        <v>netaik.</v>
      </c>
      <c r="CR31" s="977" t="str">
        <f>Translations!$B$157</f>
        <v>netaik.</v>
      </c>
      <c r="CS31" s="977" t="str">
        <f>Translations!$B$157</f>
        <v>netaik.</v>
      </c>
      <c r="CT31" s="977" t="str">
        <f>Translations!$B$157</f>
        <v>netaik.</v>
      </c>
      <c r="CU31" s="977" t="str">
        <f>Translations!$B$157</f>
        <v>netaik.</v>
      </c>
      <c r="CV31" s="977" t="str">
        <f>Translations!$B$157</f>
        <v>netaik.</v>
      </c>
      <c r="CW31" s="977" t="str">
        <f>Translations!$B$157</f>
        <v>netaik.</v>
      </c>
      <c r="CX31" s="977" t="str">
        <f>Translations!$B$157</f>
        <v>netaik.</v>
      </c>
      <c r="CY31" s="977" t="str">
        <f>Translations!$B$157</f>
        <v>netaik.</v>
      </c>
      <c r="CZ31" s="977" t="str">
        <f>Translations!$B$157</f>
        <v>netaik.</v>
      </c>
      <c r="DA31" s="977" t="str">
        <f>Translations!$B$157</f>
        <v>netaik.</v>
      </c>
      <c r="DB31" s="977" t="str">
        <f>Translations!$B$157</f>
        <v>netaik.</v>
      </c>
    </row>
    <row r="32" spans="1:106" ht="13.5" thickBot="1" x14ac:dyDescent="0.25">
      <c r="A32" s="481">
        <v>15</v>
      </c>
      <c r="B32" s="371" t="str">
        <f t="shared" si="0"/>
        <v>Metalų rūda: Karbonatų sąnaudos</v>
      </c>
      <c r="C32" s="371"/>
      <c r="D32" s="373"/>
      <c r="E32" s="817" t="str">
        <f t="shared" ca="1" si="1"/>
        <v>MSParameters!$G$32:$V$32</v>
      </c>
      <c r="F32" s="904"/>
      <c r="G32" s="976" t="str">
        <f>Translations!$B$1065</f>
        <v>Medžiaga – Kalkakmenis</v>
      </c>
      <c r="H32" s="977" t="str">
        <f>Translations!$B$1066</f>
        <v>Medžiaga – Dolomitas</v>
      </c>
      <c r="I32" s="977" t="str">
        <f>Translations!$B$1067</f>
        <v>Medžiaga – Natrio vandenilio karbonatas</v>
      </c>
      <c r="J32" s="977" t="str">
        <f>Translations!$B$1089</f>
        <v>Medžiaga – Geležies rūdos</v>
      </c>
      <c r="K32" s="977" t="str">
        <f>Translations!$B$1068</f>
        <v>Medžiaga – Natrio karbonatas</v>
      </c>
      <c r="L32" s="977" t="str">
        <f>Translations!$B$1069</f>
        <v>Medžiaga – Kalio karbonatas (potašas)</v>
      </c>
      <c r="M32" s="977" t="str">
        <f>Translations!$B$1070</f>
        <v>Medžiaga – CaCO3</v>
      </c>
      <c r="N32" s="977" t="str">
        <f>Translations!$B$1071</f>
        <v>Medžiaga – MgCO3</v>
      </c>
      <c r="O32" s="977" t="str">
        <f>Translations!$B$1072</f>
        <v>Medžiaga – Na2CO3</v>
      </c>
      <c r="P32" s="977" t="str">
        <f>Translations!$B$1073</f>
        <v>Medžiaga – BaCO3</v>
      </c>
      <c r="Q32" s="977" t="str">
        <f>Translations!$B$1074</f>
        <v>Medžiaga – Li2CO3</v>
      </c>
      <c r="R32" s="977" t="str">
        <f>Translations!$B$1075</f>
        <v>Medžiaga – K2CO3</v>
      </c>
      <c r="S32" s="977" t="str">
        <f>Translations!$B$1076</f>
        <v>Medžiaga – SrCO3</v>
      </c>
      <c r="T32" s="977" t="str">
        <f>Translations!$B$1077</f>
        <v>Medžiaga – NaHCO3</v>
      </c>
      <c r="U32" s="977" t="str">
        <f>Translations!$B$1078</f>
        <v>Medžiaga – FeCO3</v>
      </c>
      <c r="V32" s="977" t="str">
        <f>Translations!$B$1079</f>
        <v>Medžiaga – Kiti karbonatai</v>
      </c>
      <c r="W32" s="977" t="str">
        <f>Translations!$B$157</f>
        <v>netaik.</v>
      </c>
      <c r="X32" s="977" t="str">
        <f>Translations!$B$157</f>
        <v>netaik.</v>
      </c>
      <c r="Y32" s="977" t="str">
        <f>Translations!$B$157</f>
        <v>netaik.</v>
      </c>
      <c r="Z32" s="977" t="str">
        <f>Translations!$B$157</f>
        <v>netaik.</v>
      </c>
      <c r="AA32" s="977" t="str">
        <f>Translations!$B$157</f>
        <v>netaik.</v>
      </c>
      <c r="AB32" s="977" t="str">
        <f>Translations!$B$157</f>
        <v>netaik.</v>
      </c>
      <c r="AC32" s="977" t="str">
        <f>Translations!$B$157</f>
        <v>netaik.</v>
      </c>
      <c r="AD32" s="977" t="str">
        <f>Translations!$B$157</f>
        <v>netaik.</v>
      </c>
      <c r="AE32" s="977" t="str">
        <f>Translations!$B$157</f>
        <v>netaik.</v>
      </c>
      <c r="AF32" s="977" t="str">
        <f>Translations!$B$157</f>
        <v>netaik.</v>
      </c>
      <c r="AG32" s="977" t="str">
        <f>Translations!$B$157</f>
        <v>netaik.</v>
      </c>
      <c r="AH32" s="977" t="str">
        <f>Translations!$B$157</f>
        <v>netaik.</v>
      </c>
      <c r="AI32" s="977" t="str">
        <f>Translations!$B$157</f>
        <v>netaik.</v>
      </c>
      <c r="AJ32" s="977" t="str">
        <f>Translations!$B$157</f>
        <v>netaik.</v>
      </c>
      <c r="AK32" s="977" t="str">
        <f>Translations!$B$157</f>
        <v>netaik.</v>
      </c>
      <c r="AL32" s="977" t="str">
        <f>Translations!$B$157</f>
        <v>netaik.</v>
      </c>
      <c r="AM32" s="977" t="str">
        <f>Translations!$B$157</f>
        <v>netaik.</v>
      </c>
      <c r="AN32" s="977" t="str">
        <f>Translations!$B$157</f>
        <v>netaik.</v>
      </c>
      <c r="AO32" s="977" t="str">
        <f>Translations!$B$157</f>
        <v>netaik.</v>
      </c>
      <c r="AP32" s="977" t="str">
        <f>Translations!$B$157</f>
        <v>netaik.</v>
      </c>
      <c r="AQ32" s="977" t="str">
        <f>Translations!$B$157</f>
        <v>netaik.</v>
      </c>
      <c r="AR32" s="977" t="str">
        <f>Translations!$B$157</f>
        <v>netaik.</v>
      </c>
      <c r="AS32" s="977" t="str">
        <f>Translations!$B$157</f>
        <v>netaik.</v>
      </c>
      <c r="AT32" s="977" t="str">
        <f>Translations!$B$157</f>
        <v>netaik.</v>
      </c>
      <c r="AU32" s="977" t="str">
        <f>Translations!$B$157</f>
        <v>netaik.</v>
      </c>
      <c r="AV32" s="977" t="str">
        <f>Translations!$B$157</f>
        <v>netaik.</v>
      </c>
      <c r="AW32" s="977" t="str">
        <f>Translations!$B$157</f>
        <v>netaik.</v>
      </c>
      <c r="AX32" s="977" t="str">
        <f>Translations!$B$157</f>
        <v>netaik.</v>
      </c>
      <c r="AY32" s="977" t="str">
        <f>Translations!$B$157</f>
        <v>netaik.</v>
      </c>
      <c r="AZ32" s="977" t="str">
        <f>Translations!$B$157</f>
        <v>netaik.</v>
      </c>
      <c r="BA32" s="977" t="str">
        <f>Translations!$B$157</f>
        <v>netaik.</v>
      </c>
      <c r="BB32" s="977" t="str">
        <f>Translations!$B$157</f>
        <v>netaik.</v>
      </c>
      <c r="BC32" s="977" t="str">
        <f>Translations!$B$157</f>
        <v>netaik.</v>
      </c>
      <c r="BD32" s="977" t="str">
        <f>Translations!$B$157</f>
        <v>netaik.</v>
      </c>
      <c r="BE32" s="977" t="str">
        <f>Translations!$B$157</f>
        <v>netaik.</v>
      </c>
      <c r="BF32" s="977" t="str">
        <f>Translations!$B$157</f>
        <v>netaik.</v>
      </c>
      <c r="BG32" s="977" t="str">
        <f>Translations!$B$157</f>
        <v>netaik.</v>
      </c>
      <c r="BH32" s="977" t="str">
        <f>Translations!$B$157</f>
        <v>netaik.</v>
      </c>
      <c r="BI32" s="977" t="str">
        <f>Translations!$B$157</f>
        <v>netaik.</v>
      </c>
      <c r="BJ32" s="977" t="str">
        <f>Translations!$B$157</f>
        <v>netaik.</v>
      </c>
      <c r="BK32" s="977" t="str">
        <f>Translations!$B$157</f>
        <v>netaik.</v>
      </c>
      <c r="BL32" s="977" t="str">
        <f>Translations!$B$157</f>
        <v>netaik.</v>
      </c>
      <c r="BM32" s="977" t="str">
        <f>Translations!$B$157</f>
        <v>netaik.</v>
      </c>
      <c r="BN32" s="977" t="str">
        <f>Translations!$B$157</f>
        <v>netaik.</v>
      </c>
      <c r="BO32" s="977" t="str">
        <f>Translations!$B$157</f>
        <v>netaik.</v>
      </c>
      <c r="BP32" s="977" t="str">
        <f>Translations!$B$157</f>
        <v>netaik.</v>
      </c>
      <c r="BQ32" s="977" t="str">
        <f>Translations!$B$157</f>
        <v>netaik.</v>
      </c>
      <c r="BR32" s="977" t="str">
        <f>Translations!$B$157</f>
        <v>netaik.</v>
      </c>
      <c r="BS32" s="977" t="str">
        <f>Translations!$B$157</f>
        <v>netaik.</v>
      </c>
      <c r="BT32" s="977" t="str">
        <f>Translations!$B$157</f>
        <v>netaik.</v>
      </c>
      <c r="BU32" s="977" t="str">
        <f>Translations!$B$157</f>
        <v>netaik.</v>
      </c>
      <c r="BV32" s="977" t="str">
        <f>Translations!$B$157</f>
        <v>netaik.</v>
      </c>
      <c r="BW32" s="977" t="str">
        <f>Translations!$B$157</f>
        <v>netaik.</v>
      </c>
      <c r="BX32" s="977" t="str">
        <f>Translations!$B$157</f>
        <v>netaik.</v>
      </c>
      <c r="BY32" s="977" t="str">
        <f>Translations!$B$157</f>
        <v>netaik.</v>
      </c>
      <c r="BZ32" s="977" t="str">
        <f>Translations!$B$157</f>
        <v>netaik.</v>
      </c>
      <c r="CA32" s="977" t="str">
        <f>Translations!$B$157</f>
        <v>netaik.</v>
      </c>
      <c r="CB32" s="977" t="str">
        <f>Translations!$B$157</f>
        <v>netaik.</v>
      </c>
      <c r="CC32" s="977" t="str">
        <f>Translations!$B$157</f>
        <v>netaik.</v>
      </c>
      <c r="CD32" s="977" t="str">
        <f>Translations!$B$157</f>
        <v>netaik.</v>
      </c>
      <c r="CE32" s="978" t="str">
        <f>Translations!$B$157</f>
        <v>netaik.</v>
      </c>
      <c r="CF32" s="977" t="str">
        <f>Translations!$B$157</f>
        <v>netaik.</v>
      </c>
      <c r="CG32" s="977" t="str">
        <f>Translations!$B$157</f>
        <v>netaik.</v>
      </c>
      <c r="CH32" s="977" t="str">
        <f>Translations!$B$157</f>
        <v>netaik.</v>
      </c>
      <c r="CI32" s="977" t="str">
        <f>Translations!$B$157</f>
        <v>netaik.</v>
      </c>
      <c r="CJ32" s="977" t="str">
        <f>Translations!$B$157</f>
        <v>netaik.</v>
      </c>
      <c r="CK32" s="977" t="str">
        <f>Translations!$B$157</f>
        <v>netaik.</v>
      </c>
      <c r="CL32" s="977" t="str">
        <f>Translations!$B$157</f>
        <v>netaik.</v>
      </c>
      <c r="CM32" s="977" t="str">
        <f>Translations!$B$157</f>
        <v>netaik.</v>
      </c>
      <c r="CN32" s="977" t="str">
        <f>Translations!$B$157</f>
        <v>netaik.</v>
      </c>
      <c r="CO32" s="977" t="str">
        <f>Translations!$B$157</f>
        <v>netaik.</v>
      </c>
      <c r="CP32" s="977" t="str">
        <f>Translations!$B$157</f>
        <v>netaik.</v>
      </c>
      <c r="CQ32" s="977" t="str">
        <f>Translations!$B$157</f>
        <v>netaik.</v>
      </c>
      <c r="CR32" s="977" t="str">
        <f>Translations!$B$157</f>
        <v>netaik.</v>
      </c>
      <c r="CS32" s="977" t="str">
        <f>Translations!$B$157</f>
        <v>netaik.</v>
      </c>
      <c r="CT32" s="977" t="str">
        <f>Translations!$B$157</f>
        <v>netaik.</v>
      </c>
      <c r="CU32" s="977" t="str">
        <f>Translations!$B$157</f>
        <v>netaik.</v>
      </c>
      <c r="CV32" s="977" t="str">
        <f>Translations!$B$157</f>
        <v>netaik.</v>
      </c>
      <c r="CW32" s="977" t="str">
        <f>Translations!$B$157</f>
        <v>netaik.</v>
      </c>
      <c r="CX32" s="977" t="str">
        <f>Translations!$B$157</f>
        <v>netaik.</v>
      </c>
      <c r="CY32" s="977" t="str">
        <f>Translations!$B$157</f>
        <v>netaik.</v>
      </c>
      <c r="CZ32" s="977" t="str">
        <f>Translations!$B$157</f>
        <v>netaik.</v>
      </c>
      <c r="DA32" s="977" t="str">
        <f>Translations!$B$157</f>
        <v>netaik.</v>
      </c>
      <c r="DB32" s="977" t="str">
        <f>Translations!$B$157</f>
        <v>netaik.</v>
      </c>
    </row>
    <row r="33" spans="1:106" ht="13.5" thickBot="1" x14ac:dyDescent="0.25">
      <c r="A33" s="481">
        <v>16</v>
      </c>
      <c r="B33" s="371" t="str">
        <f t="shared" si="0"/>
        <v>Metalų rūda: Masės balansas</v>
      </c>
      <c r="C33" s="371"/>
      <c r="D33" s="373"/>
      <c r="E33" s="817" t="str">
        <f t="shared" ca="1" si="1"/>
        <v>MSParameters!$G$33:$CO$33</v>
      </c>
      <c r="F33" s="904"/>
      <c r="G33" s="976" t="str">
        <f>Translations!$B$1065</f>
        <v>Medžiaga – Kalkakmenis</v>
      </c>
      <c r="H33" s="977" t="str">
        <f>Translations!$B$1066</f>
        <v>Medžiaga – Dolomitas</v>
      </c>
      <c r="I33" s="977" t="str">
        <f>Translations!$B$1067</f>
        <v>Medžiaga – Natrio vandenilio karbonatas</v>
      </c>
      <c r="J33" s="977" t="str">
        <f>Translations!$B$1089</f>
        <v>Medžiaga – Geležies rūdos</v>
      </c>
      <c r="K33" s="977" t="str">
        <f>Translations!$B$1068</f>
        <v>Medžiaga – Natrio karbonatas</v>
      </c>
      <c r="L33" s="977" t="str">
        <f>Translations!$B$1069</f>
        <v>Medžiaga – Kalio karbonatas (potašas)</v>
      </c>
      <c r="M33" s="977" t="str">
        <f>Translations!$B$1070</f>
        <v>Medžiaga – CaCO3</v>
      </c>
      <c r="N33" s="977" t="str">
        <f>Translations!$B$1071</f>
        <v>Medžiaga – MgCO3</v>
      </c>
      <c r="O33" s="977" t="str">
        <f>Translations!$B$1072</f>
        <v>Medžiaga – Na2CO3</v>
      </c>
      <c r="P33" s="977" t="str">
        <f>Translations!$B$1073</f>
        <v>Medžiaga – BaCO3</v>
      </c>
      <c r="Q33" s="977" t="str">
        <f>Translations!$B$1074</f>
        <v>Medžiaga – Li2CO3</v>
      </c>
      <c r="R33" s="977" t="str">
        <f>Translations!$B$1075</f>
        <v>Medžiaga – K2CO3</v>
      </c>
      <c r="S33" s="977" t="str">
        <f>Translations!$B$1076</f>
        <v>Medžiaga – SrCO3</v>
      </c>
      <c r="T33" s="977" t="str">
        <f>Translations!$B$1077</f>
        <v>Medžiaga – NaHCO3</v>
      </c>
      <c r="U33" s="977" t="str">
        <f>Translations!$B$1078</f>
        <v>Medžiaga – FeCO3</v>
      </c>
      <c r="V33" s="977" t="str">
        <f>Translations!$B$1082</f>
        <v>Medžiaga – CaO</v>
      </c>
      <c r="W33" s="977" t="str">
        <f>Translations!$B$1083</f>
        <v>Medžiaga – MgO</v>
      </c>
      <c r="X33" s="977" t="str">
        <f>Translations!$B$1084</f>
        <v>Medžiaga – BaO</v>
      </c>
      <c r="Y33" s="979" t="str">
        <f>Translations!$B$1079</f>
        <v>Medžiaga – Kiti karbonatai</v>
      </c>
      <c r="Z33" s="979" t="str">
        <f>Translations!$B$1064</f>
        <v>Medžiaga – Kitos medžiagos</v>
      </c>
      <c r="AA33" s="979" t="str">
        <f>Translations!$B$999</f>
        <v>Dujinis – Gamtinės dujos</v>
      </c>
      <c r="AB33" s="979" t="str">
        <f>Translations!$B$1000</f>
        <v>Dujinis – Dujų gamyklos dujos</v>
      </c>
      <c r="AC33" s="979" t="str">
        <f>Translations!$B$1001</f>
        <v>Dujinis – Koksavimo dujos</v>
      </c>
      <c r="AD33" s="979" t="str">
        <f>Translations!$B$1002</f>
        <v>Dujinis – Aukštakrosnių dujos</v>
      </c>
      <c r="AE33" s="979" t="str">
        <f>Translations!$B$1003</f>
        <v>Dujinis – Deguoninių plieno aukštakrosnių dujos</v>
      </c>
      <c r="AF33" s="979" t="str">
        <f>Translations!$B$1004</f>
        <v>Dujinis – Biodujos</v>
      </c>
      <c r="AG33" s="979" t="str">
        <f>Translations!$B$1005</f>
        <v>Dujinis – Dumblo dujos</v>
      </c>
      <c r="AH33" s="979" t="str">
        <f>Translations!$B$1006</f>
        <v>Dujinis – Sąvartynų dujos</v>
      </c>
      <c r="AI33" s="979" t="str">
        <f>Translations!$B$1007</f>
        <v>Dujinis – Anglies monoksidas</v>
      </c>
      <c r="AJ33" s="979" t="str">
        <f>Translations!$B$1008</f>
        <v>Dujinis – Metanas</v>
      </c>
      <c r="AK33" s="979" t="str">
        <f>Translations!$B$988</f>
        <v>Dujinis – Etanas</v>
      </c>
      <c r="AL33" s="979" t="str">
        <f>Translations!$B$989</f>
        <v>Dujinis – Propanas</v>
      </c>
      <c r="AM33" s="979" t="str">
        <f>Translations!$B$990</f>
        <v>Dujinis – Butanas</v>
      </c>
      <c r="AN33" s="979" t="str">
        <f>Translations!$B$1009</f>
        <v>Dujinis – Kitų rūšių dujinis kuras</v>
      </c>
      <c r="AO33" s="979" t="str">
        <f>Translations!$B$1010</f>
        <v>Dujinis – Kitų rūšių dujinė biomasė</v>
      </c>
      <c r="AP33" s="979" t="str">
        <f>Translations!$B$991</f>
        <v>Skystasis – Dyzelinis krosnių kuras</v>
      </c>
      <c r="AQ33" s="979" t="str">
        <f>Translations!$B$1011</f>
        <v>Skystasis – Labai lengvos distiliacijos kuras</v>
      </c>
      <c r="AR33" s="979" t="str">
        <f>Translations!$B$1012</f>
        <v>Skystasis – Vidutinės distiliacijos kuras</v>
      </c>
      <c r="AS33" s="979" t="str">
        <f>Translations!$B$1013</f>
        <v>Skystasis – Sunkusis mazutas</v>
      </c>
      <c r="AT33" s="979" t="str">
        <f>Translations!$B$992</f>
        <v>Skystasis – Gazolis</v>
      </c>
      <c r="AU33" s="979" t="str">
        <f>Translations!$B$993</f>
        <v>Skystasis – Gazolinas</v>
      </c>
      <c r="AV33" s="979" t="str">
        <f>Translations!$B$994</f>
        <v>Skystasis – Valytas žibalas</v>
      </c>
      <c r="AW33" s="979" t="str">
        <f>Translations!$B$995</f>
        <v>Skystasis – Žibalas</v>
      </c>
      <c r="AX33" s="979" t="str">
        <f>Translations!$B$996</f>
        <v>Skystasis – Reaktyvinis žibalas (Jet A1 arba Jet A)</v>
      </c>
      <c r="AY33" s="979" t="str">
        <f>Translations!$B$997</f>
        <v>Skystasis – Reaktyvinis gazolinas (benzinas) (Jet B)</v>
      </c>
      <c r="AZ33" s="979" t="str">
        <f>Translations!$B$998</f>
        <v>Skystasis – Aviacinis gazolinas (benzinas) (AvGas)</v>
      </c>
      <c r="BA33" s="979" t="str">
        <f>Translations!$B$1014</f>
        <v>Skystasis – Suskystintosios naftos dujos</v>
      </c>
      <c r="BB33" s="979" t="str">
        <f>Translations!$B$1016</f>
        <v>Skystasis – Orimulsija</v>
      </c>
      <c r="BC33" s="979" t="str">
        <f>Translations!$B$1017</f>
        <v>Skystasis – Gamtinių dujų kondensatai</v>
      </c>
      <c r="BD33" s="979" t="str">
        <f>Translations!$B$1018</f>
        <v>Skystasis – Automobilinis benzinas</v>
      </c>
      <c r="BE33" s="979" t="str">
        <f>Translations!$B$1020</f>
        <v>Skystasis – Dujos ir (arba) dyzelinas</v>
      </c>
      <c r="BF33" s="979" t="str">
        <f>Translations!$B$1021</f>
        <v>Skystasis – Mazuto distiliavimo likutis</v>
      </c>
      <c r="BG33" s="979" t="str">
        <f>Translations!$B$1022</f>
        <v>Skystasis – Pirminis benzinas</v>
      </c>
      <c r="BH33" s="979" t="str">
        <f>Translations!$B$1023</f>
        <v>Skystasis – Tepalai</v>
      </c>
      <c r="BI33" s="979" t="str">
        <f>Translations!$B$1024</f>
        <v>Skystasis – Vaitspiritas ir SBP</v>
      </c>
      <c r="BJ33" s="979" t="str">
        <f>Translations!$B$1025</f>
        <v>Skystasis – Skalūnų alyva ir gudoniniai smėliai</v>
      </c>
      <c r="BK33" s="979" t="str">
        <f>Translations!$B$1026</f>
        <v>Skystasis – Akmens anglių briketai</v>
      </c>
      <c r="BL33" s="979" t="str">
        <f>Translations!$B$1027</f>
        <v>Skystasis – Alyvų atliekos</v>
      </c>
      <c r="BM33" s="979" t="str">
        <f>Translations!$B$1028</f>
        <v>Skystasis – Biobenzinas</v>
      </c>
      <c r="BN33" s="979" t="str">
        <f>Translations!$B$1029</f>
        <v>Skystasi – Biodyzelinas</v>
      </c>
      <c r="BO33" s="979" t="str">
        <f>Translations!$B$1030</f>
        <v>Skystasis – Bitumas</v>
      </c>
      <c r="BP33" s="979" t="str">
        <f>Translations!$B$1032</f>
        <v>Skystasis – Kitų rūšių skystasis kuras</v>
      </c>
      <c r="BQ33" s="979" t="str">
        <f>Translations!$B$1033</f>
        <v>Skystasis – Kitų rūšių skystoji biomasė</v>
      </c>
      <c r="BR33" s="979" t="str">
        <f>Translations!$B$1040</f>
        <v>Kietasis – Koksas</v>
      </c>
      <c r="BS33" s="979" t="str">
        <f>Translations!$B$1041</f>
        <v>Kietasis – Naftos koksas</v>
      </c>
      <c r="BT33" s="979" t="str">
        <f>Translations!$B$1042</f>
        <v>Kietasis – Akmens anglys</v>
      </c>
      <c r="BU33" s="979" t="str">
        <f>Translations!$B$1043</f>
        <v>Kietasis – Lignitas</v>
      </c>
      <c r="BV33" s="979" t="str">
        <f>Translations!$B$1044</f>
        <v>Kietasis – Antracitas</v>
      </c>
      <c r="BW33" s="979" t="str">
        <f>Translations!$B$1045</f>
        <v>Kietasis – Koksinės anglys</v>
      </c>
      <c r="BX33" s="979" t="str">
        <f>Translations!$B$1046</f>
        <v>Kietasis – Subbituminės akmens anglys</v>
      </c>
      <c r="BY33" s="979" t="str">
        <f>Translations!$B$1047</f>
        <v>Kietasis – Kitos bituminės akmens anglys</v>
      </c>
      <c r="BZ33" s="979" t="str">
        <f>Translations!$B$1048</f>
        <v>Kietasis – Dujinis koksas</v>
      </c>
      <c r="CA33" s="979" t="str">
        <f>Translations!$B$1049</f>
        <v>Kietasis – Parafinas</v>
      </c>
      <c r="CB33" s="979" t="str">
        <f>Translations!$B$1050</f>
        <v>Kietasis – Sulfatinės išviros</v>
      </c>
      <c r="CC33" s="979" t="str">
        <f>Translations!$B$1051</f>
        <v>Kietasis – Malkos</v>
      </c>
      <c r="CD33" s="977" t="str">
        <f>Translations!$B$1052</f>
        <v>Kietasis – Mediena (ne atliekos)</v>
      </c>
      <c r="CE33" s="978" t="str">
        <f>Translations!$B$1053</f>
        <v>Kietasis – Mediena (atliekos)</v>
      </c>
      <c r="CF33" s="979" t="str">
        <f>Translations!$B$1054</f>
        <v>Kietasis – Durpės</v>
      </c>
      <c r="CG33" s="979" t="str">
        <f>Translations!$B$1055</f>
        <v>Kietasis – Kanalizacijos dumblas</v>
      </c>
      <c r="CH33" s="979" t="str">
        <f>Translations!$B$1056</f>
        <v>Kietasis – Komunalinių nuotekų dumblas</v>
      </c>
      <c r="CI33" s="979" t="str">
        <f>Translations!$B$1057</f>
        <v>Kietasis – Akmens anglių degutas</v>
      </c>
      <c r="CJ33" s="979" t="str">
        <f>Translations!$B$1058</f>
        <v>Kietasis – Medžio anglys</v>
      </c>
      <c r="CK33" s="979" t="str">
        <f>Translations!$B$1059</f>
        <v>Kietasis – Panaudos padangos</v>
      </c>
      <c r="CL33" s="979" t="str">
        <f>Translations!$B$1060</f>
        <v>Kietasis – Kitų rūšių kietasis kuras</v>
      </c>
      <c r="CM33" s="979" t="str">
        <f>Translations!$B$1061</f>
        <v>Kietasis – Kitų rūšių kietoji biomasė</v>
      </c>
      <c r="CN33" s="979" t="str">
        <f>Translations!$B$1034</f>
        <v>Atliekos – Komunalinės ir pramoninės atliekos</v>
      </c>
      <c r="CO33" s="979" t="str">
        <f>Translations!$B$1035</f>
        <v>Atliekos – Pramoninės atliekos</v>
      </c>
      <c r="CP33" s="979" t="str">
        <f>Translations!$B$157</f>
        <v>netaik.</v>
      </c>
      <c r="CQ33" s="979" t="str">
        <f>Translations!$B$157</f>
        <v>netaik.</v>
      </c>
      <c r="CR33" s="979" t="str">
        <f>Translations!$B$157</f>
        <v>netaik.</v>
      </c>
      <c r="CS33" s="979" t="str">
        <f>Translations!$B$157</f>
        <v>netaik.</v>
      </c>
      <c r="CT33" s="979" t="str">
        <f>Translations!$B$157</f>
        <v>netaik.</v>
      </c>
      <c r="CU33" s="979" t="str">
        <f>Translations!$B$157</f>
        <v>netaik.</v>
      </c>
      <c r="CV33" s="979" t="str">
        <f>Translations!$B$157</f>
        <v>netaik.</v>
      </c>
      <c r="CW33" s="979" t="str">
        <f>Translations!$B$157</f>
        <v>netaik.</v>
      </c>
      <c r="CX33" s="979" t="str">
        <f>Translations!$B$157</f>
        <v>netaik.</v>
      </c>
      <c r="CY33" s="979" t="str">
        <f>Translations!$B$157</f>
        <v>netaik.</v>
      </c>
      <c r="CZ33" s="979" t="str">
        <f>Translations!$B$157</f>
        <v>netaik.</v>
      </c>
      <c r="DA33" s="979" t="str">
        <f>Translations!$B$157</f>
        <v>netaik.</v>
      </c>
      <c r="DB33" s="979" t="str">
        <f>Translations!$B$157</f>
        <v>netaik.</v>
      </c>
    </row>
    <row r="34" spans="1:106" ht="13.5" thickBot="1" x14ac:dyDescent="0.25">
      <c r="A34" s="481">
        <v>17</v>
      </c>
      <c r="B34" s="371" t="str">
        <f t="shared" si="0"/>
        <v>Geležis ir plienas: Kuras kaip proceso žaliava</v>
      </c>
      <c r="C34" s="371"/>
      <c r="D34" s="373"/>
      <c r="E34" s="817" t="str">
        <f t="shared" ca="1" si="1"/>
        <v>MSParameters!$G$34:$BW$34</v>
      </c>
      <c r="F34" s="904"/>
      <c r="G34" s="976" t="str">
        <f>Translations!$B$999</f>
        <v>Dujinis – Gamtinės dujos</v>
      </c>
      <c r="H34" s="977" t="str">
        <f>Translations!$B$1000</f>
        <v>Dujinis – Dujų gamyklos dujos</v>
      </c>
      <c r="I34" s="977" t="str">
        <f>Translations!$B$1001</f>
        <v>Dujinis – Koksavimo dujos</v>
      </c>
      <c r="J34" s="977" t="str">
        <f>Translations!$B$1002</f>
        <v>Dujinis – Aukštakrosnių dujos</v>
      </c>
      <c r="K34" s="977" t="str">
        <f>Translations!$B$1003</f>
        <v>Dujinis – Deguoninių plieno aukštakrosnių dujos</v>
      </c>
      <c r="L34" s="977" t="str">
        <f>Translations!$B$1004</f>
        <v>Dujinis – Biodujos</v>
      </c>
      <c r="M34" s="977" t="str">
        <f>Translations!$B$1005</f>
        <v>Dujinis – Dumblo dujos</v>
      </c>
      <c r="N34" s="977" t="str">
        <f>Translations!$B$1006</f>
        <v>Dujinis – Sąvartynų dujos</v>
      </c>
      <c r="O34" s="977" t="str">
        <f>Translations!$B$1007</f>
        <v>Dujinis – Anglies monoksidas</v>
      </c>
      <c r="P34" s="977" t="str">
        <f>Translations!$B$1008</f>
        <v>Dujinis – Metanas</v>
      </c>
      <c r="Q34" s="977" t="str">
        <f>Translations!$B$988</f>
        <v>Dujinis – Etanas</v>
      </c>
      <c r="R34" s="977" t="str">
        <f>Translations!$B$989</f>
        <v>Dujinis – Propanas</v>
      </c>
      <c r="S34" s="979" t="str">
        <f>Translations!$B$990</f>
        <v>Dujinis – Butanas</v>
      </c>
      <c r="T34" s="979" t="str">
        <f>Translations!$B$1009</f>
        <v>Dujinis – Kitų rūšių dujinis kuras</v>
      </c>
      <c r="U34" s="979" t="str">
        <f>Translations!$B$1010</f>
        <v>Dujinis – Kitų rūšių dujinė biomasė</v>
      </c>
      <c r="V34" s="979" t="str">
        <f>Translations!$B$991</f>
        <v>Skystasis – Dyzelinis krosnių kuras</v>
      </c>
      <c r="W34" s="979" t="str">
        <f>Translations!$B$1011</f>
        <v>Skystasis – Labai lengvos distiliacijos kuras</v>
      </c>
      <c r="X34" s="979" t="str">
        <f>Translations!$B$1012</f>
        <v>Skystasis – Vidutinės distiliacijos kuras</v>
      </c>
      <c r="Y34" s="979" t="str">
        <f>Translations!$B$1013</f>
        <v>Skystasis – Sunkusis mazutas</v>
      </c>
      <c r="Z34" s="979" t="str">
        <f>Translations!$B$992</f>
        <v>Skystasis – Gazolis</v>
      </c>
      <c r="AA34" s="979" t="str">
        <f>Translations!$B$993</f>
        <v>Skystasis – Gazolinas</v>
      </c>
      <c r="AB34" s="979" t="str">
        <f>Translations!$B$994</f>
        <v>Skystasis – Valytas žibalas</v>
      </c>
      <c r="AC34" s="979" t="str">
        <f>Translations!$B$995</f>
        <v>Skystasis – Žibalas</v>
      </c>
      <c r="AD34" s="979" t="str">
        <f>Translations!$B$996</f>
        <v>Skystasis – Reaktyvinis žibalas (Jet A1 arba Jet A)</v>
      </c>
      <c r="AE34" s="979" t="str">
        <f>Translations!$B$997</f>
        <v>Skystasis – Reaktyvinis gazolinas (benzinas) (Jet B)</v>
      </c>
      <c r="AF34" s="979" t="str">
        <f>Translations!$B$998</f>
        <v>Skystasis – Aviacinis gazolinas (benzinas) (AvGas)</v>
      </c>
      <c r="AG34" s="979" t="str">
        <f>Translations!$B$1014</f>
        <v>Skystasis – Suskystintosios naftos dujos</v>
      </c>
      <c r="AH34" s="977" t="str">
        <f>Translations!$B$1015</f>
        <v>Skystasis – Žalia nafta</v>
      </c>
      <c r="AI34" s="977" t="str">
        <f>Translations!$B$1016</f>
        <v>Skystasis – Orimulsija</v>
      </c>
      <c r="AJ34" s="977" t="str">
        <f>Translations!$B$1017</f>
        <v>Skystasis – Gamtinių dujų kondensatai</v>
      </c>
      <c r="AK34" s="977" t="str">
        <f>Translations!$B$1018</f>
        <v>Skystasis – Automobilinis benzinas</v>
      </c>
      <c r="AL34" s="979" t="str">
        <f>Translations!$B$1019</f>
        <v>Skystasis – Skalūnų alyva</v>
      </c>
      <c r="AM34" s="979" t="str">
        <f>Translations!$B$1020</f>
        <v>Skystasis – Dujos ir (arba) dyzelinas</v>
      </c>
      <c r="AN34" s="979" t="str">
        <f>Translations!$B$1021</f>
        <v>Skystasis – Mazuto distiliavimo likutis</v>
      </c>
      <c r="AO34" s="979" t="str">
        <f>Translations!$B$1022</f>
        <v>Skystasis – Pirminis benzinas</v>
      </c>
      <c r="AP34" s="979" t="str">
        <f>Translations!$B$1023</f>
        <v>Skystasis – Tepalai</v>
      </c>
      <c r="AQ34" s="979" t="str">
        <f>Translations!$B$1024</f>
        <v>Skystasis – Vaitspiritas ir SBP</v>
      </c>
      <c r="AR34" s="979" t="str">
        <f>Translations!$B$1025</f>
        <v>Skystasis – Skalūnų alyva ir gudoniniai smėliai</v>
      </c>
      <c r="AS34" s="979" t="str">
        <f>Translations!$B$1026</f>
        <v>Skystasis – Akmens anglių briketai</v>
      </c>
      <c r="AT34" s="979" t="str">
        <f>Translations!$B$1027</f>
        <v>Skystasis – Alyvų atliekos</v>
      </c>
      <c r="AU34" s="979" t="str">
        <f>Translations!$B$1028</f>
        <v>Skystasis – Biobenzinas</v>
      </c>
      <c r="AV34" s="979" t="str">
        <f>Translations!$B$1029</f>
        <v>Skystasi – Biodyzelinas</v>
      </c>
      <c r="AW34" s="979" t="str">
        <f>Translations!$B$1030</f>
        <v>Skystasis – Bitumas</v>
      </c>
      <c r="AX34" s="979" t="str">
        <f>Translations!$B$1032</f>
        <v>Skystasis – Kitų rūšių skystasis kuras</v>
      </c>
      <c r="AY34" s="979" t="str">
        <f>Translations!$B$1033</f>
        <v>Skystasis – Kitų rūšių skystoji biomasė</v>
      </c>
      <c r="AZ34" s="979" t="str">
        <f>Translations!$B$1040</f>
        <v>Kietasis – Koksas</v>
      </c>
      <c r="BA34" s="979" t="str">
        <f>Translations!$B$1041</f>
        <v>Kietasis – Naftos koksas</v>
      </c>
      <c r="BB34" s="979" t="str">
        <f>Translations!$B$1042</f>
        <v>Kietasis – Akmens anglys</v>
      </c>
      <c r="BC34" s="979" t="str">
        <f>Translations!$B$1043</f>
        <v>Kietasis – Lignitas</v>
      </c>
      <c r="BD34" s="979" t="str">
        <f>Translations!$B$1044</f>
        <v>Kietasis – Antracitas</v>
      </c>
      <c r="BE34" s="979" t="str">
        <f>Translations!$B$1045</f>
        <v>Kietasis – Koksinės anglys</v>
      </c>
      <c r="BF34" s="979" t="str">
        <f>Translations!$B$1046</f>
        <v>Kietasis – Subbituminės akmens anglys</v>
      </c>
      <c r="BG34" s="979" t="str">
        <f>Translations!$B$1047</f>
        <v>Kietasis – Kitos bituminės akmens anglys</v>
      </c>
      <c r="BH34" s="979" t="str">
        <f>Translations!$B$1048</f>
        <v>Kietasis – Dujinis koksas</v>
      </c>
      <c r="BI34" s="979" t="str">
        <f>Translations!$B$1049</f>
        <v>Kietasis – Parafinas</v>
      </c>
      <c r="BJ34" s="979" t="str">
        <f>Translations!$B$1050</f>
        <v>Kietasis – Sulfatinės išviros</v>
      </c>
      <c r="BK34" s="979" t="str">
        <f>Translations!$B$1051</f>
        <v>Kietasis – Malkos</v>
      </c>
      <c r="BL34" s="979" t="str">
        <f>Translations!$B$1052</f>
        <v>Kietasis – Mediena (ne atliekos)</v>
      </c>
      <c r="BM34" s="979" t="str">
        <f>Translations!$B$1053</f>
        <v>Kietasis – Mediena (atliekos)</v>
      </c>
      <c r="BN34" s="979" t="str">
        <f>Translations!$B$1054</f>
        <v>Kietasis – Durpės</v>
      </c>
      <c r="BO34" s="979" t="str">
        <f>Translations!$B$1055</f>
        <v>Kietasis – Kanalizacijos dumblas</v>
      </c>
      <c r="BP34" s="979" t="str">
        <f>Translations!$B$1056</f>
        <v>Kietasis – Komunalinių nuotekų dumblas</v>
      </c>
      <c r="BQ34" s="979" t="str">
        <f>Translations!$B$1057</f>
        <v>Kietasis – Akmens anglių degutas</v>
      </c>
      <c r="BR34" s="979" t="str">
        <f>Translations!$B$1058</f>
        <v>Kietasis – Medžio anglys</v>
      </c>
      <c r="BS34" s="979" t="str">
        <f>Translations!$B$1059</f>
        <v>Kietasis – Panaudos padangos</v>
      </c>
      <c r="BT34" s="979" t="str">
        <f>Translations!$B$1060</f>
        <v>Kietasis – Kitų rūšių kietasis kuras</v>
      </c>
      <c r="BU34" s="979" t="str">
        <f>Translations!$B$1061</f>
        <v>Kietasis – Kitų rūšių kietoji biomasė</v>
      </c>
      <c r="BV34" s="979" t="str">
        <f>Translations!$B$1034</f>
        <v>Atliekos – Komunalinės ir pramoninės atliekos</v>
      </c>
      <c r="BW34" s="979" t="str">
        <f>Translations!$B$1035</f>
        <v>Atliekos – Pramoninės atliekos</v>
      </c>
      <c r="BX34" s="979" t="str">
        <f>Translations!$B$157</f>
        <v>netaik.</v>
      </c>
      <c r="BY34" s="979" t="str">
        <f>Translations!$B$157</f>
        <v>netaik.</v>
      </c>
      <c r="BZ34" s="979" t="str">
        <f>Translations!$B$157</f>
        <v>netaik.</v>
      </c>
      <c r="CA34" s="979" t="str">
        <f>Translations!$B$157</f>
        <v>netaik.</v>
      </c>
      <c r="CB34" s="979" t="str">
        <f>Translations!$B$157</f>
        <v>netaik.</v>
      </c>
      <c r="CC34" s="979" t="str">
        <f>Translations!$B$157</f>
        <v>netaik.</v>
      </c>
      <c r="CD34" s="977" t="str">
        <f>Translations!$B$157</f>
        <v>netaik.</v>
      </c>
      <c r="CE34" s="978" t="str">
        <f>Translations!$B$157</f>
        <v>netaik.</v>
      </c>
      <c r="CF34" s="979" t="str">
        <f>Translations!$B$157</f>
        <v>netaik.</v>
      </c>
      <c r="CG34" s="979" t="str">
        <f>Translations!$B$157</f>
        <v>netaik.</v>
      </c>
      <c r="CH34" s="979" t="str">
        <f>Translations!$B$157</f>
        <v>netaik.</v>
      </c>
      <c r="CI34" s="979" t="str">
        <f>Translations!$B$157</f>
        <v>netaik.</v>
      </c>
      <c r="CJ34" s="979" t="str">
        <f>Translations!$B$157</f>
        <v>netaik.</v>
      </c>
      <c r="CK34" s="979" t="str">
        <f>Translations!$B$157</f>
        <v>netaik.</v>
      </c>
      <c r="CL34" s="979" t="str">
        <f>Translations!$B$157</f>
        <v>netaik.</v>
      </c>
      <c r="CM34" s="979" t="str">
        <f>Translations!$B$157</f>
        <v>netaik.</v>
      </c>
      <c r="CN34" s="979" t="str">
        <f>Translations!$B$157</f>
        <v>netaik.</v>
      </c>
      <c r="CO34" s="979" t="str">
        <f>Translations!$B$157</f>
        <v>netaik.</v>
      </c>
      <c r="CP34" s="979" t="str">
        <f>Translations!$B$157</f>
        <v>netaik.</v>
      </c>
      <c r="CQ34" s="979" t="str">
        <f>Translations!$B$157</f>
        <v>netaik.</v>
      </c>
      <c r="CR34" s="979" t="str">
        <f>Translations!$B$157</f>
        <v>netaik.</v>
      </c>
      <c r="CS34" s="979" t="str">
        <f>Translations!$B$157</f>
        <v>netaik.</v>
      </c>
      <c r="CT34" s="979" t="str">
        <f>Translations!$B$157</f>
        <v>netaik.</v>
      </c>
      <c r="CU34" s="979" t="str">
        <f>Translations!$B$157</f>
        <v>netaik.</v>
      </c>
      <c r="CV34" s="979" t="str">
        <f>Translations!$B$157</f>
        <v>netaik.</v>
      </c>
      <c r="CW34" s="979" t="str">
        <f>Translations!$B$157</f>
        <v>netaik.</v>
      </c>
      <c r="CX34" s="979" t="str">
        <f>Translations!$B$157</f>
        <v>netaik.</v>
      </c>
      <c r="CY34" s="979" t="str">
        <f>Translations!$B$157</f>
        <v>netaik.</v>
      </c>
      <c r="CZ34" s="979" t="str">
        <f>Translations!$B$157</f>
        <v>netaik.</v>
      </c>
      <c r="DA34" s="979" t="str">
        <f>Translations!$B$157</f>
        <v>netaik.</v>
      </c>
      <c r="DB34" s="979" t="str">
        <f>Translations!$B$157</f>
        <v>netaik.</v>
      </c>
    </row>
    <row r="35" spans="1:106" ht="13.5" thickBot="1" x14ac:dyDescent="0.25">
      <c r="A35" s="481">
        <v>18</v>
      </c>
      <c r="B35" s="371" t="str">
        <f t="shared" si="0"/>
        <v>Geležis ir plienas: Karbonatų sąnaudos</v>
      </c>
      <c r="C35" s="371"/>
      <c r="D35" s="373"/>
      <c r="E35" s="817" t="str">
        <f t="shared" ca="1" si="1"/>
        <v>MSParameters!$G$35:$U$35</v>
      </c>
      <c r="F35" s="904"/>
      <c r="G35" s="976" t="str">
        <f>Translations!$B$1065</f>
        <v>Medžiaga – Kalkakmenis</v>
      </c>
      <c r="H35" s="977" t="str">
        <f>Translations!$B$1066</f>
        <v>Medžiaga – Dolomitas</v>
      </c>
      <c r="I35" s="977" t="str">
        <f>Translations!$B$1067</f>
        <v>Medžiaga – Natrio vandenilio karbonatas</v>
      </c>
      <c r="J35" s="977" t="str">
        <f>Translations!$B$1068</f>
        <v>Medžiaga – Natrio karbonatas</v>
      </c>
      <c r="K35" s="977" t="str">
        <f>Translations!$B$1069</f>
        <v>Medžiaga – Kalio karbonatas (potašas)</v>
      </c>
      <c r="L35" s="977" t="str">
        <f>Translations!$B$1070</f>
        <v>Medžiaga – CaCO3</v>
      </c>
      <c r="M35" s="977" t="str">
        <f>Translations!$B$1071</f>
        <v>Medžiaga – MgCO3</v>
      </c>
      <c r="N35" s="977" t="str">
        <f>Translations!$B$1072</f>
        <v>Medžiaga – Na2CO3</v>
      </c>
      <c r="O35" s="977" t="str">
        <f>Translations!$B$1073</f>
        <v>Medžiaga – BaCO3</v>
      </c>
      <c r="P35" s="977" t="str">
        <f>Translations!$B$1074</f>
        <v>Medžiaga – Li2CO3</v>
      </c>
      <c r="Q35" s="977" t="str">
        <f>Translations!$B$1075</f>
        <v>Medžiaga – K2CO3</v>
      </c>
      <c r="R35" s="977" t="str">
        <f>Translations!$B$1076</f>
        <v>Medžiaga – SrCO3</v>
      </c>
      <c r="S35" s="977" t="str">
        <f>Translations!$B$1077</f>
        <v>Medžiaga – NaHCO3</v>
      </c>
      <c r="T35" s="977" t="str">
        <f>Translations!$B$1078</f>
        <v>Medžiaga – FeCO3</v>
      </c>
      <c r="U35" s="977" t="str">
        <f>Translations!$B$1079</f>
        <v>Medžiaga – Kiti karbonatai</v>
      </c>
      <c r="V35" s="977" t="str">
        <f>Translations!$B$157</f>
        <v>netaik.</v>
      </c>
      <c r="W35" s="977" t="str">
        <f>Translations!$B$157</f>
        <v>netaik.</v>
      </c>
      <c r="X35" s="977" t="str">
        <f>Translations!$B$157</f>
        <v>netaik.</v>
      </c>
      <c r="Y35" s="977" t="str">
        <f>Translations!$B$157</f>
        <v>netaik.</v>
      </c>
      <c r="Z35" s="977" t="str">
        <f>Translations!$B$157</f>
        <v>netaik.</v>
      </c>
      <c r="AA35" s="977" t="str">
        <f>Translations!$B$157</f>
        <v>netaik.</v>
      </c>
      <c r="AB35" s="977" t="str">
        <f>Translations!$B$157</f>
        <v>netaik.</v>
      </c>
      <c r="AC35" s="977" t="str">
        <f>Translations!$B$157</f>
        <v>netaik.</v>
      </c>
      <c r="AD35" s="977" t="str">
        <f>Translations!$B$157</f>
        <v>netaik.</v>
      </c>
      <c r="AE35" s="977" t="str">
        <f>Translations!$B$157</f>
        <v>netaik.</v>
      </c>
      <c r="AF35" s="977" t="str">
        <f>Translations!$B$157</f>
        <v>netaik.</v>
      </c>
      <c r="AG35" s="977" t="str">
        <f>Translations!$B$157</f>
        <v>netaik.</v>
      </c>
      <c r="AH35" s="977" t="str">
        <f>Translations!$B$157</f>
        <v>netaik.</v>
      </c>
      <c r="AI35" s="977" t="str">
        <f>Translations!$B$157</f>
        <v>netaik.</v>
      </c>
      <c r="AJ35" s="977" t="str">
        <f>Translations!$B$157</f>
        <v>netaik.</v>
      </c>
      <c r="AK35" s="977" t="str">
        <f>Translations!$B$157</f>
        <v>netaik.</v>
      </c>
      <c r="AL35" s="977" t="str">
        <f>Translations!$B$157</f>
        <v>netaik.</v>
      </c>
      <c r="AM35" s="977" t="str">
        <f>Translations!$B$157</f>
        <v>netaik.</v>
      </c>
      <c r="AN35" s="977" t="str">
        <f>Translations!$B$157</f>
        <v>netaik.</v>
      </c>
      <c r="AO35" s="977" t="str">
        <f>Translations!$B$157</f>
        <v>netaik.</v>
      </c>
      <c r="AP35" s="977" t="str">
        <f>Translations!$B$157</f>
        <v>netaik.</v>
      </c>
      <c r="AQ35" s="977" t="str">
        <f>Translations!$B$157</f>
        <v>netaik.</v>
      </c>
      <c r="AR35" s="977" t="str">
        <f>Translations!$B$157</f>
        <v>netaik.</v>
      </c>
      <c r="AS35" s="977" t="str">
        <f>Translations!$B$157</f>
        <v>netaik.</v>
      </c>
      <c r="AT35" s="977" t="str">
        <f>Translations!$B$157</f>
        <v>netaik.</v>
      </c>
      <c r="AU35" s="977" t="str">
        <f>Translations!$B$157</f>
        <v>netaik.</v>
      </c>
      <c r="AV35" s="977" t="str">
        <f>Translations!$B$157</f>
        <v>netaik.</v>
      </c>
      <c r="AW35" s="977" t="str">
        <f>Translations!$B$157</f>
        <v>netaik.</v>
      </c>
      <c r="AX35" s="977" t="str">
        <f>Translations!$B$157</f>
        <v>netaik.</v>
      </c>
      <c r="AY35" s="977" t="str">
        <f>Translations!$B$157</f>
        <v>netaik.</v>
      </c>
      <c r="AZ35" s="977" t="str">
        <f>Translations!$B$157</f>
        <v>netaik.</v>
      </c>
      <c r="BA35" s="977" t="str">
        <f>Translations!$B$157</f>
        <v>netaik.</v>
      </c>
      <c r="BB35" s="977" t="str">
        <f>Translations!$B$157</f>
        <v>netaik.</v>
      </c>
      <c r="BC35" s="977" t="str">
        <f>Translations!$B$157</f>
        <v>netaik.</v>
      </c>
      <c r="BD35" s="977" t="str">
        <f>Translations!$B$157</f>
        <v>netaik.</v>
      </c>
      <c r="BE35" s="977" t="str">
        <f>Translations!$B$157</f>
        <v>netaik.</v>
      </c>
      <c r="BF35" s="977" t="str">
        <f>Translations!$B$157</f>
        <v>netaik.</v>
      </c>
      <c r="BG35" s="977" t="str">
        <f>Translations!$B$157</f>
        <v>netaik.</v>
      </c>
      <c r="BH35" s="977" t="str">
        <f>Translations!$B$157</f>
        <v>netaik.</v>
      </c>
      <c r="BI35" s="977" t="str">
        <f>Translations!$B$157</f>
        <v>netaik.</v>
      </c>
      <c r="BJ35" s="977" t="str">
        <f>Translations!$B$157</f>
        <v>netaik.</v>
      </c>
      <c r="BK35" s="977" t="str">
        <f>Translations!$B$157</f>
        <v>netaik.</v>
      </c>
      <c r="BL35" s="977" t="str">
        <f>Translations!$B$157</f>
        <v>netaik.</v>
      </c>
      <c r="BM35" s="977" t="str">
        <f>Translations!$B$157</f>
        <v>netaik.</v>
      </c>
      <c r="BN35" s="977" t="str">
        <f>Translations!$B$157</f>
        <v>netaik.</v>
      </c>
      <c r="BO35" s="977" t="str">
        <f>Translations!$B$157</f>
        <v>netaik.</v>
      </c>
      <c r="BP35" s="977" t="str">
        <f>Translations!$B$157</f>
        <v>netaik.</v>
      </c>
      <c r="BQ35" s="977" t="str">
        <f>Translations!$B$157</f>
        <v>netaik.</v>
      </c>
      <c r="BR35" s="977" t="str">
        <f>Translations!$B$157</f>
        <v>netaik.</v>
      </c>
      <c r="BS35" s="977" t="str">
        <f>Translations!$B$157</f>
        <v>netaik.</v>
      </c>
      <c r="BT35" s="977" t="str">
        <f>Translations!$B$157</f>
        <v>netaik.</v>
      </c>
      <c r="BU35" s="977" t="str">
        <f>Translations!$B$157</f>
        <v>netaik.</v>
      </c>
      <c r="BV35" s="977" t="str">
        <f>Translations!$B$157</f>
        <v>netaik.</v>
      </c>
      <c r="BW35" s="977" t="str">
        <f>Translations!$B$157</f>
        <v>netaik.</v>
      </c>
      <c r="BX35" s="977" t="str">
        <f>Translations!$B$157</f>
        <v>netaik.</v>
      </c>
      <c r="BY35" s="977" t="str">
        <f>Translations!$B$157</f>
        <v>netaik.</v>
      </c>
      <c r="BZ35" s="977" t="str">
        <f>Translations!$B$157</f>
        <v>netaik.</v>
      </c>
      <c r="CA35" s="977" t="str">
        <f>Translations!$B$157</f>
        <v>netaik.</v>
      </c>
      <c r="CB35" s="977" t="str">
        <f>Translations!$B$157</f>
        <v>netaik.</v>
      </c>
      <c r="CC35" s="977" t="str">
        <f>Translations!$B$157</f>
        <v>netaik.</v>
      </c>
      <c r="CD35" s="977" t="str">
        <f>Translations!$B$157</f>
        <v>netaik.</v>
      </c>
      <c r="CE35" s="978" t="str">
        <f>Translations!$B$157</f>
        <v>netaik.</v>
      </c>
      <c r="CF35" s="977" t="str">
        <f>Translations!$B$157</f>
        <v>netaik.</v>
      </c>
      <c r="CG35" s="977" t="str">
        <f>Translations!$B$157</f>
        <v>netaik.</v>
      </c>
      <c r="CH35" s="977" t="str">
        <f>Translations!$B$157</f>
        <v>netaik.</v>
      </c>
      <c r="CI35" s="977" t="str">
        <f>Translations!$B$157</f>
        <v>netaik.</v>
      </c>
      <c r="CJ35" s="977" t="str">
        <f>Translations!$B$157</f>
        <v>netaik.</v>
      </c>
      <c r="CK35" s="977" t="str">
        <f>Translations!$B$157</f>
        <v>netaik.</v>
      </c>
      <c r="CL35" s="977" t="str">
        <f>Translations!$B$157</f>
        <v>netaik.</v>
      </c>
      <c r="CM35" s="977" t="str">
        <f>Translations!$B$157</f>
        <v>netaik.</v>
      </c>
      <c r="CN35" s="977" t="str">
        <f>Translations!$B$157</f>
        <v>netaik.</v>
      </c>
      <c r="CO35" s="977" t="str">
        <f>Translations!$B$157</f>
        <v>netaik.</v>
      </c>
      <c r="CP35" s="977" t="str">
        <f>Translations!$B$157</f>
        <v>netaik.</v>
      </c>
      <c r="CQ35" s="977" t="str">
        <f>Translations!$B$157</f>
        <v>netaik.</v>
      </c>
      <c r="CR35" s="977" t="str">
        <f>Translations!$B$157</f>
        <v>netaik.</v>
      </c>
      <c r="CS35" s="977" t="str">
        <f>Translations!$B$157</f>
        <v>netaik.</v>
      </c>
      <c r="CT35" s="977" t="str">
        <f>Translations!$B$157</f>
        <v>netaik.</v>
      </c>
      <c r="CU35" s="977" t="str">
        <f>Translations!$B$157</f>
        <v>netaik.</v>
      </c>
      <c r="CV35" s="977" t="str">
        <f>Translations!$B$157</f>
        <v>netaik.</v>
      </c>
      <c r="CW35" s="977" t="str">
        <f>Translations!$B$157</f>
        <v>netaik.</v>
      </c>
      <c r="CX35" s="977" t="str">
        <f>Translations!$B$157</f>
        <v>netaik.</v>
      </c>
      <c r="CY35" s="977" t="str">
        <f>Translations!$B$157</f>
        <v>netaik.</v>
      </c>
      <c r="CZ35" s="977" t="str">
        <f>Translations!$B$157</f>
        <v>netaik.</v>
      </c>
      <c r="DA35" s="977" t="str">
        <f>Translations!$B$157</f>
        <v>netaik.</v>
      </c>
      <c r="DB35" s="977" t="str">
        <f>Translations!$B$157</f>
        <v>netaik.</v>
      </c>
    </row>
    <row r="36" spans="1:106" ht="13.5" thickBot="1" x14ac:dyDescent="0.25">
      <c r="A36" s="481">
        <v>19</v>
      </c>
      <c r="B36" s="371" t="str">
        <f t="shared" si="0"/>
        <v>Geležis ir plienas: Masės balansas</v>
      </c>
      <c r="C36" s="371"/>
      <c r="D36" s="373"/>
      <c r="E36" s="817" t="str">
        <f t="shared" ca="1" si="1"/>
        <v>MSParameters!$G$36:$DA$36</v>
      </c>
      <c r="F36" s="904"/>
      <c r="G36" s="976" t="str">
        <f>Translations!$B$1065</f>
        <v>Medžiaga – Kalkakmenis</v>
      </c>
      <c r="H36" s="977" t="str">
        <f>Translations!$B$1066</f>
        <v>Medžiaga – Dolomitas</v>
      </c>
      <c r="I36" s="977" t="str">
        <f>Translations!$B$1067</f>
        <v>Medžiaga – Natrio vandenilio karbonatas</v>
      </c>
      <c r="J36" s="977" t="str">
        <f>Translations!$B$1088</f>
        <v>Medžiaga – Metalo laužas</v>
      </c>
      <c r="K36" s="977" t="str">
        <f>Translations!$B$1089</f>
        <v>Medžiaga – Geležies rūdos</v>
      </c>
      <c r="L36" s="977" t="str">
        <f>Translations!$B$1093</f>
        <v>Medžiaga – Tiesiogiai redukuojama geležis</v>
      </c>
      <c r="M36" s="977" t="str">
        <f>Translations!$B$1094</f>
        <v>Medžiaga – EAF anglies elektrodai</v>
      </c>
      <c r="N36" s="977" t="str">
        <f>Translations!$B$1095</f>
        <v>Medžiaga – EAF krūvio anglis</v>
      </c>
      <c r="O36" s="977" t="str">
        <f>Translations!$B$1096</f>
        <v>Medžiaga – Karštojo briketavimo geležis</v>
      </c>
      <c r="P36" s="977" t="str">
        <f>Translations!$B$1097</f>
        <v>Medžiaga – Perkama geležis luitais</v>
      </c>
      <c r="Q36" s="977" t="str">
        <f>Translations!$B$1098</f>
        <v>Medžiaga – Plienas</v>
      </c>
      <c r="R36" s="977" t="str">
        <f>Translations!$B$1099</f>
        <v>Medžiaga – Plieno laužas</v>
      </c>
      <c r="S36" s="977" t="str">
        <f>Translations!$B$1100</f>
        <v>Medžiaga – Išlydytas metalas</v>
      </c>
      <c r="T36" s="977" t="str">
        <f>Translations!$B$1101</f>
        <v>Medžiaga – Lydžiosios sudedamosios dalys</v>
      </c>
      <c r="U36" s="977" t="str">
        <f>Translations!$B$1090</f>
        <v>Medžiaga – Aukštakrosnių šlakas</v>
      </c>
      <c r="V36" s="977" t="str">
        <f>Translations!$B$1091</f>
        <v>Medžiaga – Kitų rūšių šlakas</v>
      </c>
      <c r="W36" s="977" t="str">
        <f>Translations!$B$1068</f>
        <v>Medžiaga – Natrio karbonatas</v>
      </c>
      <c r="X36" s="977" t="str">
        <f>Translations!$B$1069</f>
        <v>Medžiaga – Kalio karbonatas (potašas)</v>
      </c>
      <c r="Y36" s="977" t="str">
        <f>Translations!$B$1070</f>
        <v>Medžiaga – CaCO3</v>
      </c>
      <c r="Z36" s="977" t="str">
        <f>Translations!$B$1071</f>
        <v>Medžiaga – MgCO3</v>
      </c>
      <c r="AA36" s="977" t="str">
        <f>Translations!$B$1072</f>
        <v>Medžiaga – Na2CO3</v>
      </c>
      <c r="AB36" s="977" t="str">
        <f>Translations!$B$1073</f>
        <v>Medžiaga – BaCO3</v>
      </c>
      <c r="AC36" s="977" t="str">
        <f>Translations!$B$1074</f>
        <v>Medžiaga – Li2CO3</v>
      </c>
      <c r="AD36" s="977" t="str">
        <f>Translations!$B$1075</f>
        <v>Medžiaga – K2CO3</v>
      </c>
      <c r="AE36" s="977" t="str">
        <f>Translations!$B$1076</f>
        <v>Medžiaga – SrCO3</v>
      </c>
      <c r="AF36" s="977" t="str">
        <f>Translations!$B$1077</f>
        <v>Medžiaga – NaHCO3</v>
      </c>
      <c r="AG36" s="979" t="str">
        <f>Translations!$B$1078</f>
        <v>Medžiaga – FeCO3</v>
      </c>
      <c r="AH36" s="979" t="str">
        <f>Translations!$B$1082</f>
        <v>Medžiaga – CaO</v>
      </c>
      <c r="AI36" s="979" t="str">
        <f>Translations!$B$1083</f>
        <v>Medžiaga – MgO</v>
      </c>
      <c r="AJ36" s="979" t="str">
        <f>Translations!$B$1084</f>
        <v>Medžiaga – BaO</v>
      </c>
      <c r="AK36" s="979" t="str">
        <f>Translations!$B$1079</f>
        <v>Medžiaga – Kiti karbonatai</v>
      </c>
      <c r="AL36" s="979" t="str">
        <f>Translations!$B$1064</f>
        <v>Medžiaga – Kitos medžiagos</v>
      </c>
      <c r="AM36" s="979" t="str">
        <f>Translations!$B$999</f>
        <v>Dujinis – Gamtinės dujos</v>
      </c>
      <c r="AN36" s="979" t="str">
        <f>Translations!$B$1000</f>
        <v>Dujinis – Dujų gamyklos dujos</v>
      </c>
      <c r="AO36" s="979" t="str">
        <f>Translations!$B$1001</f>
        <v>Dujinis – Koksavimo dujos</v>
      </c>
      <c r="AP36" s="979" t="str">
        <f>Translations!$B$1002</f>
        <v>Dujinis – Aukštakrosnių dujos</v>
      </c>
      <c r="AQ36" s="979" t="str">
        <f>Translations!$B$1003</f>
        <v>Dujinis – Deguoninių plieno aukštakrosnių dujos</v>
      </c>
      <c r="AR36" s="979" t="str">
        <f>Translations!$B$1004</f>
        <v>Dujinis – Biodujos</v>
      </c>
      <c r="AS36" s="979" t="str">
        <f>Translations!$B$1005</f>
        <v>Dujinis – Dumblo dujos</v>
      </c>
      <c r="AT36" s="979" t="str">
        <f>Translations!$B$1006</f>
        <v>Dujinis – Sąvartynų dujos</v>
      </c>
      <c r="AU36" s="979" t="str">
        <f>Translations!$B$1007</f>
        <v>Dujinis – Anglies monoksidas</v>
      </c>
      <c r="AV36" s="979" t="str">
        <f>Translations!$B$1008</f>
        <v>Dujinis – Metanas</v>
      </c>
      <c r="AW36" s="979" t="str">
        <f>Translations!$B$988</f>
        <v>Dujinis – Etanas</v>
      </c>
      <c r="AX36" s="979" t="str">
        <f>Translations!$B$989</f>
        <v>Dujinis – Propanas</v>
      </c>
      <c r="AY36" s="979" t="str">
        <f>Translations!$B$990</f>
        <v>Dujinis – Butanas</v>
      </c>
      <c r="AZ36" s="980" t="str">
        <f>Translations!$B$1009</f>
        <v>Dujinis – Kitų rūšių dujinis kuras</v>
      </c>
      <c r="BA36" s="977" t="str">
        <f>Translations!$B$1010</f>
        <v>Dujinis – Kitų rūšių dujinė biomasė</v>
      </c>
      <c r="BB36" s="977" t="str">
        <f>Translations!$B$991</f>
        <v>Skystasis – Dyzelinis krosnių kuras</v>
      </c>
      <c r="BC36" s="977" t="str">
        <f>Translations!$B$1011</f>
        <v>Skystasis – Labai lengvos distiliacijos kuras</v>
      </c>
      <c r="BD36" s="977" t="str">
        <f>Translations!$B$1012</f>
        <v>Skystasis – Vidutinės distiliacijos kuras</v>
      </c>
      <c r="BE36" s="977" t="str">
        <f>Translations!$B$1013</f>
        <v>Skystasis – Sunkusis mazutas</v>
      </c>
      <c r="BF36" s="977" t="str">
        <f>Translations!$B$992</f>
        <v>Skystasis – Gazolis</v>
      </c>
      <c r="BG36" s="977" t="str">
        <f>Translations!$B$993</f>
        <v>Skystasis – Gazolinas</v>
      </c>
      <c r="BH36" s="977" t="str">
        <f>Translations!$B$994</f>
        <v>Skystasis – Valytas žibalas</v>
      </c>
      <c r="BI36" s="977" t="str">
        <f>Translations!$B$995</f>
        <v>Skystasis – Žibalas</v>
      </c>
      <c r="BJ36" s="977" t="str">
        <f>Translations!$B$996</f>
        <v>Skystasis – Reaktyvinis žibalas (Jet A1 arba Jet A)</v>
      </c>
      <c r="BK36" s="977" t="str">
        <f>Translations!$B$997</f>
        <v>Skystasis – Reaktyvinis gazolinas (benzinas) (Jet B)</v>
      </c>
      <c r="BL36" s="980" t="str">
        <f>Translations!$B$998</f>
        <v>Skystasis – Aviacinis gazolinas (benzinas) (AvGas)</v>
      </c>
      <c r="BM36" s="980" t="str">
        <f>Translations!$B$1014</f>
        <v>Skystasis – Suskystintosios naftos dujos</v>
      </c>
      <c r="BN36" s="980" t="str">
        <f>Translations!$B$1016</f>
        <v>Skystasis – Orimulsija</v>
      </c>
      <c r="BO36" s="980" t="str">
        <f>Translations!$B$1017</f>
        <v>Skystasis – Gamtinių dujų kondensatai</v>
      </c>
      <c r="BP36" s="980" t="str">
        <f>Translations!$B$1018</f>
        <v>Skystasis – Automobilinis benzinas</v>
      </c>
      <c r="BQ36" s="980" t="str">
        <f>Translations!$B$1020</f>
        <v>Skystasis – Dujos ir (arba) dyzelinas</v>
      </c>
      <c r="BR36" s="980" t="str">
        <f>Translations!$B$1021</f>
        <v>Skystasis – Mazuto distiliavimo likutis</v>
      </c>
      <c r="BS36" s="980" t="str">
        <f>Translations!$B$1022</f>
        <v>Skystasis – Pirminis benzinas</v>
      </c>
      <c r="BT36" s="980" t="str">
        <f>Translations!$B$1023</f>
        <v>Skystasis – Tepalai</v>
      </c>
      <c r="BU36" s="980" t="str">
        <f>Translations!$B$1024</f>
        <v>Skystasis – Vaitspiritas ir SBP</v>
      </c>
      <c r="BV36" s="980" t="str">
        <f>Translations!$B$1025</f>
        <v>Skystasis – Skalūnų alyva ir gudoniniai smėliai</v>
      </c>
      <c r="BW36" s="980" t="str">
        <f>Translations!$B$1026</f>
        <v>Skystasis – Akmens anglių briketai</v>
      </c>
      <c r="BX36" s="980" t="str">
        <f>Translations!$B$1027</f>
        <v>Skystasis – Alyvų atliekos</v>
      </c>
      <c r="BY36" s="980" t="str">
        <f>Translations!$B$1028</f>
        <v>Skystasis – Biobenzinas</v>
      </c>
      <c r="BZ36" s="980" t="str">
        <f>Translations!$B$1029</f>
        <v>Skystasi – Biodyzelinas</v>
      </c>
      <c r="CA36" s="980" t="str">
        <f>Translations!$B$1030</f>
        <v>Skystasis – Bitumas</v>
      </c>
      <c r="CB36" s="980" t="str">
        <f>Translations!$B$1032</f>
        <v>Skystasis – Kitų rūšių skystasis kuras</v>
      </c>
      <c r="CC36" s="980" t="str">
        <f>Translations!$B$1033</f>
        <v>Skystasis – Kitų rūšių skystoji biomasė</v>
      </c>
      <c r="CD36" s="977" t="str">
        <f>Translations!$B$1040</f>
        <v>Kietasis – Koksas</v>
      </c>
      <c r="CE36" s="978" t="str">
        <f>Translations!$B$1041</f>
        <v>Kietasis – Naftos koksas</v>
      </c>
      <c r="CF36" s="980" t="str">
        <f>Translations!$B$1042</f>
        <v>Kietasis – Akmens anglys</v>
      </c>
      <c r="CG36" s="980" t="str">
        <f>Translations!$B$1043</f>
        <v>Kietasis – Lignitas</v>
      </c>
      <c r="CH36" s="980" t="str">
        <f>Translations!$B$1044</f>
        <v>Kietasis – Antracitas</v>
      </c>
      <c r="CI36" s="980" t="str">
        <f>Translations!$B$1045</f>
        <v>Kietasis – Koksinės anglys</v>
      </c>
      <c r="CJ36" s="980" t="str">
        <f>Translations!$B$1046</f>
        <v>Kietasis – Subbituminės akmens anglys</v>
      </c>
      <c r="CK36" s="980" t="str">
        <f>Translations!$B$1047</f>
        <v>Kietasis – Kitos bituminės akmens anglys</v>
      </c>
      <c r="CL36" s="980" t="str">
        <f>Translations!$B$1048</f>
        <v>Kietasis – Dujinis koksas</v>
      </c>
      <c r="CM36" s="980" t="str">
        <f>Translations!$B$1049</f>
        <v>Kietasis – Parafinas</v>
      </c>
      <c r="CN36" s="980" t="str">
        <f>Translations!$B$1050</f>
        <v>Kietasis – Sulfatinės išviros</v>
      </c>
      <c r="CO36" s="980" t="str">
        <f>Translations!$B$1051</f>
        <v>Kietasis – Malkos</v>
      </c>
      <c r="CP36" s="980" t="str">
        <f>Translations!$B$1052</f>
        <v>Kietasis – Mediena (ne atliekos)</v>
      </c>
      <c r="CQ36" s="980" t="str">
        <f>Translations!$B$1053</f>
        <v>Kietasis – Mediena (atliekos)</v>
      </c>
      <c r="CR36" s="980" t="str">
        <f>Translations!$B$1054</f>
        <v>Kietasis – Durpės</v>
      </c>
      <c r="CS36" s="980" t="str">
        <f>Translations!$B$1055</f>
        <v>Kietasis – Kanalizacijos dumblas</v>
      </c>
      <c r="CT36" s="980" t="str">
        <f>Translations!$B$1056</f>
        <v>Kietasis – Komunalinių nuotekų dumblas</v>
      </c>
      <c r="CU36" s="980" t="str">
        <f>Translations!$B$1057</f>
        <v>Kietasis – Akmens anglių degutas</v>
      </c>
      <c r="CV36" s="980" t="str">
        <f>Translations!$B$1058</f>
        <v>Kietasis – Medžio anglys</v>
      </c>
      <c r="CW36" s="980" t="str">
        <f>Translations!$B$1059</f>
        <v>Kietasis – Panaudos padangos</v>
      </c>
      <c r="CX36" s="980" t="str">
        <f>Translations!$B$1060</f>
        <v>Kietasis – Kitų rūšių kietasis kuras</v>
      </c>
      <c r="CY36" s="980" t="str">
        <f>Translations!$B$1061</f>
        <v>Kietasis – Kitų rūšių kietoji biomasė</v>
      </c>
      <c r="CZ36" s="980" t="str">
        <f>Translations!$B$1034</f>
        <v>Atliekos – Komunalinės ir pramoninės atliekos</v>
      </c>
      <c r="DA36" s="980" t="str">
        <f>Translations!$B$1035</f>
        <v>Atliekos – Pramoninės atliekos</v>
      </c>
      <c r="DB36" s="980" t="str">
        <f>Translations!$B$157</f>
        <v>netaik.</v>
      </c>
    </row>
    <row r="37" spans="1:106" ht="13.5" thickBot="1" x14ac:dyDescent="0.25">
      <c r="A37" s="481">
        <v>20</v>
      </c>
      <c r="B37" s="371" t="str">
        <f t="shared" si="0"/>
        <v>Cemento klinkeriai: Grindžiamas krosnies žaliava (A metodas)</v>
      </c>
      <c r="C37" s="371"/>
      <c r="D37" s="373"/>
      <c r="E37" s="817" t="str">
        <f t="shared" ca="1" si="1"/>
        <v>MSParameters!$G$37:$H$37</v>
      </c>
      <c r="F37" s="904"/>
      <c r="G37" s="976" t="str">
        <f>Translations!$B$1102</f>
        <v>Medžiaga – Žaliavinis mišinys</v>
      </c>
      <c r="H37" s="977" t="str">
        <f>Translations!$B$1079</f>
        <v>Medžiaga – Kiti karbonatai</v>
      </c>
      <c r="I37" s="977" t="str">
        <f>Translations!$B$157</f>
        <v>netaik.</v>
      </c>
      <c r="J37" s="977" t="str">
        <f>Translations!$B$157</f>
        <v>netaik.</v>
      </c>
      <c r="K37" s="977" t="str">
        <f>Translations!$B$157</f>
        <v>netaik.</v>
      </c>
      <c r="L37" s="977" t="str">
        <f>Translations!$B$157</f>
        <v>netaik.</v>
      </c>
      <c r="M37" s="977" t="str">
        <f>Translations!$B$157</f>
        <v>netaik.</v>
      </c>
      <c r="N37" s="977" t="str">
        <f>Translations!$B$157</f>
        <v>netaik.</v>
      </c>
      <c r="O37" s="977" t="str">
        <f>Translations!$B$157</f>
        <v>netaik.</v>
      </c>
      <c r="P37" s="977" t="str">
        <f>Translations!$B$157</f>
        <v>netaik.</v>
      </c>
      <c r="Q37" s="977" t="str">
        <f>Translations!$B$157</f>
        <v>netaik.</v>
      </c>
      <c r="R37" s="977" t="str">
        <f>Translations!$B$157</f>
        <v>netaik.</v>
      </c>
      <c r="S37" s="977" t="str">
        <f>Translations!$B$157</f>
        <v>netaik.</v>
      </c>
      <c r="T37" s="977" t="str">
        <f>Translations!$B$157</f>
        <v>netaik.</v>
      </c>
      <c r="U37" s="977" t="str">
        <f>Translations!$B$157</f>
        <v>netaik.</v>
      </c>
      <c r="V37" s="977" t="str">
        <f>Translations!$B$157</f>
        <v>netaik.</v>
      </c>
      <c r="W37" s="977" t="str">
        <f>Translations!$B$157</f>
        <v>netaik.</v>
      </c>
      <c r="X37" s="977" t="str">
        <f>Translations!$B$157</f>
        <v>netaik.</v>
      </c>
      <c r="Y37" s="977" t="str">
        <f>Translations!$B$157</f>
        <v>netaik.</v>
      </c>
      <c r="Z37" s="977" t="str">
        <f>Translations!$B$157</f>
        <v>netaik.</v>
      </c>
      <c r="AA37" s="977" t="str">
        <f>Translations!$B$157</f>
        <v>netaik.</v>
      </c>
      <c r="AB37" s="977" t="str">
        <f>Translations!$B$157</f>
        <v>netaik.</v>
      </c>
      <c r="AC37" s="977" t="str">
        <f>Translations!$B$157</f>
        <v>netaik.</v>
      </c>
      <c r="AD37" s="977" t="str">
        <f>Translations!$B$157</f>
        <v>netaik.</v>
      </c>
      <c r="AE37" s="977" t="str">
        <f>Translations!$B$157</f>
        <v>netaik.</v>
      </c>
      <c r="AF37" s="977" t="str">
        <f>Translations!$B$157</f>
        <v>netaik.</v>
      </c>
      <c r="AG37" s="977" t="str">
        <f>Translations!$B$157</f>
        <v>netaik.</v>
      </c>
      <c r="AH37" s="977" t="str">
        <f>Translations!$B$157</f>
        <v>netaik.</v>
      </c>
      <c r="AI37" s="977" t="str">
        <f>Translations!$B$157</f>
        <v>netaik.</v>
      </c>
      <c r="AJ37" s="977" t="str">
        <f>Translations!$B$157</f>
        <v>netaik.</v>
      </c>
      <c r="AK37" s="977" t="str">
        <f>Translations!$B$157</f>
        <v>netaik.</v>
      </c>
      <c r="AL37" s="977" t="str">
        <f>Translations!$B$157</f>
        <v>netaik.</v>
      </c>
      <c r="AM37" s="977" t="str">
        <f>Translations!$B$157</f>
        <v>netaik.</v>
      </c>
      <c r="AN37" s="977" t="str">
        <f>Translations!$B$157</f>
        <v>netaik.</v>
      </c>
      <c r="AO37" s="977" t="str">
        <f>Translations!$B$157</f>
        <v>netaik.</v>
      </c>
      <c r="AP37" s="977" t="str">
        <f>Translations!$B$157</f>
        <v>netaik.</v>
      </c>
      <c r="AQ37" s="977" t="str">
        <f>Translations!$B$157</f>
        <v>netaik.</v>
      </c>
      <c r="AR37" s="977" t="str">
        <f>Translations!$B$157</f>
        <v>netaik.</v>
      </c>
      <c r="AS37" s="977" t="str">
        <f>Translations!$B$157</f>
        <v>netaik.</v>
      </c>
      <c r="AT37" s="977" t="str">
        <f>Translations!$B$157</f>
        <v>netaik.</v>
      </c>
      <c r="AU37" s="977" t="str">
        <f>Translations!$B$157</f>
        <v>netaik.</v>
      </c>
      <c r="AV37" s="977" t="str">
        <f>Translations!$B$157</f>
        <v>netaik.</v>
      </c>
      <c r="AW37" s="977" t="str">
        <f>Translations!$B$157</f>
        <v>netaik.</v>
      </c>
      <c r="AX37" s="977" t="str">
        <f>Translations!$B$157</f>
        <v>netaik.</v>
      </c>
      <c r="AY37" s="977" t="str">
        <f>Translations!$B$157</f>
        <v>netaik.</v>
      </c>
      <c r="AZ37" s="977" t="str">
        <f>Translations!$B$157</f>
        <v>netaik.</v>
      </c>
      <c r="BA37" s="977" t="str">
        <f>Translations!$B$157</f>
        <v>netaik.</v>
      </c>
      <c r="BB37" s="977" t="str">
        <f>Translations!$B$157</f>
        <v>netaik.</v>
      </c>
      <c r="BC37" s="977" t="str">
        <f>Translations!$B$157</f>
        <v>netaik.</v>
      </c>
      <c r="BD37" s="977" t="str">
        <f>Translations!$B$157</f>
        <v>netaik.</v>
      </c>
      <c r="BE37" s="977" t="str">
        <f>Translations!$B$157</f>
        <v>netaik.</v>
      </c>
      <c r="BF37" s="977" t="str">
        <f>Translations!$B$157</f>
        <v>netaik.</v>
      </c>
      <c r="BG37" s="977" t="str">
        <f>Translations!$B$157</f>
        <v>netaik.</v>
      </c>
      <c r="BH37" s="977" t="str">
        <f>Translations!$B$157</f>
        <v>netaik.</v>
      </c>
      <c r="BI37" s="977" t="str">
        <f>Translations!$B$157</f>
        <v>netaik.</v>
      </c>
      <c r="BJ37" s="977" t="str">
        <f>Translations!$B$157</f>
        <v>netaik.</v>
      </c>
      <c r="BK37" s="977" t="str">
        <f>Translations!$B$157</f>
        <v>netaik.</v>
      </c>
      <c r="BL37" s="977" t="str">
        <f>Translations!$B$157</f>
        <v>netaik.</v>
      </c>
      <c r="BM37" s="977" t="str">
        <f>Translations!$B$157</f>
        <v>netaik.</v>
      </c>
      <c r="BN37" s="977" t="str">
        <f>Translations!$B$157</f>
        <v>netaik.</v>
      </c>
      <c r="BO37" s="977" t="str">
        <f>Translations!$B$157</f>
        <v>netaik.</v>
      </c>
      <c r="BP37" s="977" t="str">
        <f>Translations!$B$157</f>
        <v>netaik.</v>
      </c>
      <c r="BQ37" s="977" t="str">
        <f>Translations!$B$157</f>
        <v>netaik.</v>
      </c>
      <c r="BR37" s="977" t="str">
        <f>Translations!$B$157</f>
        <v>netaik.</v>
      </c>
      <c r="BS37" s="977" t="str">
        <f>Translations!$B$157</f>
        <v>netaik.</v>
      </c>
      <c r="BT37" s="977" t="str">
        <f>Translations!$B$157</f>
        <v>netaik.</v>
      </c>
      <c r="BU37" s="977" t="str">
        <f>Translations!$B$157</f>
        <v>netaik.</v>
      </c>
      <c r="BV37" s="977" t="str">
        <f>Translations!$B$157</f>
        <v>netaik.</v>
      </c>
      <c r="BW37" s="977" t="str">
        <f>Translations!$B$157</f>
        <v>netaik.</v>
      </c>
      <c r="BX37" s="977" t="str">
        <f>Translations!$B$157</f>
        <v>netaik.</v>
      </c>
      <c r="BY37" s="977" t="str">
        <f>Translations!$B$157</f>
        <v>netaik.</v>
      </c>
      <c r="BZ37" s="977" t="str">
        <f>Translations!$B$157</f>
        <v>netaik.</v>
      </c>
      <c r="CA37" s="977" t="str">
        <f>Translations!$B$157</f>
        <v>netaik.</v>
      </c>
      <c r="CB37" s="977" t="str">
        <f>Translations!$B$157</f>
        <v>netaik.</v>
      </c>
      <c r="CC37" s="977" t="str">
        <f>Translations!$B$157</f>
        <v>netaik.</v>
      </c>
      <c r="CD37" s="977" t="str">
        <f>Translations!$B$157</f>
        <v>netaik.</v>
      </c>
      <c r="CE37" s="978" t="str">
        <f>Translations!$B$157</f>
        <v>netaik.</v>
      </c>
      <c r="CF37" s="977" t="str">
        <f>Translations!$B$157</f>
        <v>netaik.</v>
      </c>
      <c r="CG37" s="977" t="str">
        <f>Translations!$B$157</f>
        <v>netaik.</v>
      </c>
      <c r="CH37" s="977" t="str">
        <f>Translations!$B$157</f>
        <v>netaik.</v>
      </c>
      <c r="CI37" s="977" t="str">
        <f>Translations!$B$157</f>
        <v>netaik.</v>
      </c>
      <c r="CJ37" s="977" t="str">
        <f>Translations!$B$157</f>
        <v>netaik.</v>
      </c>
      <c r="CK37" s="977" t="str">
        <f>Translations!$B$157</f>
        <v>netaik.</v>
      </c>
      <c r="CL37" s="977" t="str">
        <f>Translations!$B$157</f>
        <v>netaik.</v>
      </c>
      <c r="CM37" s="977" t="str">
        <f>Translations!$B$157</f>
        <v>netaik.</v>
      </c>
      <c r="CN37" s="977" t="str">
        <f>Translations!$B$157</f>
        <v>netaik.</v>
      </c>
      <c r="CO37" s="977" t="str">
        <f>Translations!$B$157</f>
        <v>netaik.</v>
      </c>
      <c r="CP37" s="977" t="str">
        <f>Translations!$B$157</f>
        <v>netaik.</v>
      </c>
      <c r="CQ37" s="977" t="str">
        <f>Translations!$B$157</f>
        <v>netaik.</v>
      </c>
      <c r="CR37" s="977" t="str">
        <f>Translations!$B$157</f>
        <v>netaik.</v>
      </c>
      <c r="CS37" s="977" t="str">
        <f>Translations!$B$157</f>
        <v>netaik.</v>
      </c>
      <c r="CT37" s="977" t="str">
        <f>Translations!$B$157</f>
        <v>netaik.</v>
      </c>
      <c r="CU37" s="977" t="str">
        <f>Translations!$B$157</f>
        <v>netaik.</v>
      </c>
      <c r="CV37" s="977" t="str">
        <f>Translations!$B$157</f>
        <v>netaik.</v>
      </c>
      <c r="CW37" s="977" t="str">
        <f>Translations!$B$157</f>
        <v>netaik.</v>
      </c>
      <c r="CX37" s="977" t="str">
        <f>Translations!$B$157</f>
        <v>netaik.</v>
      </c>
      <c r="CY37" s="977" t="str">
        <f>Translations!$B$157</f>
        <v>netaik.</v>
      </c>
      <c r="CZ37" s="977" t="str">
        <f>Translations!$B$157</f>
        <v>netaik.</v>
      </c>
      <c r="DA37" s="977" t="str">
        <f>Translations!$B$157</f>
        <v>netaik.</v>
      </c>
      <c r="DB37" s="977" t="str">
        <f>Translations!$B$157</f>
        <v>netaik.</v>
      </c>
    </row>
    <row r="38" spans="1:106" ht="13.5" thickBot="1" x14ac:dyDescent="0.25">
      <c r="A38" s="481">
        <v>21</v>
      </c>
      <c r="B38" s="371" t="str">
        <f t="shared" si="0"/>
        <v>Cemento klinkeriai: Klinkerio išeiga (B metodas)</v>
      </c>
      <c r="C38" s="371"/>
      <c r="D38" s="373"/>
      <c r="E38" s="817" t="str">
        <f t="shared" ca="1" si="1"/>
        <v>MSParameters!$G$38:$K$38</v>
      </c>
      <c r="F38" s="904"/>
      <c r="G38" s="976" t="str">
        <f>Translations!$B$1103</f>
        <v>Medžiaga – Cemento klinkeris</v>
      </c>
      <c r="H38" s="977" t="str">
        <f>Translations!$B$1082</f>
        <v>Medžiaga – CaO</v>
      </c>
      <c r="I38" s="977" t="str">
        <f>Translations!$B$1083</f>
        <v>Medžiaga – MgO</v>
      </c>
      <c r="J38" s="977" t="str">
        <f>Translations!$B$1084</f>
        <v>Medžiaga – BaO</v>
      </c>
      <c r="K38" s="977" t="str">
        <f>Translations!$B$1085</f>
        <v>Medžiaga – Kiti produktai</v>
      </c>
      <c r="L38" s="977" t="str">
        <f>Translations!$B$157</f>
        <v>netaik.</v>
      </c>
      <c r="M38" s="977" t="str">
        <f>Translations!$B$157</f>
        <v>netaik.</v>
      </c>
      <c r="N38" s="977" t="str">
        <f>Translations!$B$157</f>
        <v>netaik.</v>
      </c>
      <c r="O38" s="977" t="str">
        <f>Translations!$B$157</f>
        <v>netaik.</v>
      </c>
      <c r="P38" s="977" t="str">
        <f>Translations!$B$157</f>
        <v>netaik.</v>
      </c>
      <c r="Q38" s="977" t="str">
        <f>Translations!$B$157</f>
        <v>netaik.</v>
      </c>
      <c r="R38" s="977" t="str">
        <f>Translations!$B$157</f>
        <v>netaik.</v>
      </c>
      <c r="S38" s="977" t="str">
        <f>Translations!$B$157</f>
        <v>netaik.</v>
      </c>
      <c r="T38" s="977" t="str">
        <f>Translations!$B$157</f>
        <v>netaik.</v>
      </c>
      <c r="U38" s="977" t="str">
        <f>Translations!$B$157</f>
        <v>netaik.</v>
      </c>
      <c r="V38" s="977" t="str">
        <f>Translations!$B$157</f>
        <v>netaik.</v>
      </c>
      <c r="W38" s="977" t="str">
        <f>Translations!$B$157</f>
        <v>netaik.</v>
      </c>
      <c r="X38" s="977" t="str">
        <f>Translations!$B$157</f>
        <v>netaik.</v>
      </c>
      <c r="Y38" s="977" t="str">
        <f>Translations!$B$157</f>
        <v>netaik.</v>
      </c>
      <c r="Z38" s="977" t="str">
        <f>Translations!$B$157</f>
        <v>netaik.</v>
      </c>
      <c r="AA38" s="977" t="str">
        <f>Translations!$B$157</f>
        <v>netaik.</v>
      </c>
      <c r="AB38" s="977" t="str">
        <f>Translations!$B$157</f>
        <v>netaik.</v>
      </c>
      <c r="AC38" s="977" t="str">
        <f>Translations!$B$157</f>
        <v>netaik.</v>
      </c>
      <c r="AD38" s="977" t="str">
        <f>Translations!$B$157</f>
        <v>netaik.</v>
      </c>
      <c r="AE38" s="977" t="str">
        <f>Translations!$B$157</f>
        <v>netaik.</v>
      </c>
      <c r="AF38" s="977" t="str">
        <f>Translations!$B$157</f>
        <v>netaik.</v>
      </c>
      <c r="AG38" s="977" t="str">
        <f>Translations!$B$157</f>
        <v>netaik.</v>
      </c>
      <c r="AH38" s="977" t="str">
        <f>Translations!$B$157</f>
        <v>netaik.</v>
      </c>
      <c r="AI38" s="977" t="str">
        <f>Translations!$B$157</f>
        <v>netaik.</v>
      </c>
      <c r="AJ38" s="977" t="str">
        <f>Translations!$B$157</f>
        <v>netaik.</v>
      </c>
      <c r="AK38" s="977" t="str">
        <f>Translations!$B$157</f>
        <v>netaik.</v>
      </c>
      <c r="AL38" s="977" t="str">
        <f>Translations!$B$157</f>
        <v>netaik.</v>
      </c>
      <c r="AM38" s="977" t="str">
        <f>Translations!$B$157</f>
        <v>netaik.</v>
      </c>
      <c r="AN38" s="977" t="str">
        <f>Translations!$B$157</f>
        <v>netaik.</v>
      </c>
      <c r="AO38" s="977" t="str">
        <f>Translations!$B$157</f>
        <v>netaik.</v>
      </c>
      <c r="AP38" s="977" t="str">
        <f>Translations!$B$157</f>
        <v>netaik.</v>
      </c>
      <c r="AQ38" s="977" t="str">
        <f>Translations!$B$157</f>
        <v>netaik.</v>
      </c>
      <c r="AR38" s="977" t="str">
        <f>Translations!$B$157</f>
        <v>netaik.</v>
      </c>
      <c r="AS38" s="977" t="str">
        <f>Translations!$B$157</f>
        <v>netaik.</v>
      </c>
      <c r="AT38" s="977" t="str">
        <f>Translations!$B$157</f>
        <v>netaik.</v>
      </c>
      <c r="AU38" s="977" t="str">
        <f>Translations!$B$157</f>
        <v>netaik.</v>
      </c>
      <c r="AV38" s="977" t="str">
        <f>Translations!$B$157</f>
        <v>netaik.</v>
      </c>
      <c r="AW38" s="977" t="str">
        <f>Translations!$B$157</f>
        <v>netaik.</v>
      </c>
      <c r="AX38" s="977" t="str">
        <f>Translations!$B$157</f>
        <v>netaik.</v>
      </c>
      <c r="AY38" s="977" t="str">
        <f>Translations!$B$157</f>
        <v>netaik.</v>
      </c>
      <c r="AZ38" s="977" t="str">
        <f>Translations!$B$157</f>
        <v>netaik.</v>
      </c>
      <c r="BA38" s="977" t="str">
        <f>Translations!$B$157</f>
        <v>netaik.</v>
      </c>
      <c r="BB38" s="977" t="str">
        <f>Translations!$B$157</f>
        <v>netaik.</v>
      </c>
      <c r="BC38" s="977" t="str">
        <f>Translations!$B$157</f>
        <v>netaik.</v>
      </c>
      <c r="BD38" s="977" t="str">
        <f>Translations!$B$157</f>
        <v>netaik.</v>
      </c>
      <c r="BE38" s="977" t="str">
        <f>Translations!$B$157</f>
        <v>netaik.</v>
      </c>
      <c r="BF38" s="977" t="str">
        <f>Translations!$B$157</f>
        <v>netaik.</v>
      </c>
      <c r="BG38" s="977" t="str">
        <f>Translations!$B$157</f>
        <v>netaik.</v>
      </c>
      <c r="BH38" s="977" t="str">
        <f>Translations!$B$157</f>
        <v>netaik.</v>
      </c>
      <c r="BI38" s="977" t="str">
        <f>Translations!$B$157</f>
        <v>netaik.</v>
      </c>
      <c r="BJ38" s="977" t="str">
        <f>Translations!$B$157</f>
        <v>netaik.</v>
      </c>
      <c r="BK38" s="977" t="str">
        <f>Translations!$B$157</f>
        <v>netaik.</v>
      </c>
      <c r="BL38" s="977" t="str">
        <f>Translations!$B$157</f>
        <v>netaik.</v>
      </c>
      <c r="BM38" s="977" t="str">
        <f>Translations!$B$157</f>
        <v>netaik.</v>
      </c>
      <c r="BN38" s="977" t="str">
        <f>Translations!$B$157</f>
        <v>netaik.</v>
      </c>
      <c r="BO38" s="977" t="str">
        <f>Translations!$B$157</f>
        <v>netaik.</v>
      </c>
      <c r="BP38" s="977" t="str">
        <f>Translations!$B$157</f>
        <v>netaik.</v>
      </c>
      <c r="BQ38" s="977" t="str">
        <f>Translations!$B$157</f>
        <v>netaik.</v>
      </c>
      <c r="BR38" s="977" t="str">
        <f>Translations!$B$157</f>
        <v>netaik.</v>
      </c>
      <c r="BS38" s="977" t="str">
        <f>Translations!$B$157</f>
        <v>netaik.</v>
      </c>
      <c r="BT38" s="977" t="str">
        <f>Translations!$B$157</f>
        <v>netaik.</v>
      </c>
      <c r="BU38" s="977" t="str">
        <f>Translations!$B$157</f>
        <v>netaik.</v>
      </c>
      <c r="BV38" s="977" t="str">
        <f>Translations!$B$157</f>
        <v>netaik.</v>
      </c>
      <c r="BW38" s="977" t="str">
        <f>Translations!$B$157</f>
        <v>netaik.</v>
      </c>
      <c r="BX38" s="977" t="str">
        <f>Translations!$B$157</f>
        <v>netaik.</v>
      </c>
      <c r="BY38" s="977" t="str">
        <f>Translations!$B$157</f>
        <v>netaik.</v>
      </c>
      <c r="BZ38" s="977" t="str">
        <f>Translations!$B$157</f>
        <v>netaik.</v>
      </c>
      <c r="CA38" s="977" t="str">
        <f>Translations!$B$157</f>
        <v>netaik.</v>
      </c>
      <c r="CB38" s="977" t="str">
        <f>Translations!$B$157</f>
        <v>netaik.</v>
      </c>
      <c r="CC38" s="977" t="str">
        <f>Translations!$B$157</f>
        <v>netaik.</v>
      </c>
      <c r="CD38" s="977" t="str">
        <f>Translations!$B$157</f>
        <v>netaik.</v>
      </c>
      <c r="CE38" s="978" t="str">
        <f>Translations!$B$157</f>
        <v>netaik.</v>
      </c>
      <c r="CF38" s="977" t="str">
        <f>Translations!$B$157</f>
        <v>netaik.</v>
      </c>
      <c r="CG38" s="977" t="str">
        <f>Translations!$B$157</f>
        <v>netaik.</v>
      </c>
      <c r="CH38" s="977" t="str">
        <f>Translations!$B$157</f>
        <v>netaik.</v>
      </c>
      <c r="CI38" s="977" t="str">
        <f>Translations!$B$157</f>
        <v>netaik.</v>
      </c>
      <c r="CJ38" s="977" t="str">
        <f>Translations!$B$157</f>
        <v>netaik.</v>
      </c>
      <c r="CK38" s="977" t="str">
        <f>Translations!$B$157</f>
        <v>netaik.</v>
      </c>
      <c r="CL38" s="977" t="str">
        <f>Translations!$B$157</f>
        <v>netaik.</v>
      </c>
      <c r="CM38" s="977" t="str">
        <f>Translations!$B$157</f>
        <v>netaik.</v>
      </c>
      <c r="CN38" s="977" t="str">
        <f>Translations!$B$157</f>
        <v>netaik.</v>
      </c>
      <c r="CO38" s="977" t="str">
        <f>Translations!$B$157</f>
        <v>netaik.</v>
      </c>
      <c r="CP38" s="977" t="str">
        <f>Translations!$B$157</f>
        <v>netaik.</v>
      </c>
      <c r="CQ38" s="977" t="str">
        <f>Translations!$B$157</f>
        <v>netaik.</v>
      </c>
      <c r="CR38" s="977" t="str">
        <f>Translations!$B$157</f>
        <v>netaik.</v>
      </c>
      <c r="CS38" s="977" t="str">
        <f>Translations!$B$157</f>
        <v>netaik.</v>
      </c>
      <c r="CT38" s="977" t="str">
        <f>Translations!$B$157</f>
        <v>netaik.</v>
      </c>
      <c r="CU38" s="977" t="str">
        <f>Translations!$B$157</f>
        <v>netaik.</v>
      </c>
      <c r="CV38" s="977" t="str">
        <f>Translations!$B$157</f>
        <v>netaik.</v>
      </c>
      <c r="CW38" s="977" t="str">
        <f>Translations!$B$157</f>
        <v>netaik.</v>
      </c>
      <c r="CX38" s="977" t="str">
        <f>Translations!$B$157</f>
        <v>netaik.</v>
      </c>
      <c r="CY38" s="977" t="str">
        <f>Translations!$B$157</f>
        <v>netaik.</v>
      </c>
      <c r="CZ38" s="977" t="str">
        <f>Translations!$B$157</f>
        <v>netaik.</v>
      </c>
      <c r="DA38" s="977" t="str">
        <f>Translations!$B$157</f>
        <v>netaik.</v>
      </c>
      <c r="DB38" s="977" t="str">
        <f>Translations!$B$157</f>
        <v>netaik.</v>
      </c>
    </row>
    <row r="39" spans="1:106" ht="13.5" thickBot="1" x14ac:dyDescent="0.25">
      <c r="A39" s="481">
        <v>22</v>
      </c>
      <c r="B39" s="371" t="str">
        <f t="shared" si="0"/>
        <v>Cemento klinkeriai: Cemento degimo krosnių dulkės</v>
      </c>
      <c r="C39" s="371"/>
      <c r="D39" s="373"/>
      <c r="E39" s="817" t="str">
        <f t="shared" ca="1" si="1"/>
        <v>MSParameters!$G$39:$L$39</v>
      </c>
      <c r="F39" s="904"/>
      <c r="G39" s="976" t="str">
        <f>Translations!$B$1104</f>
        <v>Medžiaga – Pašalinės dulkės</v>
      </c>
      <c r="H39" s="977" t="str">
        <f>Translations!$B$1105</f>
        <v>Medžiaga – Pašaliniai miltai</v>
      </c>
      <c r="I39" s="977" t="str">
        <f>Translations!$B$1082</f>
        <v>Medžiaga – CaO</v>
      </c>
      <c r="J39" s="977" t="str">
        <f>Translations!$B$1083</f>
        <v>Medžiaga – MgO</v>
      </c>
      <c r="K39" s="977" t="str">
        <f>Translations!$B$1084</f>
        <v>Medžiaga – BaO</v>
      </c>
      <c r="L39" s="977" t="str">
        <f>Translations!$B$1106</f>
        <v>Medžiaga – Kitos pašalinės medžiagos</v>
      </c>
      <c r="M39" s="977" t="str">
        <f>Translations!$B$157</f>
        <v>netaik.</v>
      </c>
      <c r="N39" s="977" t="str">
        <f>Translations!$B$157</f>
        <v>netaik.</v>
      </c>
      <c r="O39" s="977" t="str">
        <f>Translations!$B$157</f>
        <v>netaik.</v>
      </c>
      <c r="P39" s="977" t="str">
        <f>Translations!$B$157</f>
        <v>netaik.</v>
      </c>
      <c r="Q39" s="977" t="str">
        <f>Translations!$B$157</f>
        <v>netaik.</v>
      </c>
      <c r="R39" s="977" t="str">
        <f>Translations!$B$157</f>
        <v>netaik.</v>
      </c>
      <c r="S39" s="977" t="str">
        <f>Translations!$B$157</f>
        <v>netaik.</v>
      </c>
      <c r="T39" s="977" t="str">
        <f>Translations!$B$157</f>
        <v>netaik.</v>
      </c>
      <c r="U39" s="977" t="str">
        <f>Translations!$B$157</f>
        <v>netaik.</v>
      </c>
      <c r="V39" s="977" t="str">
        <f>Translations!$B$157</f>
        <v>netaik.</v>
      </c>
      <c r="W39" s="977" t="str">
        <f>Translations!$B$157</f>
        <v>netaik.</v>
      </c>
      <c r="X39" s="977" t="str">
        <f>Translations!$B$157</f>
        <v>netaik.</v>
      </c>
      <c r="Y39" s="977" t="str">
        <f>Translations!$B$157</f>
        <v>netaik.</v>
      </c>
      <c r="Z39" s="977" t="str">
        <f>Translations!$B$157</f>
        <v>netaik.</v>
      </c>
      <c r="AA39" s="977" t="str">
        <f>Translations!$B$157</f>
        <v>netaik.</v>
      </c>
      <c r="AB39" s="977" t="str">
        <f>Translations!$B$157</f>
        <v>netaik.</v>
      </c>
      <c r="AC39" s="977" t="str">
        <f>Translations!$B$157</f>
        <v>netaik.</v>
      </c>
      <c r="AD39" s="977" t="str">
        <f>Translations!$B$157</f>
        <v>netaik.</v>
      </c>
      <c r="AE39" s="977" t="str">
        <f>Translations!$B$157</f>
        <v>netaik.</v>
      </c>
      <c r="AF39" s="977" t="str">
        <f>Translations!$B$157</f>
        <v>netaik.</v>
      </c>
      <c r="AG39" s="977" t="str">
        <f>Translations!$B$157</f>
        <v>netaik.</v>
      </c>
      <c r="AH39" s="977" t="str">
        <f>Translations!$B$157</f>
        <v>netaik.</v>
      </c>
      <c r="AI39" s="977" t="str">
        <f>Translations!$B$157</f>
        <v>netaik.</v>
      </c>
      <c r="AJ39" s="977" t="str">
        <f>Translations!$B$157</f>
        <v>netaik.</v>
      </c>
      <c r="AK39" s="977" t="str">
        <f>Translations!$B$157</f>
        <v>netaik.</v>
      </c>
      <c r="AL39" s="977" t="str">
        <f>Translations!$B$157</f>
        <v>netaik.</v>
      </c>
      <c r="AM39" s="977" t="str">
        <f>Translations!$B$157</f>
        <v>netaik.</v>
      </c>
      <c r="AN39" s="977" t="str">
        <f>Translations!$B$157</f>
        <v>netaik.</v>
      </c>
      <c r="AO39" s="977" t="str">
        <f>Translations!$B$157</f>
        <v>netaik.</v>
      </c>
      <c r="AP39" s="977" t="str">
        <f>Translations!$B$157</f>
        <v>netaik.</v>
      </c>
      <c r="AQ39" s="977" t="str">
        <f>Translations!$B$157</f>
        <v>netaik.</v>
      </c>
      <c r="AR39" s="977" t="str">
        <f>Translations!$B$157</f>
        <v>netaik.</v>
      </c>
      <c r="AS39" s="977" t="str">
        <f>Translations!$B$157</f>
        <v>netaik.</v>
      </c>
      <c r="AT39" s="977" t="str">
        <f>Translations!$B$157</f>
        <v>netaik.</v>
      </c>
      <c r="AU39" s="977" t="str">
        <f>Translations!$B$157</f>
        <v>netaik.</v>
      </c>
      <c r="AV39" s="977" t="str">
        <f>Translations!$B$157</f>
        <v>netaik.</v>
      </c>
      <c r="AW39" s="977" t="str">
        <f>Translations!$B$157</f>
        <v>netaik.</v>
      </c>
      <c r="AX39" s="977" t="str">
        <f>Translations!$B$157</f>
        <v>netaik.</v>
      </c>
      <c r="AY39" s="977" t="str">
        <f>Translations!$B$157</f>
        <v>netaik.</v>
      </c>
      <c r="AZ39" s="977" t="str">
        <f>Translations!$B$157</f>
        <v>netaik.</v>
      </c>
      <c r="BA39" s="977" t="str">
        <f>Translations!$B$157</f>
        <v>netaik.</v>
      </c>
      <c r="BB39" s="977" t="str">
        <f>Translations!$B$157</f>
        <v>netaik.</v>
      </c>
      <c r="BC39" s="977" t="str">
        <f>Translations!$B$157</f>
        <v>netaik.</v>
      </c>
      <c r="BD39" s="977" t="str">
        <f>Translations!$B$157</f>
        <v>netaik.</v>
      </c>
      <c r="BE39" s="977" t="str">
        <f>Translations!$B$157</f>
        <v>netaik.</v>
      </c>
      <c r="BF39" s="977" t="str">
        <f>Translations!$B$157</f>
        <v>netaik.</v>
      </c>
      <c r="BG39" s="977" t="str">
        <f>Translations!$B$157</f>
        <v>netaik.</v>
      </c>
      <c r="BH39" s="977" t="str">
        <f>Translations!$B$157</f>
        <v>netaik.</v>
      </c>
      <c r="BI39" s="977" t="str">
        <f>Translations!$B$157</f>
        <v>netaik.</v>
      </c>
      <c r="BJ39" s="977" t="str">
        <f>Translations!$B$157</f>
        <v>netaik.</v>
      </c>
      <c r="BK39" s="977" t="str">
        <f>Translations!$B$157</f>
        <v>netaik.</v>
      </c>
      <c r="BL39" s="977" t="str">
        <f>Translations!$B$157</f>
        <v>netaik.</v>
      </c>
      <c r="BM39" s="977" t="str">
        <f>Translations!$B$157</f>
        <v>netaik.</v>
      </c>
      <c r="BN39" s="977" t="str">
        <f>Translations!$B$157</f>
        <v>netaik.</v>
      </c>
      <c r="BO39" s="977" t="str">
        <f>Translations!$B$157</f>
        <v>netaik.</v>
      </c>
      <c r="BP39" s="977" t="str">
        <f>Translations!$B$157</f>
        <v>netaik.</v>
      </c>
      <c r="BQ39" s="977" t="str">
        <f>Translations!$B$157</f>
        <v>netaik.</v>
      </c>
      <c r="BR39" s="977" t="str">
        <f>Translations!$B$157</f>
        <v>netaik.</v>
      </c>
      <c r="BS39" s="977" t="str">
        <f>Translations!$B$157</f>
        <v>netaik.</v>
      </c>
      <c r="BT39" s="977" t="str">
        <f>Translations!$B$157</f>
        <v>netaik.</v>
      </c>
      <c r="BU39" s="977" t="str">
        <f>Translations!$B$157</f>
        <v>netaik.</v>
      </c>
      <c r="BV39" s="977" t="str">
        <f>Translations!$B$157</f>
        <v>netaik.</v>
      </c>
      <c r="BW39" s="977" t="str">
        <f>Translations!$B$157</f>
        <v>netaik.</v>
      </c>
      <c r="BX39" s="977" t="str">
        <f>Translations!$B$157</f>
        <v>netaik.</v>
      </c>
      <c r="BY39" s="977" t="str">
        <f>Translations!$B$157</f>
        <v>netaik.</v>
      </c>
      <c r="BZ39" s="977" t="str">
        <f>Translations!$B$157</f>
        <v>netaik.</v>
      </c>
      <c r="CA39" s="977" t="str">
        <f>Translations!$B$157</f>
        <v>netaik.</v>
      </c>
      <c r="CB39" s="977" t="str">
        <f>Translations!$B$157</f>
        <v>netaik.</v>
      </c>
      <c r="CC39" s="977" t="str">
        <f>Translations!$B$157</f>
        <v>netaik.</v>
      </c>
      <c r="CD39" s="977" t="str">
        <f>Translations!$B$157</f>
        <v>netaik.</v>
      </c>
      <c r="CE39" s="978" t="str">
        <f>Translations!$B$157</f>
        <v>netaik.</v>
      </c>
      <c r="CF39" s="977" t="str">
        <f>Translations!$B$157</f>
        <v>netaik.</v>
      </c>
      <c r="CG39" s="977" t="str">
        <f>Translations!$B$157</f>
        <v>netaik.</v>
      </c>
      <c r="CH39" s="977" t="str">
        <f>Translations!$B$157</f>
        <v>netaik.</v>
      </c>
      <c r="CI39" s="977" t="str">
        <f>Translations!$B$157</f>
        <v>netaik.</v>
      </c>
      <c r="CJ39" s="977" t="str">
        <f>Translations!$B$157</f>
        <v>netaik.</v>
      </c>
      <c r="CK39" s="977" t="str">
        <f>Translations!$B$157</f>
        <v>netaik.</v>
      </c>
      <c r="CL39" s="977" t="str">
        <f>Translations!$B$157</f>
        <v>netaik.</v>
      </c>
      <c r="CM39" s="977" t="str">
        <f>Translations!$B$157</f>
        <v>netaik.</v>
      </c>
      <c r="CN39" s="977" t="str">
        <f>Translations!$B$157</f>
        <v>netaik.</v>
      </c>
      <c r="CO39" s="977" t="str">
        <f>Translations!$B$157</f>
        <v>netaik.</v>
      </c>
      <c r="CP39" s="977" t="str">
        <f>Translations!$B$157</f>
        <v>netaik.</v>
      </c>
      <c r="CQ39" s="977" t="str">
        <f>Translations!$B$157</f>
        <v>netaik.</v>
      </c>
      <c r="CR39" s="977" t="str">
        <f>Translations!$B$157</f>
        <v>netaik.</v>
      </c>
      <c r="CS39" s="977" t="str">
        <f>Translations!$B$157</f>
        <v>netaik.</v>
      </c>
      <c r="CT39" s="977" t="str">
        <f>Translations!$B$157</f>
        <v>netaik.</v>
      </c>
      <c r="CU39" s="977" t="str">
        <f>Translations!$B$157</f>
        <v>netaik.</v>
      </c>
      <c r="CV39" s="977" t="str">
        <f>Translations!$B$157</f>
        <v>netaik.</v>
      </c>
      <c r="CW39" s="977" t="str">
        <f>Translations!$B$157</f>
        <v>netaik.</v>
      </c>
      <c r="CX39" s="977" t="str">
        <f>Translations!$B$157</f>
        <v>netaik.</v>
      </c>
      <c r="CY39" s="977" t="str">
        <f>Translations!$B$157</f>
        <v>netaik.</v>
      </c>
      <c r="CZ39" s="977" t="str">
        <f>Translations!$B$157</f>
        <v>netaik.</v>
      </c>
      <c r="DA39" s="977" t="str">
        <f>Translations!$B$157</f>
        <v>netaik.</v>
      </c>
      <c r="DB39" s="977" t="str">
        <f>Translations!$B$157</f>
        <v>netaik.</v>
      </c>
    </row>
    <row r="40" spans="1:106" ht="13.5" thickBot="1" x14ac:dyDescent="0.25">
      <c r="A40" s="481">
        <v>23</v>
      </c>
      <c r="B40" s="371" t="str">
        <f t="shared" si="0"/>
        <v>Cemento klinkeriai: Nekarbonatinė anglis</v>
      </c>
      <c r="C40" s="371"/>
      <c r="D40" s="373"/>
      <c r="E40" s="817" t="str">
        <f t="shared" ca="1" si="1"/>
        <v>MSParameters!$G$40:$J$40</v>
      </c>
      <c r="F40" s="904"/>
      <c r="G40" s="976" t="str">
        <f>Translations!$B$1107</f>
        <v>Medžiaga – Lakieji pelenai</v>
      </c>
      <c r="H40" s="977" t="str">
        <f>Translations!$B$1090</f>
        <v>Medžiaga – Aukštakrosnių šlakas</v>
      </c>
      <c r="I40" s="977" t="str">
        <f>Translations!$B$1091</f>
        <v>Medžiaga – Kitų rūšių šlakas</v>
      </c>
      <c r="J40" s="977" t="str">
        <f>Translations!$B$1108</f>
        <v>Medžiaga – Kitos medžiagos, kurių sudėtyje yra anglies</v>
      </c>
      <c r="K40" s="977" t="str">
        <f>Translations!$B$157</f>
        <v>netaik.</v>
      </c>
      <c r="L40" s="977" t="str">
        <f>Translations!$B$157</f>
        <v>netaik.</v>
      </c>
      <c r="M40" s="977" t="str">
        <f>Translations!$B$157</f>
        <v>netaik.</v>
      </c>
      <c r="N40" s="977" t="str">
        <f>Translations!$B$157</f>
        <v>netaik.</v>
      </c>
      <c r="O40" s="977" t="str">
        <f>Translations!$B$157</f>
        <v>netaik.</v>
      </c>
      <c r="P40" s="977" t="str">
        <f>Translations!$B$157</f>
        <v>netaik.</v>
      </c>
      <c r="Q40" s="977" t="str">
        <f>Translations!$B$157</f>
        <v>netaik.</v>
      </c>
      <c r="R40" s="977" t="str">
        <f>Translations!$B$157</f>
        <v>netaik.</v>
      </c>
      <c r="S40" s="977" t="str">
        <f>Translations!$B$157</f>
        <v>netaik.</v>
      </c>
      <c r="T40" s="977" t="str">
        <f>Translations!$B$157</f>
        <v>netaik.</v>
      </c>
      <c r="U40" s="977" t="str">
        <f>Translations!$B$157</f>
        <v>netaik.</v>
      </c>
      <c r="V40" s="977" t="str">
        <f>Translations!$B$157</f>
        <v>netaik.</v>
      </c>
      <c r="W40" s="977" t="str">
        <f>Translations!$B$157</f>
        <v>netaik.</v>
      </c>
      <c r="X40" s="977" t="str">
        <f>Translations!$B$157</f>
        <v>netaik.</v>
      </c>
      <c r="Y40" s="977" t="str">
        <f>Translations!$B$157</f>
        <v>netaik.</v>
      </c>
      <c r="Z40" s="977" t="str">
        <f>Translations!$B$157</f>
        <v>netaik.</v>
      </c>
      <c r="AA40" s="977" t="str">
        <f>Translations!$B$157</f>
        <v>netaik.</v>
      </c>
      <c r="AB40" s="977" t="str">
        <f>Translations!$B$157</f>
        <v>netaik.</v>
      </c>
      <c r="AC40" s="977" t="str">
        <f>Translations!$B$157</f>
        <v>netaik.</v>
      </c>
      <c r="AD40" s="977" t="str">
        <f>Translations!$B$157</f>
        <v>netaik.</v>
      </c>
      <c r="AE40" s="977" t="str">
        <f>Translations!$B$157</f>
        <v>netaik.</v>
      </c>
      <c r="AF40" s="977" t="str">
        <f>Translations!$B$157</f>
        <v>netaik.</v>
      </c>
      <c r="AG40" s="977" t="str">
        <f>Translations!$B$157</f>
        <v>netaik.</v>
      </c>
      <c r="AH40" s="977" t="str">
        <f>Translations!$B$157</f>
        <v>netaik.</v>
      </c>
      <c r="AI40" s="977" t="str">
        <f>Translations!$B$157</f>
        <v>netaik.</v>
      </c>
      <c r="AJ40" s="977" t="str">
        <f>Translations!$B$157</f>
        <v>netaik.</v>
      </c>
      <c r="AK40" s="977" t="str">
        <f>Translations!$B$157</f>
        <v>netaik.</v>
      </c>
      <c r="AL40" s="977" t="str">
        <f>Translations!$B$157</f>
        <v>netaik.</v>
      </c>
      <c r="AM40" s="977" t="str">
        <f>Translations!$B$157</f>
        <v>netaik.</v>
      </c>
      <c r="AN40" s="977" t="str">
        <f>Translations!$B$157</f>
        <v>netaik.</v>
      </c>
      <c r="AO40" s="977" t="str">
        <f>Translations!$B$157</f>
        <v>netaik.</v>
      </c>
      <c r="AP40" s="977" t="str">
        <f>Translations!$B$157</f>
        <v>netaik.</v>
      </c>
      <c r="AQ40" s="977" t="str">
        <f>Translations!$B$157</f>
        <v>netaik.</v>
      </c>
      <c r="AR40" s="977" t="str">
        <f>Translations!$B$157</f>
        <v>netaik.</v>
      </c>
      <c r="AS40" s="977" t="str">
        <f>Translations!$B$157</f>
        <v>netaik.</v>
      </c>
      <c r="AT40" s="977" t="str">
        <f>Translations!$B$157</f>
        <v>netaik.</v>
      </c>
      <c r="AU40" s="977" t="str">
        <f>Translations!$B$157</f>
        <v>netaik.</v>
      </c>
      <c r="AV40" s="977" t="str">
        <f>Translations!$B$157</f>
        <v>netaik.</v>
      </c>
      <c r="AW40" s="977" t="str">
        <f>Translations!$B$157</f>
        <v>netaik.</v>
      </c>
      <c r="AX40" s="977" t="str">
        <f>Translations!$B$157</f>
        <v>netaik.</v>
      </c>
      <c r="AY40" s="977" t="str">
        <f>Translations!$B$157</f>
        <v>netaik.</v>
      </c>
      <c r="AZ40" s="977" t="str">
        <f>Translations!$B$157</f>
        <v>netaik.</v>
      </c>
      <c r="BA40" s="977" t="str">
        <f>Translations!$B$157</f>
        <v>netaik.</v>
      </c>
      <c r="BB40" s="977" t="str">
        <f>Translations!$B$157</f>
        <v>netaik.</v>
      </c>
      <c r="BC40" s="977" t="str">
        <f>Translations!$B$157</f>
        <v>netaik.</v>
      </c>
      <c r="BD40" s="977" t="str">
        <f>Translations!$B$157</f>
        <v>netaik.</v>
      </c>
      <c r="BE40" s="977" t="str">
        <f>Translations!$B$157</f>
        <v>netaik.</v>
      </c>
      <c r="BF40" s="977" t="str">
        <f>Translations!$B$157</f>
        <v>netaik.</v>
      </c>
      <c r="BG40" s="977" t="str">
        <f>Translations!$B$157</f>
        <v>netaik.</v>
      </c>
      <c r="BH40" s="977" t="str">
        <f>Translations!$B$157</f>
        <v>netaik.</v>
      </c>
      <c r="BI40" s="977" t="str">
        <f>Translations!$B$157</f>
        <v>netaik.</v>
      </c>
      <c r="BJ40" s="977" t="str">
        <f>Translations!$B$157</f>
        <v>netaik.</v>
      </c>
      <c r="BK40" s="977" t="str">
        <f>Translations!$B$157</f>
        <v>netaik.</v>
      </c>
      <c r="BL40" s="977" t="str">
        <f>Translations!$B$157</f>
        <v>netaik.</v>
      </c>
      <c r="BM40" s="977" t="str">
        <f>Translations!$B$157</f>
        <v>netaik.</v>
      </c>
      <c r="BN40" s="977" t="str">
        <f>Translations!$B$157</f>
        <v>netaik.</v>
      </c>
      <c r="BO40" s="977" t="str">
        <f>Translations!$B$157</f>
        <v>netaik.</v>
      </c>
      <c r="BP40" s="977" t="str">
        <f>Translations!$B$157</f>
        <v>netaik.</v>
      </c>
      <c r="BQ40" s="977" t="str">
        <f>Translations!$B$157</f>
        <v>netaik.</v>
      </c>
      <c r="BR40" s="977" t="str">
        <f>Translations!$B$157</f>
        <v>netaik.</v>
      </c>
      <c r="BS40" s="977" t="str">
        <f>Translations!$B$157</f>
        <v>netaik.</v>
      </c>
      <c r="BT40" s="977" t="str">
        <f>Translations!$B$157</f>
        <v>netaik.</v>
      </c>
      <c r="BU40" s="977" t="str">
        <f>Translations!$B$157</f>
        <v>netaik.</v>
      </c>
      <c r="BV40" s="977" t="str">
        <f>Translations!$B$157</f>
        <v>netaik.</v>
      </c>
      <c r="BW40" s="977" t="str">
        <f>Translations!$B$157</f>
        <v>netaik.</v>
      </c>
      <c r="BX40" s="977" t="str">
        <f>Translations!$B$157</f>
        <v>netaik.</v>
      </c>
      <c r="BY40" s="977" t="str">
        <f>Translations!$B$157</f>
        <v>netaik.</v>
      </c>
      <c r="BZ40" s="977" t="str">
        <f>Translations!$B$157</f>
        <v>netaik.</v>
      </c>
      <c r="CA40" s="977" t="str">
        <f>Translations!$B$157</f>
        <v>netaik.</v>
      </c>
      <c r="CB40" s="977" t="str">
        <f>Translations!$B$157</f>
        <v>netaik.</v>
      </c>
      <c r="CC40" s="977" t="str">
        <f>Translations!$B$157</f>
        <v>netaik.</v>
      </c>
      <c r="CD40" s="977" t="str">
        <f>Translations!$B$157</f>
        <v>netaik.</v>
      </c>
      <c r="CE40" s="978" t="str">
        <f>Translations!$B$157</f>
        <v>netaik.</v>
      </c>
      <c r="CF40" s="977" t="str">
        <f>Translations!$B$157</f>
        <v>netaik.</v>
      </c>
      <c r="CG40" s="977" t="str">
        <f>Translations!$B$157</f>
        <v>netaik.</v>
      </c>
      <c r="CH40" s="977" t="str">
        <f>Translations!$B$157</f>
        <v>netaik.</v>
      </c>
      <c r="CI40" s="977" t="str">
        <f>Translations!$B$157</f>
        <v>netaik.</v>
      </c>
      <c r="CJ40" s="977" t="str">
        <f>Translations!$B$157</f>
        <v>netaik.</v>
      </c>
      <c r="CK40" s="977" t="str">
        <f>Translations!$B$157</f>
        <v>netaik.</v>
      </c>
      <c r="CL40" s="977" t="str">
        <f>Translations!$B$157</f>
        <v>netaik.</v>
      </c>
      <c r="CM40" s="977" t="str">
        <f>Translations!$B$157</f>
        <v>netaik.</v>
      </c>
      <c r="CN40" s="977" t="str">
        <f>Translations!$B$157</f>
        <v>netaik.</v>
      </c>
      <c r="CO40" s="977" t="str">
        <f>Translations!$B$157</f>
        <v>netaik.</v>
      </c>
      <c r="CP40" s="977" t="str">
        <f>Translations!$B$157</f>
        <v>netaik.</v>
      </c>
      <c r="CQ40" s="977" t="str">
        <f>Translations!$B$157</f>
        <v>netaik.</v>
      </c>
      <c r="CR40" s="977" t="str">
        <f>Translations!$B$157</f>
        <v>netaik.</v>
      </c>
      <c r="CS40" s="977" t="str">
        <f>Translations!$B$157</f>
        <v>netaik.</v>
      </c>
      <c r="CT40" s="977" t="str">
        <f>Translations!$B$157</f>
        <v>netaik.</v>
      </c>
      <c r="CU40" s="977" t="str">
        <f>Translations!$B$157</f>
        <v>netaik.</v>
      </c>
      <c r="CV40" s="977" t="str">
        <f>Translations!$B$157</f>
        <v>netaik.</v>
      </c>
      <c r="CW40" s="977" t="str">
        <f>Translations!$B$157</f>
        <v>netaik.</v>
      </c>
      <c r="CX40" s="977" t="str">
        <f>Translations!$B$157</f>
        <v>netaik.</v>
      </c>
      <c r="CY40" s="977" t="str">
        <f>Translations!$B$157</f>
        <v>netaik.</v>
      </c>
      <c r="CZ40" s="977" t="str">
        <f>Translations!$B$157</f>
        <v>netaik.</v>
      </c>
      <c r="DA40" s="977" t="str">
        <f>Translations!$B$157</f>
        <v>netaik.</v>
      </c>
      <c r="DB40" s="977" t="str">
        <f>Translations!$B$157</f>
        <v>netaik.</v>
      </c>
    </row>
    <row r="41" spans="1:106" ht="13.5" thickBot="1" x14ac:dyDescent="0.25">
      <c r="A41" s="481">
        <v>24</v>
      </c>
      <c r="B41" s="371" t="str">
        <f t="shared" si="0"/>
        <v>Kalkės, dolomitas, magnezitas: Karbonatai (A metodas)</v>
      </c>
      <c r="C41" s="371"/>
      <c r="D41" s="373"/>
      <c r="E41" s="817" t="str">
        <f t="shared" ca="1" si="1"/>
        <v>MSParameters!$G$41:$Y$41</v>
      </c>
      <c r="F41" s="904"/>
      <c r="G41" s="976" t="str">
        <f>Translations!$B$1065</f>
        <v>Medžiaga – Kalkakmenis</v>
      </c>
      <c r="H41" s="977" t="str">
        <f>Translations!$B$1066</f>
        <v>Medžiaga – Dolomitas</v>
      </c>
      <c r="I41" s="977" t="str">
        <f>Translations!$B$1067</f>
        <v>Medžiaga – Natrio vandenilio karbonatas</v>
      </c>
      <c r="J41" s="977" t="str">
        <f>Translations!$B$1109</f>
        <v>Medžiaga – Žaliavinis magnezitas</v>
      </c>
      <c r="K41" s="977" t="str">
        <f>Translations!$B$1068</f>
        <v>Medžiaga – Natrio karbonatas</v>
      </c>
      <c r="L41" s="977" t="str">
        <f>Translations!$B$1069</f>
        <v>Medžiaga – Kalio karbonatas (potašas)</v>
      </c>
      <c r="M41" s="977" t="str">
        <f>Translations!$B$1070</f>
        <v>Medžiaga – CaCO3</v>
      </c>
      <c r="N41" s="977" t="str">
        <f>Translations!$B$1071</f>
        <v>Medžiaga – MgCO3</v>
      </c>
      <c r="O41" s="977" t="str">
        <f>Translations!$B$1072</f>
        <v>Medžiaga – Na2CO3</v>
      </c>
      <c r="P41" s="977" t="str">
        <f>Translations!$B$1073</f>
        <v>Medžiaga – BaCO3</v>
      </c>
      <c r="Q41" s="977" t="str">
        <f>Translations!$B$1074</f>
        <v>Medžiaga – Li2CO3</v>
      </c>
      <c r="R41" s="977" t="str">
        <f>Translations!$B$1075</f>
        <v>Medžiaga – K2CO3</v>
      </c>
      <c r="S41" s="977" t="str">
        <f>Translations!$B$1076</f>
        <v>Medžiaga – SrCO3</v>
      </c>
      <c r="T41" s="977" t="str">
        <f>Translations!$B$1077</f>
        <v>Medžiaga – NaHCO3</v>
      </c>
      <c r="U41" s="977" t="str">
        <f>Translations!$B$1078</f>
        <v>Medžiaga – FeCO3</v>
      </c>
      <c r="V41" s="977" t="str">
        <f>Translations!$B$1082</f>
        <v>Medžiaga – CaO</v>
      </c>
      <c r="W41" s="977" t="str">
        <f>Translations!$B$1083</f>
        <v>Medžiaga – MgO</v>
      </c>
      <c r="X41" s="977" t="str">
        <f>Translations!$B$1084</f>
        <v>Medžiaga – BaO</v>
      </c>
      <c r="Y41" s="977" t="str">
        <f>Translations!$B$1079</f>
        <v>Medžiaga – Kiti karbonatai</v>
      </c>
      <c r="Z41" s="977" t="str">
        <f>Translations!$B$157</f>
        <v>netaik.</v>
      </c>
      <c r="AA41" s="977" t="str">
        <f>Translations!$B$157</f>
        <v>netaik.</v>
      </c>
      <c r="AB41" s="977" t="str">
        <f>Translations!$B$157</f>
        <v>netaik.</v>
      </c>
      <c r="AC41" s="977" t="str">
        <f>Translations!$B$157</f>
        <v>netaik.</v>
      </c>
      <c r="AD41" s="977" t="str">
        <f>Translations!$B$157</f>
        <v>netaik.</v>
      </c>
      <c r="AE41" s="977" t="str">
        <f>Translations!$B$157</f>
        <v>netaik.</v>
      </c>
      <c r="AF41" s="977" t="str">
        <f>Translations!$B$157</f>
        <v>netaik.</v>
      </c>
      <c r="AG41" s="977" t="str">
        <f>Translations!$B$157</f>
        <v>netaik.</v>
      </c>
      <c r="AH41" s="977" t="str">
        <f>Translations!$B$157</f>
        <v>netaik.</v>
      </c>
      <c r="AI41" s="977" t="str">
        <f>Translations!$B$157</f>
        <v>netaik.</v>
      </c>
      <c r="AJ41" s="977" t="str">
        <f>Translations!$B$157</f>
        <v>netaik.</v>
      </c>
      <c r="AK41" s="977" t="str">
        <f>Translations!$B$157</f>
        <v>netaik.</v>
      </c>
      <c r="AL41" s="977" t="str">
        <f>Translations!$B$157</f>
        <v>netaik.</v>
      </c>
      <c r="AM41" s="977" t="str">
        <f>Translations!$B$157</f>
        <v>netaik.</v>
      </c>
      <c r="AN41" s="977" t="str">
        <f>Translations!$B$157</f>
        <v>netaik.</v>
      </c>
      <c r="AO41" s="977" t="str">
        <f>Translations!$B$157</f>
        <v>netaik.</v>
      </c>
      <c r="AP41" s="977" t="str">
        <f>Translations!$B$157</f>
        <v>netaik.</v>
      </c>
      <c r="AQ41" s="977" t="str">
        <f>Translations!$B$157</f>
        <v>netaik.</v>
      </c>
      <c r="AR41" s="977" t="str">
        <f>Translations!$B$157</f>
        <v>netaik.</v>
      </c>
      <c r="AS41" s="977" t="str">
        <f>Translations!$B$157</f>
        <v>netaik.</v>
      </c>
      <c r="AT41" s="977" t="str">
        <f>Translations!$B$157</f>
        <v>netaik.</v>
      </c>
      <c r="AU41" s="977" t="str">
        <f>Translations!$B$157</f>
        <v>netaik.</v>
      </c>
      <c r="AV41" s="977" t="str">
        <f>Translations!$B$157</f>
        <v>netaik.</v>
      </c>
      <c r="AW41" s="977" t="str">
        <f>Translations!$B$157</f>
        <v>netaik.</v>
      </c>
      <c r="AX41" s="977" t="str">
        <f>Translations!$B$157</f>
        <v>netaik.</v>
      </c>
      <c r="AY41" s="977" t="str">
        <f>Translations!$B$157</f>
        <v>netaik.</v>
      </c>
      <c r="AZ41" s="977" t="str">
        <f>Translations!$B$157</f>
        <v>netaik.</v>
      </c>
      <c r="BA41" s="977" t="str">
        <f>Translations!$B$157</f>
        <v>netaik.</v>
      </c>
      <c r="BB41" s="977" t="str">
        <f>Translations!$B$157</f>
        <v>netaik.</v>
      </c>
      <c r="BC41" s="977" t="str">
        <f>Translations!$B$157</f>
        <v>netaik.</v>
      </c>
      <c r="BD41" s="977" t="str">
        <f>Translations!$B$157</f>
        <v>netaik.</v>
      </c>
      <c r="BE41" s="977" t="str">
        <f>Translations!$B$157</f>
        <v>netaik.</v>
      </c>
      <c r="BF41" s="977" t="str">
        <f>Translations!$B$157</f>
        <v>netaik.</v>
      </c>
      <c r="BG41" s="977" t="str">
        <f>Translations!$B$157</f>
        <v>netaik.</v>
      </c>
      <c r="BH41" s="977" t="str">
        <f>Translations!$B$157</f>
        <v>netaik.</v>
      </c>
      <c r="BI41" s="977" t="str">
        <f>Translations!$B$157</f>
        <v>netaik.</v>
      </c>
      <c r="BJ41" s="977" t="str">
        <f>Translations!$B$157</f>
        <v>netaik.</v>
      </c>
      <c r="BK41" s="977" t="str">
        <f>Translations!$B$157</f>
        <v>netaik.</v>
      </c>
      <c r="BL41" s="977" t="str">
        <f>Translations!$B$157</f>
        <v>netaik.</v>
      </c>
      <c r="BM41" s="977" t="str">
        <f>Translations!$B$157</f>
        <v>netaik.</v>
      </c>
      <c r="BN41" s="977" t="str">
        <f>Translations!$B$157</f>
        <v>netaik.</v>
      </c>
      <c r="BO41" s="977" t="str">
        <f>Translations!$B$157</f>
        <v>netaik.</v>
      </c>
      <c r="BP41" s="977" t="str">
        <f>Translations!$B$157</f>
        <v>netaik.</v>
      </c>
      <c r="BQ41" s="977" t="str">
        <f>Translations!$B$157</f>
        <v>netaik.</v>
      </c>
      <c r="BR41" s="977" t="str">
        <f>Translations!$B$157</f>
        <v>netaik.</v>
      </c>
      <c r="BS41" s="977" t="str">
        <f>Translations!$B$157</f>
        <v>netaik.</v>
      </c>
      <c r="BT41" s="977" t="str">
        <f>Translations!$B$157</f>
        <v>netaik.</v>
      </c>
      <c r="BU41" s="977" t="str">
        <f>Translations!$B$157</f>
        <v>netaik.</v>
      </c>
      <c r="BV41" s="977" t="str">
        <f>Translations!$B$157</f>
        <v>netaik.</v>
      </c>
      <c r="BW41" s="977" t="str">
        <f>Translations!$B$157</f>
        <v>netaik.</v>
      </c>
      <c r="BX41" s="977" t="str">
        <f>Translations!$B$157</f>
        <v>netaik.</v>
      </c>
      <c r="BY41" s="977" t="str">
        <f>Translations!$B$157</f>
        <v>netaik.</v>
      </c>
      <c r="BZ41" s="977" t="str">
        <f>Translations!$B$157</f>
        <v>netaik.</v>
      </c>
      <c r="CA41" s="977" t="str">
        <f>Translations!$B$157</f>
        <v>netaik.</v>
      </c>
      <c r="CB41" s="977" t="str">
        <f>Translations!$B$157</f>
        <v>netaik.</v>
      </c>
      <c r="CC41" s="977" t="str">
        <f>Translations!$B$157</f>
        <v>netaik.</v>
      </c>
      <c r="CD41" s="977" t="str">
        <f>Translations!$B$157</f>
        <v>netaik.</v>
      </c>
      <c r="CE41" s="978" t="str">
        <f>Translations!$B$157</f>
        <v>netaik.</v>
      </c>
      <c r="CF41" s="977" t="str">
        <f>Translations!$B$157</f>
        <v>netaik.</v>
      </c>
      <c r="CG41" s="977" t="str">
        <f>Translations!$B$157</f>
        <v>netaik.</v>
      </c>
      <c r="CH41" s="977" t="str">
        <f>Translations!$B$157</f>
        <v>netaik.</v>
      </c>
      <c r="CI41" s="977" t="str">
        <f>Translations!$B$157</f>
        <v>netaik.</v>
      </c>
      <c r="CJ41" s="977" t="str">
        <f>Translations!$B$157</f>
        <v>netaik.</v>
      </c>
      <c r="CK41" s="977" t="str">
        <f>Translations!$B$157</f>
        <v>netaik.</v>
      </c>
      <c r="CL41" s="977" t="str">
        <f>Translations!$B$157</f>
        <v>netaik.</v>
      </c>
      <c r="CM41" s="977" t="str">
        <f>Translations!$B$157</f>
        <v>netaik.</v>
      </c>
      <c r="CN41" s="977" t="str">
        <f>Translations!$B$157</f>
        <v>netaik.</v>
      </c>
      <c r="CO41" s="977" t="str">
        <f>Translations!$B$157</f>
        <v>netaik.</v>
      </c>
      <c r="CP41" s="977" t="str">
        <f>Translations!$B$157</f>
        <v>netaik.</v>
      </c>
      <c r="CQ41" s="977" t="str">
        <f>Translations!$B$157</f>
        <v>netaik.</v>
      </c>
      <c r="CR41" s="977" t="str">
        <f>Translations!$B$157</f>
        <v>netaik.</v>
      </c>
      <c r="CS41" s="977" t="str">
        <f>Translations!$B$157</f>
        <v>netaik.</v>
      </c>
      <c r="CT41" s="977" t="str">
        <f>Translations!$B$157</f>
        <v>netaik.</v>
      </c>
      <c r="CU41" s="977" t="str">
        <f>Translations!$B$157</f>
        <v>netaik.</v>
      </c>
      <c r="CV41" s="977" t="str">
        <f>Translations!$B$157</f>
        <v>netaik.</v>
      </c>
      <c r="CW41" s="977" t="str">
        <f>Translations!$B$157</f>
        <v>netaik.</v>
      </c>
      <c r="CX41" s="977" t="str">
        <f>Translations!$B$157</f>
        <v>netaik.</v>
      </c>
      <c r="CY41" s="977" t="str">
        <f>Translations!$B$157</f>
        <v>netaik.</v>
      </c>
      <c r="CZ41" s="977" t="str">
        <f>Translations!$B$157</f>
        <v>netaik.</v>
      </c>
      <c r="DA41" s="977" t="str">
        <f>Translations!$B$157</f>
        <v>netaik.</v>
      </c>
      <c r="DB41" s="977" t="str">
        <f>Translations!$B$157</f>
        <v>netaik.</v>
      </c>
    </row>
    <row r="42" spans="1:106" ht="13.5" thickBot="1" x14ac:dyDescent="0.25">
      <c r="A42" s="481">
        <v>25</v>
      </c>
      <c r="B42" s="371" t="str">
        <f t="shared" si="0"/>
        <v>Kalkės, dolomitas, magnezitas: Šarminių žemių metalų oksidas (B metodas)</v>
      </c>
      <c r="C42" s="371"/>
      <c r="D42" s="373"/>
      <c r="E42" s="817" t="str">
        <f t="shared" ca="1" si="1"/>
        <v>MSParameters!$G$42:$I$42</v>
      </c>
      <c r="F42" s="904"/>
      <c r="G42" s="976" t="str">
        <f>Translations!$B$1110</f>
        <v>Medžiaga – Kalkės</v>
      </c>
      <c r="H42" s="977" t="str">
        <f>Translations!$B$1111</f>
        <v>Medžiaga – Magnio oksidas</v>
      </c>
      <c r="I42" s="977" t="str">
        <f>Translations!$B$1085</f>
        <v>Medžiaga – Kiti produktai</v>
      </c>
      <c r="J42" s="977" t="str">
        <f>Translations!$B$157</f>
        <v>netaik.</v>
      </c>
      <c r="K42" s="977" t="str">
        <f>Translations!$B$157</f>
        <v>netaik.</v>
      </c>
      <c r="L42" s="977" t="str">
        <f>Translations!$B$157</f>
        <v>netaik.</v>
      </c>
      <c r="M42" s="977" t="str">
        <f>Translations!$B$157</f>
        <v>netaik.</v>
      </c>
      <c r="N42" s="977" t="str">
        <f>Translations!$B$157</f>
        <v>netaik.</v>
      </c>
      <c r="O42" s="977" t="str">
        <f>Translations!$B$157</f>
        <v>netaik.</v>
      </c>
      <c r="P42" s="977" t="str">
        <f>Translations!$B$157</f>
        <v>netaik.</v>
      </c>
      <c r="Q42" s="977" t="str">
        <f>Translations!$B$157</f>
        <v>netaik.</v>
      </c>
      <c r="R42" s="977" t="str">
        <f>Translations!$B$157</f>
        <v>netaik.</v>
      </c>
      <c r="S42" s="977" t="str">
        <f>Translations!$B$157</f>
        <v>netaik.</v>
      </c>
      <c r="T42" s="977" t="str">
        <f>Translations!$B$157</f>
        <v>netaik.</v>
      </c>
      <c r="U42" s="977" t="str">
        <f>Translations!$B$157</f>
        <v>netaik.</v>
      </c>
      <c r="V42" s="977" t="str">
        <f>Translations!$B$157</f>
        <v>netaik.</v>
      </c>
      <c r="W42" s="977" t="str">
        <f>Translations!$B$157</f>
        <v>netaik.</v>
      </c>
      <c r="X42" s="977" t="str">
        <f>Translations!$B$157</f>
        <v>netaik.</v>
      </c>
      <c r="Y42" s="977" t="str">
        <f>Translations!$B$157</f>
        <v>netaik.</v>
      </c>
      <c r="Z42" s="977" t="str">
        <f>Translations!$B$157</f>
        <v>netaik.</v>
      </c>
      <c r="AA42" s="977" t="str">
        <f>Translations!$B$157</f>
        <v>netaik.</v>
      </c>
      <c r="AB42" s="977" t="str">
        <f>Translations!$B$157</f>
        <v>netaik.</v>
      </c>
      <c r="AC42" s="977" t="str">
        <f>Translations!$B$157</f>
        <v>netaik.</v>
      </c>
      <c r="AD42" s="977" t="str">
        <f>Translations!$B$157</f>
        <v>netaik.</v>
      </c>
      <c r="AE42" s="977" t="str">
        <f>Translations!$B$157</f>
        <v>netaik.</v>
      </c>
      <c r="AF42" s="977" t="str">
        <f>Translations!$B$157</f>
        <v>netaik.</v>
      </c>
      <c r="AG42" s="977" t="str">
        <f>Translations!$B$157</f>
        <v>netaik.</v>
      </c>
      <c r="AH42" s="977" t="str">
        <f>Translations!$B$157</f>
        <v>netaik.</v>
      </c>
      <c r="AI42" s="977" t="str">
        <f>Translations!$B$157</f>
        <v>netaik.</v>
      </c>
      <c r="AJ42" s="977" t="str">
        <f>Translations!$B$157</f>
        <v>netaik.</v>
      </c>
      <c r="AK42" s="977" t="str">
        <f>Translations!$B$157</f>
        <v>netaik.</v>
      </c>
      <c r="AL42" s="977" t="str">
        <f>Translations!$B$157</f>
        <v>netaik.</v>
      </c>
      <c r="AM42" s="977" t="str">
        <f>Translations!$B$157</f>
        <v>netaik.</v>
      </c>
      <c r="AN42" s="977" t="str">
        <f>Translations!$B$157</f>
        <v>netaik.</v>
      </c>
      <c r="AO42" s="977" t="str">
        <f>Translations!$B$157</f>
        <v>netaik.</v>
      </c>
      <c r="AP42" s="977" t="str">
        <f>Translations!$B$157</f>
        <v>netaik.</v>
      </c>
      <c r="AQ42" s="977" t="str">
        <f>Translations!$B$157</f>
        <v>netaik.</v>
      </c>
      <c r="AR42" s="977" t="str">
        <f>Translations!$B$157</f>
        <v>netaik.</v>
      </c>
      <c r="AS42" s="977" t="str">
        <f>Translations!$B$157</f>
        <v>netaik.</v>
      </c>
      <c r="AT42" s="977" t="str">
        <f>Translations!$B$157</f>
        <v>netaik.</v>
      </c>
      <c r="AU42" s="977" t="str">
        <f>Translations!$B$157</f>
        <v>netaik.</v>
      </c>
      <c r="AV42" s="977" t="str">
        <f>Translations!$B$157</f>
        <v>netaik.</v>
      </c>
      <c r="AW42" s="977" t="str">
        <f>Translations!$B$157</f>
        <v>netaik.</v>
      </c>
      <c r="AX42" s="977" t="str">
        <f>Translations!$B$157</f>
        <v>netaik.</v>
      </c>
      <c r="AY42" s="977" t="str">
        <f>Translations!$B$157</f>
        <v>netaik.</v>
      </c>
      <c r="AZ42" s="977" t="str">
        <f>Translations!$B$157</f>
        <v>netaik.</v>
      </c>
      <c r="BA42" s="977" t="str">
        <f>Translations!$B$157</f>
        <v>netaik.</v>
      </c>
      <c r="BB42" s="977" t="str">
        <f>Translations!$B$157</f>
        <v>netaik.</v>
      </c>
      <c r="BC42" s="977" t="str">
        <f>Translations!$B$157</f>
        <v>netaik.</v>
      </c>
      <c r="BD42" s="977" t="str">
        <f>Translations!$B$157</f>
        <v>netaik.</v>
      </c>
      <c r="BE42" s="977" t="str">
        <f>Translations!$B$157</f>
        <v>netaik.</v>
      </c>
      <c r="BF42" s="977" t="str">
        <f>Translations!$B$157</f>
        <v>netaik.</v>
      </c>
      <c r="BG42" s="977" t="str">
        <f>Translations!$B$157</f>
        <v>netaik.</v>
      </c>
      <c r="BH42" s="977" t="str">
        <f>Translations!$B$157</f>
        <v>netaik.</v>
      </c>
      <c r="BI42" s="977" t="str">
        <f>Translations!$B$157</f>
        <v>netaik.</v>
      </c>
      <c r="BJ42" s="977" t="str">
        <f>Translations!$B$157</f>
        <v>netaik.</v>
      </c>
      <c r="BK42" s="977" t="str">
        <f>Translations!$B$157</f>
        <v>netaik.</v>
      </c>
      <c r="BL42" s="977" t="str">
        <f>Translations!$B$157</f>
        <v>netaik.</v>
      </c>
      <c r="BM42" s="977" t="str">
        <f>Translations!$B$157</f>
        <v>netaik.</v>
      </c>
      <c r="BN42" s="977" t="str">
        <f>Translations!$B$157</f>
        <v>netaik.</v>
      </c>
      <c r="BO42" s="977" t="str">
        <f>Translations!$B$157</f>
        <v>netaik.</v>
      </c>
      <c r="BP42" s="977" t="str">
        <f>Translations!$B$157</f>
        <v>netaik.</v>
      </c>
      <c r="BQ42" s="977" t="str">
        <f>Translations!$B$157</f>
        <v>netaik.</v>
      </c>
      <c r="BR42" s="977" t="str">
        <f>Translations!$B$157</f>
        <v>netaik.</v>
      </c>
      <c r="BS42" s="977" t="str">
        <f>Translations!$B$157</f>
        <v>netaik.</v>
      </c>
      <c r="BT42" s="977" t="str">
        <f>Translations!$B$157</f>
        <v>netaik.</v>
      </c>
      <c r="BU42" s="977" t="str">
        <f>Translations!$B$157</f>
        <v>netaik.</v>
      </c>
      <c r="BV42" s="977" t="str">
        <f>Translations!$B$157</f>
        <v>netaik.</v>
      </c>
      <c r="BW42" s="977" t="str">
        <f>Translations!$B$157</f>
        <v>netaik.</v>
      </c>
      <c r="BX42" s="977" t="str">
        <f>Translations!$B$157</f>
        <v>netaik.</v>
      </c>
      <c r="BY42" s="977" t="str">
        <f>Translations!$B$157</f>
        <v>netaik.</v>
      </c>
      <c r="BZ42" s="977" t="str">
        <f>Translations!$B$157</f>
        <v>netaik.</v>
      </c>
      <c r="CA42" s="977" t="str">
        <f>Translations!$B$157</f>
        <v>netaik.</v>
      </c>
      <c r="CB42" s="977" t="str">
        <f>Translations!$B$157</f>
        <v>netaik.</v>
      </c>
      <c r="CC42" s="977" t="str">
        <f>Translations!$B$157</f>
        <v>netaik.</v>
      </c>
      <c r="CD42" s="977" t="str">
        <f>Translations!$B$157</f>
        <v>netaik.</v>
      </c>
      <c r="CE42" s="978" t="str">
        <f>Translations!$B$157</f>
        <v>netaik.</v>
      </c>
      <c r="CF42" s="977" t="str">
        <f>Translations!$B$157</f>
        <v>netaik.</v>
      </c>
      <c r="CG42" s="977" t="str">
        <f>Translations!$B$157</f>
        <v>netaik.</v>
      </c>
      <c r="CH42" s="977" t="str">
        <f>Translations!$B$157</f>
        <v>netaik.</v>
      </c>
      <c r="CI42" s="977" t="str">
        <f>Translations!$B$157</f>
        <v>netaik.</v>
      </c>
      <c r="CJ42" s="977" t="str">
        <f>Translations!$B$157</f>
        <v>netaik.</v>
      </c>
      <c r="CK42" s="977" t="str">
        <f>Translations!$B$157</f>
        <v>netaik.</v>
      </c>
      <c r="CL42" s="977" t="str">
        <f>Translations!$B$157</f>
        <v>netaik.</v>
      </c>
      <c r="CM42" s="977" t="str">
        <f>Translations!$B$157</f>
        <v>netaik.</v>
      </c>
      <c r="CN42" s="977" t="str">
        <f>Translations!$B$157</f>
        <v>netaik.</v>
      </c>
      <c r="CO42" s="977" t="str">
        <f>Translations!$B$157</f>
        <v>netaik.</v>
      </c>
      <c r="CP42" s="977" t="str">
        <f>Translations!$B$157</f>
        <v>netaik.</v>
      </c>
      <c r="CQ42" s="977" t="str">
        <f>Translations!$B$157</f>
        <v>netaik.</v>
      </c>
      <c r="CR42" s="977" t="str">
        <f>Translations!$B$157</f>
        <v>netaik.</v>
      </c>
      <c r="CS42" s="977" t="str">
        <f>Translations!$B$157</f>
        <v>netaik.</v>
      </c>
      <c r="CT42" s="977" t="str">
        <f>Translations!$B$157</f>
        <v>netaik.</v>
      </c>
      <c r="CU42" s="977" t="str">
        <f>Translations!$B$157</f>
        <v>netaik.</v>
      </c>
      <c r="CV42" s="977" t="str">
        <f>Translations!$B$157</f>
        <v>netaik.</v>
      </c>
      <c r="CW42" s="977" t="str">
        <f>Translations!$B$157</f>
        <v>netaik.</v>
      </c>
      <c r="CX42" s="977" t="str">
        <f>Translations!$B$157</f>
        <v>netaik.</v>
      </c>
      <c r="CY42" s="977" t="str">
        <f>Translations!$B$157</f>
        <v>netaik.</v>
      </c>
      <c r="CZ42" s="977" t="str">
        <f>Translations!$B$157</f>
        <v>netaik.</v>
      </c>
      <c r="DA42" s="977" t="str">
        <f>Translations!$B$157</f>
        <v>netaik.</v>
      </c>
      <c r="DB42" s="977" t="str">
        <f>Translations!$B$157</f>
        <v>netaik.</v>
      </c>
    </row>
    <row r="43" spans="1:106" ht="13.5" thickBot="1" x14ac:dyDescent="0.25">
      <c r="A43" s="481">
        <v>26</v>
      </c>
      <c r="B43" s="371" t="str">
        <f t="shared" si="0"/>
        <v>Kalkės, dolomitas, magnezitas: Degimo krosnių dulkės (B metodas)</v>
      </c>
      <c r="C43" s="371"/>
      <c r="D43" s="373"/>
      <c r="E43" s="817" t="str">
        <f t="shared" ca="1" si="1"/>
        <v>MSParameters!$G$43:$H$43</v>
      </c>
      <c r="F43" s="904"/>
      <c r="G43" s="976" t="str">
        <f>Translations!$B$1112</f>
        <v>Medžiaga – Degimo krosnies dulkės</v>
      </c>
      <c r="H43" s="977" t="str">
        <f>Translations!$B$1085</f>
        <v>Medžiaga – Kiti produktai</v>
      </c>
      <c r="I43" s="977" t="str">
        <f>Translations!$B$157</f>
        <v>netaik.</v>
      </c>
      <c r="J43" s="977" t="str">
        <f>Translations!$B$157</f>
        <v>netaik.</v>
      </c>
      <c r="K43" s="977" t="str">
        <f>Translations!$B$157</f>
        <v>netaik.</v>
      </c>
      <c r="L43" s="977" t="str">
        <f>Translations!$B$157</f>
        <v>netaik.</v>
      </c>
      <c r="M43" s="977" t="str">
        <f>Translations!$B$157</f>
        <v>netaik.</v>
      </c>
      <c r="N43" s="977" t="str">
        <f>Translations!$B$157</f>
        <v>netaik.</v>
      </c>
      <c r="O43" s="977" t="str">
        <f>Translations!$B$157</f>
        <v>netaik.</v>
      </c>
      <c r="P43" s="977" t="str">
        <f>Translations!$B$157</f>
        <v>netaik.</v>
      </c>
      <c r="Q43" s="977" t="str">
        <f>Translations!$B$157</f>
        <v>netaik.</v>
      </c>
      <c r="R43" s="977" t="str">
        <f>Translations!$B$157</f>
        <v>netaik.</v>
      </c>
      <c r="S43" s="977" t="str">
        <f>Translations!$B$157</f>
        <v>netaik.</v>
      </c>
      <c r="T43" s="977" t="str">
        <f>Translations!$B$157</f>
        <v>netaik.</v>
      </c>
      <c r="U43" s="977" t="str">
        <f>Translations!$B$157</f>
        <v>netaik.</v>
      </c>
      <c r="V43" s="977" t="str">
        <f>Translations!$B$157</f>
        <v>netaik.</v>
      </c>
      <c r="W43" s="977" t="str">
        <f>Translations!$B$157</f>
        <v>netaik.</v>
      </c>
      <c r="X43" s="977" t="str">
        <f>Translations!$B$157</f>
        <v>netaik.</v>
      </c>
      <c r="Y43" s="977" t="str">
        <f>Translations!$B$157</f>
        <v>netaik.</v>
      </c>
      <c r="Z43" s="977" t="str">
        <f>Translations!$B$157</f>
        <v>netaik.</v>
      </c>
      <c r="AA43" s="977" t="str">
        <f>Translations!$B$157</f>
        <v>netaik.</v>
      </c>
      <c r="AB43" s="977" t="str">
        <f>Translations!$B$157</f>
        <v>netaik.</v>
      </c>
      <c r="AC43" s="977" t="str">
        <f>Translations!$B$157</f>
        <v>netaik.</v>
      </c>
      <c r="AD43" s="977" t="str">
        <f>Translations!$B$157</f>
        <v>netaik.</v>
      </c>
      <c r="AE43" s="977" t="str">
        <f>Translations!$B$157</f>
        <v>netaik.</v>
      </c>
      <c r="AF43" s="977" t="str">
        <f>Translations!$B$157</f>
        <v>netaik.</v>
      </c>
      <c r="AG43" s="977" t="str">
        <f>Translations!$B$157</f>
        <v>netaik.</v>
      </c>
      <c r="AH43" s="977" t="str">
        <f>Translations!$B$157</f>
        <v>netaik.</v>
      </c>
      <c r="AI43" s="977" t="str">
        <f>Translations!$B$157</f>
        <v>netaik.</v>
      </c>
      <c r="AJ43" s="977" t="str">
        <f>Translations!$B$157</f>
        <v>netaik.</v>
      </c>
      <c r="AK43" s="977" t="str">
        <f>Translations!$B$157</f>
        <v>netaik.</v>
      </c>
      <c r="AL43" s="977" t="str">
        <f>Translations!$B$157</f>
        <v>netaik.</v>
      </c>
      <c r="AM43" s="977" t="str">
        <f>Translations!$B$157</f>
        <v>netaik.</v>
      </c>
      <c r="AN43" s="977" t="str">
        <f>Translations!$B$157</f>
        <v>netaik.</v>
      </c>
      <c r="AO43" s="977" t="str">
        <f>Translations!$B$157</f>
        <v>netaik.</v>
      </c>
      <c r="AP43" s="977" t="str">
        <f>Translations!$B$157</f>
        <v>netaik.</v>
      </c>
      <c r="AQ43" s="977" t="str">
        <f>Translations!$B$157</f>
        <v>netaik.</v>
      </c>
      <c r="AR43" s="977" t="str">
        <f>Translations!$B$157</f>
        <v>netaik.</v>
      </c>
      <c r="AS43" s="977" t="str">
        <f>Translations!$B$157</f>
        <v>netaik.</v>
      </c>
      <c r="AT43" s="977" t="str">
        <f>Translations!$B$157</f>
        <v>netaik.</v>
      </c>
      <c r="AU43" s="977" t="str">
        <f>Translations!$B$157</f>
        <v>netaik.</v>
      </c>
      <c r="AV43" s="977" t="str">
        <f>Translations!$B$157</f>
        <v>netaik.</v>
      </c>
      <c r="AW43" s="977" t="str">
        <f>Translations!$B$157</f>
        <v>netaik.</v>
      </c>
      <c r="AX43" s="977" t="str">
        <f>Translations!$B$157</f>
        <v>netaik.</v>
      </c>
      <c r="AY43" s="977" t="str">
        <f>Translations!$B$157</f>
        <v>netaik.</v>
      </c>
      <c r="AZ43" s="977" t="str">
        <f>Translations!$B$157</f>
        <v>netaik.</v>
      </c>
      <c r="BA43" s="977" t="str">
        <f>Translations!$B$157</f>
        <v>netaik.</v>
      </c>
      <c r="BB43" s="977" t="str">
        <f>Translations!$B$157</f>
        <v>netaik.</v>
      </c>
      <c r="BC43" s="977" t="str">
        <f>Translations!$B$157</f>
        <v>netaik.</v>
      </c>
      <c r="BD43" s="977" t="str">
        <f>Translations!$B$157</f>
        <v>netaik.</v>
      </c>
      <c r="BE43" s="977" t="str">
        <f>Translations!$B$157</f>
        <v>netaik.</v>
      </c>
      <c r="BF43" s="977" t="str">
        <f>Translations!$B$157</f>
        <v>netaik.</v>
      </c>
      <c r="BG43" s="977" t="str">
        <f>Translations!$B$157</f>
        <v>netaik.</v>
      </c>
      <c r="BH43" s="977" t="str">
        <f>Translations!$B$157</f>
        <v>netaik.</v>
      </c>
      <c r="BI43" s="977" t="str">
        <f>Translations!$B$157</f>
        <v>netaik.</v>
      </c>
      <c r="BJ43" s="977" t="str">
        <f>Translations!$B$157</f>
        <v>netaik.</v>
      </c>
      <c r="BK43" s="977" t="str">
        <f>Translations!$B$157</f>
        <v>netaik.</v>
      </c>
      <c r="BL43" s="977" t="str">
        <f>Translations!$B$157</f>
        <v>netaik.</v>
      </c>
      <c r="BM43" s="977" t="str">
        <f>Translations!$B$157</f>
        <v>netaik.</v>
      </c>
      <c r="BN43" s="977" t="str">
        <f>Translations!$B$157</f>
        <v>netaik.</v>
      </c>
      <c r="BO43" s="977" t="str">
        <f>Translations!$B$157</f>
        <v>netaik.</v>
      </c>
      <c r="BP43" s="977" t="str">
        <f>Translations!$B$157</f>
        <v>netaik.</v>
      </c>
      <c r="BQ43" s="977" t="str">
        <f>Translations!$B$157</f>
        <v>netaik.</v>
      </c>
      <c r="BR43" s="977" t="str">
        <f>Translations!$B$157</f>
        <v>netaik.</v>
      </c>
      <c r="BS43" s="977" t="str">
        <f>Translations!$B$157</f>
        <v>netaik.</v>
      </c>
      <c r="BT43" s="977" t="str">
        <f>Translations!$B$157</f>
        <v>netaik.</v>
      </c>
      <c r="BU43" s="977" t="str">
        <f>Translations!$B$157</f>
        <v>netaik.</v>
      </c>
      <c r="BV43" s="977" t="str">
        <f>Translations!$B$157</f>
        <v>netaik.</v>
      </c>
      <c r="BW43" s="977" t="str">
        <f>Translations!$B$157</f>
        <v>netaik.</v>
      </c>
      <c r="BX43" s="977" t="str">
        <f>Translations!$B$157</f>
        <v>netaik.</v>
      </c>
      <c r="BY43" s="977" t="str">
        <f>Translations!$B$157</f>
        <v>netaik.</v>
      </c>
      <c r="BZ43" s="977" t="str">
        <f>Translations!$B$157</f>
        <v>netaik.</v>
      </c>
      <c r="CA43" s="977" t="str">
        <f>Translations!$B$157</f>
        <v>netaik.</v>
      </c>
      <c r="CB43" s="977" t="str">
        <f>Translations!$B$157</f>
        <v>netaik.</v>
      </c>
      <c r="CC43" s="977" t="str">
        <f>Translations!$B$157</f>
        <v>netaik.</v>
      </c>
      <c r="CD43" s="977" t="str">
        <f>Translations!$B$157</f>
        <v>netaik.</v>
      </c>
      <c r="CE43" s="978" t="str">
        <f>Translations!$B$157</f>
        <v>netaik.</v>
      </c>
      <c r="CF43" s="977" t="str">
        <f>Translations!$B$157</f>
        <v>netaik.</v>
      </c>
      <c r="CG43" s="977" t="str">
        <f>Translations!$B$157</f>
        <v>netaik.</v>
      </c>
      <c r="CH43" s="977" t="str">
        <f>Translations!$B$157</f>
        <v>netaik.</v>
      </c>
      <c r="CI43" s="977" t="str">
        <f>Translations!$B$157</f>
        <v>netaik.</v>
      </c>
      <c r="CJ43" s="977" t="str">
        <f>Translations!$B$157</f>
        <v>netaik.</v>
      </c>
      <c r="CK43" s="977" t="str">
        <f>Translations!$B$157</f>
        <v>netaik.</v>
      </c>
      <c r="CL43" s="977" t="str">
        <f>Translations!$B$157</f>
        <v>netaik.</v>
      </c>
      <c r="CM43" s="977" t="str">
        <f>Translations!$B$157</f>
        <v>netaik.</v>
      </c>
      <c r="CN43" s="977" t="str">
        <f>Translations!$B$157</f>
        <v>netaik.</v>
      </c>
      <c r="CO43" s="977" t="str">
        <f>Translations!$B$157</f>
        <v>netaik.</v>
      </c>
      <c r="CP43" s="977" t="str">
        <f>Translations!$B$157</f>
        <v>netaik.</v>
      </c>
      <c r="CQ43" s="977" t="str">
        <f>Translations!$B$157</f>
        <v>netaik.</v>
      </c>
      <c r="CR43" s="977" t="str">
        <f>Translations!$B$157</f>
        <v>netaik.</v>
      </c>
      <c r="CS43" s="977" t="str">
        <f>Translations!$B$157</f>
        <v>netaik.</v>
      </c>
      <c r="CT43" s="977" t="str">
        <f>Translations!$B$157</f>
        <v>netaik.</v>
      </c>
      <c r="CU43" s="977" t="str">
        <f>Translations!$B$157</f>
        <v>netaik.</v>
      </c>
      <c r="CV43" s="977" t="str">
        <f>Translations!$B$157</f>
        <v>netaik.</v>
      </c>
      <c r="CW43" s="977" t="str">
        <f>Translations!$B$157</f>
        <v>netaik.</v>
      </c>
      <c r="CX43" s="977" t="str">
        <f>Translations!$B$157</f>
        <v>netaik.</v>
      </c>
      <c r="CY43" s="977" t="str">
        <f>Translations!$B$157</f>
        <v>netaik.</v>
      </c>
      <c r="CZ43" s="977" t="str">
        <f>Translations!$B$157</f>
        <v>netaik.</v>
      </c>
      <c r="DA43" s="977" t="str">
        <f>Translations!$B$157</f>
        <v>netaik.</v>
      </c>
      <c r="DB43" s="977" t="str">
        <f>Translations!$B$157</f>
        <v>netaik.</v>
      </c>
    </row>
    <row r="44" spans="1:106" ht="13.5" thickBot="1" x14ac:dyDescent="0.25">
      <c r="A44" s="481">
        <v>27</v>
      </c>
      <c r="B44" s="371" t="str">
        <f t="shared" si="0"/>
        <v>Stiklas ir mineralinė vata: Karbonatai (žaliava)</v>
      </c>
      <c r="C44" s="371"/>
      <c r="D44" s="373"/>
      <c r="E44" s="817" t="str">
        <f t="shared" ca="1" si="1"/>
        <v>MSParameters!$G$44:$V$44</v>
      </c>
      <c r="F44" s="904"/>
      <c r="G44" s="976" t="str">
        <f>Translations!$B$1065</f>
        <v>Medžiaga – Kalkakmenis</v>
      </c>
      <c r="H44" s="977" t="str">
        <f>Translations!$B$1066</f>
        <v>Medžiaga – Dolomitas</v>
      </c>
      <c r="I44" s="977" t="str">
        <f>Translations!$B$1067</f>
        <v>Medžiaga – Natrio vandenilio karbonatas</v>
      </c>
      <c r="J44" s="977" t="str">
        <f>Translations!$B$1110</f>
        <v>Medžiaga – Kalkės</v>
      </c>
      <c r="K44" s="977" t="str">
        <f>Translations!$B$1068</f>
        <v>Medžiaga – Natrio karbonatas</v>
      </c>
      <c r="L44" s="977" t="str">
        <f>Translations!$B$1069</f>
        <v>Medžiaga – Kalio karbonatas (potašas)</v>
      </c>
      <c r="M44" s="977" t="str">
        <f>Translations!$B$1070</f>
        <v>Medžiaga – CaCO3</v>
      </c>
      <c r="N44" s="977" t="str">
        <f>Translations!$B$1071</f>
        <v>Medžiaga – MgCO3</v>
      </c>
      <c r="O44" s="977" t="str">
        <f>Translations!$B$1072</f>
        <v>Medžiaga – Na2CO3</v>
      </c>
      <c r="P44" s="977" t="str">
        <f>Translations!$B$1073</f>
        <v>Medžiaga – BaCO3</v>
      </c>
      <c r="Q44" s="977" t="str">
        <f>Translations!$B$1074</f>
        <v>Medžiaga – Li2CO3</v>
      </c>
      <c r="R44" s="977" t="str">
        <f>Translations!$B$1075</f>
        <v>Medžiaga – K2CO3</v>
      </c>
      <c r="S44" s="977" t="str">
        <f>Translations!$B$1076</f>
        <v>Medžiaga – SrCO3</v>
      </c>
      <c r="T44" s="977" t="str">
        <f>Translations!$B$1077</f>
        <v>Medžiaga – NaHCO3</v>
      </c>
      <c r="U44" s="977" t="str">
        <f>Translations!$B$1078</f>
        <v>Medžiaga – FeCO3</v>
      </c>
      <c r="V44" s="977" t="str">
        <f>Translations!$B$1079</f>
        <v>Medžiaga – Kiti karbonatai</v>
      </c>
      <c r="W44" s="977" t="str">
        <f>Translations!$B$157</f>
        <v>netaik.</v>
      </c>
      <c r="X44" s="977" t="str">
        <f>Translations!$B$157</f>
        <v>netaik.</v>
      </c>
      <c r="Y44" s="977" t="str">
        <f>Translations!$B$157</f>
        <v>netaik.</v>
      </c>
      <c r="Z44" s="977" t="str">
        <f>Translations!$B$157</f>
        <v>netaik.</v>
      </c>
      <c r="AA44" s="977" t="str">
        <f>Translations!$B$157</f>
        <v>netaik.</v>
      </c>
      <c r="AB44" s="977" t="str">
        <f>Translations!$B$157</f>
        <v>netaik.</v>
      </c>
      <c r="AC44" s="977" t="str">
        <f>Translations!$B$157</f>
        <v>netaik.</v>
      </c>
      <c r="AD44" s="977" t="str">
        <f>Translations!$B$157</f>
        <v>netaik.</v>
      </c>
      <c r="AE44" s="977" t="str">
        <f>Translations!$B$157</f>
        <v>netaik.</v>
      </c>
      <c r="AF44" s="977" t="str">
        <f>Translations!$B$157</f>
        <v>netaik.</v>
      </c>
      <c r="AG44" s="977" t="str">
        <f>Translations!$B$157</f>
        <v>netaik.</v>
      </c>
      <c r="AH44" s="977" t="str">
        <f>Translations!$B$157</f>
        <v>netaik.</v>
      </c>
      <c r="AI44" s="977" t="str">
        <f>Translations!$B$157</f>
        <v>netaik.</v>
      </c>
      <c r="AJ44" s="977" t="str">
        <f>Translations!$B$157</f>
        <v>netaik.</v>
      </c>
      <c r="AK44" s="977" t="str">
        <f>Translations!$B$157</f>
        <v>netaik.</v>
      </c>
      <c r="AL44" s="977" t="str">
        <f>Translations!$B$157</f>
        <v>netaik.</v>
      </c>
      <c r="AM44" s="977" t="str">
        <f>Translations!$B$157</f>
        <v>netaik.</v>
      </c>
      <c r="AN44" s="977" t="str">
        <f>Translations!$B$157</f>
        <v>netaik.</v>
      </c>
      <c r="AO44" s="977" t="str">
        <f>Translations!$B$157</f>
        <v>netaik.</v>
      </c>
      <c r="AP44" s="977" t="str">
        <f>Translations!$B$157</f>
        <v>netaik.</v>
      </c>
      <c r="AQ44" s="977" t="str">
        <f>Translations!$B$157</f>
        <v>netaik.</v>
      </c>
      <c r="AR44" s="977" t="str">
        <f>Translations!$B$157</f>
        <v>netaik.</v>
      </c>
      <c r="AS44" s="977" t="str">
        <f>Translations!$B$157</f>
        <v>netaik.</v>
      </c>
      <c r="AT44" s="977" t="str">
        <f>Translations!$B$157</f>
        <v>netaik.</v>
      </c>
      <c r="AU44" s="977" t="str">
        <f>Translations!$B$157</f>
        <v>netaik.</v>
      </c>
      <c r="AV44" s="977" t="str">
        <f>Translations!$B$157</f>
        <v>netaik.</v>
      </c>
      <c r="AW44" s="977" t="str">
        <f>Translations!$B$157</f>
        <v>netaik.</v>
      </c>
      <c r="AX44" s="977" t="str">
        <f>Translations!$B$157</f>
        <v>netaik.</v>
      </c>
      <c r="AY44" s="977" t="str">
        <f>Translations!$B$157</f>
        <v>netaik.</v>
      </c>
      <c r="AZ44" s="977" t="str">
        <f>Translations!$B$157</f>
        <v>netaik.</v>
      </c>
      <c r="BA44" s="977" t="str">
        <f>Translations!$B$157</f>
        <v>netaik.</v>
      </c>
      <c r="BB44" s="977" t="str">
        <f>Translations!$B$157</f>
        <v>netaik.</v>
      </c>
      <c r="BC44" s="977" t="str">
        <f>Translations!$B$157</f>
        <v>netaik.</v>
      </c>
      <c r="BD44" s="977" t="str">
        <f>Translations!$B$157</f>
        <v>netaik.</v>
      </c>
      <c r="BE44" s="977" t="str">
        <f>Translations!$B$157</f>
        <v>netaik.</v>
      </c>
      <c r="BF44" s="977" t="str">
        <f>Translations!$B$157</f>
        <v>netaik.</v>
      </c>
      <c r="BG44" s="977" t="str">
        <f>Translations!$B$157</f>
        <v>netaik.</v>
      </c>
      <c r="BH44" s="977" t="str">
        <f>Translations!$B$157</f>
        <v>netaik.</v>
      </c>
      <c r="BI44" s="977" t="str">
        <f>Translations!$B$157</f>
        <v>netaik.</v>
      </c>
      <c r="BJ44" s="977" t="str">
        <f>Translations!$B$157</f>
        <v>netaik.</v>
      </c>
      <c r="BK44" s="977" t="str">
        <f>Translations!$B$157</f>
        <v>netaik.</v>
      </c>
      <c r="BL44" s="977" t="str">
        <f>Translations!$B$157</f>
        <v>netaik.</v>
      </c>
      <c r="BM44" s="977" t="str">
        <f>Translations!$B$157</f>
        <v>netaik.</v>
      </c>
      <c r="BN44" s="977" t="str">
        <f>Translations!$B$157</f>
        <v>netaik.</v>
      </c>
      <c r="BO44" s="977" t="str">
        <f>Translations!$B$157</f>
        <v>netaik.</v>
      </c>
      <c r="BP44" s="977" t="str">
        <f>Translations!$B$157</f>
        <v>netaik.</v>
      </c>
      <c r="BQ44" s="977" t="str">
        <f>Translations!$B$157</f>
        <v>netaik.</v>
      </c>
      <c r="BR44" s="977" t="str">
        <f>Translations!$B$157</f>
        <v>netaik.</v>
      </c>
      <c r="BS44" s="977" t="str">
        <f>Translations!$B$157</f>
        <v>netaik.</v>
      </c>
      <c r="BT44" s="977" t="str">
        <f>Translations!$B$157</f>
        <v>netaik.</v>
      </c>
      <c r="BU44" s="977" t="str">
        <f>Translations!$B$157</f>
        <v>netaik.</v>
      </c>
      <c r="BV44" s="977" t="str">
        <f>Translations!$B$157</f>
        <v>netaik.</v>
      </c>
      <c r="BW44" s="977" t="str">
        <f>Translations!$B$157</f>
        <v>netaik.</v>
      </c>
      <c r="BX44" s="977" t="str">
        <f>Translations!$B$157</f>
        <v>netaik.</v>
      </c>
      <c r="BY44" s="977" t="str">
        <f>Translations!$B$157</f>
        <v>netaik.</v>
      </c>
      <c r="BZ44" s="977" t="str">
        <f>Translations!$B$157</f>
        <v>netaik.</v>
      </c>
      <c r="CA44" s="977" t="str">
        <f>Translations!$B$157</f>
        <v>netaik.</v>
      </c>
      <c r="CB44" s="977" t="str">
        <f>Translations!$B$157</f>
        <v>netaik.</v>
      </c>
      <c r="CC44" s="977" t="str">
        <f>Translations!$B$157</f>
        <v>netaik.</v>
      </c>
      <c r="CD44" s="977" t="str">
        <f>Translations!$B$157</f>
        <v>netaik.</v>
      </c>
      <c r="CE44" s="978" t="str">
        <f>Translations!$B$157</f>
        <v>netaik.</v>
      </c>
      <c r="CF44" s="977" t="str">
        <f>Translations!$B$157</f>
        <v>netaik.</v>
      </c>
      <c r="CG44" s="977" t="str">
        <f>Translations!$B$157</f>
        <v>netaik.</v>
      </c>
      <c r="CH44" s="977" t="str">
        <f>Translations!$B$157</f>
        <v>netaik.</v>
      </c>
      <c r="CI44" s="977" t="str">
        <f>Translations!$B$157</f>
        <v>netaik.</v>
      </c>
      <c r="CJ44" s="977" t="str">
        <f>Translations!$B$157</f>
        <v>netaik.</v>
      </c>
      <c r="CK44" s="977" t="str">
        <f>Translations!$B$157</f>
        <v>netaik.</v>
      </c>
      <c r="CL44" s="977" t="str">
        <f>Translations!$B$157</f>
        <v>netaik.</v>
      </c>
      <c r="CM44" s="977" t="str">
        <f>Translations!$B$157</f>
        <v>netaik.</v>
      </c>
      <c r="CN44" s="977" t="str">
        <f>Translations!$B$157</f>
        <v>netaik.</v>
      </c>
      <c r="CO44" s="977" t="str">
        <f>Translations!$B$157</f>
        <v>netaik.</v>
      </c>
      <c r="CP44" s="977" t="str">
        <f>Translations!$B$157</f>
        <v>netaik.</v>
      </c>
      <c r="CQ44" s="977" t="str">
        <f>Translations!$B$157</f>
        <v>netaik.</v>
      </c>
      <c r="CR44" s="977" t="str">
        <f>Translations!$B$157</f>
        <v>netaik.</v>
      </c>
      <c r="CS44" s="977" t="str">
        <f>Translations!$B$157</f>
        <v>netaik.</v>
      </c>
      <c r="CT44" s="977" t="str">
        <f>Translations!$B$157</f>
        <v>netaik.</v>
      </c>
      <c r="CU44" s="977" t="str">
        <f>Translations!$B$157</f>
        <v>netaik.</v>
      </c>
      <c r="CV44" s="977" t="str">
        <f>Translations!$B$157</f>
        <v>netaik.</v>
      </c>
      <c r="CW44" s="977" t="str">
        <f>Translations!$B$157</f>
        <v>netaik.</v>
      </c>
      <c r="CX44" s="977" t="str">
        <f>Translations!$B$157</f>
        <v>netaik.</v>
      </c>
      <c r="CY44" s="977" t="str">
        <f>Translations!$B$157</f>
        <v>netaik.</v>
      </c>
      <c r="CZ44" s="977" t="str">
        <f>Translations!$B$157</f>
        <v>netaik.</v>
      </c>
      <c r="DA44" s="977" t="str">
        <f>Translations!$B$157</f>
        <v>netaik.</v>
      </c>
      <c r="DB44" s="977" t="str">
        <f>Translations!$B$157</f>
        <v>netaik.</v>
      </c>
    </row>
    <row r="45" spans="1:106" ht="13.5" thickBot="1" x14ac:dyDescent="0.25">
      <c r="A45" s="481">
        <v>28</v>
      </c>
      <c r="B45" s="371" t="str">
        <f t="shared" si="0"/>
        <v>Keramikos dirbiniai.: Anglies sąnaudos (A metodas)</v>
      </c>
      <c r="C45" s="371"/>
      <c r="D45" s="373"/>
      <c r="E45" s="817" t="str">
        <f t="shared" ca="1" si="1"/>
        <v>MSParameters!$G$45:$H$45</v>
      </c>
      <c r="F45" s="904"/>
      <c r="G45" s="976" t="str">
        <f>Translations!$B$1113</f>
        <v>Medžiaga – Molis</v>
      </c>
      <c r="H45" s="977" t="str">
        <f>Translations!$B$1108</f>
        <v>Medžiaga – Kitos medžiagos, kurių sudėtyje yra anglies</v>
      </c>
      <c r="I45" s="977" t="str">
        <f>Translations!$B$157</f>
        <v>netaik.</v>
      </c>
      <c r="J45" s="977" t="str">
        <f>Translations!$B$157</f>
        <v>netaik.</v>
      </c>
      <c r="K45" s="977" t="str">
        <f>Translations!$B$157</f>
        <v>netaik.</v>
      </c>
      <c r="L45" s="977" t="str">
        <f>Translations!$B$157</f>
        <v>netaik.</v>
      </c>
      <c r="M45" s="977" t="str">
        <f>Translations!$B$157</f>
        <v>netaik.</v>
      </c>
      <c r="N45" s="977" t="str">
        <f>Translations!$B$157</f>
        <v>netaik.</v>
      </c>
      <c r="O45" s="977" t="str">
        <f>Translations!$B$157</f>
        <v>netaik.</v>
      </c>
      <c r="P45" s="977" t="str">
        <f>Translations!$B$157</f>
        <v>netaik.</v>
      </c>
      <c r="Q45" s="977" t="str">
        <f>Translations!$B$157</f>
        <v>netaik.</v>
      </c>
      <c r="R45" s="977" t="str">
        <f>Translations!$B$157</f>
        <v>netaik.</v>
      </c>
      <c r="S45" s="977" t="str">
        <f>Translations!$B$157</f>
        <v>netaik.</v>
      </c>
      <c r="T45" s="977" t="str">
        <f>Translations!$B$157</f>
        <v>netaik.</v>
      </c>
      <c r="U45" s="977" t="str">
        <f>Translations!$B$157</f>
        <v>netaik.</v>
      </c>
      <c r="V45" s="977" t="str">
        <f>Translations!$B$157</f>
        <v>netaik.</v>
      </c>
      <c r="W45" s="977" t="str">
        <f>Translations!$B$157</f>
        <v>netaik.</v>
      </c>
      <c r="X45" s="977" t="str">
        <f>Translations!$B$157</f>
        <v>netaik.</v>
      </c>
      <c r="Y45" s="977" t="str">
        <f>Translations!$B$157</f>
        <v>netaik.</v>
      </c>
      <c r="Z45" s="977" t="str">
        <f>Translations!$B$157</f>
        <v>netaik.</v>
      </c>
      <c r="AA45" s="977" t="str">
        <f>Translations!$B$157</f>
        <v>netaik.</v>
      </c>
      <c r="AB45" s="977" t="str">
        <f>Translations!$B$157</f>
        <v>netaik.</v>
      </c>
      <c r="AC45" s="977" t="str">
        <f>Translations!$B$157</f>
        <v>netaik.</v>
      </c>
      <c r="AD45" s="977" t="str">
        <f>Translations!$B$157</f>
        <v>netaik.</v>
      </c>
      <c r="AE45" s="977" t="str">
        <f>Translations!$B$157</f>
        <v>netaik.</v>
      </c>
      <c r="AF45" s="977" t="str">
        <f>Translations!$B$157</f>
        <v>netaik.</v>
      </c>
      <c r="AG45" s="977" t="str">
        <f>Translations!$B$157</f>
        <v>netaik.</v>
      </c>
      <c r="AH45" s="977" t="str">
        <f>Translations!$B$157</f>
        <v>netaik.</v>
      </c>
      <c r="AI45" s="977" t="str">
        <f>Translations!$B$157</f>
        <v>netaik.</v>
      </c>
      <c r="AJ45" s="977" t="str">
        <f>Translations!$B$157</f>
        <v>netaik.</v>
      </c>
      <c r="AK45" s="977" t="str">
        <f>Translations!$B$157</f>
        <v>netaik.</v>
      </c>
      <c r="AL45" s="977" t="str">
        <f>Translations!$B$157</f>
        <v>netaik.</v>
      </c>
      <c r="AM45" s="977" t="str">
        <f>Translations!$B$157</f>
        <v>netaik.</v>
      </c>
      <c r="AN45" s="977" t="str">
        <f>Translations!$B$157</f>
        <v>netaik.</v>
      </c>
      <c r="AO45" s="977" t="str">
        <f>Translations!$B$157</f>
        <v>netaik.</v>
      </c>
      <c r="AP45" s="977" t="str">
        <f>Translations!$B$157</f>
        <v>netaik.</v>
      </c>
      <c r="AQ45" s="977" t="str">
        <f>Translations!$B$157</f>
        <v>netaik.</v>
      </c>
      <c r="AR45" s="977" t="str">
        <f>Translations!$B$157</f>
        <v>netaik.</v>
      </c>
      <c r="AS45" s="977" t="str">
        <f>Translations!$B$157</f>
        <v>netaik.</v>
      </c>
      <c r="AT45" s="977" t="str">
        <f>Translations!$B$157</f>
        <v>netaik.</v>
      </c>
      <c r="AU45" s="977" t="str">
        <f>Translations!$B$157</f>
        <v>netaik.</v>
      </c>
      <c r="AV45" s="977" t="str">
        <f>Translations!$B$157</f>
        <v>netaik.</v>
      </c>
      <c r="AW45" s="977" t="str">
        <f>Translations!$B$157</f>
        <v>netaik.</v>
      </c>
      <c r="AX45" s="977" t="str">
        <f>Translations!$B$157</f>
        <v>netaik.</v>
      </c>
      <c r="AY45" s="977" t="str">
        <f>Translations!$B$157</f>
        <v>netaik.</v>
      </c>
      <c r="AZ45" s="977" t="str">
        <f>Translations!$B$157</f>
        <v>netaik.</v>
      </c>
      <c r="BA45" s="977" t="str">
        <f>Translations!$B$157</f>
        <v>netaik.</v>
      </c>
      <c r="BB45" s="977" t="str">
        <f>Translations!$B$157</f>
        <v>netaik.</v>
      </c>
      <c r="BC45" s="977" t="str">
        <f>Translations!$B$157</f>
        <v>netaik.</v>
      </c>
      <c r="BD45" s="977" t="str">
        <f>Translations!$B$157</f>
        <v>netaik.</v>
      </c>
      <c r="BE45" s="977" t="str">
        <f>Translations!$B$157</f>
        <v>netaik.</v>
      </c>
      <c r="BF45" s="977" t="str">
        <f>Translations!$B$157</f>
        <v>netaik.</v>
      </c>
      <c r="BG45" s="977" t="str">
        <f>Translations!$B$157</f>
        <v>netaik.</v>
      </c>
      <c r="BH45" s="977" t="str">
        <f>Translations!$B$157</f>
        <v>netaik.</v>
      </c>
      <c r="BI45" s="977" t="str">
        <f>Translations!$B$157</f>
        <v>netaik.</v>
      </c>
      <c r="BJ45" s="977" t="str">
        <f>Translations!$B$157</f>
        <v>netaik.</v>
      </c>
      <c r="BK45" s="977" t="str">
        <f>Translations!$B$157</f>
        <v>netaik.</v>
      </c>
      <c r="BL45" s="977" t="str">
        <f>Translations!$B$157</f>
        <v>netaik.</v>
      </c>
      <c r="BM45" s="977" t="str">
        <f>Translations!$B$157</f>
        <v>netaik.</v>
      </c>
      <c r="BN45" s="977" t="str">
        <f>Translations!$B$157</f>
        <v>netaik.</v>
      </c>
      <c r="BO45" s="977" t="str">
        <f>Translations!$B$157</f>
        <v>netaik.</v>
      </c>
      <c r="BP45" s="977" t="str">
        <f>Translations!$B$157</f>
        <v>netaik.</v>
      </c>
      <c r="BQ45" s="977" t="str">
        <f>Translations!$B$157</f>
        <v>netaik.</v>
      </c>
      <c r="BR45" s="977" t="str">
        <f>Translations!$B$157</f>
        <v>netaik.</v>
      </c>
      <c r="BS45" s="977" t="str">
        <f>Translations!$B$157</f>
        <v>netaik.</v>
      </c>
      <c r="BT45" s="977" t="str">
        <f>Translations!$B$157</f>
        <v>netaik.</v>
      </c>
      <c r="BU45" s="977" t="str">
        <f>Translations!$B$157</f>
        <v>netaik.</v>
      </c>
      <c r="BV45" s="977" t="str">
        <f>Translations!$B$157</f>
        <v>netaik.</v>
      </c>
      <c r="BW45" s="977" t="str">
        <f>Translations!$B$157</f>
        <v>netaik.</v>
      </c>
      <c r="BX45" s="977" t="str">
        <f>Translations!$B$157</f>
        <v>netaik.</v>
      </c>
      <c r="BY45" s="977" t="str">
        <f>Translations!$B$157</f>
        <v>netaik.</v>
      </c>
      <c r="BZ45" s="977" t="str">
        <f>Translations!$B$157</f>
        <v>netaik.</v>
      </c>
      <c r="CA45" s="977" t="str">
        <f>Translations!$B$157</f>
        <v>netaik.</v>
      </c>
      <c r="CB45" s="977" t="str">
        <f>Translations!$B$157</f>
        <v>netaik.</v>
      </c>
      <c r="CC45" s="977" t="str">
        <f>Translations!$B$157</f>
        <v>netaik.</v>
      </c>
      <c r="CD45" s="977" t="str">
        <f>Translations!$B$157</f>
        <v>netaik.</v>
      </c>
      <c r="CE45" s="978" t="str">
        <f>Translations!$B$157</f>
        <v>netaik.</v>
      </c>
      <c r="CF45" s="977" t="str">
        <f>Translations!$B$157</f>
        <v>netaik.</v>
      </c>
      <c r="CG45" s="977" t="str">
        <f>Translations!$B$157</f>
        <v>netaik.</v>
      </c>
      <c r="CH45" s="977" t="str">
        <f>Translations!$B$157</f>
        <v>netaik.</v>
      </c>
      <c r="CI45" s="977" t="str">
        <f>Translations!$B$157</f>
        <v>netaik.</v>
      </c>
      <c r="CJ45" s="977" t="str">
        <f>Translations!$B$157</f>
        <v>netaik.</v>
      </c>
      <c r="CK45" s="977" t="str">
        <f>Translations!$B$157</f>
        <v>netaik.</v>
      </c>
      <c r="CL45" s="977" t="str">
        <f>Translations!$B$157</f>
        <v>netaik.</v>
      </c>
      <c r="CM45" s="977" t="str">
        <f>Translations!$B$157</f>
        <v>netaik.</v>
      </c>
      <c r="CN45" s="977" t="str">
        <f>Translations!$B$157</f>
        <v>netaik.</v>
      </c>
      <c r="CO45" s="977" t="str">
        <f>Translations!$B$157</f>
        <v>netaik.</v>
      </c>
      <c r="CP45" s="977" t="str">
        <f>Translations!$B$157</f>
        <v>netaik.</v>
      </c>
      <c r="CQ45" s="977" t="str">
        <f>Translations!$B$157</f>
        <v>netaik.</v>
      </c>
      <c r="CR45" s="977" t="str">
        <f>Translations!$B$157</f>
        <v>netaik.</v>
      </c>
      <c r="CS45" s="977" t="str">
        <f>Translations!$B$157</f>
        <v>netaik.</v>
      </c>
      <c r="CT45" s="977" t="str">
        <f>Translations!$B$157</f>
        <v>netaik.</v>
      </c>
      <c r="CU45" s="977" t="str">
        <f>Translations!$B$157</f>
        <v>netaik.</v>
      </c>
      <c r="CV45" s="977" t="str">
        <f>Translations!$B$157</f>
        <v>netaik.</v>
      </c>
      <c r="CW45" s="977" t="str">
        <f>Translations!$B$157</f>
        <v>netaik.</v>
      </c>
      <c r="CX45" s="977" t="str">
        <f>Translations!$B$157</f>
        <v>netaik.</v>
      </c>
      <c r="CY45" s="977" t="str">
        <f>Translations!$B$157</f>
        <v>netaik.</v>
      </c>
      <c r="CZ45" s="977" t="str">
        <f>Translations!$B$157</f>
        <v>netaik.</v>
      </c>
      <c r="DA45" s="977" t="str">
        <f>Translations!$B$157</f>
        <v>netaik.</v>
      </c>
      <c r="DB45" s="977" t="str">
        <f>Translations!$B$157</f>
        <v>netaik.</v>
      </c>
    </row>
    <row r="46" spans="1:106" ht="13.5" thickBot="1" x14ac:dyDescent="0.25">
      <c r="A46" s="481">
        <v>29</v>
      </c>
      <c r="B46" s="371" t="str">
        <f t="shared" si="0"/>
        <v>Keramikos dirbiniai.: Šarminių metalų oksidas (B metodas)</v>
      </c>
      <c r="C46" s="371"/>
      <c r="D46" s="373"/>
      <c r="E46" s="817" t="str">
        <f t="shared" ca="1" si="1"/>
        <v>MSParameters!$G$46:$K$46</v>
      </c>
      <c r="F46" s="904"/>
      <c r="G46" s="976" t="str">
        <f>Translations!$B$1082</f>
        <v>Medžiaga – CaO</v>
      </c>
      <c r="H46" s="977" t="str">
        <f>Translations!$B$1083</f>
        <v>Medžiaga – MgO</v>
      </c>
      <c r="I46" s="977" t="str">
        <f>Translations!$B$1084</f>
        <v>Medžiaga – BaO</v>
      </c>
      <c r="J46" s="977" t="str">
        <f>Translations!$B$1114</f>
        <v>Medžiaga – Plytos</v>
      </c>
      <c r="K46" s="977" t="str">
        <f>Translations!$B$1085</f>
        <v>Medžiaga – Kiti produktai</v>
      </c>
      <c r="L46" s="977" t="str">
        <f>Translations!$B$157</f>
        <v>netaik.</v>
      </c>
      <c r="M46" s="977" t="str">
        <f>Translations!$B$157</f>
        <v>netaik.</v>
      </c>
      <c r="N46" s="977" t="str">
        <f>Translations!$B$157</f>
        <v>netaik.</v>
      </c>
      <c r="O46" s="977" t="str">
        <f>Translations!$B$157</f>
        <v>netaik.</v>
      </c>
      <c r="P46" s="977" t="str">
        <f>Translations!$B$157</f>
        <v>netaik.</v>
      </c>
      <c r="Q46" s="977" t="str">
        <f>Translations!$B$157</f>
        <v>netaik.</v>
      </c>
      <c r="R46" s="977" t="str">
        <f>Translations!$B$157</f>
        <v>netaik.</v>
      </c>
      <c r="S46" s="977" t="str">
        <f>Translations!$B$157</f>
        <v>netaik.</v>
      </c>
      <c r="T46" s="977" t="str">
        <f>Translations!$B$157</f>
        <v>netaik.</v>
      </c>
      <c r="U46" s="977" t="str">
        <f>Translations!$B$157</f>
        <v>netaik.</v>
      </c>
      <c r="V46" s="977" t="str">
        <f>Translations!$B$157</f>
        <v>netaik.</v>
      </c>
      <c r="W46" s="977" t="str">
        <f>Translations!$B$157</f>
        <v>netaik.</v>
      </c>
      <c r="X46" s="977" t="str">
        <f>Translations!$B$157</f>
        <v>netaik.</v>
      </c>
      <c r="Y46" s="977" t="str">
        <f>Translations!$B$157</f>
        <v>netaik.</v>
      </c>
      <c r="Z46" s="977" t="str">
        <f>Translations!$B$157</f>
        <v>netaik.</v>
      </c>
      <c r="AA46" s="977" t="str">
        <f>Translations!$B$157</f>
        <v>netaik.</v>
      </c>
      <c r="AB46" s="977" t="str">
        <f>Translations!$B$157</f>
        <v>netaik.</v>
      </c>
      <c r="AC46" s="977" t="str">
        <f>Translations!$B$157</f>
        <v>netaik.</v>
      </c>
      <c r="AD46" s="977" t="str">
        <f>Translations!$B$157</f>
        <v>netaik.</v>
      </c>
      <c r="AE46" s="977" t="str">
        <f>Translations!$B$157</f>
        <v>netaik.</v>
      </c>
      <c r="AF46" s="977" t="str">
        <f>Translations!$B$157</f>
        <v>netaik.</v>
      </c>
      <c r="AG46" s="977" t="str">
        <f>Translations!$B$157</f>
        <v>netaik.</v>
      </c>
      <c r="AH46" s="977" t="str">
        <f>Translations!$B$157</f>
        <v>netaik.</v>
      </c>
      <c r="AI46" s="977" t="str">
        <f>Translations!$B$157</f>
        <v>netaik.</v>
      </c>
      <c r="AJ46" s="977" t="str">
        <f>Translations!$B$157</f>
        <v>netaik.</v>
      </c>
      <c r="AK46" s="977" t="str">
        <f>Translations!$B$157</f>
        <v>netaik.</v>
      </c>
      <c r="AL46" s="977" t="str">
        <f>Translations!$B$157</f>
        <v>netaik.</v>
      </c>
      <c r="AM46" s="977" t="str">
        <f>Translations!$B$157</f>
        <v>netaik.</v>
      </c>
      <c r="AN46" s="977" t="str">
        <f>Translations!$B$157</f>
        <v>netaik.</v>
      </c>
      <c r="AO46" s="977" t="str">
        <f>Translations!$B$157</f>
        <v>netaik.</v>
      </c>
      <c r="AP46" s="977" t="str">
        <f>Translations!$B$157</f>
        <v>netaik.</v>
      </c>
      <c r="AQ46" s="977" t="str">
        <f>Translations!$B$157</f>
        <v>netaik.</v>
      </c>
      <c r="AR46" s="977" t="str">
        <f>Translations!$B$157</f>
        <v>netaik.</v>
      </c>
      <c r="AS46" s="977" t="str">
        <f>Translations!$B$157</f>
        <v>netaik.</v>
      </c>
      <c r="AT46" s="977" t="str">
        <f>Translations!$B$157</f>
        <v>netaik.</v>
      </c>
      <c r="AU46" s="977" t="str">
        <f>Translations!$B$157</f>
        <v>netaik.</v>
      </c>
      <c r="AV46" s="977" t="str">
        <f>Translations!$B$157</f>
        <v>netaik.</v>
      </c>
      <c r="AW46" s="977" t="str">
        <f>Translations!$B$157</f>
        <v>netaik.</v>
      </c>
      <c r="AX46" s="977" t="str">
        <f>Translations!$B$157</f>
        <v>netaik.</v>
      </c>
      <c r="AY46" s="977" t="str">
        <f>Translations!$B$157</f>
        <v>netaik.</v>
      </c>
      <c r="AZ46" s="977" t="str">
        <f>Translations!$B$157</f>
        <v>netaik.</v>
      </c>
      <c r="BA46" s="977" t="str">
        <f>Translations!$B$157</f>
        <v>netaik.</v>
      </c>
      <c r="BB46" s="977" t="str">
        <f>Translations!$B$157</f>
        <v>netaik.</v>
      </c>
      <c r="BC46" s="977" t="str">
        <f>Translations!$B$157</f>
        <v>netaik.</v>
      </c>
      <c r="BD46" s="977" t="str">
        <f>Translations!$B$157</f>
        <v>netaik.</v>
      </c>
      <c r="BE46" s="977" t="str">
        <f>Translations!$B$157</f>
        <v>netaik.</v>
      </c>
      <c r="BF46" s="977" t="str">
        <f>Translations!$B$157</f>
        <v>netaik.</v>
      </c>
      <c r="BG46" s="977" t="str">
        <f>Translations!$B$157</f>
        <v>netaik.</v>
      </c>
      <c r="BH46" s="977" t="str">
        <f>Translations!$B$157</f>
        <v>netaik.</v>
      </c>
      <c r="BI46" s="977" t="str">
        <f>Translations!$B$157</f>
        <v>netaik.</v>
      </c>
      <c r="BJ46" s="977" t="str">
        <f>Translations!$B$157</f>
        <v>netaik.</v>
      </c>
      <c r="BK46" s="977" t="str">
        <f>Translations!$B$157</f>
        <v>netaik.</v>
      </c>
      <c r="BL46" s="977" t="str">
        <f>Translations!$B$157</f>
        <v>netaik.</v>
      </c>
      <c r="BM46" s="977" t="str">
        <f>Translations!$B$157</f>
        <v>netaik.</v>
      </c>
      <c r="BN46" s="977" t="str">
        <f>Translations!$B$157</f>
        <v>netaik.</v>
      </c>
      <c r="BO46" s="977" t="str">
        <f>Translations!$B$157</f>
        <v>netaik.</v>
      </c>
      <c r="BP46" s="977" t="str">
        <f>Translations!$B$157</f>
        <v>netaik.</v>
      </c>
      <c r="BQ46" s="977" t="str">
        <f>Translations!$B$157</f>
        <v>netaik.</v>
      </c>
      <c r="BR46" s="977" t="str">
        <f>Translations!$B$157</f>
        <v>netaik.</v>
      </c>
      <c r="BS46" s="977" t="str">
        <f>Translations!$B$157</f>
        <v>netaik.</v>
      </c>
      <c r="BT46" s="977" t="str">
        <f>Translations!$B$157</f>
        <v>netaik.</v>
      </c>
      <c r="BU46" s="977" t="str">
        <f>Translations!$B$157</f>
        <v>netaik.</v>
      </c>
      <c r="BV46" s="977" t="str">
        <f>Translations!$B$157</f>
        <v>netaik.</v>
      </c>
      <c r="BW46" s="977" t="str">
        <f>Translations!$B$157</f>
        <v>netaik.</v>
      </c>
      <c r="BX46" s="977" t="str">
        <f>Translations!$B$157</f>
        <v>netaik.</v>
      </c>
      <c r="BY46" s="977" t="str">
        <f>Translations!$B$157</f>
        <v>netaik.</v>
      </c>
      <c r="BZ46" s="977" t="str">
        <f>Translations!$B$157</f>
        <v>netaik.</v>
      </c>
      <c r="CA46" s="977" t="str">
        <f>Translations!$B$157</f>
        <v>netaik.</v>
      </c>
      <c r="CB46" s="977" t="str">
        <f>Translations!$B$157</f>
        <v>netaik.</v>
      </c>
      <c r="CC46" s="977" t="str">
        <f>Translations!$B$157</f>
        <v>netaik.</v>
      </c>
      <c r="CD46" s="977" t="str">
        <f>Translations!$B$157</f>
        <v>netaik.</v>
      </c>
      <c r="CE46" s="978" t="str">
        <f>Translations!$B$157</f>
        <v>netaik.</v>
      </c>
      <c r="CF46" s="977" t="str">
        <f>Translations!$B$157</f>
        <v>netaik.</v>
      </c>
      <c r="CG46" s="977" t="str">
        <f>Translations!$B$157</f>
        <v>netaik.</v>
      </c>
      <c r="CH46" s="977" t="str">
        <f>Translations!$B$157</f>
        <v>netaik.</v>
      </c>
      <c r="CI46" s="977" t="str">
        <f>Translations!$B$157</f>
        <v>netaik.</v>
      </c>
      <c r="CJ46" s="977" t="str">
        <f>Translations!$B$157</f>
        <v>netaik.</v>
      </c>
      <c r="CK46" s="977" t="str">
        <f>Translations!$B$157</f>
        <v>netaik.</v>
      </c>
      <c r="CL46" s="977" t="str">
        <f>Translations!$B$157</f>
        <v>netaik.</v>
      </c>
      <c r="CM46" s="977" t="str">
        <f>Translations!$B$157</f>
        <v>netaik.</v>
      </c>
      <c r="CN46" s="977" t="str">
        <f>Translations!$B$157</f>
        <v>netaik.</v>
      </c>
      <c r="CO46" s="977" t="str">
        <f>Translations!$B$157</f>
        <v>netaik.</v>
      </c>
      <c r="CP46" s="977" t="str">
        <f>Translations!$B$157</f>
        <v>netaik.</v>
      </c>
      <c r="CQ46" s="977" t="str">
        <f>Translations!$B$157</f>
        <v>netaik.</v>
      </c>
      <c r="CR46" s="977" t="str">
        <f>Translations!$B$157</f>
        <v>netaik.</v>
      </c>
      <c r="CS46" s="977" t="str">
        <f>Translations!$B$157</f>
        <v>netaik.</v>
      </c>
      <c r="CT46" s="977" t="str">
        <f>Translations!$B$157</f>
        <v>netaik.</v>
      </c>
      <c r="CU46" s="977" t="str">
        <f>Translations!$B$157</f>
        <v>netaik.</v>
      </c>
      <c r="CV46" s="977" t="str">
        <f>Translations!$B$157</f>
        <v>netaik.</v>
      </c>
      <c r="CW46" s="977" t="str">
        <f>Translations!$B$157</f>
        <v>netaik.</v>
      </c>
      <c r="CX46" s="977" t="str">
        <f>Translations!$B$157</f>
        <v>netaik.</v>
      </c>
      <c r="CY46" s="977" t="str">
        <f>Translations!$B$157</f>
        <v>netaik.</v>
      </c>
      <c r="CZ46" s="977" t="str">
        <f>Translations!$B$157</f>
        <v>netaik.</v>
      </c>
      <c r="DA46" s="977" t="str">
        <f>Translations!$B$157</f>
        <v>netaik.</v>
      </c>
      <c r="DB46" s="977" t="str">
        <f>Translations!$B$157</f>
        <v>netaik.</v>
      </c>
    </row>
    <row r="47" spans="1:106" ht="13.5" thickBot="1" x14ac:dyDescent="0.25">
      <c r="A47" s="481">
        <v>30</v>
      </c>
      <c r="B47" s="371" t="str">
        <f t="shared" si="0"/>
        <v>Keramikos dirbiniai.: Dujų plovimas</v>
      </c>
      <c r="C47" s="371"/>
      <c r="D47" s="373"/>
      <c r="E47" s="817" t="str">
        <f t="shared" ca="1" si="1"/>
        <v>MSParameters!$G$47:$V$47</v>
      </c>
      <c r="F47" s="904"/>
      <c r="G47" s="976" t="str">
        <f>Translations!$B$1065</f>
        <v>Medžiaga – Kalkakmenis</v>
      </c>
      <c r="H47" s="977" t="str">
        <f>Translations!$B$1066</f>
        <v>Medžiaga – Dolomitas</v>
      </c>
      <c r="I47" s="977" t="str">
        <f>Translations!$B$1067</f>
        <v>Medžiaga – Natrio vandenilio karbonatas</v>
      </c>
      <c r="J47" s="977" t="str">
        <f>Translations!$B$1068</f>
        <v>Medžiaga – Natrio karbonatas</v>
      </c>
      <c r="K47" s="977" t="str">
        <f>Translations!$B$1069</f>
        <v>Medžiaga – Kalio karbonatas (potašas)</v>
      </c>
      <c r="L47" s="977" t="str">
        <f>Translations!$B$1070</f>
        <v>Medžiaga – CaCO3</v>
      </c>
      <c r="M47" s="977" t="str">
        <f>Translations!$B$1071</f>
        <v>Medžiaga – MgCO3</v>
      </c>
      <c r="N47" s="977" t="str">
        <f>Translations!$B$1072</f>
        <v>Medžiaga – Na2CO3</v>
      </c>
      <c r="O47" s="977" t="str">
        <f>Translations!$B$1073</f>
        <v>Medžiaga – BaCO3</v>
      </c>
      <c r="P47" s="977" t="str">
        <f>Translations!$B$1074</f>
        <v>Medžiaga – Li2CO3</v>
      </c>
      <c r="Q47" s="977" t="str">
        <f>Translations!$B$1075</f>
        <v>Medžiaga – K2CO3</v>
      </c>
      <c r="R47" s="977" t="str">
        <f>Translations!$B$1076</f>
        <v>Medžiaga – SrCO3</v>
      </c>
      <c r="S47" s="977" t="str">
        <f>Translations!$B$1077</f>
        <v>Medžiaga – NaHCO3</v>
      </c>
      <c r="T47" s="977" t="str">
        <f>Translations!$B$1078</f>
        <v>Medžiaga – FeCO3</v>
      </c>
      <c r="U47" s="977" t="str">
        <f>Translations!$B$1079</f>
        <v>Medžiaga – Kiti karbonatai</v>
      </c>
      <c r="V47" s="977" t="str">
        <f>Translations!$B$1064</f>
        <v>Medžiaga – Kitos medžiagos</v>
      </c>
      <c r="W47" s="977" t="str">
        <f>Translations!$B$157</f>
        <v>netaik.</v>
      </c>
      <c r="X47" s="977" t="str">
        <f>Translations!$B$157</f>
        <v>netaik.</v>
      </c>
      <c r="Y47" s="977" t="str">
        <f>Translations!$B$157</f>
        <v>netaik.</v>
      </c>
      <c r="Z47" s="977" t="str">
        <f>Translations!$B$157</f>
        <v>netaik.</v>
      </c>
      <c r="AA47" s="977" t="str">
        <f>Translations!$B$157</f>
        <v>netaik.</v>
      </c>
      <c r="AB47" s="977" t="str">
        <f>Translations!$B$157</f>
        <v>netaik.</v>
      </c>
      <c r="AC47" s="977" t="str">
        <f>Translations!$B$157</f>
        <v>netaik.</v>
      </c>
      <c r="AD47" s="977" t="str">
        <f>Translations!$B$157</f>
        <v>netaik.</v>
      </c>
      <c r="AE47" s="977" t="str">
        <f>Translations!$B$157</f>
        <v>netaik.</v>
      </c>
      <c r="AF47" s="977" t="str">
        <f>Translations!$B$157</f>
        <v>netaik.</v>
      </c>
      <c r="AG47" s="977" t="str">
        <f>Translations!$B$157</f>
        <v>netaik.</v>
      </c>
      <c r="AH47" s="977" t="str">
        <f>Translations!$B$157</f>
        <v>netaik.</v>
      </c>
      <c r="AI47" s="977" t="str">
        <f>Translations!$B$157</f>
        <v>netaik.</v>
      </c>
      <c r="AJ47" s="977" t="str">
        <f>Translations!$B$157</f>
        <v>netaik.</v>
      </c>
      <c r="AK47" s="977" t="str">
        <f>Translations!$B$157</f>
        <v>netaik.</v>
      </c>
      <c r="AL47" s="977" t="str">
        <f>Translations!$B$157</f>
        <v>netaik.</v>
      </c>
      <c r="AM47" s="977" t="str">
        <f>Translations!$B$157</f>
        <v>netaik.</v>
      </c>
      <c r="AN47" s="977" t="str">
        <f>Translations!$B$157</f>
        <v>netaik.</v>
      </c>
      <c r="AO47" s="977" t="str">
        <f>Translations!$B$157</f>
        <v>netaik.</v>
      </c>
      <c r="AP47" s="977" t="str">
        <f>Translations!$B$157</f>
        <v>netaik.</v>
      </c>
      <c r="AQ47" s="977" t="str">
        <f>Translations!$B$157</f>
        <v>netaik.</v>
      </c>
      <c r="AR47" s="977" t="str">
        <f>Translations!$B$157</f>
        <v>netaik.</v>
      </c>
      <c r="AS47" s="977" t="str">
        <f>Translations!$B$157</f>
        <v>netaik.</v>
      </c>
      <c r="AT47" s="977" t="str">
        <f>Translations!$B$157</f>
        <v>netaik.</v>
      </c>
      <c r="AU47" s="977" t="str">
        <f>Translations!$B$157</f>
        <v>netaik.</v>
      </c>
      <c r="AV47" s="977" t="str">
        <f>Translations!$B$157</f>
        <v>netaik.</v>
      </c>
      <c r="AW47" s="977" t="str">
        <f>Translations!$B$157</f>
        <v>netaik.</v>
      </c>
      <c r="AX47" s="977" t="str">
        <f>Translations!$B$157</f>
        <v>netaik.</v>
      </c>
      <c r="AY47" s="977" t="str">
        <f>Translations!$B$157</f>
        <v>netaik.</v>
      </c>
      <c r="AZ47" s="977" t="str">
        <f>Translations!$B$157</f>
        <v>netaik.</v>
      </c>
      <c r="BA47" s="977" t="str">
        <f>Translations!$B$157</f>
        <v>netaik.</v>
      </c>
      <c r="BB47" s="977" t="str">
        <f>Translations!$B$157</f>
        <v>netaik.</v>
      </c>
      <c r="BC47" s="977" t="str">
        <f>Translations!$B$157</f>
        <v>netaik.</v>
      </c>
      <c r="BD47" s="977" t="str">
        <f>Translations!$B$157</f>
        <v>netaik.</v>
      </c>
      <c r="BE47" s="977" t="str">
        <f>Translations!$B$157</f>
        <v>netaik.</v>
      </c>
      <c r="BF47" s="977" t="str">
        <f>Translations!$B$157</f>
        <v>netaik.</v>
      </c>
      <c r="BG47" s="977" t="str">
        <f>Translations!$B$157</f>
        <v>netaik.</v>
      </c>
      <c r="BH47" s="977" t="str">
        <f>Translations!$B$157</f>
        <v>netaik.</v>
      </c>
      <c r="BI47" s="977" t="str">
        <f>Translations!$B$157</f>
        <v>netaik.</v>
      </c>
      <c r="BJ47" s="977" t="str">
        <f>Translations!$B$157</f>
        <v>netaik.</v>
      </c>
      <c r="BK47" s="977" t="str">
        <f>Translations!$B$157</f>
        <v>netaik.</v>
      </c>
      <c r="BL47" s="977" t="str">
        <f>Translations!$B$157</f>
        <v>netaik.</v>
      </c>
      <c r="BM47" s="977" t="str">
        <f>Translations!$B$157</f>
        <v>netaik.</v>
      </c>
      <c r="BN47" s="977" t="str">
        <f>Translations!$B$157</f>
        <v>netaik.</v>
      </c>
      <c r="BO47" s="977" t="str">
        <f>Translations!$B$157</f>
        <v>netaik.</v>
      </c>
      <c r="BP47" s="977" t="str">
        <f>Translations!$B$157</f>
        <v>netaik.</v>
      </c>
      <c r="BQ47" s="977" t="str">
        <f>Translations!$B$157</f>
        <v>netaik.</v>
      </c>
      <c r="BR47" s="977" t="str">
        <f>Translations!$B$157</f>
        <v>netaik.</v>
      </c>
      <c r="BS47" s="977" t="str">
        <f>Translations!$B$157</f>
        <v>netaik.</v>
      </c>
      <c r="BT47" s="977" t="str">
        <f>Translations!$B$157</f>
        <v>netaik.</v>
      </c>
      <c r="BU47" s="977" t="str">
        <f>Translations!$B$157</f>
        <v>netaik.</v>
      </c>
      <c r="BV47" s="977" t="str">
        <f>Translations!$B$157</f>
        <v>netaik.</v>
      </c>
      <c r="BW47" s="977" t="str">
        <f>Translations!$B$157</f>
        <v>netaik.</v>
      </c>
      <c r="BX47" s="977" t="str">
        <f>Translations!$B$157</f>
        <v>netaik.</v>
      </c>
      <c r="BY47" s="977" t="str">
        <f>Translations!$B$157</f>
        <v>netaik.</v>
      </c>
      <c r="BZ47" s="977" t="str">
        <f>Translations!$B$157</f>
        <v>netaik.</v>
      </c>
      <c r="CA47" s="977" t="str">
        <f>Translations!$B$157</f>
        <v>netaik.</v>
      </c>
      <c r="CB47" s="977" t="str">
        <f>Translations!$B$157</f>
        <v>netaik.</v>
      </c>
      <c r="CC47" s="977" t="str">
        <f>Translations!$B$157</f>
        <v>netaik.</v>
      </c>
      <c r="CD47" s="977" t="str">
        <f>Translations!$B$157</f>
        <v>netaik.</v>
      </c>
      <c r="CE47" s="978" t="str">
        <f>Translations!$B$157</f>
        <v>netaik.</v>
      </c>
      <c r="CF47" s="977" t="str">
        <f>Translations!$B$157</f>
        <v>netaik.</v>
      </c>
      <c r="CG47" s="977" t="str">
        <f>Translations!$B$157</f>
        <v>netaik.</v>
      </c>
      <c r="CH47" s="977" t="str">
        <f>Translations!$B$157</f>
        <v>netaik.</v>
      </c>
      <c r="CI47" s="977" t="str">
        <f>Translations!$B$157</f>
        <v>netaik.</v>
      </c>
      <c r="CJ47" s="977" t="str">
        <f>Translations!$B$157</f>
        <v>netaik.</v>
      </c>
      <c r="CK47" s="977" t="str">
        <f>Translations!$B$157</f>
        <v>netaik.</v>
      </c>
      <c r="CL47" s="977" t="str">
        <f>Translations!$B$157</f>
        <v>netaik.</v>
      </c>
      <c r="CM47" s="977" t="str">
        <f>Translations!$B$157</f>
        <v>netaik.</v>
      </c>
      <c r="CN47" s="977" t="str">
        <f>Translations!$B$157</f>
        <v>netaik.</v>
      </c>
      <c r="CO47" s="977" t="str">
        <f>Translations!$B$157</f>
        <v>netaik.</v>
      </c>
      <c r="CP47" s="977" t="str">
        <f>Translations!$B$157</f>
        <v>netaik.</v>
      </c>
      <c r="CQ47" s="977" t="str">
        <f>Translations!$B$157</f>
        <v>netaik.</v>
      </c>
      <c r="CR47" s="977" t="str">
        <f>Translations!$B$157</f>
        <v>netaik.</v>
      </c>
      <c r="CS47" s="977" t="str">
        <f>Translations!$B$157</f>
        <v>netaik.</v>
      </c>
      <c r="CT47" s="977" t="str">
        <f>Translations!$B$157</f>
        <v>netaik.</v>
      </c>
      <c r="CU47" s="977" t="str">
        <f>Translations!$B$157</f>
        <v>netaik.</v>
      </c>
      <c r="CV47" s="977" t="str">
        <f>Translations!$B$157</f>
        <v>netaik.</v>
      </c>
      <c r="CW47" s="977" t="str">
        <f>Translations!$B$157</f>
        <v>netaik.</v>
      </c>
      <c r="CX47" s="977" t="str">
        <f>Translations!$B$157</f>
        <v>netaik.</v>
      </c>
      <c r="CY47" s="977" t="str">
        <f>Translations!$B$157</f>
        <v>netaik.</v>
      </c>
      <c r="CZ47" s="977" t="str">
        <f>Translations!$B$157</f>
        <v>netaik.</v>
      </c>
      <c r="DA47" s="977" t="str">
        <f>Translations!$B$157</f>
        <v>netaik.</v>
      </c>
      <c r="DB47" s="977" t="str">
        <f>Translations!$B$157</f>
        <v>netaik.</v>
      </c>
    </row>
    <row r="48" spans="1:106" ht="13.5" thickBot="1" x14ac:dyDescent="0.25">
      <c r="A48" s="481">
        <v>31</v>
      </c>
      <c r="B48" s="371" t="str">
        <f t="shared" si="0"/>
        <v>Celiuliozė ir popierius: Sudėtinės cheminės medžiagos</v>
      </c>
      <c r="C48" s="371"/>
      <c r="D48" s="373"/>
      <c r="E48" s="817" t="str">
        <f t="shared" ca="1" si="1"/>
        <v>MSParameters!$G$48:$Z$48</v>
      </c>
      <c r="F48" s="904"/>
      <c r="G48" s="976" t="str">
        <f>Translations!$B$1065</f>
        <v>Medžiaga – Kalkakmenis</v>
      </c>
      <c r="H48" s="977" t="str">
        <f>Translations!$B$1066</f>
        <v>Medžiaga – Dolomitas</v>
      </c>
      <c r="I48" s="977" t="str">
        <f>Translations!$B$1067</f>
        <v>Medžiaga – Natrio vandenilio karbonatas</v>
      </c>
      <c r="J48" s="977" t="str">
        <f>Translations!$B$1110</f>
        <v>Medžiaga – Kalkės</v>
      </c>
      <c r="K48" s="977" t="str">
        <f>Translations!$B$1068</f>
        <v>Medžiaga – Natrio karbonatas</v>
      </c>
      <c r="L48" s="977" t="str">
        <f>Translations!$B$1069</f>
        <v>Medžiaga – Kalio karbonatas (potašas)</v>
      </c>
      <c r="M48" s="977" t="str">
        <f>Translations!$B$1070</f>
        <v>Medžiaga – CaCO3</v>
      </c>
      <c r="N48" s="977" t="str">
        <f>Translations!$B$1071</f>
        <v>Medžiaga – MgCO3</v>
      </c>
      <c r="O48" s="977" t="str">
        <f>Translations!$B$1072</f>
        <v>Medžiaga – Na2CO3</v>
      </c>
      <c r="P48" s="977" t="str">
        <f>Translations!$B$1073</f>
        <v>Medžiaga – BaCO3</v>
      </c>
      <c r="Q48" s="977" t="str">
        <f>Translations!$B$1074</f>
        <v>Medžiaga – Li2CO3</v>
      </c>
      <c r="R48" s="977" t="str">
        <f>Translations!$B$1075</f>
        <v>Medžiaga – K2CO3</v>
      </c>
      <c r="S48" s="977" t="str">
        <f>Translations!$B$1076</f>
        <v>Medžiaga – SrCO3</v>
      </c>
      <c r="T48" s="977" t="str">
        <f>Translations!$B$1077</f>
        <v>Medžiaga – NaHCO3</v>
      </c>
      <c r="U48" s="977" t="str">
        <f>Translations!$B$1078</f>
        <v>Medžiaga – FeCO3</v>
      </c>
      <c r="V48" s="977" t="str">
        <f>Translations!$B$1082</f>
        <v>Medžiaga – CaO</v>
      </c>
      <c r="W48" s="977" t="str">
        <f>Translations!$B$1083</f>
        <v>Medžiaga – MgO</v>
      </c>
      <c r="X48" s="977" t="str">
        <f>Translations!$B$1084</f>
        <v>Medžiaga – BaO</v>
      </c>
      <c r="Y48" s="977" t="str">
        <f>Translations!$B$1115</f>
        <v>Medžiaga – Kitos cheminės medžiagos</v>
      </c>
      <c r="Z48" s="977" t="str">
        <f>Translations!$B$1079</f>
        <v>Medžiaga – Kiti karbonatai</v>
      </c>
      <c r="AA48" s="977" t="str">
        <f>Translations!$B$157</f>
        <v>netaik.</v>
      </c>
      <c r="AB48" s="977" t="str">
        <f>Translations!$B$157</f>
        <v>netaik.</v>
      </c>
      <c r="AC48" s="977" t="str">
        <f>Translations!$B$157</f>
        <v>netaik.</v>
      </c>
      <c r="AD48" s="977" t="str">
        <f>Translations!$B$157</f>
        <v>netaik.</v>
      </c>
      <c r="AE48" s="977" t="str">
        <f>Translations!$B$157</f>
        <v>netaik.</v>
      </c>
      <c r="AF48" s="977" t="str">
        <f>Translations!$B$157</f>
        <v>netaik.</v>
      </c>
      <c r="AG48" s="977" t="str">
        <f>Translations!$B$157</f>
        <v>netaik.</v>
      </c>
      <c r="AH48" s="977" t="str">
        <f>Translations!$B$157</f>
        <v>netaik.</v>
      </c>
      <c r="AI48" s="977" t="str">
        <f>Translations!$B$157</f>
        <v>netaik.</v>
      </c>
      <c r="AJ48" s="977" t="str">
        <f>Translations!$B$157</f>
        <v>netaik.</v>
      </c>
      <c r="AK48" s="977" t="str">
        <f>Translations!$B$157</f>
        <v>netaik.</v>
      </c>
      <c r="AL48" s="977" t="str">
        <f>Translations!$B$157</f>
        <v>netaik.</v>
      </c>
      <c r="AM48" s="977" t="str">
        <f>Translations!$B$157</f>
        <v>netaik.</v>
      </c>
      <c r="AN48" s="977" t="str">
        <f>Translations!$B$157</f>
        <v>netaik.</v>
      </c>
      <c r="AO48" s="977" t="str">
        <f>Translations!$B$157</f>
        <v>netaik.</v>
      </c>
      <c r="AP48" s="977" t="str">
        <f>Translations!$B$157</f>
        <v>netaik.</v>
      </c>
      <c r="AQ48" s="977" t="str">
        <f>Translations!$B$157</f>
        <v>netaik.</v>
      </c>
      <c r="AR48" s="977" t="str">
        <f>Translations!$B$157</f>
        <v>netaik.</v>
      </c>
      <c r="AS48" s="977" t="str">
        <f>Translations!$B$157</f>
        <v>netaik.</v>
      </c>
      <c r="AT48" s="977" t="str">
        <f>Translations!$B$157</f>
        <v>netaik.</v>
      </c>
      <c r="AU48" s="977" t="str">
        <f>Translations!$B$157</f>
        <v>netaik.</v>
      </c>
      <c r="AV48" s="977" t="str">
        <f>Translations!$B$157</f>
        <v>netaik.</v>
      </c>
      <c r="AW48" s="977" t="str">
        <f>Translations!$B$157</f>
        <v>netaik.</v>
      </c>
      <c r="AX48" s="977" t="str">
        <f>Translations!$B$157</f>
        <v>netaik.</v>
      </c>
      <c r="AY48" s="977" t="str">
        <f>Translations!$B$157</f>
        <v>netaik.</v>
      </c>
      <c r="AZ48" s="977" t="str">
        <f>Translations!$B$157</f>
        <v>netaik.</v>
      </c>
      <c r="BA48" s="977" t="str">
        <f>Translations!$B$157</f>
        <v>netaik.</v>
      </c>
      <c r="BB48" s="977" t="str">
        <f>Translations!$B$157</f>
        <v>netaik.</v>
      </c>
      <c r="BC48" s="977" t="str">
        <f>Translations!$B$157</f>
        <v>netaik.</v>
      </c>
      <c r="BD48" s="977" t="str">
        <f>Translations!$B$157</f>
        <v>netaik.</v>
      </c>
      <c r="BE48" s="977" t="str">
        <f>Translations!$B$157</f>
        <v>netaik.</v>
      </c>
      <c r="BF48" s="977" t="str">
        <f>Translations!$B$157</f>
        <v>netaik.</v>
      </c>
      <c r="BG48" s="977" t="str">
        <f>Translations!$B$157</f>
        <v>netaik.</v>
      </c>
      <c r="BH48" s="977" t="str">
        <f>Translations!$B$157</f>
        <v>netaik.</v>
      </c>
      <c r="BI48" s="977" t="str">
        <f>Translations!$B$157</f>
        <v>netaik.</v>
      </c>
      <c r="BJ48" s="977" t="str">
        <f>Translations!$B$157</f>
        <v>netaik.</v>
      </c>
      <c r="BK48" s="977" t="str">
        <f>Translations!$B$157</f>
        <v>netaik.</v>
      </c>
      <c r="BL48" s="977" t="str">
        <f>Translations!$B$157</f>
        <v>netaik.</v>
      </c>
      <c r="BM48" s="977" t="str">
        <f>Translations!$B$157</f>
        <v>netaik.</v>
      </c>
      <c r="BN48" s="977" t="str">
        <f>Translations!$B$157</f>
        <v>netaik.</v>
      </c>
      <c r="BO48" s="977" t="str">
        <f>Translations!$B$157</f>
        <v>netaik.</v>
      </c>
      <c r="BP48" s="977" t="str">
        <f>Translations!$B$157</f>
        <v>netaik.</v>
      </c>
      <c r="BQ48" s="977" t="str">
        <f>Translations!$B$157</f>
        <v>netaik.</v>
      </c>
      <c r="BR48" s="977" t="str">
        <f>Translations!$B$157</f>
        <v>netaik.</v>
      </c>
      <c r="BS48" s="977" t="str">
        <f>Translations!$B$157</f>
        <v>netaik.</v>
      </c>
      <c r="BT48" s="977" t="str">
        <f>Translations!$B$157</f>
        <v>netaik.</v>
      </c>
      <c r="BU48" s="977" t="str">
        <f>Translations!$B$157</f>
        <v>netaik.</v>
      </c>
      <c r="BV48" s="977" t="str">
        <f>Translations!$B$157</f>
        <v>netaik.</v>
      </c>
      <c r="BW48" s="977" t="str">
        <f>Translations!$B$157</f>
        <v>netaik.</v>
      </c>
      <c r="BX48" s="977" t="str">
        <f>Translations!$B$157</f>
        <v>netaik.</v>
      </c>
      <c r="BY48" s="977" t="str">
        <f>Translations!$B$157</f>
        <v>netaik.</v>
      </c>
      <c r="BZ48" s="977" t="str">
        <f>Translations!$B$157</f>
        <v>netaik.</v>
      </c>
      <c r="CA48" s="977" t="str">
        <f>Translations!$B$157</f>
        <v>netaik.</v>
      </c>
      <c r="CB48" s="977" t="str">
        <f>Translations!$B$157</f>
        <v>netaik.</v>
      </c>
      <c r="CC48" s="977" t="str">
        <f>Translations!$B$157</f>
        <v>netaik.</v>
      </c>
      <c r="CD48" s="977" t="str">
        <f>Translations!$B$157</f>
        <v>netaik.</v>
      </c>
      <c r="CE48" s="978" t="str">
        <f>Translations!$B$157</f>
        <v>netaik.</v>
      </c>
      <c r="CF48" s="977" t="str">
        <f>Translations!$B$157</f>
        <v>netaik.</v>
      </c>
      <c r="CG48" s="977" t="str">
        <f>Translations!$B$157</f>
        <v>netaik.</v>
      </c>
      <c r="CH48" s="977" t="str">
        <f>Translations!$B$157</f>
        <v>netaik.</v>
      </c>
      <c r="CI48" s="977" t="str">
        <f>Translations!$B$157</f>
        <v>netaik.</v>
      </c>
      <c r="CJ48" s="977" t="str">
        <f>Translations!$B$157</f>
        <v>netaik.</v>
      </c>
      <c r="CK48" s="977" t="str">
        <f>Translations!$B$157</f>
        <v>netaik.</v>
      </c>
      <c r="CL48" s="977" t="str">
        <f>Translations!$B$157</f>
        <v>netaik.</v>
      </c>
      <c r="CM48" s="977" t="str">
        <f>Translations!$B$157</f>
        <v>netaik.</v>
      </c>
      <c r="CN48" s="977" t="str">
        <f>Translations!$B$157</f>
        <v>netaik.</v>
      </c>
      <c r="CO48" s="977" t="str">
        <f>Translations!$B$157</f>
        <v>netaik.</v>
      </c>
      <c r="CP48" s="977" t="str">
        <f>Translations!$B$157</f>
        <v>netaik.</v>
      </c>
      <c r="CQ48" s="977" t="str">
        <f>Translations!$B$157</f>
        <v>netaik.</v>
      </c>
      <c r="CR48" s="977" t="str">
        <f>Translations!$B$157</f>
        <v>netaik.</v>
      </c>
      <c r="CS48" s="977" t="str">
        <f>Translations!$B$157</f>
        <v>netaik.</v>
      </c>
      <c r="CT48" s="977" t="str">
        <f>Translations!$B$157</f>
        <v>netaik.</v>
      </c>
      <c r="CU48" s="977" t="str">
        <f>Translations!$B$157</f>
        <v>netaik.</v>
      </c>
      <c r="CV48" s="977" t="str">
        <f>Translations!$B$157</f>
        <v>netaik.</v>
      </c>
      <c r="CW48" s="977" t="str">
        <f>Translations!$B$157</f>
        <v>netaik.</v>
      </c>
      <c r="CX48" s="977" t="str">
        <f>Translations!$B$157</f>
        <v>netaik.</v>
      </c>
      <c r="CY48" s="977" t="str">
        <f>Translations!$B$157</f>
        <v>netaik.</v>
      </c>
      <c r="CZ48" s="977" t="str">
        <f>Translations!$B$157</f>
        <v>netaik.</v>
      </c>
      <c r="DA48" s="977" t="str">
        <f>Translations!$B$157</f>
        <v>netaik.</v>
      </c>
      <c r="DB48" s="977" t="str">
        <f>Translations!$B$157</f>
        <v>netaik.</v>
      </c>
    </row>
    <row r="49" spans="1:106" ht="13.5" thickBot="1" x14ac:dyDescent="0.25">
      <c r="A49" s="481">
        <v>32</v>
      </c>
      <c r="B49" s="371" t="str">
        <f t="shared" si="0"/>
        <v>Padengtas kartonas Suodžiai: Masės balanso metodika</v>
      </c>
      <c r="C49" s="371"/>
      <c r="D49" s="373"/>
      <c r="E49" s="817" t="str">
        <f t="shared" ca="1" si="1"/>
        <v>MSParameters!$G$49:$CN$49</v>
      </c>
      <c r="F49" s="904"/>
      <c r="G49" s="976" t="str">
        <f>Translations!$B$1065</f>
        <v>Medžiaga – Kalkakmenis</v>
      </c>
      <c r="H49" s="977" t="str">
        <f>Translations!$B$1066</f>
        <v>Medžiaga – Dolomitas</v>
      </c>
      <c r="I49" s="977" t="str">
        <f>Translations!$B$1067</f>
        <v>Medžiaga – Natrio vandenilio karbonatas</v>
      </c>
      <c r="J49" s="977" t="str">
        <f>Translations!$B$1068</f>
        <v>Medžiaga – Natrio karbonatas</v>
      </c>
      <c r="K49" s="977" t="str">
        <f>Translations!$B$1069</f>
        <v>Medžiaga – Kalio karbonatas (potašas)</v>
      </c>
      <c r="L49" s="977" t="str">
        <f>Translations!$B$1070</f>
        <v>Medžiaga – CaCO3</v>
      </c>
      <c r="M49" s="977" t="str">
        <f>Translations!$B$1071</f>
        <v>Medžiaga – MgCO3</v>
      </c>
      <c r="N49" s="977" t="str">
        <f>Translations!$B$1072</f>
        <v>Medžiaga – Na2CO3</v>
      </c>
      <c r="O49" s="977" t="str">
        <f>Translations!$B$1073</f>
        <v>Medžiaga – BaCO3</v>
      </c>
      <c r="P49" s="977" t="str">
        <f>Translations!$B$1074</f>
        <v>Medžiaga – Li2CO3</v>
      </c>
      <c r="Q49" s="977" t="str">
        <f>Translations!$B$1075</f>
        <v>Medžiaga – K2CO3</v>
      </c>
      <c r="R49" s="979" t="str">
        <f>Translations!$B$1076</f>
        <v>Medžiaga – SrCO3</v>
      </c>
      <c r="S49" s="979" t="str">
        <f>Translations!$B$1077</f>
        <v>Medžiaga – NaHCO3</v>
      </c>
      <c r="T49" s="979" t="str">
        <f>Translations!$B$1078</f>
        <v>Medžiaga – FeCO3</v>
      </c>
      <c r="U49" s="979" t="str">
        <f>Translations!$B$1082</f>
        <v>Medžiaga – CaO</v>
      </c>
      <c r="V49" s="979" t="str">
        <f>Translations!$B$1083</f>
        <v>Medžiaga – MgO</v>
      </c>
      <c r="W49" s="979" t="str">
        <f>Translations!$B$1084</f>
        <v>Medžiaga – BaO</v>
      </c>
      <c r="X49" s="979" t="str">
        <f>Translations!$B$1079</f>
        <v>Medžiaga – Kiti karbonatai</v>
      </c>
      <c r="Y49" s="979" t="str">
        <f>Translations!$B$1064</f>
        <v>Medžiaga – Kitos medžiagos</v>
      </c>
      <c r="Z49" s="979" t="str">
        <f>Translations!$B$999</f>
        <v>Dujinis – Gamtinės dujos</v>
      </c>
      <c r="AA49" s="979" t="str">
        <f>Translations!$B$1000</f>
        <v>Dujinis – Dujų gamyklos dujos</v>
      </c>
      <c r="AB49" s="979" t="str">
        <f>Translations!$B$1001</f>
        <v>Dujinis – Koksavimo dujos</v>
      </c>
      <c r="AC49" s="979" t="str">
        <f>Translations!$B$1002</f>
        <v>Dujinis – Aukštakrosnių dujos</v>
      </c>
      <c r="AD49" s="979" t="str">
        <f>Translations!$B$1003</f>
        <v>Dujinis – Deguoninių plieno aukštakrosnių dujos</v>
      </c>
      <c r="AE49" s="979" t="str">
        <f>Translations!$B$1004</f>
        <v>Dujinis – Biodujos</v>
      </c>
      <c r="AF49" s="979" t="str">
        <f>Translations!$B$1005</f>
        <v>Dujinis – Dumblo dujos</v>
      </c>
      <c r="AG49" s="979" t="str">
        <f>Translations!$B$1006</f>
        <v>Dujinis – Sąvartynų dujos</v>
      </c>
      <c r="AH49" s="979" t="str">
        <f>Translations!$B$1007</f>
        <v>Dujinis – Anglies monoksidas</v>
      </c>
      <c r="AI49" s="979" t="str">
        <f>Translations!$B$1008</f>
        <v>Dujinis – Metanas</v>
      </c>
      <c r="AJ49" s="979" t="str">
        <f>Translations!$B$988</f>
        <v>Dujinis – Etanas</v>
      </c>
      <c r="AK49" s="979" t="str">
        <f>Translations!$B$989</f>
        <v>Dujinis – Propanas</v>
      </c>
      <c r="AL49" s="979" t="str">
        <f>Translations!$B$990</f>
        <v>Dujinis – Butanas</v>
      </c>
      <c r="AM49" s="979" t="str">
        <f>Translations!$B$1009</f>
        <v>Dujinis – Kitų rūšių dujinis kuras</v>
      </c>
      <c r="AN49" s="979" t="str">
        <f>Translations!$B$1010</f>
        <v>Dujinis – Kitų rūšių dujinė biomasė</v>
      </c>
      <c r="AO49" s="979" t="str">
        <f>Translations!$B$991</f>
        <v>Skystasis – Dyzelinis krosnių kuras</v>
      </c>
      <c r="AP49" s="979" t="str">
        <f>Translations!$B$1011</f>
        <v>Skystasis – Labai lengvos distiliacijos kuras</v>
      </c>
      <c r="AQ49" s="979" t="str">
        <f>Translations!$B$1012</f>
        <v>Skystasis – Vidutinės distiliacijos kuras</v>
      </c>
      <c r="AR49" s="979" t="str">
        <f>Translations!$B$1013</f>
        <v>Skystasis – Sunkusis mazutas</v>
      </c>
      <c r="AS49" s="979" t="str">
        <f>Translations!$B$992</f>
        <v>Skystasis – Gazolis</v>
      </c>
      <c r="AT49" s="979" t="str">
        <f>Translations!$B$993</f>
        <v>Skystasis – Gazolinas</v>
      </c>
      <c r="AU49" s="979" t="str">
        <f>Translations!$B$994</f>
        <v>Skystasis – Valytas žibalas</v>
      </c>
      <c r="AV49" s="979" t="str">
        <f>Translations!$B$995</f>
        <v>Skystasis – Žibalas</v>
      </c>
      <c r="AW49" s="979" t="str">
        <f>Translations!$B$996</f>
        <v>Skystasis – Reaktyvinis žibalas (Jet A1 arba Jet A)</v>
      </c>
      <c r="AX49" s="979" t="str">
        <f>Translations!$B$997</f>
        <v>Skystasis – Reaktyvinis gazolinas (benzinas) (Jet B)</v>
      </c>
      <c r="AY49" s="979" t="str">
        <f>Translations!$B$998</f>
        <v>Skystasis – Aviacinis gazolinas (benzinas) (AvGas)</v>
      </c>
      <c r="AZ49" s="979" t="str">
        <f>Translations!$B$1014</f>
        <v>Skystasis – Suskystintosios naftos dujos</v>
      </c>
      <c r="BA49" s="979" t="str">
        <f>Translations!$B$1016</f>
        <v>Skystasis – Orimulsija</v>
      </c>
      <c r="BB49" s="979" t="str">
        <f>Translations!$B$1017</f>
        <v>Skystasis – Gamtinių dujų kondensatai</v>
      </c>
      <c r="BC49" s="979" t="str">
        <f>Translations!$B$1018</f>
        <v>Skystasis – Automobilinis benzinas</v>
      </c>
      <c r="BD49" s="979" t="str">
        <f>Translations!$B$1020</f>
        <v>Skystasis – Dujos ir (arba) dyzelinas</v>
      </c>
      <c r="BE49" s="979" t="str">
        <f>Translations!$B$1021</f>
        <v>Skystasis – Mazuto distiliavimo likutis</v>
      </c>
      <c r="BF49" s="979" t="str">
        <f>Translations!$B$1022</f>
        <v>Skystasis – Pirminis benzinas</v>
      </c>
      <c r="BG49" s="979" t="str">
        <f>Translations!$B$1023</f>
        <v>Skystasis – Tepalai</v>
      </c>
      <c r="BH49" s="979" t="str">
        <f>Translations!$B$1024</f>
        <v>Skystasis – Vaitspiritas ir SBP</v>
      </c>
      <c r="BI49" s="979" t="str">
        <f>Translations!$B$1025</f>
        <v>Skystasis – Skalūnų alyva ir gudoniniai smėliai</v>
      </c>
      <c r="BJ49" s="979" t="str">
        <f>Translations!$B$1026</f>
        <v>Skystasis – Akmens anglių briketai</v>
      </c>
      <c r="BK49" s="979" t="str">
        <f>Translations!$B$1027</f>
        <v>Skystasis – Alyvų atliekos</v>
      </c>
      <c r="BL49" s="979" t="str">
        <f>Translations!$B$1028</f>
        <v>Skystasis – Biobenzinas</v>
      </c>
      <c r="BM49" s="979" t="str">
        <f>Translations!$B$1029</f>
        <v>Skystasi – Biodyzelinas</v>
      </c>
      <c r="BN49" s="979" t="str">
        <f>Translations!$B$1030</f>
        <v>Skystasis – Bitumas</v>
      </c>
      <c r="BO49" s="979" t="str">
        <f>Translations!$B$1032</f>
        <v>Skystasis – Kitų rūšių skystasis kuras</v>
      </c>
      <c r="BP49" s="979" t="str">
        <f>Translations!$B$1033</f>
        <v>Skystasis – Kitų rūšių skystoji biomasė</v>
      </c>
      <c r="BQ49" s="979" t="str">
        <f>Translations!$B$1040</f>
        <v>Kietasis – Koksas</v>
      </c>
      <c r="BR49" s="979" t="str">
        <f>Translations!$B$1041</f>
        <v>Kietasis – Naftos koksas</v>
      </c>
      <c r="BS49" s="979" t="str">
        <f>Translations!$B$1042</f>
        <v>Kietasis – Akmens anglys</v>
      </c>
      <c r="BT49" s="979" t="str">
        <f>Translations!$B$1043</f>
        <v>Kietasis – Lignitas</v>
      </c>
      <c r="BU49" s="979" t="str">
        <f>Translations!$B$1044</f>
        <v>Kietasis – Antracitas</v>
      </c>
      <c r="BV49" s="979" t="str">
        <f>Translations!$B$1045</f>
        <v>Kietasis – Koksinės anglys</v>
      </c>
      <c r="BW49" s="979" t="str">
        <f>Translations!$B$1046</f>
        <v>Kietasis – Subbituminės akmens anglys</v>
      </c>
      <c r="BX49" s="979" t="str">
        <f>Translations!$B$1047</f>
        <v>Kietasis – Kitos bituminės akmens anglys</v>
      </c>
      <c r="BY49" s="979" t="str">
        <f>Translations!$B$1048</f>
        <v>Kietasis – Dujinis koksas</v>
      </c>
      <c r="BZ49" s="979" t="str">
        <f>Translations!$B$1049</f>
        <v>Kietasis – Parafinas</v>
      </c>
      <c r="CA49" s="979" t="str">
        <f>Translations!$B$1050</f>
        <v>Kietasis – Sulfatinės išviros</v>
      </c>
      <c r="CB49" s="979" t="str">
        <f>Translations!$B$1051</f>
        <v>Kietasis – Malkos</v>
      </c>
      <c r="CC49" s="979" t="str">
        <f>Translations!$B$1052</f>
        <v>Kietasis – Mediena (ne atliekos)</v>
      </c>
      <c r="CD49" s="977" t="str">
        <f>Translations!$B$1053</f>
        <v>Kietasis – Mediena (atliekos)</v>
      </c>
      <c r="CE49" s="978" t="str">
        <f>Translations!$B$1054</f>
        <v>Kietasis – Durpės</v>
      </c>
      <c r="CF49" s="979" t="str">
        <f>Translations!$B$1055</f>
        <v>Kietasis – Kanalizacijos dumblas</v>
      </c>
      <c r="CG49" s="979" t="str">
        <f>Translations!$B$1056</f>
        <v>Kietasis – Komunalinių nuotekų dumblas</v>
      </c>
      <c r="CH49" s="979" t="str">
        <f>Translations!$B$1057</f>
        <v>Kietasis – Akmens anglių degutas</v>
      </c>
      <c r="CI49" s="979" t="str">
        <f>Translations!$B$1058</f>
        <v>Kietasis – Medžio anglys</v>
      </c>
      <c r="CJ49" s="979" t="str">
        <f>Translations!$B$1059</f>
        <v>Kietasis – Panaudos padangos</v>
      </c>
      <c r="CK49" s="979" t="str">
        <f>Translations!$B$1060</f>
        <v>Kietasis – Kitų rūšių kietasis kuras</v>
      </c>
      <c r="CL49" s="979" t="str">
        <f>Translations!$B$1061</f>
        <v>Kietasis – Kitų rūšių kietoji biomasė</v>
      </c>
      <c r="CM49" s="979" t="str">
        <f>Translations!$B$1034</f>
        <v>Atliekos – Komunalinės ir pramoninės atliekos</v>
      </c>
      <c r="CN49" s="979" t="str">
        <f>Translations!$B$1035</f>
        <v>Atliekos – Pramoninės atliekos</v>
      </c>
      <c r="CO49" s="979" t="str">
        <f>Translations!$B$157</f>
        <v>netaik.</v>
      </c>
      <c r="CP49" s="979" t="str">
        <f>Translations!$B$157</f>
        <v>netaik.</v>
      </c>
      <c r="CQ49" s="979" t="str">
        <f>Translations!$B$157</f>
        <v>netaik.</v>
      </c>
      <c r="CR49" s="979" t="str">
        <f>Translations!$B$157</f>
        <v>netaik.</v>
      </c>
      <c r="CS49" s="979" t="str">
        <f>Translations!$B$157</f>
        <v>netaik.</v>
      </c>
      <c r="CT49" s="979" t="str">
        <f>Translations!$B$157</f>
        <v>netaik.</v>
      </c>
      <c r="CU49" s="979" t="str">
        <f>Translations!$B$157</f>
        <v>netaik.</v>
      </c>
      <c r="CV49" s="979" t="str">
        <f>Translations!$B$157</f>
        <v>netaik.</v>
      </c>
      <c r="CW49" s="979" t="str">
        <f>Translations!$B$157</f>
        <v>netaik.</v>
      </c>
      <c r="CX49" s="979" t="str">
        <f>Translations!$B$157</f>
        <v>netaik.</v>
      </c>
      <c r="CY49" s="979" t="str">
        <f>Translations!$B$157</f>
        <v>netaik.</v>
      </c>
      <c r="CZ49" s="979" t="str">
        <f>Translations!$B$157</f>
        <v>netaik.</v>
      </c>
      <c r="DA49" s="979" t="str">
        <f>Translations!$B$157</f>
        <v>netaik.</v>
      </c>
      <c r="DB49" s="979" t="str">
        <f>Translations!$B$157</f>
        <v>netaik.</v>
      </c>
    </row>
    <row r="50" spans="1:106" ht="13.5" thickBot="1" x14ac:dyDescent="0.25">
      <c r="A50" s="481">
        <v>33</v>
      </c>
      <c r="B50" s="371" t="str">
        <f t="shared" si="0"/>
        <v>Amoniakas: Kuras kaip proceso žaliava</v>
      </c>
      <c r="C50" s="371"/>
      <c r="D50" s="373"/>
      <c r="E50" s="817" t="str">
        <f t="shared" ca="1" si="1"/>
        <v>MSParameters!$G$50:$BX$50</v>
      </c>
      <c r="F50" s="904"/>
      <c r="G50" s="976" t="str">
        <f>Translations!$B$999</f>
        <v>Dujinis – Gamtinės dujos</v>
      </c>
      <c r="H50" s="977" t="str">
        <f>Translations!$B$1000</f>
        <v>Dujinis – Dujų gamyklos dujos</v>
      </c>
      <c r="I50" s="977" t="str">
        <f>Translations!$B$1001</f>
        <v>Dujinis – Koksavimo dujos</v>
      </c>
      <c r="J50" s="977" t="str">
        <f>Translations!$B$1002</f>
        <v>Dujinis – Aukštakrosnių dujos</v>
      </c>
      <c r="K50" s="977" t="str">
        <f>Translations!$B$1003</f>
        <v>Dujinis – Deguoninių plieno aukštakrosnių dujos</v>
      </c>
      <c r="L50" s="977" t="str">
        <f>Translations!$B$1004</f>
        <v>Dujinis – Biodujos</v>
      </c>
      <c r="M50" s="977" t="str">
        <f>Translations!$B$1005</f>
        <v>Dujinis – Dumblo dujos</v>
      </c>
      <c r="N50" s="977" t="str">
        <f>Translations!$B$1006</f>
        <v>Dujinis – Sąvartynų dujos</v>
      </c>
      <c r="O50" s="977" t="str">
        <f>Translations!$B$1007</f>
        <v>Dujinis – Anglies monoksidas</v>
      </c>
      <c r="P50" s="977" t="str">
        <f>Translations!$B$1008</f>
        <v>Dujinis – Metanas</v>
      </c>
      <c r="Q50" s="977" t="str">
        <f>Translations!$B$988</f>
        <v>Dujinis – Etanas</v>
      </c>
      <c r="R50" s="979" t="str">
        <f>Translations!$B$989</f>
        <v>Dujinis – Propanas</v>
      </c>
      <c r="S50" s="979" t="str">
        <f>Translations!$B$990</f>
        <v>Dujinis – Butanas</v>
      </c>
      <c r="T50" s="979" t="str">
        <f>Translations!$B$1009</f>
        <v>Dujinis – Kitų rūšių dujinis kuras</v>
      </c>
      <c r="U50" s="979" t="str">
        <f>Translations!$B$1010</f>
        <v>Dujinis – Kitų rūšių dujinė biomasė</v>
      </c>
      <c r="V50" s="979" t="str">
        <f>Translations!$B$991</f>
        <v>Skystasis – Dyzelinis krosnių kuras</v>
      </c>
      <c r="W50" s="979" t="str">
        <f>Translations!$B$1011</f>
        <v>Skystasis – Labai lengvos distiliacijos kuras</v>
      </c>
      <c r="X50" s="979" t="str">
        <f>Translations!$B$1012</f>
        <v>Skystasis – Vidutinės distiliacijos kuras</v>
      </c>
      <c r="Y50" s="979" t="str">
        <f>Translations!$B$1013</f>
        <v>Skystasis – Sunkusis mazutas</v>
      </c>
      <c r="Z50" s="979" t="str">
        <f>Translations!$B$992</f>
        <v>Skystasis – Gazolis</v>
      </c>
      <c r="AA50" s="979" t="str">
        <f>Translations!$B$993</f>
        <v>Skystasis – Gazolinas</v>
      </c>
      <c r="AB50" s="979" t="str">
        <f>Translations!$B$994</f>
        <v>Skystasis – Valytas žibalas</v>
      </c>
      <c r="AC50" s="979" t="str">
        <f>Translations!$B$995</f>
        <v>Skystasis – Žibalas</v>
      </c>
      <c r="AD50" s="979" t="str">
        <f>Translations!$B$996</f>
        <v>Skystasis – Reaktyvinis žibalas (Jet A1 arba Jet A)</v>
      </c>
      <c r="AE50" s="979" t="str">
        <f>Translations!$B$997</f>
        <v>Skystasis – Reaktyvinis gazolinas (benzinas) (Jet B)</v>
      </c>
      <c r="AF50" s="979" t="str">
        <f>Translations!$B$998</f>
        <v>Skystasis – Aviacinis gazolinas (benzinas) (AvGas)</v>
      </c>
      <c r="AG50" s="979" t="str">
        <f>Translations!$B$1014</f>
        <v>Skystasis – Suskystintosios naftos dujos</v>
      </c>
      <c r="AH50" s="979" t="str">
        <f>Translations!$B$1015</f>
        <v>Skystasis – Žalia nafta</v>
      </c>
      <c r="AI50" s="979" t="str">
        <f>Translations!$B$1016</f>
        <v>Skystasis – Orimulsija</v>
      </c>
      <c r="AJ50" s="979" t="str">
        <f>Translations!$B$1017</f>
        <v>Skystasis – Gamtinių dujų kondensatai</v>
      </c>
      <c r="AK50" s="979" t="str">
        <f>Translations!$B$1018</f>
        <v>Skystasis – Automobilinis benzinas</v>
      </c>
      <c r="AL50" s="979" t="str">
        <f>Translations!$B$1019</f>
        <v>Skystasis – Skalūnų alyva</v>
      </c>
      <c r="AM50" s="979" t="str">
        <f>Translations!$B$1020</f>
        <v>Skystasis – Dujos ir (arba) dyzelinas</v>
      </c>
      <c r="AN50" s="979" t="str">
        <f>Translations!$B$1021</f>
        <v>Skystasis – Mazuto distiliavimo likutis</v>
      </c>
      <c r="AO50" s="979" t="str">
        <f>Translations!$B$1022</f>
        <v>Skystasis – Pirminis benzinas</v>
      </c>
      <c r="AP50" s="979" t="str">
        <f>Translations!$B$1023</f>
        <v>Skystasis – Tepalai</v>
      </c>
      <c r="AQ50" s="979" t="str">
        <f>Translations!$B$1024</f>
        <v>Skystasis – Vaitspiritas ir SBP</v>
      </c>
      <c r="AR50" s="979" t="str">
        <f>Translations!$B$1025</f>
        <v>Skystasis – Skalūnų alyva ir gudoniniai smėliai</v>
      </c>
      <c r="AS50" s="979" t="str">
        <f>Translations!$B$1026</f>
        <v>Skystasis – Akmens anglių briketai</v>
      </c>
      <c r="AT50" s="979" t="str">
        <f>Translations!$B$1027</f>
        <v>Skystasis – Alyvų atliekos</v>
      </c>
      <c r="AU50" s="979" t="str">
        <f>Translations!$B$1028</f>
        <v>Skystasis – Biobenzinas</v>
      </c>
      <c r="AV50" s="979" t="str">
        <f>Translations!$B$1029</f>
        <v>Skystasi – Biodyzelinas</v>
      </c>
      <c r="AW50" s="979" t="str">
        <f>Translations!$B$1030</f>
        <v>Skystasis – Bitumas</v>
      </c>
      <c r="AX50" s="979" t="str">
        <f>Translations!$B$1032</f>
        <v>Skystasis – Kitų rūšių skystasis kuras</v>
      </c>
      <c r="AY50" s="979" t="str">
        <f>Translations!$B$1033</f>
        <v>Skystasis – Kitų rūšių skystoji biomasė</v>
      </c>
      <c r="AZ50" s="979" t="str">
        <f>Translations!$B$1040</f>
        <v>Kietasis – Koksas</v>
      </c>
      <c r="BA50" s="979" t="str">
        <f>Translations!$B$1041</f>
        <v>Kietasis – Naftos koksas</v>
      </c>
      <c r="BB50" s="979" t="str">
        <f>Translations!$B$1042</f>
        <v>Kietasis – Akmens anglys</v>
      </c>
      <c r="BC50" s="979" t="str">
        <f>Translations!$B$1043</f>
        <v>Kietasis – Lignitas</v>
      </c>
      <c r="BD50" s="979" t="str">
        <f>Translations!$B$1044</f>
        <v>Kietasis – Antracitas</v>
      </c>
      <c r="BE50" s="979" t="str">
        <f>Translations!$B$1045</f>
        <v>Kietasis – Koksinės anglys</v>
      </c>
      <c r="BF50" s="979" t="str">
        <f>Translations!$B$1046</f>
        <v>Kietasis – Subbituminės akmens anglys</v>
      </c>
      <c r="BG50" s="979" t="str">
        <f>Translations!$B$1047</f>
        <v>Kietasis – Kitos bituminės akmens anglys</v>
      </c>
      <c r="BH50" s="979" t="str">
        <f>Translations!$B$1048</f>
        <v>Kietasis – Dujinis koksas</v>
      </c>
      <c r="BI50" s="979" t="str">
        <f>Translations!$B$1049</f>
        <v>Kietasis – Parafinas</v>
      </c>
      <c r="BJ50" s="979" t="str">
        <f>Translations!$B$1050</f>
        <v>Kietasis – Sulfatinės išviros</v>
      </c>
      <c r="BK50" s="979" t="str">
        <f>Translations!$B$1051</f>
        <v>Kietasis – Malkos</v>
      </c>
      <c r="BL50" s="979" t="str">
        <f>Translations!$B$1052</f>
        <v>Kietasis – Mediena (ne atliekos)</v>
      </c>
      <c r="BM50" s="979" t="str">
        <f>Translations!$B$1053</f>
        <v>Kietasis – Mediena (atliekos)</v>
      </c>
      <c r="BN50" s="979" t="str">
        <f>Translations!$B$1054</f>
        <v>Kietasis – Durpės</v>
      </c>
      <c r="BO50" s="979" t="str">
        <f>Translations!$B$1055</f>
        <v>Kietasis – Kanalizacijos dumblas</v>
      </c>
      <c r="BP50" s="979" t="str">
        <f>Translations!$B$1056</f>
        <v>Kietasis – Komunalinių nuotekų dumblas</v>
      </c>
      <c r="BQ50" s="979" t="str">
        <f>Translations!$B$1057</f>
        <v>Kietasis – Akmens anglių degutas</v>
      </c>
      <c r="BR50" s="979" t="str">
        <f>Translations!$B$1058</f>
        <v>Kietasis – Medžio anglys</v>
      </c>
      <c r="BS50" s="979" t="str">
        <f>Translations!$B$1059</f>
        <v>Kietasis – Panaudos padangos</v>
      </c>
      <c r="BT50" s="979" t="str">
        <f>Translations!$B$1060</f>
        <v>Kietasis – Kitų rūšių kietasis kuras</v>
      </c>
      <c r="BU50" s="979" t="str">
        <f>Translations!$B$1061</f>
        <v>Kietasis – Kitų rūšių kietoji biomasė</v>
      </c>
      <c r="BV50" s="979" t="str">
        <f>Translations!$B$1034</f>
        <v>Atliekos – Komunalinės ir pramoninės atliekos</v>
      </c>
      <c r="BW50" s="979" t="str">
        <f>Translations!$B$1035</f>
        <v>Atliekos – Pramoninės atliekos</v>
      </c>
      <c r="BX50" s="979" t="str">
        <f>Translations!$B$1036</f>
        <v>Naftos perdirbimo įmonių žaliava – Naftos perdirbimo įmonių dujos</v>
      </c>
      <c r="BY50" s="979" t="str">
        <f>Translations!$B$157</f>
        <v>netaik.</v>
      </c>
      <c r="BZ50" s="979" t="str">
        <f>Translations!$B$157</f>
        <v>netaik.</v>
      </c>
      <c r="CA50" s="979" t="str">
        <f>Translations!$B$157</f>
        <v>netaik.</v>
      </c>
      <c r="CB50" s="979" t="str">
        <f>Translations!$B$157</f>
        <v>netaik.</v>
      </c>
      <c r="CC50" s="979" t="str">
        <f>Translations!$B$157</f>
        <v>netaik.</v>
      </c>
      <c r="CD50" s="977" t="str">
        <f>Translations!$B$157</f>
        <v>netaik.</v>
      </c>
      <c r="CE50" s="978" t="str">
        <f>Translations!$B$157</f>
        <v>netaik.</v>
      </c>
      <c r="CF50" s="979" t="str">
        <f>Translations!$B$157</f>
        <v>netaik.</v>
      </c>
      <c r="CG50" s="979" t="str">
        <f>Translations!$B$157</f>
        <v>netaik.</v>
      </c>
      <c r="CH50" s="979" t="str">
        <f>Translations!$B$157</f>
        <v>netaik.</v>
      </c>
      <c r="CI50" s="979" t="str">
        <f>Translations!$B$157</f>
        <v>netaik.</v>
      </c>
      <c r="CJ50" s="979" t="str">
        <f>Translations!$B$157</f>
        <v>netaik.</v>
      </c>
      <c r="CK50" s="979" t="str">
        <f>Translations!$B$157</f>
        <v>netaik.</v>
      </c>
      <c r="CL50" s="979" t="str">
        <f>Translations!$B$157</f>
        <v>netaik.</v>
      </c>
      <c r="CM50" s="979" t="str">
        <f>Translations!$B$157</f>
        <v>netaik.</v>
      </c>
      <c r="CN50" s="979" t="str">
        <f>Translations!$B$157</f>
        <v>netaik.</v>
      </c>
      <c r="CO50" s="979" t="str">
        <f>Translations!$B$157</f>
        <v>netaik.</v>
      </c>
      <c r="CP50" s="979" t="str">
        <f>Translations!$B$157</f>
        <v>netaik.</v>
      </c>
      <c r="CQ50" s="979" t="str">
        <f>Translations!$B$157</f>
        <v>netaik.</v>
      </c>
      <c r="CR50" s="979" t="str">
        <f>Translations!$B$157</f>
        <v>netaik.</v>
      </c>
      <c r="CS50" s="979" t="str">
        <f>Translations!$B$157</f>
        <v>netaik.</v>
      </c>
      <c r="CT50" s="979" t="str">
        <f>Translations!$B$157</f>
        <v>netaik.</v>
      </c>
      <c r="CU50" s="979" t="str">
        <f>Translations!$B$157</f>
        <v>netaik.</v>
      </c>
      <c r="CV50" s="979" t="str">
        <f>Translations!$B$157</f>
        <v>netaik.</v>
      </c>
      <c r="CW50" s="979" t="str">
        <f>Translations!$B$157</f>
        <v>netaik.</v>
      </c>
      <c r="CX50" s="979" t="str">
        <f>Translations!$B$157</f>
        <v>netaik.</v>
      </c>
      <c r="CY50" s="979" t="str">
        <f>Translations!$B$157</f>
        <v>netaik.</v>
      </c>
      <c r="CZ50" s="979" t="str">
        <f>Translations!$B$157</f>
        <v>netaik.</v>
      </c>
      <c r="DA50" s="979" t="str">
        <f>Translations!$B$157</f>
        <v>netaik.</v>
      </c>
      <c r="DB50" s="979" t="str">
        <f>Translations!$B$157</f>
        <v>netaik.</v>
      </c>
    </row>
    <row r="51" spans="1:106" ht="13.5" thickBot="1" x14ac:dyDescent="0.25">
      <c r="A51" s="481">
        <v>34</v>
      </c>
      <c r="B51" s="371" t="str">
        <f t="shared" si="0"/>
        <v>Vandenilis ir sintezės dujos: Kuras kaip proceso žaliava</v>
      </c>
      <c r="C51" s="371"/>
      <c r="D51" s="373"/>
      <c r="E51" s="817" t="str">
        <f t="shared" ca="1" si="1"/>
        <v>MSParameters!$G$51:$BX$51</v>
      </c>
      <c r="F51" s="904"/>
      <c r="G51" s="976" t="str">
        <f>Translations!$B$999</f>
        <v>Dujinis – Gamtinės dujos</v>
      </c>
      <c r="H51" s="977" t="str">
        <f>Translations!$B$1000</f>
        <v>Dujinis – Dujų gamyklos dujos</v>
      </c>
      <c r="I51" s="977" t="str">
        <f>Translations!$B$1001</f>
        <v>Dujinis – Koksavimo dujos</v>
      </c>
      <c r="J51" s="977" t="str">
        <f>Translations!$B$1002</f>
        <v>Dujinis – Aukštakrosnių dujos</v>
      </c>
      <c r="K51" s="977" t="str">
        <f>Translations!$B$1003</f>
        <v>Dujinis – Deguoninių plieno aukštakrosnių dujos</v>
      </c>
      <c r="L51" s="977" t="str">
        <f>Translations!$B$1004</f>
        <v>Dujinis – Biodujos</v>
      </c>
      <c r="M51" s="977" t="str">
        <f>Translations!$B$1005</f>
        <v>Dujinis – Dumblo dujos</v>
      </c>
      <c r="N51" s="977" t="str">
        <f>Translations!$B$1006</f>
        <v>Dujinis – Sąvartynų dujos</v>
      </c>
      <c r="O51" s="977" t="str">
        <f>Translations!$B$1007</f>
        <v>Dujinis – Anglies monoksidas</v>
      </c>
      <c r="P51" s="977" t="str">
        <f>Translations!$B$1008</f>
        <v>Dujinis – Metanas</v>
      </c>
      <c r="Q51" s="977" t="str">
        <f>Translations!$B$988</f>
        <v>Dujinis – Etanas</v>
      </c>
      <c r="R51" s="979" t="str">
        <f>Translations!$B$989</f>
        <v>Dujinis – Propanas</v>
      </c>
      <c r="S51" s="979" t="str">
        <f>Translations!$B$990</f>
        <v>Dujinis – Butanas</v>
      </c>
      <c r="T51" s="979" t="str">
        <f>Translations!$B$1009</f>
        <v>Dujinis – Kitų rūšių dujinis kuras</v>
      </c>
      <c r="U51" s="979" t="str">
        <f>Translations!$B$1010</f>
        <v>Dujinis – Kitų rūšių dujinė biomasė</v>
      </c>
      <c r="V51" s="979" t="str">
        <f>Translations!$B$991</f>
        <v>Skystasis – Dyzelinis krosnių kuras</v>
      </c>
      <c r="W51" s="979" t="str">
        <f>Translations!$B$1011</f>
        <v>Skystasis – Labai lengvos distiliacijos kuras</v>
      </c>
      <c r="X51" s="979" t="str">
        <f>Translations!$B$1012</f>
        <v>Skystasis – Vidutinės distiliacijos kuras</v>
      </c>
      <c r="Y51" s="979" t="str">
        <f>Translations!$B$1013</f>
        <v>Skystasis – Sunkusis mazutas</v>
      </c>
      <c r="Z51" s="979" t="str">
        <f>Translations!$B$992</f>
        <v>Skystasis – Gazolis</v>
      </c>
      <c r="AA51" s="979" t="str">
        <f>Translations!$B$993</f>
        <v>Skystasis – Gazolinas</v>
      </c>
      <c r="AB51" s="979" t="str">
        <f>Translations!$B$994</f>
        <v>Skystasis – Valytas žibalas</v>
      </c>
      <c r="AC51" s="979" t="str">
        <f>Translations!$B$995</f>
        <v>Skystasis – Žibalas</v>
      </c>
      <c r="AD51" s="979" t="str">
        <f>Translations!$B$996</f>
        <v>Skystasis – Reaktyvinis žibalas (Jet A1 arba Jet A)</v>
      </c>
      <c r="AE51" s="979" t="str">
        <f>Translations!$B$997</f>
        <v>Skystasis – Reaktyvinis gazolinas (benzinas) (Jet B)</v>
      </c>
      <c r="AF51" s="979" t="str">
        <f>Translations!$B$998</f>
        <v>Skystasis – Aviacinis gazolinas (benzinas) (AvGas)</v>
      </c>
      <c r="AG51" s="979" t="str">
        <f>Translations!$B$1014</f>
        <v>Skystasis – Suskystintosios naftos dujos</v>
      </c>
      <c r="AH51" s="979" t="str">
        <f>Translations!$B$1015</f>
        <v>Skystasis – Žalia nafta</v>
      </c>
      <c r="AI51" s="979" t="str">
        <f>Translations!$B$1016</f>
        <v>Skystasis – Orimulsija</v>
      </c>
      <c r="AJ51" s="979" t="str">
        <f>Translations!$B$1017</f>
        <v>Skystasis – Gamtinių dujų kondensatai</v>
      </c>
      <c r="AK51" s="979" t="str">
        <f>Translations!$B$1018</f>
        <v>Skystasis – Automobilinis benzinas</v>
      </c>
      <c r="AL51" s="979" t="str">
        <f>Translations!$B$1019</f>
        <v>Skystasis – Skalūnų alyva</v>
      </c>
      <c r="AM51" s="979" t="str">
        <f>Translations!$B$1020</f>
        <v>Skystasis – Dujos ir (arba) dyzelinas</v>
      </c>
      <c r="AN51" s="979" t="str">
        <f>Translations!$B$1021</f>
        <v>Skystasis – Mazuto distiliavimo likutis</v>
      </c>
      <c r="AO51" s="979" t="str">
        <f>Translations!$B$1022</f>
        <v>Skystasis – Pirminis benzinas</v>
      </c>
      <c r="AP51" s="979" t="str">
        <f>Translations!$B$1023</f>
        <v>Skystasis – Tepalai</v>
      </c>
      <c r="AQ51" s="979" t="str">
        <f>Translations!$B$1024</f>
        <v>Skystasis – Vaitspiritas ir SBP</v>
      </c>
      <c r="AR51" s="979" t="str">
        <f>Translations!$B$1025</f>
        <v>Skystasis – Skalūnų alyva ir gudoniniai smėliai</v>
      </c>
      <c r="AS51" s="979" t="str">
        <f>Translations!$B$1026</f>
        <v>Skystasis – Akmens anglių briketai</v>
      </c>
      <c r="AT51" s="979" t="str">
        <f>Translations!$B$1027</f>
        <v>Skystasis – Alyvų atliekos</v>
      </c>
      <c r="AU51" s="979" t="str">
        <f>Translations!$B$1028</f>
        <v>Skystasis – Biobenzinas</v>
      </c>
      <c r="AV51" s="979" t="str">
        <f>Translations!$B$1029</f>
        <v>Skystasi – Biodyzelinas</v>
      </c>
      <c r="AW51" s="979" t="str">
        <f>Translations!$B$1030</f>
        <v>Skystasis – Bitumas</v>
      </c>
      <c r="AX51" s="979" t="str">
        <f>Translations!$B$1032</f>
        <v>Skystasis – Kitų rūšių skystasis kuras</v>
      </c>
      <c r="AY51" s="979" t="str">
        <f>Translations!$B$1033</f>
        <v>Skystasis – Kitų rūšių skystoji biomasė</v>
      </c>
      <c r="AZ51" s="979" t="str">
        <f>Translations!$B$1040</f>
        <v>Kietasis – Koksas</v>
      </c>
      <c r="BA51" s="979" t="str">
        <f>Translations!$B$1041</f>
        <v>Kietasis – Naftos koksas</v>
      </c>
      <c r="BB51" s="979" t="str">
        <f>Translations!$B$1042</f>
        <v>Kietasis – Akmens anglys</v>
      </c>
      <c r="BC51" s="979" t="str">
        <f>Translations!$B$1043</f>
        <v>Kietasis – Lignitas</v>
      </c>
      <c r="BD51" s="979" t="str">
        <f>Translations!$B$1044</f>
        <v>Kietasis – Antracitas</v>
      </c>
      <c r="BE51" s="979" t="str">
        <f>Translations!$B$1045</f>
        <v>Kietasis – Koksinės anglys</v>
      </c>
      <c r="BF51" s="979" t="str">
        <f>Translations!$B$1046</f>
        <v>Kietasis – Subbituminės akmens anglys</v>
      </c>
      <c r="BG51" s="979" t="str">
        <f>Translations!$B$1047</f>
        <v>Kietasis – Kitos bituminės akmens anglys</v>
      </c>
      <c r="BH51" s="979" t="str">
        <f>Translations!$B$1048</f>
        <v>Kietasis – Dujinis koksas</v>
      </c>
      <c r="BI51" s="979" t="str">
        <f>Translations!$B$1049</f>
        <v>Kietasis – Parafinas</v>
      </c>
      <c r="BJ51" s="979" t="str">
        <f>Translations!$B$1050</f>
        <v>Kietasis – Sulfatinės išviros</v>
      </c>
      <c r="BK51" s="979" t="str">
        <f>Translations!$B$1051</f>
        <v>Kietasis – Malkos</v>
      </c>
      <c r="BL51" s="979" t="str">
        <f>Translations!$B$1052</f>
        <v>Kietasis – Mediena (ne atliekos)</v>
      </c>
      <c r="BM51" s="979" t="str">
        <f>Translations!$B$1053</f>
        <v>Kietasis – Mediena (atliekos)</v>
      </c>
      <c r="BN51" s="979" t="str">
        <f>Translations!$B$1054</f>
        <v>Kietasis – Durpės</v>
      </c>
      <c r="BO51" s="979" t="str">
        <f>Translations!$B$1055</f>
        <v>Kietasis – Kanalizacijos dumblas</v>
      </c>
      <c r="BP51" s="979" t="str">
        <f>Translations!$B$1056</f>
        <v>Kietasis – Komunalinių nuotekų dumblas</v>
      </c>
      <c r="BQ51" s="979" t="str">
        <f>Translations!$B$1057</f>
        <v>Kietasis – Akmens anglių degutas</v>
      </c>
      <c r="BR51" s="979" t="str">
        <f>Translations!$B$1058</f>
        <v>Kietasis – Medžio anglys</v>
      </c>
      <c r="BS51" s="979" t="str">
        <f>Translations!$B$1059</f>
        <v>Kietasis – Panaudos padangos</v>
      </c>
      <c r="BT51" s="979" t="str">
        <f>Translations!$B$1060</f>
        <v>Kietasis – Kitų rūšių kietasis kuras</v>
      </c>
      <c r="BU51" s="979" t="str">
        <f>Translations!$B$1061</f>
        <v>Kietasis – Kitų rūšių kietoji biomasė</v>
      </c>
      <c r="BV51" s="979" t="str">
        <f>Translations!$B$1034</f>
        <v>Atliekos – Komunalinės ir pramoninės atliekos</v>
      </c>
      <c r="BW51" s="979" t="str">
        <f>Translations!$B$1035</f>
        <v>Atliekos – Pramoninės atliekos</v>
      </c>
      <c r="BX51" s="979" t="str">
        <f>Translations!$B$1036</f>
        <v>Naftos perdirbimo įmonių žaliava – Naftos perdirbimo įmonių dujos</v>
      </c>
      <c r="BY51" s="979" t="str">
        <f>Translations!$B$157</f>
        <v>netaik.</v>
      </c>
      <c r="BZ51" s="979" t="str">
        <f>Translations!$B$157</f>
        <v>netaik.</v>
      </c>
      <c r="CA51" s="979" t="str">
        <f>Translations!$B$157</f>
        <v>netaik.</v>
      </c>
      <c r="CB51" s="979" t="str">
        <f>Translations!$B$157</f>
        <v>netaik.</v>
      </c>
      <c r="CC51" s="979" t="str">
        <f>Translations!$B$157</f>
        <v>netaik.</v>
      </c>
      <c r="CD51" s="977" t="str">
        <f>Translations!$B$157</f>
        <v>netaik.</v>
      </c>
      <c r="CE51" s="978" t="str">
        <f>Translations!$B$157</f>
        <v>netaik.</v>
      </c>
      <c r="CF51" s="979" t="str">
        <f>Translations!$B$157</f>
        <v>netaik.</v>
      </c>
      <c r="CG51" s="979" t="str">
        <f>Translations!$B$157</f>
        <v>netaik.</v>
      </c>
      <c r="CH51" s="979" t="str">
        <f>Translations!$B$157</f>
        <v>netaik.</v>
      </c>
      <c r="CI51" s="979" t="str">
        <f>Translations!$B$157</f>
        <v>netaik.</v>
      </c>
      <c r="CJ51" s="979" t="str">
        <f>Translations!$B$157</f>
        <v>netaik.</v>
      </c>
      <c r="CK51" s="979" t="str">
        <f>Translations!$B$157</f>
        <v>netaik.</v>
      </c>
      <c r="CL51" s="979" t="str">
        <f>Translations!$B$157</f>
        <v>netaik.</v>
      </c>
      <c r="CM51" s="979" t="str">
        <f>Translations!$B$157</f>
        <v>netaik.</v>
      </c>
      <c r="CN51" s="979" t="str">
        <f>Translations!$B$157</f>
        <v>netaik.</v>
      </c>
      <c r="CO51" s="979" t="str">
        <f>Translations!$B$157</f>
        <v>netaik.</v>
      </c>
      <c r="CP51" s="979" t="str">
        <f>Translations!$B$157</f>
        <v>netaik.</v>
      </c>
      <c r="CQ51" s="979" t="str">
        <f>Translations!$B$157</f>
        <v>netaik.</v>
      </c>
      <c r="CR51" s="979" t="str">
        <f>Translations!$B$157</f>
        <v>netaik.</v>
      </c>
      <c r="CS51" s="979" t="str">
        <f>Translations!$B$157</f>
        <v>netaik.</v>
      </c>
      <c r="CT51" s="979" t="str">
        <f>Translations!$B$157</f>
        <v>netaik.</v>
      </c>
      <c r="CU51" s="979" t="str">
        <f>Translations!$B$157</f>
        <v>netaik.</v>
      </c>
      <c r="CV51" s="979" t="str">
        <f>Translations!$B$157</f>
        <v>netaik.</v>
      </c>
      <c r="CW51" s="979" t="str">
        <f>Translations!$B$157</f>
        <v>netaik.</v>
      </c>
      <c r="CX51" s="979" t="str">
        <f>Translations!$B$157</f>
        <v>netaik.</v>
      </c>
      <c r="CY51" s="979" t="str">
        <f>Translations!$B$157</f>
        <v>netaik.</v>
      </c>
      <c r="CZ51" s="979" t="str">
        <f>Translations!$B$157</f>
        <v>netaik.</v>
      </c>
      <c r="DA51" s="979" t="str">
        <f>Translations!$B$157</f>
        <v>netaik.</v>
      </c>
      <c r="DB51" s="979" t="str">
        <f>Translations!$B$157</f>
        <v>netaik.</v>
      </c>
    </row>
    <row r="52" spans="1:106" ht="13.5" thickBot="1" x14ac:dyDescent="0.25">
      <c r="A52" s="481">
        <v>35</v>
      </c>
      <c r="B52" s="371" t="str">
        <f t="shared" si="0"/>
        <v>Vandenilis ir sintezės dujos: Masės balanso metodika</v>
      </c>
      <c r="C52" s="371"/>
      <c r="D52" s="373"/>
      <c r="E52" s="817" t="str">
        <f t="shared" ca="1" si="1"/>
        <v>MSParameters!$G$52:$CP$52</v>
      </c>
      <c r="F52" s="904"/>
      <c r="G52" s="976" t="str">
        <f>Translations!$B$1065</f>
        <v>Medžiaga – Kalkakmenis</v>
      </c>
      <c r="H52" s="977" t="str">
        <f>Translations!$B$1066</f>
        <v>Medžiaga – Dolomitas</v>
      </c>
      <c r="I52" s="977" t="str">
        <f>Translations!$B$1067</f>
        <v>Medžiaga – Natrio vandenilio karbonatas</v>
      </c>
      <c r="J52" s="977" t="str">
        <f>Translations!$B$1068</f>
        <v>Medžiaga – Natrio karbonatas</v>
      </c>
      <c r="K52" s="977" t="str">
        <f>Translations!$B$1069</f>
        <v>Medžiaga – Kalio karbonatas (potašas)</v>
      </c>
      <c r="L52" s="977" t="str">
        <f>Translations!$B$1070</f>
        <v>Medžiaga – CaCO3</v>
      </c>
      <c r="M52" s="977" t="str">
        <f>Translations!$B$1071</f>
        <v>Medžiaga – MgCO3</v>
      </c>
      <c r="N52" s="977" t="str">
        <f>Translations!$B$1072</f>
        <v>Medžiaga – Na2CO3</v>
      </c>
      <c r="O52" s="977" t="str">
        <f>Translations!$B$1073</f>
        <v>Medžiaga – BaCO3</v>
      </c>
      <c r="P52" s="977" t="str">
        <f>Translations!$B$1074</f>
        <v>Medžiaga – Li2CO3</v>
      </c>
      <c r="Q52" s="977" t="str">
        <f>Translations!$B$1075</f>
        <v>Medžiaga – K2CO3</v>
      </c>
      <c r="R52" s="979" t="str">
        <f>Translations!$B$1076</f>
        <v>Medžiaga – SrCO3</v>
      </c>
      <c r="S52" s="979" t="str">
        <f>Translations!$B$1077</f>
        <v>Medžiaga – NaHCO3</v>
      </c>
      <c r="T52" s="979" t="str">
        <f>Translations!$B$1078</f>
        <v>Medžiaga – FeCO3</v>
      </c>
      <c r="U52" s="979" t="str">
        <f>Translations!$B$1082</f>
        <v>Medžiaga – CaO</v>
      </c>
      <c r="V52" s="979" t="str">
        <f>Translations!$B$1083</f>
        <v>Medžiaga – MgO</v>
      </c>
      <c r="W52" s="979" t="str">
        <f>Translations!$B$1084</f>
        <v>Medžiaga – BaO</v>
      </c>
      <c r="X52" s="979" t="str">
        <f>Translations!$B$1079</f>
        <v>Medžiaga – Kiti karbonatai</v>
      </c>
      <c r="Y52" s="979" t="str">
        <f>Translations!$B$1064</f>
        <v>Medžiaga – Kitos medžiagos</v>
      </c>
      <c r="Z52" s="979" t="str">
        <f>Translations!$B$999</f>
        <v>Dujinis – Gamtinės dujos</v>
      </c>
      <c r="AA52" s="979" t="str">
        <f>Translations!$B$1000</f>
        <v>Dujinis – Dujų gamyklos dujos</v>
      </c>
      <c r="AB52" s="979" t="str">
        <f>Translations!$B$1001</f>
        <v>Dujinis – Koksavimo dujos</v>
      </c>
      <c r="AC52" s="979" t="str">
        <f>Translations!$B$1002</f>
        <v>Dujinis – Aukštakrosnių dujos</v>
      </c>
      <c r="AD52" s="979" t="str">
        <f>Translations!$B$1003</f>
        <v>Dujinis – Deguoninių plieno aukštakrosnių dujos</v>
      </c>
      <c r="AE52" s="979" t="str">
        <f>Translations!$B$1004</f>
        <v>Dujinis – Biodujos</v>
      </c>
      <c r="AF52" s="979" t="str">
        <f>Translations!$B$1005</f>
        <v>Dujinis – Dumblo dujos</v>
      </c>
      <c r="AG52" s="979" t="str">
        <f>Translations!$B$1006</f>
        <v>Dujinis – Sąvartynų dujos</v>
      </c>
      <c r="AH52" s="979" t="str">
        <f>Translations!$B$1007</f>
        <v>Dujinis – Anglies monoksidas</v>
      </c>
      <c r="AI52" s="979" t="str">
        <f>Translations!$B$1008</f>
        <v>Dujinis – Metanas</v>
      </c>
      <c r="AJ52" s="979" t="str">
        <f>Translations!$B$988</f>
        <v>Dujinis – Etanas</v>
      </c>
      <c r="AK52" s="979" t="str">
        <f>Translations!$B$989</f>
        <v>Dujinis – Propanas</v>
      </c>
      <c r="AL52" s="979" t="str">
        <f>Translations!$B$990</f>
        <v>Dujinis – Butanas</v>
      </c>
      <c r="AM52" s="979" t="str">
        <f>Translations!$B$1009</f>
        <v>Dujinis – Kitų rūšių dujinis kuras</v>
      </c>
      <c r="AN52" s="979" t="str">
        <f>Translations!$B$1010</f>
        <v>Dujinis – Kitų rūšių dujinė biomasė</v>
      </c>
      <c r="AO52" s="979" t="str">
        <f>Translations!$B$991</f>
        <v>Skystasis – Dyzelinis krosnių kuras</v>
      </c>
      <c r="AP52" s="979" t="str">
        <f>Translations!$B$1011</f>
        <v>Skystasis – Labai lengvos distiliacijos kuras</v>
      </c>
      <c r="AQ52" s="979" t="str">
        <f>Translations!$B$1012</f>
        <v>Skystasis – Vidutinės distiliacijos kuras</v>
      </c>
      <c r="AR52" s="979" t="str">
        <f>Translations!$B$1013</f>
        <v>Skystasis – Sunkusis mazutas</v>
      </c>
      <c r="AS52" s="979" t="str">
        <f>Translations!$B$992</f>
        <v>Skystasis – Gazolis</v>
      </c>
      <c r="AT52" s="979" t="str">
        <f>Translations!$B$993</f>
        <v>Skystasis – Gazolinas</v>
      </c>
      <c r="AU52" s="979" t="str">
        <f>Translations!$B$994</f>
        <v>Skystasis – Valytas žibalas</v>
      </c>
      <c r="AV52" s="979" t="str">
        <f>Translations!$B$995</f>
        <v>Skystasis – Žibalas</v>
      </c>
      <c r="AW52" s="979" t="str">
        <f>Translations!$B$996</f>
        <v>Skystasis – Reaktyvinis žibalas (Jet A1 arba Jet A)</v>
      </c>
      <c r="AX52" s="979" t="str">
        <f>Translations!$B$997</f>
        <v>Skystasis – Reaktyvinis gazolinas (benzinas) (Jet B)</v>
      </c>
      <c r="AY52" s="979" t="str">
        <f>Translations!$B$998</f>
        <v>Skystasis – Aviacinis gazolinas (benzinas) (AvGas)</v>
      </c>
      <c r="AZ52" s="979" t="str">
        <f>Translations!$B$1014</f>
        <v>Skystasis – Suskystintosios naftos dujos</v>
      </c>
      <c r="BA52" s="979" t="str">
        <f>Translations!$B$1015</f>
        <v>Skystasis – Žalia nafta</v>
      </c>
      <c r="BB52" s="979" t="str">
        <f>Translations!$B$1016</f>
        <v>Skystasis – Orimulsija</v>
      </c>
      <c r="BC52" s="979" t="str">
        <f>Translations!$B$1017</f>
        <v>Skystasis – Gamtinių dujų kondensatai</v>
      </c>
      <c r="BD52" s="979" t="str">
        <f>Translations!$B$1018</f>
        <v>Skystasis – Automobilinis benzinas</v>
      </c>
      <c r="BE52" s="979" t="str">
        <f>Translations!$B$1019</f>
        <v>Skystasis – Skalūnų alyva</v>
      </c>
      <c r="BF52" s="979" t="str">
        <f>Translations!$B$1020</f>
        <v>Skystasis – Dujos ir (arba) dyzelinas</v>
      </c>
      <c r="BG52" s="979" t="str">
        <f>Translations!$B$1021</f>
        <v>Skystasis – Mazuto distiliavimo likutis</v>
      </c>
      <c r="BH52" s="979" t="str">
        <f>Translations!$B$1022</f>
        <v>Skystasis – Pirminis benzinas</v>
      </c>
      <c r="BI52" s="979" t="str">
        <f>Translations!$B$1023</f>
        <v>Skystasis – Tepalai</v>
      </c>
      <c r="BJ52" s="979" t="str">
        <f>Translations!$B$1024</f>
        <v>Skystasis – Vaitspiritas ir SBP</v>
      </c>
      <c r="BK52" s="979" t="str">
        <f>Translations!$B$1025</f>
        <v>Skystasis – Skalūnų alyva ir gudoniniai smėliai</v>
      </c>
      <c r="BL52" s="979" t="str">
        <f>Translations!$B$1026</f>
        <v>Skystasis – Akmens anglių briketai</v>
      </c>
      <c r="BM52" s="979" t="str">
        <f>Translations!$B$1027</f>
        <v>Skystasis – Alyvų atliekos</v>
      </c>
      <c r="BN52" s="979" t="str">
        <f>Translations!$B$1028</f>
        <v>Skystasis – Biobenzinas</v>
      </c>
      <c r="BO52" s="979" t="str">
        <f>Translations!$B$1029</f>
        <v>Skystasi – Biodyzelinas</v>
      </c>
      <c r="BP52" s="979" t="str">
        <f>Translations!$B$1030</f>
        <v>Skystasis – Bitumas</v>
      </c>
      <c r="BQ52" s="979" t="str">
        <f>Translations!$B$1032</f>
        <v>Skystasis – Kitų rūšių skystasis kuras</v>
      </c>
      <c r="BR52" s="979" t="str">
        <f>Translations!$B$1033</f>
        <v>Skystasis – Kitų rūšių skystoji biomasė</v>
      </c>
      <c r="BS52" s="979" t="str">
        <f>Translations!$B$1040</f>
        <v>Kietasis – Koksas</v>
      </c>
      <c r="BT52" s="979" t="str">
        <f>Translations!$B$1041</f>
        <v>Kietasis – Naftos koksas</v>
      </c>
      <c r="BU52" s="979" t="str">
        <f>Translations!$B$1042</f>
        <v>Kietasis – Akmens anglys</v>
      </c>
      <c r="BV52" s="979" t="str">
        <f>Translations!$B$1043</f>
        <v>Kietasis – Lignitas</v>
      </c>
      <c r="BW52" s="979" t="str">
        <f>Translations!$B$1044</f>
        <v>Kietasis – Antracitas</v>
      </c>
      <c r="BX52" s="979" t="str">
        <f>Translations!$B$1045</f>
        <v>Kietasis – Koksinės anglys</v>
      </c>
      <c r="BY52" s="979" t="str">
        <f>Translations!$B$1046</f>
        <v>Kietasis – Subbituminės akmens anglys</v>
      </c>
      <c r="BZ52" s="979" t="str">
        <f>Translations!$B$1047</f>
        <v>Kietasis – Kitos bituminės akmens anglys</v>
      </c>
      <c r="CA52" s="979" t="str">
        <f>Translations!$B$1048</f>
        <v>Kietasis – Dujinis koksas</v>
      </c>
      <c r="CB52" s="979" t="str">
        <f>Translations!$B$1049</f>
        <v>Kietasis – Parafinas</v>
      </c>
      <c r="CC52" s="979" t="str">
        <f>Translations!$B$1050</f>
        <v>Kietasis – Sulfatinės išviros</v>
      </c>
      <c r="CD52" s="977" t="str">
        <f>Translations!$B$1051</f>
        <v>Kietasis – Malkos</v>
      </c>
      <c r="CE52" s="978" t="str">
        <f>Translations!$B$1052</f>
        <v>Kietasis – Mediena (ne atliekos)</v>
      </c>
      <c r="CF52" s="979" t="str">
        <f>Translations!$B$1053</f>
        <v>Kietasis – Mediena (atliekos)</v>
      </c>
      <c r="CG52" s="979" t="str">
        <f>Translations!$B$1054</f>
        <v>Kietasis – Durpės</v>
      </c>
      <c r="CH52" s="979" t="str">
        <f>Translations!$B$1055</f>
        <v>Kietasis – Kanalizacijos dumblas</v>
      </c>
      <c r="CI52" s="979" t="str">
        <f>Translations!$B$1056</f>
        <v>Kietasis – Komunalinių nuotekų dumblas</v>
      </c>
      <c r="CJ52" s="979" t="str">
        <f>Translations!$B$1057</f>
        <v>Kietasis – Akmens anglių degutas</v>
      </c>
      <c r="CK52" s="979" t="str">
        <f>Translations!$B$1058</f>
        <v>Kietasis – Medžio anglys</v>
      </c>
      <c r="CL52" s="979" t="str">
        <f>Translations!$B$1059</f>
        <v>Kietasis – Panaudos padangos</v>
      </c>
      <c r="CM52" s="979" t="str">
        <f>Translations!$B$1060</f>
        <v>Kietasis – Kitų rūšių kietasis kuras</v>
      </c>
      <c r="CN52" s="979" t="str">
        <f>Translations!$B$1061</f>
        <v>Kietasis – Kitų rūšių kietoji biomasė</v>
      </c>
      <c r="CO52" s="979" t="str">
        <f>Translations!$B$1034</f>
        <v>Atliekos – Komunalinės ir pramoninės atliekos</v>
      </c>
      <c r="CP52" s="979" t="str">
        <f>Translations!$B$1035</f>
        <v>Atliekos – Pramoninės atliekos</v>
      </c>
      <c r="CQ52" s="979" t="str">
        <f>Translations!$B$157</f>
        <v>netaik.</v>
      </c>
      <c r="CR52" s="979" t="str">
        <f>Translations!$B$157</f>
        <v>netaik.</v>
      </c>
      <c r="CS52" s="979" t="str">
        <f>Translations!$B$157</f>
        <v>netaik.</v>
      </c>
      <c r="CT52" s="979" t="str">
        <f>Translations!$B$157</f>
        <v>netaik.</v>
      </c>
      <c r="CU52" s="979" t="str">
        <f>Translations!$B$157</f>
        <v>netaik.</v>
      </c>
      <c r="CV52" s="979" t="str">
        <f>Translations!$B$157</f>
        <v>netaik.</v>
      </c>
      <c r="CW52" s="979" t="str">
        <f>Translations!$B$157</f>
        <v>netaik.</v>
      </c>
      <c r="CX52" s="979" t="str">
        <f>Translations!$B$157</f>
        <v>netaik.</v>
      </c>
      <c r="CY52" s="979" t="str">
        <f>Translations!$B$157</f>
        <v>netaik.</v>
      </c>
      <c r="CZ52" s="979" t="str">
        <f>Translations!$B$157</f>
        <v>netaik.</v>
      </c>
      <c r="DA52" s="979" t="str">
        <f>Translations!$B$157</f>
        <v>netaik.</v>
      </c>
      <c r="DB52" s="979" t="str">
        <f>Translations!$B$157</f>
        <v>netaik.</v>
      </c>
    </row>
    <row r="53" spans="1:106" ht="13.5" thickBot="1" x14ac:dyDescent="0.25">
      <c r="A53" s="481">
        <v>36</v>
      </c>
      <c r="B53" s="371" t="str">
        <f t="shared" si="0"/>
        <v>Didelio masto organinių cheminių medžiagų gamyba: Masės balanso metodika</v>
      </c>
      <c r="C53" s="371"/>
      <c r="D53" s="373"/>
      <c r="E53" s="817" t="str">
        <f t="shared" ca="1" si="1"/>
        <v>MSParameters!$G$53:$AG$53</v>
      </c>
      <c r="F53" s="904"/>
      <c r="G53" s="981" t="str">
        <f>Translations!$B$1116</f>
        <v>Medžiaga – Acetonitrilas</v>
      </c>
      <c r="H53" s="977" t="str">
        <f>Translations!$B$1117</f>
        <v>Medžiaga – Akrilonitrilas</v>
      </c>
      <c r="I53" s="977" t="str">
        <f>Translations!$B$1118</f>
        <v>Medžiaga – Butadienas</v>
      </c>
      <c r="J53" s="977" t="str">
        <f>Translations!$B$1119</f>
        <v>Medžiaga – Suodžiai</v>
      </c>
      <c r="K53" s="977" t="str">
        <f>Translations!$B$1120</f>
        <v>Medžiaga – Etilenas</v>
      </c>
      <c r="L53" s="977" t="str">
        <f>Translations!$B$1121</f>
        <v>Medžiaga – Etileno dichloridas</v>
      </c>
      <c r="M53" s="977" t="str">
        <f>Translations!$B$1122</f>
        <v>Medžiaga – Etilenglikolis</v>
      </c>
      <c r="N53" s="977" t="str">
        <f>Translations!$B$1123</f>
        <v>Medžiaga – Oksiranas</v>
      </c>
      <c r="O53" s="977" t="str">
        <f>Translations!$B$1124</f>
        <v>Medžiaga – Vandenilio cianidas</v>
      </c>
      <c r="P53" s="977" t="str">
        <f>Translations!$B$1125</f>
        <v>Medžiaga – Metanolis</v>
      </c>
      <c r="Q53" s="977" t="str">
        <f>Translations!$B$1126</f>
        <v>Medžiaga – Propilenas</v>
      </c>
      <c r="R53" s="977" t="str">
        <f>Translations!$B$1127</f>
        <v>Medžiaga – Vinilchlorido monomeras</v>
      </c>
      <c r="S53" s="977" t="str">
        <f>Translations!$B$1128</f>
        <v>Medžiaga – Maleino rūgšties anhidridas</v>
      </c>
      <c r="T53" s="977" t="str">
        <f>Translations!$B$1129</f>
        <v>Medžiaga – Ftalio rūgšties anhidridas</v>
      </c>
      <c r="U53" s="977" t="str">
        <f>Translations!$B$1130</f>
        <v>Medžiaga – Aromatiniai angliavandeniliai</v>
      </c>
      <c r="V53" s="977" t="str">
        <f>Translations!$B$1131</f>
        <v>Medžiaga – Tereftalio rūgštis</v>
      </c>
      <c r="W53" s="977" t="str">
        <f>Translations!$B$1132</f>
        <v>Medžiaga – Fenolis</v>
      </c>
      <c r="X53" s="977" t="str">
        <f>Translations!$B$1133</f>
        <v>Medžiaga – Acetonas</v>
      </c>
      <c r="Y53" s="977" t="str">
        <f>Translations!$B$1134</f>
        <v>Medžiaga – Kumenas</v>
      </c>
      <c r="Z53" s="977" t="str">
        <f>Translations!$B$1135</f>
        <v>Medžiaga – Skruzdžių rūgštis</v>
      </c>
      <c r="AA53" s="977" t="str">
        <f>Translations!$B$1136</f>
        <v>Medžiaga – Acto rūgštis</v>
      </c>
      <c r="AB53" s="977" t="str">
        <f>Translations!$B$1137</f>
        <v>Medžiaga – Formaldehidas</v>
      </c>
      <c r="AC53" s="977" t="str">
        <f>Translations!$B$1138</f>
        <v>Medžiaga – Acto anhidridas</v>
      </c>
      <c r="AD53" s="977" t="str">
        <f>Translations!$B$1139</f>
        <v>Medžiaga – Ftalio rūgštis</v>
      </c>
      <c r="AE53" s="977" t="str">
        <f>Translations!$B$1140</f>
        <v>Medžiaga – Akrilo rūgštis</v>
      </c>
      <c r="AF53" s="977" t="str">
        <f>Translations!$B$1062</f>
        <v>Medžiaga – Kitų rūšių žaliavos</v>
      </c>
      <c r="AG53" s="977" t="str">
        <f>Translations!$B$1063</f>
        <v>Medžiaga – Kitų rūšių produktai</v>
      </c>
      <c r="AH53" s="977" t="str">
        <f>Translations!$B$157</f>
        <v>netaik.</v>
      </c>
      <c r="AI53" s="977" t="str">
        <f>Translations!$B$157</f>
        <v>netaik.</v>
      </c>
      <c r="AJ53" s="977" t="str">
        <f>Translations!$B$157</f>
        <v>netaik.</v>
      </c>
      <c r="AK53" s="977" t="str">
        <f>Translations!$B$157</f>
        <v>netaik.</v>
      </c>
      <c r="AL53" s="977" t="str">
        <f>Translations!$B$157</f>
        <v>netaik.</v>
      </c>
      <c r="AM53" s="977" t="str">
        <f>Translations!$B$157</f>
        <v>netaik.</v>
      </c>
      <c r="AN53" s="977" t="str">
        <f>Translations!$B$157</f>
        <v>netaik.</v>
      </c>
      <c r="AO53" s="977" t="str">
        <f>Translations!$B$157</f>
        <v>netaik.</v>
      </c>
      <c r="AP53" s="977" t="str">
        <f>Translations!$B$157</f>
        <v>netaik.</v>
      </c>
      <c r="AQ53" s="977" t="str">
        <f>Translations!$B$157</f>
        <v>netaik.</v>
      </c>
      <c r="AR53" s="977" t="str">
        <f>Translations!$B$157</f>
        <v>netaik.</v>
      </c>
      <c r="AS53" s="977" t="str">
        <f>Translations!$B$157</f>
        <v>netaik.</v>
      </c>
      <c r="AT53" s="977" t="str">
        <f>Translations!$B$157</f>
        <v>netaik.</v>
      </c>
      <c r="AU53" s="977" t="str">
        <f>Translations!$B$157</f>
        <v>netaik.</v>
      </c>
      <c r="AV53" s="977" t="str">
        <f>Translations!$B$157</f>
        <v>netaik.</v>
      </c>
      <c r="AW53" s="977" t="str">
        <f>Translations!$B$157</f>
        <v>netaik.</v>
      </c>
      <c r="AX53" s="977" t="str">
        <f>Translations!$B$157</f>
        <v>netaik.</v>
      </c>
      <c r="AY53" s="977" t="str">
        <f>Translations!$B$157</f>
        <v>netaik.</v>
      </c>
      <c r="AZ53" s="977" t="str">
        <f>Translations!$B$157</f>
        <v>netaik.</v>
      </c>
      <c r="BA53" s="977" t="str">
        <f>Translations!$B$157</f>
        <v>netaik.</v>
      </c>
      <c r="BB53" s="977" t="str">
        <f>Translations!$B$157</f>
        <v>netaik.</v>
      </c>
      <c r="BC53" s="977" t="str">
        <f>Translations!$B$157</f>
        <v>netaik.</v>
      </c>
      <c r="BD53" s="977" t="str">
        <f>Translations!$B$157</f>
        <v>netaik.</v>
      </c>
      <c r="BE53" s="977" t="str">
        <f>Translations!$B$157</f>
        <v>netaik.</v>
      </c>
      <c r="BF53" s="977" t="str">
        <f>Translations!$B$157</f>
        <v>netaik.</v>
      </c>
      <c r="BG53" s="977" t="str">
        <f>Translations!$B$157</f>
        <v>netaik.</v>
      </c>
      <c r="BH53" s="977" t="str">
        <f>Translations!$B$157</f>
        <v>netaik.</v>
      </c>
      <c r="BI53" s="977" t="str">
        <f>Translations!$B$157</f>
        <v>netaik.</v>
      </c>
      <c r="BJ53" s="977" t="str">
        <f>Translations!$B$157</f>
        <v>netaik.</v>
      </c>
      <c r="BK53" s="977" t="str">
        <f>Translations!$B$157</f>
        <v>netaik.</v>
      </c>
      <c r="BL53" s="977" t="str">
        <f>Translations!$B$157</f>
        <v>netaik.</v>
      </c>
      <c r="BM53" s="977" t="str">
        <f>Translations!$B$157</f>
        <v>netaik.</v>
      </c>
      <c r="BN53" s="977" t="str">
        <f>Translations!$B$157</f>
        <v>netaik.</v>
      </c>
      <c r="BO53" s="977" t="str">
        <f>Translations!$B$157</f>
        <v>netaik.</v>
      </c>
      <c r="BP53" s="977" t="str">
        <f>Translations!$B$157</f>
        <v>netaik.</v>
      </c>
      <c r="BQ53" s="977" t="str">
        <f>Translations!$B$157</f>
        <v>netaik.</v>
      </c>
      <c r="BR53" s="977" t="str">
        <f>Translations!$B$157</f>
        <v>netaik.</v>
      </c>
      <c r="BS53" s="977" t="str">
        <f>Translations!$B$157</f>
        <v>netaik.</v>
      </c>
      <c r="BT53" s="977" t="str">
        <f>Translations!$B$157</f>
        <v>netaik.</v>
      </c>
      <c r="BU53" s="977" t="str">
        <f>Translations!$B$157</f>
        <v>netaik.</v>
      </c>
      <c r="BV53" s="977" t="str">
        <f>Translations!$B$157</f>
        <v>netaik.</v>
      </c>
      <c r="BW53" s="977" t="str">
        <f>Translations!$B$157</f>
        <v>netaik.</v>
      </c>
      <c r="BX53" s="977" t="str">
        <f>Translations!$B$157</f>
        <v>netaik.</v>
      </c>
      <c r="BY53" s="977" t="str">
        <f>Translations!$B$157</f>
        <v>netaik.</v>
      </c>
      <c r="BZ53" s="977" t="str">
        <f>Translations!$B$157</f>
        <v>netaik.</v>
      </c>
      <c r="CA53" s="977" t="str">
        <f>Translations!$B$157</f>
        <v>netaik.</v>
      </c>
      <c r="CB53" s="977" t="str">
        <f>Translations!$B$157</f>
        <v>netaik.</v>
      </c>
      <c r="CC53" s="977" t="str">
        <f>Translations!$B$157</f>
        <v>netaik.</v>
      </c>
      <c r="CD53" s="977" t="str">
        <f>Translations!$B$157</f>
        <v>netaik.</v>
      </c>
      <c r="CE53" s="978" t="str">
        <f>Translations!$B$157</f>
        <v>netaik.</v>
      </c>
      <c r="CF53" s="977" t="str">
        <f>Translations!$B$157</f>
        <v>netaik.</v>
      </c>
      <c r="CG53" s="977" t="str">
        <f>Translations!$B$157</f>
        <v>netaik.</v>
      </c>
      <c r="CH53" s="977" t="str">
        <f>Translations!$B$157</f>
        <v>netaik.</v>
      </c>
      <c r="CI53" s="977" t="str">
        <f>Translations!$B$157</f>
        <v>netaik.</v>
      </c>
      <c r="CJ53" s="977" t="str">
        <f>Translations!$B$157</f>
        <v>netaik.</v>
      </c>
      <c r="CK53" s="977" t="str">
        <f>Translations!$B$157</f>
        <v>netaik.</v>
      </c>
      <c r="CL53" s="977" t="str">
        <f>Translations!$B$157</f>
        <v>netaik.</v>
      </c>
      <c r="CM53" s="977" t="str">
        <f>Translations!$B$157</f>
        <v>netaik.</v>
      </c>
      <c r="CN53" s="977" t="str">
        <f>Translations!$B$157</f>
        <v>netaik.</v>
      </c>
      <c r="CO53" s="977" t="str">
        <f>Translations!$B$157</f>
        <v>netaik.</v>
      </c>
      <c r="CP53" s="977" t="str">
        <f>Translations!$B$157</f>
        <v>netaik.</v>
      </c>
      <c r="CQ53" s="977" t="str">
        <f>Translations!$B$157</f>
        <v>netaik.</v>
      </c>
      <c r="CR53" s="977" t="str">
        <f>Translations!$B$157</f>
        <v>netaik.</v>
      </c>
      <c r="CS53" s="977" t="str">
        <f>Translations!$B$157</f>
        <v>netaik.</v>
      </c>
      <c r="CT53" s="977" t="str">
        <f>Translations!$B$157</f>
        <v>netaik.</v>
      </c>
      <c r="CU53" s="977" t="str">
        <f>Translations!$B$157</f>
        <v>netaik.</v>
      </c>
      <c r="CV53" s="977" t="str">
        <f>Translations!$B$157</f>
        <v>netaik.</v>
      </c>
      <c r="CW53" s="977" t="str">
        <f>Translations!$B$157</f>
        <v>netaik.</v>
      </c>
      <c r="CX53" s="977" t="str">
        <f>Translations!$B$157</f>
        <v>netaik.</v>
      </c>
      <c r="CY53" s="977" t="str">
        <f>Translations!$B$157</f>
        <v>netaik.</v>
      </c>
      <c r="CZ53" s="977" t="str">
        <f>Translations!$B$157</f>
        <v>netaik.</v>
      </c>
      <c r="DA53" s="977" t="str">
        <f>Translations!$B$157</f>
        <v>netaik.</v>
      </c>
      <c r="DB53" s="977" t="str">
        <f>Translations!$B$157</f>
        <v>netaik.</v>
      </c>
    </row>
    <row r="54" spans="1:106" ht="13.5" thickBot="1" x14ac:dyDescent="0.25">
      <c r="A54" s="481">
        <v>37</v>
      </c>
      <c r="B54" s="371" t="str">
        <f t="shared" si="0"/>
        <v>(Ne)spalvotieji, antrinis aliuminis: Proceso metu išsiskiriančios ŠESD</v>
      </c>
      <c r="C54" s="371"/>
      <c r="D54" s="373"/>
      <c r="E54" s="817" t="str">
        <f t="shared" ca="1" si="1"/>
        <v>MSParameters!$G$54:$CW$54</v>
      </c>
      <c r="F54" s="904"/>
      <c r="G54" s="976" t="str">
        <f>Translations!$B$1065</f>
        <v>Medžiaga – Kalkakmenis</v>
      </c>
      <c r="H54" s="977" t="str">
        <f>Translations!$B$1066</f>
        <v>Medžiaga – Dolomitas</v>
      </c>
      <c r="I54" s="977" t="str">
        <f>Translations!$B$1067</f>
        <v>Medžiaga – Natrio vandenilio karbonatas</v>
      </c>
      <c r="J54" s="977" t="str">
        <f>Translations!$B$1086</f>
        <v>Medžiaga – Rūdos</v>
      </c>
      <c r="K54" s="977" t="str">
        <f>Translations!$B$1087</f>
        <v>Medžiaga – Priedai</v>
      </c>
      <c r="L54" s="977" t="str">
        <f>Translations!$B$1088</f>
        <v>Medžiaga – Metalo laužas</v>
      </c>
      <c r="M54" s="977" t="str">
        <f>Translations!$B$1089</f>
        <v>Medžiaga – Geležies rūdos</v>
      </c>
      <c r="N54" s="977" t="str">
        <f>Translations!$B$1101</f>
        <v>Medžiaga – Lydžiosios sudedamosios dalys</v>
      </c>
      <c r="O54" s="977" t="str">
        <f>Translations!$B$1090</f>
        <v>Medžiaga – Aukštakrosnių šlakas</v>
      </c>
      <c r="P54" s="977" t="str">
        <f>Translations!$B$1091</f>
        <v>Medžiaga – Kitų rūšių šlakas</v>
      </c>
      <c r="Q54" s="977" t="str">
        <f>Translations!$B$1108</f>
        <v>Medžiaga – Kitos medžiagos, kurių sudėtyje yra anglies</v>
      </c>
      <c r="R54" s="977" t="str">
        <f>Translations!$B$1068</f>
        <v>Medžiaga – Natrio karbonatas</v>
      </c>
      <c r="S54" s="977" t="str">
        <f>Translations!$B$1069</f>
        <v>Medžiaga – Kalio karbonatas (potašas)</v>
      </c>
      <c r="T54" s="977" t="str">
        <f>Translations!$B$1070</f>
        <v>Medžiaga – CaCO3</v>
      </c>
      <c r="U54" s="977" t="str">
        <f>Translations!$B$1071</f>
        <v>Medžiaga – MgCO3</v>
      </c>
      <c r="V54" s="977" t="str">
        <f>Translations!$B$1072</f>
        <v>Medžiaga – Na2CO3</v>
      </c>
      <c r="W54" s="977" t="str">
        <f>Translations!$B$1073</f>
        <v>Medžiaga – BaCO3</v>
      </c>
      <c r="X54" s="977" t="str">
        <f>Translations!$B$1074</f>
        <v>Medžiaga – Li2CO3</v>
      </c>
      <c r="Y54" s="979" t="str">
        <f>Translations!$B$1075</f>
        <v>Medžiaga – K2CO3</v>
      </c>
      <c r="Z54" s="979" t="str">
        <f>Translations!$B$1076</f>
        <v>Medžiaga – SrCO3</v>
      </c>
      <c r="AA54" s="979" t="str">
        <f>Translations!$B$1077</f>
        <v>Medžiaga – NaHCO3</v>
      </c>
      <c r="AB54" s="979" t="str">
        <f>Translations!$B$1078</f>
        <v>Medžiaga – FeCO3</v>
      </c>
      <c r="AC54" s="979" t="str">
        <f>Translations!$B$1079</f>
        <v>Medžiaga – Kiti karbonatai</v>
      </c>
      <c r="AD54" s="977" t="str">
        <f>Translations!$B$1092</f>
        <v>Medžiaga – Kitų rūšių reduktoriai</v>
      </c>
      <c r="AE54" s="977" t="str">
        <f>Translations!$B$1064</f>
        <v>Medžiaga – Kitos medžiagos</v>
      </c>
      <c r="AF54" s="977" t="str">
        <f>Translations!$B$999</f>
        <v>Dujinis – Gamtinės dujos</v>
      </c>
      <c r="AG54" s="977" t="str">
        <f>Translations!$B$1000</f>
        <v>Dujinis – Dujų gamyklos dujos</v>
      </c>
      <c r="AH54" s="977" t="str">
        <f>Translations!$B$1001</f>
        <v>Dujinis – Koksavimo dujos</v>
      </c>
      <c r="AI54" s="977" t="str">
        <f>Translations!$B$1002</f>
        <v>Dujinis – Aukštakrosnių dujos</v>
      </c>
      <c r="AJ54" s="977" t="str">
        <f>Translations!$B$1003</f>
        <v>Dujinis – Deguoninių plieno aukštakrosnių dujos</v>
      </c>
      <c r="AK54" s="977" t="str">
        <f>Translations!$B$1004</f>
        <v>Dujinis – Biodujos</v>
      </c>
      <c r="AL54" s="977" t="str">
        <f>Translations!$B$1005</f>
        <v>Dujinis – Dumblo dujos</v>
      </c>
      <c r="AM54" s="977" t="str">
        <f>Translations!$B$1006</f>
        <v>Dujinis – Sąvartynų dujos</v>
      </c>
      <c r="AN54" s="977" t="str">
        <f>Translations!$B$1007</f>
        <v>Dujinis – Anglies monoksidas</v>
      </c>
      <c r="AO54" s="977" t="str">
        <f>Translations!$B$1008</f>
        <v>Dujinis – Metanas</v>
      </c>
      <c r="AP54" s="977" t="str">
        <f>Translations!$B$988</f>
        <v>Dujinis – Etanas</v>
      </c>
      <c r="AQ54" s="977" t="str">
        <f>Translations!$B$989</f>
        <v>Dujinis – Propanas</v>
      </c>
      <c r="AR54" s="977" t="str">
        <f>Translations!$B$990</f>
        <v>Dujinis – Butanas</v>
      </c>
      <c r="AS54" s="977" t="str">
        <f>Translations!$B$1009</f>
        <v>Dujinis – Kitų rūšių dujinis kuras</v>
      </c>
      <c r="AT54" s="977" t="str">
        <f>Translations!$B$1010</f>
        <v>Dujinis – Kitų rūšių dujinė biomasė</v>
      </c>
      <c r="AU54" s="977" t="str">
        <f>Translations!$B$991</f>
        <v>Skystasis – Dyzelinis krosnių kuras</v>
      </c>
      <c r="AV54" s="977" t="str">
        <f>Translations!$B$1011</f>
        <v>Skystasis – Labai lengvos distiliacijos kuras</v>
      </c>
      <c r="AW54" s="977" t="str">
        <f>Translations!$B$1012</f>
        <v>Skystasis – Vidutinės distiliacijos kuras</v>
      </c>
      <c r="AX54" s="977" t="str">
        <f>Translations!$B$1013</f>
        <v>Skystasis – Sunkusis mazutas</v>
      </c>
      <c r="AY54" s="977" t="str">
        <f>Translations!$B$992</f>
        <v>Skystasis – Gazolis</v>
      </c>
      <c r="AZ54" s="977" t="str">
        <f>Translations!$B$993</f>
        <v>Skystasis – Gazolinas</v>
      </c>
      <c r="BA54" s="977" t="str">
        <f>Translations!$B$994</f>
        <v>Skystasis – Valytas žibalas</v>
      </c>
      <c r="BB54" s="977" t="str">
        <f>Translations!$B$995</f>
        <v>Skystasis – Žibalas</v>
      </c>
      <c r="BC54" s="977" t="str">
        <f>Translations!$B$996</f>
        <v>Skystasis – Reaktyvinis žibalas (Jet A1 arba Jet A)</v>
      </c>
      <c r="BD54" s="977" t="str">
        <f>Translations!$B$997</f>
        <v>Skystasis – Reaktyvinis gazolinas (benzinas) (Jet B)</v>
      </c>
      <c r="BE54" s="977" t="str">
        <f>Translations!$B$998</f>
        <v>Skystasis – Aviacinis gazolinas (benzinas) (AvGas)</v>
      </c>
      <c r="BF54" s="977" t="str">
        <f>Translations!$B$1014</f>
        <v>Skystasis – Suskystintosios naftos dujos</v>
      </c>
      <c r="BG54" s="977" t="str">
        <f>Translations!$B$1015</f>
        <v>Skystasis – Žalia nafta</v>
      </c>
      <c r="BH54" s="977" t="str">
        <f>Translations!$B$1016</f>
        <v>Skystasis – Orimulsija</v>
      </c>
      <c r="BI54" s="977" t="str">
        <f>Translations!$B$1017</f>
        <v>Skystasis – Gamtinių dujų kondensatai</v>
      </c>
      <c r="BJ54" s="977" t="str">
        <f>Translations!$B$1018</f>
        <v>Skystasis – Automobilinis benzinas</v>
      </c>
      <c r="BK54" s="977" t="str">
        <f>Translations!$B$1019</f>
        <v>Skystasis – Skalūnų alyva</v>
      </c>
      <c r="BL54" s="977" t="str">
        <f>Translations!$B$1020</f>
        <v>Skystasis – Dujos ir (arba) dyzelinas</v>
      </c>
      <c r="BM54" s="977" t="str">
        <f>Translations!$B$1021</f>
        <v>Skystasis – Mazuto distiliavimo likutis</v>
      </c>
      <c r="BN54" s="977" t="str">
        <f>Translations!$B$1022</f>
        <v>Skystasis – Pirminis benzinas</v>
      </c>
      <c r="BO54" s="977" t="str">
        <f>Translations!$B$1023</f>
        <v>Skystasis – Tepalai</v>
      </c>
      <c r="BP54" s="977" t="str">
        <f>Translations!$B$1024</f>
        <v>Skystasis – Vaitspiritas ir SBP</v>
      </c>
      <c r="BQ54" s="977" t="str">
        <f>Translations!$B$1025</f>
        <v>Skystasis – Skalūnų alyva ir gudoniniai smėliai</v>
      </c>
      <c r="BR54" s="977" t="str">
        <f>Translations!$B$1026</f>
        <v>Skystasis – Akmens anglių briketai</v>
      </c>
      <c r="BS54" s="977" t="str">
        <f>Translations!$B$1027</f>
        <v>Skystasis – Alyvų atliekos</v>
      </c>
      <c r="BT54" s="977" t="str">
        <f>Translations!$B$1028</f>
        <v>Skystasis – Biobenzinas</v>
      </c>
      <c r="BU54" s="977" t="str">
        <f>Translations!$B$1029</f>
        <v>Skystasi – Biodyzelinas</v>
      </c>
      <c r="BV54" s="977" t="str">
        <f>Translations!$B$1030</f>
        <v>Skystasis – Bitumas</v>
      </c>
      <c r="BW54" s="977" t="str">
        <f>Translations!$B$1032</f>
        <v>Skystasis – Kitų rūšių skystasis kuras</v>
      </c>
      <c r="BX54" s="977" t="str">
        <f>Translations!$B$1033</f>
        <v>Skystasis – Kitų rūšių skystoji biomasė</v>
      </c>
      <c r="BY54" s="977" t="str">
        <f>Translations!$B$1040</f>
        <v>Kietasis – Koksas</v>
      </c>
      <c r="BZ54" s="977" t="str">
        <f>Translations!$B$1041</f>
        <v>Kietasis – Naftos koksas</v>
      </c>
      <c r="CA54" s="977" t="str">
        <f>Translations!$B$1042</f>
        <v>Kietasis – Akmens anglys</v>
      </c>
      <c r="CB54" s="977" t="str">
        <f>Translations!$B$1043</f>
        <v>Kietasis – Lignitas</v>
      </c>
      <c r="CC54" s="977" t="str">
        <f>Translations!$B$1044</f>
        <v>Kietasis – Antracitas</v>
      </c>
      <c r="CD54" s="977" t="str">
        <f>Translations!$B$1045</f>
        <v>Kietasis – Koksinės anglys</v>
      </c>
      <c r="CE54" s="978" t="str">
        <f>Translations!$B$1046</f>
        <v>Kietasis – Subbituminės akmens anglys</v>
      </c>
      <c r="CF54" s="977" t="str">
        <f>Translations!$B$1047</f>
        <v>Kietasis – Kitos bituminės akmens anglys</v>
      </c>
      <c r="CG54" s="977" t="str">
        <f>Translations!$B$1048</f>
        <v>Kietasis – Dujinis koksas</v>
      </c>
      <c r="CH54" s="977" t="str">
        <f>Translations!$B$1049</f>
        <v>Kietasis – Parafinas</v>
      </c>
      <c r="CI54" s="977" t="str">
        <f>Translations!$B$1050</f>
        <v>Kietasis – Sulfatinės išviros</v>
      </c>
      <c r="CJ54" s="977" t="str">
        <f>Translations!$B$1051</f>
        <v>Kietasis – Malkos</v>
      </c>
      <c r="CK54" s="977" t="str">
        <f>Translations!$B$1052</f>
        <v>Kietasis – Mediena (ne atliekos)</v>
      </c>
      <c r="CL54" s="977" t="str">
        <f>Translations!$B$1053</f>
        <v>Kietasis – Mediena (atliekos)</v>
      </c>
      <c r="CM54" s="977" t="str">
        <f>Translations!$B$1054</f>
        <v>Kietasis – Durpės</v>
      </c>
      <c r="CN54" s="977" t="str">
        <f>Translations!$B$1055</f>
        <v>Kietasis – Kanalizacijos dumblas</v>
      </c>
      <c r="CO54" s="977" t="str">
        <f>Translations!$B$1056</f>
        <v>Kietasis – Komunalinių nuotekų dumblas</v>
      </c>
      <c r="CP54" s="977" t="str">
        <f>Translations!$B$1057</f>
        <v>Kietasis – Akmens anglių degutas</v>
      </c>
      <c r="CQ54" s="977" t="str">
        <f>Translations!$B$1058</f>
        <v>Kietasis – Medžio anglys</v>
      </c>
      <c r="CR54" s="977" t="str">
        <f>Translations!$B$1059</f>
        <v>Kietasis – Panaudos padangos</v>
      </c>
      <c r="CS54" s="977" t="str">
        <f>Translations!$B$1060</f>
        <v>Kietasis – Kitų rūšių kietasis kuras</v>
      </c>
      <c r="CT54" s="977" t="str">
        <f>Translations!$B$1061</f>
        <v>Kietasis – Kitų rūšių kietoji biomasė</v>
      </c>
      <c r="CU54" s="977" t="str">
        <f>Translations!$B$1034</f>
        <v>Atliekos – Komunalinės ir pramoninės atliekos</v>
      </c>
      <c r="CV54" s="977" t="str">
        <f>Translations!$B$1035</f>
        <v>Atliekos – Pramoninės atliekos</v>
      </c>
      <c r="CW54" s="977" t="str">
        <f>Translations!$B$1036</f>
        <v>Naftos perdirbimo įmonių žaliava – Naftos perdirbimo įmonių dujos</v>
      </c>
      <c r="CX54" s="977" t="str">
        <f>Translations!$B$157</f>
        <v>netaik.</v>
      </c>
      <c r="CY54" s="977" t="str">
        <f>Translations!$B$157</f>
        <v>netaik.</v>
      </c>
      <c r="CZ54" s="977" t="str">
        <f>Translations!$B$157</f>
        <v>netaik.</v>
      </c>
      <c r="DA54" s="977" t="str">
        <f>Translations!$B$157</f>
        <v>netaik.</v>
      </c>
      <c r="DB54" s="977" t="str">
        <f>Translations!$B$157</f>
        <v>netaik.</v>
      </c>
    </row>
    <row r="55" spans="1:106" ht="13.5" thickBot="1" x14ac:dyDescent="0.25">
      <c r="A55" s="481">
        <v>38</v>
      </c>
      <c r="B55" s="371" t="str">
        <f t="shared" si="0"/>
        <v>(Ne)spalvotieji, antrinis aliuminis: Masės balanso metodika</v>
      </c>
      <c r="C55" s="371"/>
      <c r="D55" s="373"/>
      <c r="E55" s="817" t="str">
        <f t="shared" ca="1" si="1"/>
        <v>MSParameters!$G$55:$CU$55</v>
      </c>
      <c r="F55" s="904"/>
      <c r="G55" s="976" t="str">
        <f>Translations!$B$1065</f>
        <v>Medžiaga – Kalkakmenis</v>
      </c>
      <c r="H55" s="977" t="str">
        <f>Translations!$B$1066</f>
        <v>Medžiaga – Dolomitas</v>
      </c>
      <c r="I55" s="977" t="str">
        <f>Translations!$B$1067</f>
        <v>Medžiaga – Natrio vandenilio karbonatas</v>
      </c>
      <c r="J55" s="977" t="str">
        <f>Translations!$B$1086</f>
        <v>Medžiaga – Rūdos</v>
      </c>
      <c r="K55" s="977" t="str">
        <f>Translations!$B$1087</f>
        <v>Medžiaga – Priedai</v>
      </c>
      <c r="L55" s="977" t="str">
        <f>Translations!$B$1088</f>
        <v>Medžiaga – Metalo laužas</v>
      </c>
      <c r="M55" s="977" t="str">
        <f>Translations!$B$1089</f>
        <v>Medžiaga – Geležies rūdos</v>
      </c>
      <c r="N55" s="977" t="str">
        <f>Translations!$B$1101</f>
        <v>Medžiaga – Lydžiosios sudedamosios dalys</v>
      </c>
      <c r="O55" s="977" t="str">
        <f>Translations!$B$1090</f>
        <v>Medžiaga – Aukštakrosnių šlakas</v>
      </c>
      <c r="P55" s="977" t="str">
        <f>Translations!$B$1091</f>
        <v>Medžiaga – Kitų rūšių šlakas</v>
      </c>
      <c r="Q55" s="977" t="str">
        <f>Translations!$B$1068</f>
        <v>Medžiaga – Natrio karbonatas</v>
      </c>
      <c r="R55" s="979" t="str">
        <f>Translations!$B$1069</f>
        <v>Medžiaga – Kalio karbonatas (potašas)</v>
      </c>
      <c r="S55" s="979" t="str">
        <f>Translations!$B$1070</f>
        <v>Medžiaga – CaCO3</v>
      </c>
      <c r="T55" s="979" t="str">
        <f>Translations!$B$1071</f>
        <v>Medžiaga – MgCO3</v>
      </c>
      <c r="U55" s="979" t="str">
        <f>Translations!$B$1072</f>
        <v>Medžiaga – Na2CO3</v>
      </c>
      <c r="V55" s="979" t="str">
        <f>Translations!$B$1073</f>
        <v>Medžiaga – BaCO3</v>
      </c>
      <c r="W55" s="979" t="str">
        <f>Translations!$B$1074</f>
        <v>Medžiaga – Li2CO3</v>
      </c>
      <c r="X55" s="979" t="str">
        <f>Translations!$B$1075</f>
        <v>Medžiaga – K2CO3</v>
      </c>
      <c r="Y55" s="977" t="str">
        <f>Translations!$B$1076</f>
        <v>Medžiaga – SrCO3</v>
      </c>
      <c r="Z55" s="977" t="str">
        <f>Translations!$B$1077</f>
        <v>Medžiaga – NaHCO3</v>
      </c>
      <c r="AA55" s="977" t="str">
        <f>Translations!$B$1078</f>
        <v>Medžiaga – FeCO3</v>
      </c>
      <c r="AB55" s="977" t="str">
        <f>Translations!$B$1082</f>
        <v>Medžiaga – CaO</v>
      </c>
      <c r="AC55" s="977" t="str">
        <f>Translations!$B$1083</f>
        <v>Medžiaga – MgO</v>
      </c>
      <c r="AD55" s="977" t="str">
        <f>Translations!$B$1084</f>
        <v>Medžiaga – BaO</v>
      </c>
      <c r="AE55" s="977" t="str">
        <f>Translations!$B$1079</f>
        <v>Medžiaga – Kiti karbonatai</v>
      </c>
      <c r="AF55" s="977" t="str">
        <f>Translations!$B$1092</f>
        <v>Medžiaga – Kitų rūšių reduktoriai</v>
      </c>
      <c r="AG55" s="977" t="str">
        <f>Translations!$B$999</f>
        <v>Dujinis – Gamtinės dujos</v>
      </c>
      <c r="AH55" s="977" t="str">
        <f>Translations!$B$1000</f>
        <v>Dujinis – Dujų gamyklos dujos</v>
      </c>
      <c r="AI55" s="977" t="str">
        <f>Translations!$B$1001</f>
        <v>Dujinis – Koksavimo dujos</v>
      </c>
      <c r="AJ55" s="977" t="str">
        <f>Translations!$B$1002</f>
        <v>Dujinis – Aukštakrosnių dujos</v>
      </c>
      <c r="AK55" s="977" t="str">
        <f>Translations!$B$1003</f>
        <v>Dujinis – Deguoninių plieno aukštakrosnių dujos</v>
      </c>
      <c r="AL55" s="977" t="str">
        <f>Translations!$B$1004</f>
        <v>Dujinis – Biodujos</v>
      </c>
      <c r="AM55" s="977" t="str">
        <f>Translations!$B$1005</f>
        <v>Dujinis – Dumblo dujos</v>
      </c>
      <c r="AN55" s="977" t="str">
        <f>Translations!$B$1006</f>
        <v>Dujinis – Sąvartynų dujos</v>
      </c>
      <c r="AO55" s="977" t="str">
        <f>Translations!$B$1007</f>
        <v>Dujinis – Anglies monoksidas</v>
      </c>
      <c r="AP55" s="977" t="str">
        <f>Translations!$B$1008</f>
        <v>Dujinis – Metanas</v>
      </c>
      <c r="AQ55" s="977" t="str">
        <f>Translations!$B$988</f>
        <v>Dujinis – Etanas</v>
      </c>
      <c r="AR55" s="977" t="str">
        <f>Translations!$B$989</f>
        <v>Dujinis – Propanas</v>
      </c>
      <c r="AS55" s="977" t="str">
        <f>Translations!$B$990</f>
        <v>Dujinis – Butanas</v>
      </c>
      <c r="AT55" s="977" t="str">
        <f>Translations!$B$1009</f>
        <v>Dujinis – Kitų rūšių dujinis kuras</v>
      </c>
      <c r="AU55" s="977" t="str">
        <f>Translations!$B$1010</f>
        <v>Dujinis – Kitų rūšių dujinė biomasė</v>
      </c>
      <c r="AV55" s="977" t="str">
        <f>Translations!$B$991</f>
        <v>Skystasis – Dyzelinis krosnių kuras</v>
      </c>
      <c r="AW55" s="977" t="str">
        <f>Translations!$B$1011</f>
        <v>Skystasis – Labai lengvos distiliacijos kuras</v>
      </c>
      <c r="AX55" s="977" t="str">
        <f>Translations!$B$1012</f>
        <v>Skystasis – Vidutinės distiliacijos kuras</v>
      </c>
      <c r="AY55" s="977" t="str">
        <f>Translations!$B$1013</f>
        <v>Skystasis – Sunkusis mazutas</v>
      </c>
      <c r="AZ55" s="977" t="str">
        <f>Translations!$B$992</f>
        <v>Skystasis – Gazolis</v>
      </c>
      <c r="BA55" s="977" t="str">
        <f>Translations!$B$993</f>
        <v>Skystasis – Gazolinas</v>
      </c>
      <c r="BB55" s="977" t="str">
        <f>Translations!$B$994</f>
        <v>Skystasis – Valytas žibalas</v>
      </c>
      <c r="BC55" s="977" t="str">
        <f>Translations!$B$995</f>
        <v>Skystasis – Žibalas</v>
      </c>
      <c r="BD55" s="977" t="str">
        <f>Translations!$B$996</f>
        <v>Skystasis – Reaktyvinis žibalas (Jet A1 arba Jet A)</v>
      </c>
      <c r="BE55" s="977" t="str">
        <f>Translations!$B$997</f>
        <v>Skystasis – Reaktyvinis gazolinas (benzinas) (Jet B)</v>
      </c>
      <c r="BF55" s="977" t="str">
        <f>Translations!$B$998</f>
        <v>Skystasis – Aviacinis gazolinas (benzinas) (AvGas)</v>
      </c>
      <c r="BG55" s="977" t="str">
        <f>Translations!$B$1014</f>
        <v>Skystasis – Suskystintosios naftos dujos</v>
      </c>
      <c r="BH55" s="977" t="str">
        <f>Translations!$B$1016</f>
        <v>Skystasis – Orimulsija</v>
      </c>
      <c r="BI55" s="977" t="str">
        <f>Translations!$B$1017</f>
        <v>Skystasis – Gamtinių dujų kondensatai</v>
      </c>
      <c r="BJ55" s="977" t="str">
        <f>Translations!$B$1018</f>
        <v>Skystasis – Automobilinis benzinas</v>
      </c>
      <c r="BK55" s="977" t="str">
        <f>Translations!$B$1020</f>
        <v>Skystasis – Dujos ir (arba) dyzelinas</v>
      </c>
      <c r="BL55" s="977" t="str">
        <f>Translations!$B$1021</f>
        <v>Skystasis – Mazuto distiliavimo likutis</v>
      </c>
      <c r="BM55" s="977" t="str">
        <f>Translations!$B$1022</f>
        <v>Skystasis – Pirminis benzinas</v>
      </c>
      <c r="BN55" s="977" t="str">
        <f>Translations!$B$1023</f>
        <v>Skystasis – Tepalai</v>
      </c>
      <c r="BO55" s="977" t="str">
        <f>Translations!$B$1024</f>
        <v>Skystasis – Vaitspiritas ir SBP</v>
      </c>
      <c r="BP55" s="977" t="str">
        <f>Translations!$B$1025</f>
        <v>Skystasis – Skalūnų alyva ir gudoniniai smėliai</v>
      </c>
      <c r="BQ55" s="977" t="str">
        <f>Translations!$B$1026</f>
        <v>Skystasis – Akmens anglių briketai</v>
      </c>
      <c r="BR55" s="977" t="str">
        <f>Translations!$B$1027</f>
        <v>Skystasis – Alyvų atliekos</v>
      </c>
      <c r="BS55" s="977" t="str">
        <f>Translations!$B$1028</f>
        <v>Skystasis – Biobenzinas</v>
      </c>
      <c r="BT55" s="977" t="str">
        <f>Translations!$B$1029</f>
        <v>Skystasi – Biodyzelinas</v>
      </c>
      <c r="BU55" s="977" t="str">
        <f>Translations!$B$1030</f>
        <v>Skystasis – Bitumas</v>
      </c>
      <c r="BV55" s="977" t="str">
        <f>Translations!$B$1032</f>
        <v>Skystasis – Kitų rūšių skystasis kuras</v>
      </c>
      <c r="BW55" s="977" t="str">
        <f>Translations!$B$1033</f>
        <v>Skystasis – Kitų rūšių skystoji biomasė</v>
      </c>
      <c r="BX55" s="977" t="str">
        <f>Translations!$B$1040</f>
        <v>Kietasis – Koksas</v>
      </c>
      <c r="BY55" s="977" t="str">
        <f>Translations!$B$1041</f>
        <v>Kietasis – Naftos koksas</v>
      </c>
      <c r="BZ55" s="977" t="str">
        <f>Translations!$B$1042</f>
        <v>Kietasis – Akmens anglys</v>
      </c>
      <c r="CA55" s="977" t="str">
        <f>Translations!$B$1043</f>
        <v>Kietasis – Lignitas</v>
      </c>
      <c r="CB55" s="977" t="str">
        <f>Translations!$B$1044</f>
        <v>Kietasis – Antracitas</v>
      </c>
      <c r="CC55" s="977" t="str">
        <f>Translations!$B$1045</f>
        <v>Kietasis – Koksinės anglys</v>
      </c>
      <c r="CD55" s="977" t="str">
        <f>Translations!$B$1046</f>
        <v>Kietasis – Subbituminės akmens anglys</v>
      </c>
      <c r="CE55" s="978" t="str">
        <f>Translations!$B$1047</f>
        <v>Kietasis – Kitos bituminės akmens anglys</v>
      </c>
      <c r="CF55" s="977" t="str">
        <f>Translations!$B$1048</f>
        <v>Kietasis – Dujinis koksas</v>
      </c>
      <c r="CG55" s="977" t="str">
        <f>Translations!$B$1049</f>
        <v>Kietasis – Parafinas</v>
      </c>
      <c r="CH55" s="977" t="str">
        <f>Translations!$B$1050</f>
        <v>Kietasis – Sulfatinės išviros</v>
      </c>
      <c r="CI55" s="977" t="str">
        <f>Translations!$B$1051</f>
        <v>Kietasis – Malkos</v>
      </c>
      <c r="CJ55" s="977" t="str">
        <f>Translations!$B$1052</f>
        <v>Kietasis – Mediena (ne atliekos)</v>
      </c>
      <c r="CK55" s="977" t="str">
        <f>Translations!$B$1053</f>
        <v>Kietasis – Mediena (atliekos)</v>
      </c>
      <c r="CL55" s="977" t="str">
        <f>Translations!$B$1054</f>
        <v>Kietasis – Durpės</v>
      </c>
      <c r="CM55" s="977" t="str">
        <f>Translations!$B$1055</f>
        <v>Kietasis – Kanalizacijos dumblas</v>
      </c>
      <c r="CN55" s="977" t="str">
        <f>Translations!$B$1056</f>
        <v>Kietasis – Komunalinių nuotekų dumblas</v>
      </c>
      <c r="CO55" s="977" t="str">
        <f>Translations!$B$1057</f>
        <v>Kietasis – Akmens anglių degutas</v>
      </c>
      <c r="CP55" s="977" t="str">
        <f>Translations!$B$1058</f>
        <v>Kietasis – Medžio anglys</v>
      </c>
      <c r="CQ55" s="977" t="str">
        <f>Translations!$B$1059</f>
        <v>Kietasis – Panaudos padangos</v>
      </c>
      <c r="CR55" s="977" t="str">
        <f>Translations!$B$1060</f>
        <v>Kietasis – Kitų rūšių kietasis kuras</v>
      </c>
      <c r="CS55" s="977" t="str">
        <f>Translations!$B$1061</f>
        <v>Kietasis – Kitų rūšių kietoji biomasė</v>
      </c>
      <c r="CT55" s="977" t="str">
        <f>Translations!$B$1034</f>
        <v>Atliekos – Komunalinės ir pramoninės atliekos</v>
      </c>
      <c r="CU55" s="977" t="str">
        <f>Translations!$B$1035</f>
        <v>Atliekos – Pramoninės atliekos</v>
      </c>
      <c r="CV55" s="977" t="str">
        <f>Translations!$B$157</f>
        <v>netaik.</v>
      </c>
      <c r="CW55" s="977" t="str">
        <f>Translations!$B$157</f>
        <v>netaik.</v>
      </c>
      <c r="CX55" s="977" t="str">
        <f>Translations!$B$157</f>
        <v>netaik.</v>
      </c>
      <c r="CY55" s="977" t="str">
        <f>Translations!$B$157</f>
        <v>netaik.</v>
      </c>
      <c r="CZ55" s="977" t="str">
        <f>Translations!$B$157</f>
        <v>netaik.</v>
      </c>
      <c r="DA55" s="977" t="str">
        <f>Translations!$B$157</f>
        <v>netaik.</v>
      </c>
      <c r="DB55" s="977" t="str">
        <f>Translations!$B$157</f>
        <v>netaik.</v>
      </c>
    </row>
    <row r="56" spans="1:106" ht="13.5" thickBot="1" x14ac:dyDescent="0.25">
      <c r="A56" s="481">
        <v>39</v>
      </c>
      <c r="B56" s="371" t="str">
        <f t="shared" si="0"/>
        <v>Natrio karbonatas / natrio hidrokarbonatas: Masės balanso metodika</v>
      </c>
      <c r="C56" s="371"/>
      <c r="D56" s="373"/>
      <c r="E56" s="817" t="str">
        <f t="shared" ca="1" si="1"/>
        <v>MSParameters!$G$56:$CQ$56</v>
      </c>
      <c r="F56" s="904"/>
      <c r="G56" s="976" t="str">
        <f>Translations!$B$1065</f>
        <v>Medžiaga – Kalkakmenis</v>
      </c>
      <c r="H56" s="977" t="str">
        <f>Translations!$B$1066</f>
        <v>Medžiaga – Dolomitas</v>
      </c>
      <c r="I56" s="977" t="str">
        <f>Translations!$B$1067</f>
        <v>Medžiaga – Natrio vandenilio karbonatas</v>
      </c>
      <c r="J56" s="977" t="str">
        <f>Translations!$B$1108</f>
        <v>Medžiaga – Kitos medžiagos, kurių sudėtyje yra anglies</v>
      </c>
      <c r="K56" s="977" t="str">
        <f>Translations!$B$1068</f>
        <v>Medžiaga – Natrio karbonatas</v>
      </c>
      <c r="L56" s="977" t="str">
        <f>Translations!$B$1069</f>
        <v>Medžiaga – Kalio karbonatas (potašas)</v>
      </c>
      <c r="M56" s="977" t="str">
        <f>Translations!$B$1070</f>
        <v>Medžiaga – CaCO3</v>
      </c>
      <c r="N56" s="977" t="str">
        <f>Translations!$B$1071</f>
        <v>Medžiaga – MgCO3</v>
      </c>
      <c r="O56" s="977" t="str">
        <f>Translations!$B$1072</f>
        <v>Medžiaga – Na2CO3</v>
      </c>
      <c r="P56" s="977" t="str">
        <f>Translations!$B$1073</f>
        <v>Medžiaga – BaCO3</v>
      </c>
      <c r="Q56" s="977" t="str">
        <f>Translations!$B$1074</f>
        <v>Medžiaga – Li2CO3</v>
      </c>
      <c r="R56" s="977" t="str">
        <f>Translations!$B$1075</f>
        <v>Medžiaga – K2CO3</v>
      </c>
      <c r="S56" s="977" t="str">
        <f>Translations!$B$1076</f>
        <v>Medžiaga – SrCO3</v>
      </c>
      <c r="T56" s="977" t="str">
        <f>Translations!$B$1077</f>
        <v>Medžiaga – NaHCO3</v>
      </c>
      <c r="U56" s="977" t="str">
        <f>Translations!$B$1078</f>
        <v>Medžiaga – FeCO3</v>
      </c>
      <c r="V56" s="977" t="str">
        <f>Translations!$B$1082</f>
        <v>Medžiaga – CaO</v>
      </c>
      <c r="W56" s="979" t="str">
        <f>Translations!$B$1083</f>
        <v>Medžiaga – MgO</v>
      </c>
      <c r="X56" s="979" t="str">
        <f>Translations!$B$1084</f>
        <v>Medžiaga – BaO</v>
      </c>
      <c r="Y56" s="979" t="str">
        <f>Translations!$B$1079</f>
        <v>Medžiaga – Kiti karbonatai</v>
      </c>
      <c r="Z56" s="979" t="str">
        <f>Translations!$B$1064</f>
        <v>Medžiaga – Kitos medžiagos</v>
      </c>
      <c r="AA56" s="979" t="str">
        <f>Translations!$B$999</f>
        <v>Dujinis – Gamtinės dujos</v>
      </c>
      <c r="AB56" s="979" t="str">
        <f>Translations!$B$1000</f>
        <v>Dujinis – Dujų gamyklos dujos</v>
      </c>
      <c r="AC56" s="979" t="str">
        <f>Translations!$B$1001</f>
        <v>Dujinis – Koksavimo dujos</v>
      </c>
      <c r="AD56" s="979" t="str">
        <f>Translations!$B$1002</f>
        <v>Dujinis – Aukštakrosnių dujos</v>
      </c>
      <c r="AE56" s="979" t="str">
        <f>Translations!$B$1003</f>
        <v>Dujinis – Deguoninių plieno aukštakrosnių dujos</v>
      </c>
      <c r="AF56" s="979" t="str">
        <f>Translations!$B$1004</f>
        <v>Dujinis – Biodujos</v>
      </c>
      <c r="AG56" s="979" t="str">
        <f>Translations!$B$1005</f>
        <v>Dujinis – Dumblo dujos</v>
      </c>
      <c r="AH56" s="979" t="str">
        <f>Translations!$B$1006</f>
        <v>Dujinis – Sąvartynų dujos</v>
      </c>
      <c r="AI56" s="979" t="str">
        <f>Translations!$B$1007</f>
        <v>Dujinis – Anglies monoksidas</v>
      </c>
      <c r="AJ56" s="979" t="str">
        <f>Translations!$B$1008</f>
        <v>Dujinis – Metanas</v>
      </c>
      <c r="AK56" s="979" t="str">
        <f>Translations!$B$988</f>
        <v>Dujinis – Etanas</v>
      </c>
      <c r="AL56" s="979" t="str">
        <f>Translations!$B$989</f>
        <v>Dujinis – Propanas</v>
      </c>
      <c r="AM56" s="979" t="str">
        <f>Translations!$B$990</f>
        <v>Dujinis – Butanas</v>
      </c>
      <c r="AN56" s="979" t="str">
        <f>Translations!$B$1009</f>
        <v>Dujinis – Kitų rūšių dujinis kuras</v>
      </c>
      <c r="AO56" s="979" t="str">
        <f>Translations!$B$1010</f>
        <v>Dujinis – Kitų rūšių dujinė biomasė</v>
      </c>
      <c r="AP56" s="979" t="str">
        <f>Translations!$B$991</f>
        <v>Skystasis – Dyzelinis krosnių kuras</v>
      </c>
      <c r="AQ56" s="979" t="str">
        <f>Translations!$B$1011</f>
        <v>Skystasis – Labai lengvos distiliacijos kuras</v>
      </c>
      <c r="AR56" s="979" t="str">
        <f>Translations!$B$1012</f>
        <v>Skystasis – Vidutinės distiliacijos kuras</v>
      </c>
      <c r="AS56" s="979" t="str">
        <f>Translations!$B$1013</f>
        <v>Skystasis – Sunkusis mazutas</v>
      </c>
      <c r="AT56" s="979" t="str">
        <f>Translations!$B$992</f>
        <v>Skystasis – Gazolis</v>
      </c>
      <c r="AU56" s="979" t="str">
        <f>Translations!$B$993</f>
        <v>Skystasis – Gazolinas</v>
      </c>
      <c r="AV56" s="979" t="str">
        <f>Translations!$B$994</f>
        <v>Skystasis – Valytas žibalas</v>
      </c>
      <c r="AW56" s="979" t="str">
        <f>Translations!$B$995</f>
        <v>Skystasis – Žibalas</v>
      </c>
      <c r="AX56" s="979" t="str">
        <f>Translations!$B$996</f>
        <v>Skystasis – Reaktyvinis žibalas (Jet A1 arba Jet A)</v>
      </c>
      <c r="AY56" s="979" t="str">
        <f>Translations!$B$997</f>
        <v>Skystasis – Reaktyvinis gazolinas (benzinas) (Jet B)</v>
      </c>
      <c r="AZ56" s="979" t="str">
        <f>Translations!$B$998</f>
        <v>Skystasis – Aviacinis gazolinas (benzinas) (AvGas)</v>
      </c>
      <c r="BA56" s="979" t="str">
        <f>Translations!$B$1014</f>
        <v>Skystasis – Suskystintosios naftos dujos</v>
      </c>
      <c r="BB56" s="979" t="str">
        <f>Translations!$B$1015</f>
        <v>Skystasis – Žalia nafta</v>
      </c>
      <c r="BC56" s="979" t="str">
        <f>Translations!$B$1016</f>
        <v>Skystasis – Orimulsija</v>
      </c>
      <c r="BD56" s="979" t="str">
        <f>Translations!$B$1017</f>
        <v>Skystasis – Gamtinių dujų kondensatai</v>
      </c>
      <c r="BE56" s="979" t="str">
        <f>Translations!$B$1018</f>
        <v>Skystasis – Automobilinis benzinas</v>
      </c>
      <c r="BF56" s="979" t="str">
        <f>Translations!$B$1019</f>
        <v>Skystasis – Skalūnų alyva</v>
      </c>
      <c r="BG56" s="979" t="str">
        <f>Translations!$B$1020</f>
        <v>Skystasis – Dujos ir (arba) dyzelinas</v>
      </c>
      <c r="BH56" s="979" t="str">
        <f>Translations!$B$1021</f>
        <v>Skystasis – Mazuto distiliavimo likutis</v>
      </c>
      <c r="BI56" s="979" t="str">
        <f>Translations!$B$1022</f>
        <v>Skystasis – Pirminis benzinas</v>
      </c>
      <c r="BJ56" s="979" t="str">
        <f>Translations!$B$1023</f>
        <v>Skystasis – Tepalai</v>
      </c>
      <c r="BK56" s="979" t="str">
        <f>Translations!$B$1024</f>
        <v>Skystasis – Vaitspiritas ir SBP</v>
      </c>
      <c r="BL56" s="979" t="str">
        <f>Translations!$B$1025</f>
        <v>Skystasis – Skalūnų alyva ir gudoniniai smėliai</v>
      </c>
      <c r="BM56" s="979" t="str">
        <f>Translations!$B$1026</f>
        <v>Skystasis – Akmens anglių briketai</v>
      </c>
      <c r="BN56" s="979" t="str">
        <f>Translations!$B$1027</f>
        <v>Skystasis – Alyvų atliekos</v>
      </c>
      <c r="BO56" s="979" t="str">
        <f>Translations!$B$1028</f>
        <v>Skystasis – Biobenzinas</v>
      </c>
      <c r="BP56" s="979" t="str">
        <f>Translations!$B$1029</f>
        <v>Skystasi – Biodyzelinas</v>
      </c>
      <c r="BQ56" s="979" t="str">
        <f>Translations!$B$1030</f>
        <v>Skystasis – Bitumas</v>
      </c>
      <c r="BR56" s="979" t="str">
        <f>Translations!$B$1032</f>
        <v>Skystasis – Kitų rūšių skystasis kuras</v>
      </c>
      <c r="BS56" s="979" t="str">
        <f>Translations!$B$1033</f>
        <v>Skystasis – Kitų rūšių skystoji biomasė</v>
      </c>
      <c r="BT56" s="979" t="str">
        <f>Translations!$B$1040</f>
        <v>Kietasis – Koksas</v>
      </c>
      <c r="BU56" s="979" t="str">
        <f>Translations!$B$1041</f>
        <v>Kietasis – Naftos koksas</v>
      </c>
      <c r="BV56" s="979" t="str">
        <f>Translations!$B$1042</f>
        <v>Kietasis – Akmens anglys</v>
      </c>
      <c r="BW56" s="979" t="str">
        <f>Translations!$B$1043</f>
        <v>Kietasis – Lignitas</v>
      </c>
      <c r="BX56" s="979" t="str">
        <f>Translations!$B$1044</f>
        <v>Kietasis – Antracitas</v>
      </c>
      <c r="BY56" s="979" t="str">
        <f>Translations!$B$1045</f>
        <v>Kietasis – Koksinės anglys</v>
      </c>
      <c r="BZ56" s="979" t="str">
        <f>Translations!$B$1046</f>
        <v>Kietasis – Subbituminės akmens anglys</v>
      </c>
      <c r="CA56" s="979" t="str">
        <f>Translations!$B$1047</f>
        <v>Kietasis – Kitos bituminės akmens anglys</v>
      </c>
      <c r="CB56" s="979" t="str">
        <f>Translations!$B$1048</f>
        <v>Kietasis – Dujinis koksas</v>
      </c>
      <c r="CC56" s="979" t="str">
        <f>Translations!$B$1049</f>
        <v>Kietasis – Parafinas</v>
      </c>
      <c r="CD56" s="977" t="str">
        <f>Translations!$B$1050</f>
        <v>Kietasis – Sulfatinės išviros</v>
      </c>
      <c r="CE56" s="978" t="str">
        <f>Translations!$B$1051</f>
        <v>Kietasis – Malkos</v>
      </c>
      <c r="CF56" s="979" t="str">
        <f>Translations!$B$1052</f>
        <v>Kietasis – Mediena (ne atliekos)</v>
      </c>
      <c r="CG56" s="979" t="str">
        <f>Translations!$B$1053</f>
        <v>Kietasis – Mediena (atliekos)</v>
      </c>
      <c r="CH56" s="979" t="str">
        <f>Translations!$B$1054</f>
        <v>Kietasis – Durpės</v>
      </c>
      <c r="CI56" s="979" t="str">
        <f>Translations!$B$1055</f>
        <v>Kietasis – Kanalizacijos dumblas</v>
      </c>
      <c r="CJ56" s="979" t="str">
        <f>Translations!$B$1056</f>
        <v>Kietasis – Komunalinių nuotekų dumblas</v>
      </c>
      <c r="CK56" s="979" t="str">
        <f>Translations!$B$1057</f>
        <v>Kietasis – Akmens anglių degutas</v>
      </c>
      <c r="CL56" s="979" t="str">
        <f>Translations!$B$1058</f>
        <v>Kietasis – Medžio anglys</v>
      </c>
      <c r="CM56" s="979" t="str">
        <f>Translations!$B$1059</f>
        <v>Kietasis – Panaudos padangos</v>
      </c>
      <c r="CN56" s="979" t="str">
        <f>Translations!$B$1060</f>
        <v>Kietasis – Kitų rūšių kietasis kuras</v>
      </c>
      <c r="CO56" s="979" t="str">
        <f>Translations!$B$1061</f>
        <v>Kietasis – Kitų rūšių kietoji biomasė</v>
      </c>
      <c r="CP56" s="979" t="str">
        <f>Translations!$B$1034</f>
        <v>Atliekos – Komunalinės ir pramoninės atliekos</v>
      </c>
      <c r="CQ56" s="979" t="str">
        <f>Translations!$B$1035</f>
        <v>Atliekos – Pramoninės atliekos</v>
      </c>
      <c r="CR56" s="979" t="str">
        <f>Translations!$B$157</f>
        <v>netaik.</v>
      </c>
      <c r="CS56" s="979" t="str">
        <f>Translations!$B$157</f>
        <v>netaik.</v>
      </c>
      <c r="CT56" s="979" t="str">
        <f>Translations!$B$157</f>
        <v>netaik.</v>
      </c>
      <c r="CU56" s="979" t="str">
        <f>Translations!$B$157</f>
        <v>netaik.</v>
      </c>
      <c r="CV56" s="979" t="str">
        <f>Translations!$B$157</f>
        <v>netaik.</v>
      </c>
      <c r="CW56" s="979" t="str">
        <f>Translations!$B$157</f>
        <v>netaik.</v>
      </c>
      <c r="CX56" s="979" t="str">
        <f>Translations!$B$157</f>
        <v>netaik.</v>
      </c>
      <c r="CY56" s="979" t="str">
        <f>Translations!$B$157</f>
        <v>netaik.</v>
      </c>
      <c r="CZ56" s="979" t="str">
        <f>Translations!$B$157</f>
        <v>netaik.</v>
      </c>
      <c r="DA56" s="979" t="str">
        <f>Translations!$B$157</f>
        <v>netaik.</v>
      </c>
      <c r="DB56" s="979" t="str">
        <f>Translations!$B$157</f>
        <v>netaik.</v>
      </c>
    </row>
    <row r="57" spans="1:106" ht="13.5" thickBot="1" x14ac:dyDescent="0.25">
      <c r="A57" s="481">
        <v>40</v>
      </c>
      <c r="B57" s="371" t="str">
        <f t="shared" si="0"/>
        <v>Pirminis aliuminis: Masės balanso metodika</v>
      </c>
      <c r="C57" s="371"/>
      <c r="D57" s="373"/>
      <c r="E57" s="817" t="str">
        <f t="shared" ca="1" si="1"/>
        <v>MSParameters!$G$57:$N$57</v>
      </c>
      <c r="F57" s="904"/>
      <c r="G57" s="976" t="str">
        <f>Translations!$B$859</f>
        <v>Medžiaga – Tiekimas į vonių su termiškai apdorotais perforuotais anodais centrą (CWPB)</v>
      </c>
      <c r="H57" s="977" t="str">
        <f>Translations!$B$860</f>
        <v>Medžiaga – Sioderbergo vonia su vertikaliais strypais (VSS)</v>
      </c>
      <c r="I57" s="977" t="str">
        <f>Translations!$B$861</f>
        <v>Medžiaga – Tiekimas į vonių su termiškai apdorotais perforuotais anodais kraštą (SWPB)</v>
      </c>
      <c r="J57" s="977" t="str">
        <f>Translations!$B$862</f>
        <v>Medžiaga – Sioderbergo vonia su horizontaliais strypais (HSS)</v>
      </c>
      <c r="K57" s="977" t="str">
        <f>Translations!$B$1062</f>
        <v>Medžiaga – Kitų rūšių žaliavos</v>
      </c>
      <c r="L57" s="977" t="str">
        <f>Translations!$B$1063</f>
        <v>Medžiaga – Kitų rūšių produktai</v>
      </c>
      <c r="M57" s="977" t="str">
        <f>Translations!$B$1141</f>
        <v>Medžiaga – Kiti elektrodai</v>
      </c>
      <c r="N57" s="977" t="str">
        <f>Translations!$B$1064</f>
        <v>Medžiaga – Kitos medžiagos</v>
      </c>
      <c r="O57" s="977" t="str">
        <f>Translations!$B$157</f>
        <v>netaik.</v>
      </c>
      <c r="P57" s="977" t="str">
        <f>Translations!$B$157</f>
        <v>netaik.</v>
      </c>
      <c r="Q57" s="977" t="str">
        <f>Translations!$B$157</f>
        <v>netaik.</v>
      </c>
      <c r="R57" s="977" t="str">
        <f>Translations!$B$157</f>
        <v>netaik.</v>
      </c>
      <c r="S57" s="977" t="str">
        <f>Translations!$B$157</f>
        <v>netaik.</v>
      </c>
      <c r="T57" s="977" t="str">
        <f>Translations!$B$157</f>
        <v>netaik.</v>
      </c>
      <c r="U57" s="977" t="str">
        <f>Translations!$B$157</f>
        <v>netaik.</v>
      </c>
      <c r="V57" s="977" t="str">
        <f>Translations!$B$157</f>
        <v>netaik.</v>
      </c>
      <c r="W57" s="977" t="str">
        <f>Translations!$B$157</f>
        <v>netaik.</v>
      </c>
      <c r="X57" s="977" t="str">
        <f>Translations!$B$157</f>
        <v>netaik.</v>
      </c>
      <c r="Y57" s="977" t="str">
        <f>Translations!$B$157</f>
        <v>netaik.</v>
      </c>
      <c r="Z57" s="977" t="str">
        <f>Translations!$B$157</f>
        <v>netaik.</v>
      </c>
      <c r="AA57" s="977" t="str">
        <f>Translations!$B$157</f>
        <v>netaik.</v>
      </c>
      <c r="AB57" s="977" t="str">
        <f>Translations!$B$157</f>
        <v>netaik.</v>
      </c>
      <c r="AC57" s="977" t="str">
        <f>Translations!$B$157</f>
        <v>netaik.</v>
      </c>
      <c r="AD57" s="977" t="str">
        <f>Translations!$B$157</f>
        <v>netaik.</v>
      </c>
      <c r="AE57" s="977" t="str">
        <f>Translations!$B$157</f>
        <v>netaik.</v>
      </c>
      <c r="AF57" s="977" t="str">
        <f>Translations!$B$157</f>
        <v>netaik.</v>
      </c>
      <c r="AG57" s="977" t="str">
        <f>Translations!$B$157</f>
        <v>netaik.</v>
      </c>
      <c r="AH57" s="977" t="str">
        <f>Translations!$B$157</f>
        <v>netaik.</v>
      </c>
      <c r="AI57" s="977" t="str">
        <f>Translations!$B$157</f>
        <v>netaik.</v>
      </c>
      <c r="AJ57" s="977" t="str">
        <f>Translations!$B$157</f>
        <v>netaik.</v>
      </c>
      <c r="AK57" s="977" t="str">
        <f>Translations!$B$157</f>
        <v>netaik.</v>
      </c>
      <c r="AL57" s="977" t="str">
        <f>Translations!$B$157</f>
        <v>netaik.</v>
      </c>
      <c r="AM57" s="977" t="str">
        <f>Translations!$B$157</f>
        <v>netaik.</v>
      </c>
      <c r="AN57" s="977" t="str">
        <f>Translations!$B$157</f>
        <v>netaik.</v>
      </c>
      <c r="AO57" s="977" t="str">
        <f>Translations!$B$157</f>
        <v>netaik.</v>
      </c>
      <c r="AP57" s="977" t="str">
        <f>Translations!$B$157</f>
        <v>netaik.</v>
      </c>
      <c r="AQ57" s="977" t="str">
        <f>Translations!$B$157</f>
        <v>netaik.</v>
      </c>
      <c r="AR57" s="977" t="str">
        <f>Translations!$B$157</f>
        <v>netaik.</v>
      </c>
      <c r="AS57" s="977" t="str">
        <f>Translations!$B$157</f>
        <v>netaik.</v>
      </c>
      <c r="AT57" s="977" t="str">
        <f>Translations!$B$157</f>
        <v>netaik.</v>
      </c>
      <c r="AU57" s="977" t="str">
        <f>Translations!$B$157</f>
        <v>netaik.</v>
      </c>
      <c r="AV57" s="977" t="str">
        <f>Translations!$B$157</f>
        <v>netaik.</v>
      </c>
      <c r="AW57" s="977" t="str">
        <f>Translations!$B$157</f>
        <v>netaik.</v>
      </c>
      <c r="AX57" s="977" t="str">
        <f>Translations!$B$157</f>
        <v>netaik.</v>
      </c>
      <c r="AY57" s="977" t="str">
        <f>Translations!$B$157</f>
        <v>netaik.</v>
      </c>
      <c r="AZ57" s="977" t="str">
        <f>Translations!$B$157</f>
        <v>netaik.</v>
      </c>
      <c r="BA57" s="977" t="str">
        <f>Translations!$B$157</f>
        <v>netaik.</v>
      </c>
      <c r="BB57" s="977" t="str">
        <f>Translations!$B$157</f>
        <v>netaik.</v>
      </c>
      <c r="BC57" s="977" t="str">
        <f>Translations!$B$157</f>
        <v>netaik.</v>
      </c>
      <c r="BD57" s="977" t="str">
        <f>Translations!$B$157</f>
        <v>netaik.</v>
      </c>
      <c r="BE57" s="977" t="str">
        <f>Translations!$B$157</f>
        <v>netaik.</v>
      </c>
      <c r="BF57" s="977" t="str">
        <f>Translations!$B$157</f>
        <v>netaik.</v>
      </c>
      <c r="BG57" s="977" t="str">
        <f>Translations!$B$157</f>
        <v>netaik.</v>
      </c>
      <c r="BH57" s="977" t="str">
        <f>Translations!$B$157</f>
        <v>netaik.</v>
      </c>
      <c r="BI57" s="977" t="str">
        <f>Translations!$B$157</f>
        <v>netaik.</v>
      </c>
      <c r="BJ57" s="977" t="str">
        <f>Translations!$B$157</f>
        <v>netaik.</v>
      </c>
      <c r="BK57" s="977" t="str">
        <f>Translations!$B$157</f>
        <v>netaik.</v>
      </c>
      <c r="BL57" s="977" t="str">
        <f>Translations!$B$157</f>
        <v>netaik.</v>
      </c>
      <c r="BM57" s="977" t="str">
        <f>Translations!$B$157</f>
        <v>netaik.</v>
      </c>
      <c r="BN57" s="977" t="str">
        <f>Translations!$B$157</f>
        <v>netaik.</v>
      </c>
      <c r="BO57" s="977" t="str">
        <f>Translations!$B$157</f>
        <v>netaik.</v>
      </c>
      <c r="BP57" s="977" t="str">
        <f>Translations!$B$157</f>
        <v>netaik.</v>
      </c>
      <c r="BQ57" s="977" t="str">
        <f>Translations!$B$157</f>
        <v>netaik.</v>
      </c>
      <c r="BR57" s="977" t="str">
        <f>Translations!$B$157</f>
        <v>netaik.</v>
      </c>
      <c r="BS57" s="977" t="str">
        <f>Translations!$B$157</f>
        <v>netaik.</v>
      </c>
      <c r="BT57" s="977" t="str">
        <f>Translations!$B$157</f>
        <v>netaik.</v>
      </c>
      <c r="BU57" s="977" t="str">
        <f>Translations!$B$157</f>
        <v>netaik.</v>
      </c>
      <c r="BV57" s="977" t="str">
        <f>Translations!$B$157</f>
        <v>netaik.</v>
      </c>
      <c r="BW57" s="977" t="str">
        <f>Translations!$B$157</f>
        <v>netaik.</v>
      </c>
      <c r="BX57" s="977" t="str">
        <f>Translations!$B$157</f>
        <v>netaik.</v>
      </c>
      <c r="BY57" s="977" t="str">
        <f>Translations!$B$157</f>
        <v>netaik.</v>
      </c>
      <c r="BZ57" s="977" t="str">
        <f>Translations!$B$157</f>
        <v>netaik.</v>
      </c>
      <c r="CA57" s="977" t="str">
        <f>Translations!$B$157</f>
        <v>netaik.</v>
      </c>
      <c r="CB57" s="977" t="str">
        <f>Translations!$B$157</f>
        <v>netaik.</v>
      </c>
      <c r="CC57" s="977" t="str">
        <f>Translations!$B$157</f>
        <v>netaik.</v>
      </c>
      <c r="CD57" s="977" t="str">
        <f>Translations!$B$157</f>
        <v>netaik.</v>
      </c>
      <c r="CE57" s="978" t="str">
        <f>Translations!$B$157</f>
        <v>netaik.</v>
      </c>
      <c r="CF57" s="977" t="str">
        <f>Translations!$B$157</f>
        <v>netaik.</v>
      </c>
      <c r="CG57" s="977" t="str">
        <f>Translations!$B$157</f>
        <v>netaik.</v>
      </c>
      <c r="CH57" s="977" t="str">
        <f>Translations!$B$157</f>
        <v>netaik.</v>
      </c>
      <c r="CI57" s="977" t="str">
        <f>Translations!$B$157</f>
        <v>netaik.</v>
      </c>
      <c r="CJ57" s="977" t="str">
        <f>Translations!$B$157</f>
        <v>netaik.</v>
      </c>
      <c r="CK57" s="977" t="str">
        <f>Translations!$B$157</f>
        <v>netaik.</v>
      </c>
      <c r="CL57" s="977" t="str">
        <f>Translations!$B$157</f>
        <v>netaik.</v>
      </c>
      <c r="CM57" s="977" t="str">
        <f>Translations!$B$157</f>
        <v>netaik.</v>
      </c>
      <c r="CN57" s="977" t="str">
        <f>Translations!$B$157</f>
        <v>netaik.</v>
      </c>
      <c r="CO57" s="977" t="str">
        <f>Translations!$B$157</f>
        <v>netaik.</v>
      </c>
      <c r="CP57" s="977" t="str">
        <f>Translations!$B$157</f>
        <v>netaik.</v>
      </c>
      <c r="CQ57" s="977" t="str">
        <f>Translations!$B$157</f>
        <v>netaik.</v>
      </c>
      <c r="CR57" s="977" t="str">
        <f>Translations!$B$157</f>
        <v>netaik.</v>
      </c>
      <c r="CS57" s="977" t="str">
        <f>Translations!$B$157</f>
        <v>netaik.</v>
      </c>
      <c r="CT57" s="977" t="str">
        <f>Translations!$B$157</f>
        <v>netaik.</v>
      </c>
      <c r="CU57" s="977" t="str">
        <f>Translations!$B$157</f>
        <v>netaik.</v>
      </c>
      <c r="CV57" s="977" t="str">
        <f>Translations!$B$157</f>
        <v>netaik.</v>
      </c>
      <c r="CW57" s="977" t="str">
        <f>Translations!$B$157</f>
        <v>netaik.</v>
      </c>
      <c r="CX57" s="977" t="str">
        <f>Translations!$B$157</f>
        <v>netaik.</v>
      </c>
      <c r="CY57" s="977" t="str">
        <f>Translations!$B$157</f>
        <v>netaik.</v>
      </c>
      <c r="CZ57" s="977" t="str">
        <f>Translations!$B$157</f>
        <v>netaik.</v>
      </c>
      <c r="DA57" s="977" t="str">
        <f>Translations!$B$157</f>
        <v>netaik.</v>
      </c>
      <c r="DB57" s="977" t="str">
        <f>Translations!$B$157</f>
        <v>netaik.</v>
      </c>
    </row>
    <row r="58" spans="1:106" ht="13.5" thickBot="1" x14ac:dyDescent="0.25">
      <c r="A58" s="481">
        <v>41</v>
      </c>
      <c r="B58" s="371" t="str">
        <f t="shared" si="0"/>
        <v>Pirminis aliuminis: Išmetamas PFC kiekis (nuolydžio metodas)</v>
      </c>
      <c r="C58" s="371"/>
      <c r="D58" s="373"/>
      <c r="E58" s="817" t="str">
        <f t="shared" ca="1" si="1"/>
        <v>MSParameters!$G$58:$K$58</v>
      </c>
      <c r="F58" s="904"/>
      <c r="G58" s="976" t="str">
        <f>Translations!$B$859</f>
        <v>Medžiaga – Tiekimas į vonių su termiškai apdorotais perforuotais anodais centrą (CWPB)</v>
      </c>
      <c r="H58" s="977" t="str">
        <f>Translations!$B$860</f>
        <v>Medžiaga – Sioderbergo vonia su vertikaliais strypais (VSS)</v>
      </c>
      <c r="I58" s="977" t="str">
        <f>Translations!$B$861</f>
        <v>Medžiaga – Tiekimas į vonių su termiškai apdorotais perforuotais anodais kraštą (SWPB)</v>
      </c>
      <c r="J58" s="977" t="str">
        <f>Translations!$B$862</f>
        <v>Medžiaga – Sioderbergo vonia su horizontaliais strypais (HSS)</v>
      </c>
      <c r="K58" s="977" t="str">
        <f>Translations!$B$1142</f>
        <v>Medžiaga – Kitos</v>
      </c>
      <c r="L58" s="977" t="str">
        <f>Translations!$B$157</f>
        <v>netaik.</v>
      </c>
      <c r="M58" s="977" t="str">
        <f>Translations!$B$157</f>
        <v>netaik.</v>
      </c>
      <c r="N58" s="977" t="str">
        <f>Translations!$B$157</f>
        <v>netaik.</v>
      </c>
      <c r="O58" s="977" t="str">
        <f>Translations!$B$157</f>
        <v>netaik.</v>
      </c>
      <c r="P58" s="977" t="str">
        <f>Translations!$B$157</f>
        <v>netaik.</v>
      </c>
      <c r="Q58" s="977" t="str">
        <f>Translations!$B$157</f>
        <v>netaik.</v>
      </c>
      <c r="R58" s="977" t="str">
        <f>Translations!$B$157</f>
        <v>netaik.</v>
      </c>
      <c r="S58" s="977" t="str">
        <f>Translations!$B$157</f>
        <v>netaik.</v>
      </c>
      <c r="T58" s="977" t="str">
        <f>Translations!$B$157</f>
        <v>netaik.</v>
      </c>
      <c r="U58" s="977" t="str">
        <f>Translations!$B$157</f>
        <v>netaik.</v>
      </c>
      <c r="V58" s="977" t="str">
        <f>Translations!$B$157</f>
        <v>netaik.</v>
      </c>
      <c r="W58" s="977" t="str">
        <f>Translations!$B$157</f>
        <v>netaik.</v>
      </c>
      <c r="X58" s="977" t="str">
        <f>Translations!$B$157</f>
        <v>netaik.</v>
      </c>
      <c r="Y58" s="977" t="str">
        <f>Translations!$B$157</f>
        <v>netaik.</v>
      </c>
      <c r="Z58" s="977" t="str">
        <f>Translations!$B$157</f>
        <v>netaik.</v>
      </c>
      <c r="AA58" s="977" t="str">
        <f>Translations!$B$157</f>
        <v>netaik.</v>
      </c>
      <c r="AB58" s="977" t="str">
        <f>Translations!$B$157</f>
        <v>netaik.</v>
      </c>
      <c r="AC58" s="977" t="str">
        <f>Translations!$B$157</f>
        <v>netaik.</v>
      </c>
      <c r="AD58" s="977" t="str">
        <f>Translations!$B$157</f>
        <v>netaik.</v>
      </c>
      <c r="AE58" s="977" t="str">
        <f>Translations!$B$157</f>
        <v>netaik.</v>
      </c>
      <c r="AF58" s="977" t="str">
        <f>Translations!$B$157</f>
        <v>netaik.</v>
      </c>
      <c r="AG58" s="977" t="str">
        <f>Translations!$B$157</f>
        <v>netaik.</v>
      </c>
      <c r="AH58" s="977" t="str">
        <f>Translations!$B$157</f>
        <v>netaik.</v>
      </c>
      <c r="AI58" s="977" t="str">
        <f>Translations!$B$157</f>
        <v>netaik.</v>
      </c>
      <c r="AJ58" s="977" t="str">
        <f>Translations!$B$157</f>
        <v>netaik.</v>
      </c>
      <c r="AK58" s="977" t="str">
        <f>Translations!$B$157</f>
        <v>netaik.</v>
      </c>
      <c r="AL58" s="977" t="str">
        <f>Translations!$B$157</f>
        <v>netaik.</v>
      </c>
      <c r="AM58" s="977" t="str">
        <f>Translations!$B$157</f>
        <v>netaik.</v>
      </c>
      <c r="AN58" s="977" t="str">
        <f>Translations!$B$157</f>
        <v>netaik.</v>
      </c>
      <c r="AO58" s="977" t="str">
        <f>Translations!$B$157</f>
        <v>netaik.</v>
      </c>
      <c r="AP58" s="977" t="str">
        <f>Translations!$B$157</f>
        <v>netaik.</v>
      </c>
      <c r="AQ58" s="977" t="str">
        <f>Translations!$B$157</f>
        <v>netaik.</v>
      </c>
      <c r="AR58" s="977" t="str">
        <f>Translations!$B$157</f>
        <v>netaik.</v>
      </c>
      <c r="AS58" s="977" t="str">
        <f>Translations!$B$157</f>
        <v>netaik.</v>
      </c>
      <c r="AT58" s="977" t="str">
        <f>Translations!$B$157</f>
        <v>netaik.</v>
      </c>
      <c r="AU58" s="977" t="str">
        <f>Translations!$B$157</f>
        <v>netaik.</v>
      </c>
      <c r="AV58" s="977" t="str">
        <f>Translations!$B$157</f>
        <v>netaik.</v>
      </c>
      <c r="AW58" s="977" t="str">
        <f>Translations!$B$157</f>
        <v>netaik.</v>
      </c>
      <c r="AX58" s="977" t="str">
        <f>Translations!$B$157</f>
        <v>netaik.</v>
      </c>
      <c r="AY58" s="977" t="str">
        <f>Translations!$B$157</f>
        <v>netaik.</v>
      </c>
      <c r="AZ58" s="977" t="str">
        <f>Translations!$B$157</f>
        <v>netaik.</v>
      </c>
      <c r="BA58" s="977" t="str">
        <f>Translations!$B$157</f>
        <v>netaik.</v>
      </c>
      <c r="BB58" s="977" t="str">
        <f>Translations!$B$157</f>
        <v>netaik.</v>
      </c>
      <c r="BC58" s="977" t="str">
        <f>Translations!$B$157</f>
        <v>netaik.</v>
      </c>
      <c r="BD58" s="977" t="str">
        <f>Translations!$B$157</f>
        <v>netaik.</v>
      </c>
      <c r="BE58" s="977" t="str">
        <f>Translations!$B$157</f>
        <v>netaik.</v>
      </c>
      <c r="BF58" s="977" t="str">
        <f>Translations!$B$157</f>
        <v>netaik.</v>
      </c>
      <c r="BG58" s="977" t="str">
        <f>Translations!$B$157</f>
        <v>netaik.</v>
      </c>
      <c r="BH58" s="977" t="str">
        <f>Translations!$B$157</f>
        <v>netaik.</v>
      </c>
      <c r="BI58" s="977" t="str">
        <f>Translations!$B$157</f>
        <v>netaik.</v>
      </c>
      <c r="BJ58" s="977" t="str">
        <f>Translations!$B$157</f>
        <v>netaik.</v>
      </c>
      <c r="BK58" s="977" t="str">
        <f>Translations!$B$157</f>
        <v>netaik.</v>
      </c>
      <c r="BL58" s="977" t="str">
        <f>Translations!$B$157</f>
        <v>netaik.</v>
      </c>
      <c r="BM58" s="977" t="str">
        <f>Translations!$B$157</f>
        <v>netaik.</v>
      </c>
      <c r="BN58" s="977" t="str">
        <f>Translations!$B$157</f>
        <v>netaik.</v>
      </c>
      <c r="BO58" s="977" t="str">
        <f>Translations!$B$157</f>
        <v>netaik.</v>
      </c>
      <c r="BP58" s="977" t="str">
        <f>Translations!$B$157</f>
        <v>netaik.</v>
      </c>
      <c r="BQ58" s="977" t="str">
        <f>Translations!$B$157</f>
        <v>netaik.</v>
      </c>
      <c r="BR58" s="977" t="str">
        <f>Translations!$B$157</f>
        <v>netaik.</v>
      </c>
      <c r="BS58" s="977" t="str">
        <f>Translations!$B$157</f>
        <v>netaik.</v>
      </c>
      <c r="BT58" s="977" t="str">
        <f>Translations!$B$157</f>
        <v>netaik.</v>
      </c>
      <c r="BU58" s="977" t="str">
        <f>Translations!$B$157</f>
        <v>netaik.</v>
      </c>
      <c r="BV58" s="977" t="str">
        <f>Translations!$B$157</f>
        <v>netaik.</v>
      </c>
      <c r="BW58" s="977" t="str">
        <f>Translations!$B$157</f>
        <v>netaik.</v>
      </c>
      <c r="BX58" s="977" t="str">
        <f>Translations!$B$157</f>
        <v>netaik.</v>
      </c>
      <c r="BY58" s="977" t="str">
        <f>Translations!$B$157</f>
        <v>netaik.</v>
      </c>
      <c r="BZ58" s="977" t="str">
        <f>Translations!$B$157</f>
        <v>netaik.</v>
      </c>
      <c r="CA58" s="977" t="str">
        <f>Translations!$B$157</f>
        <v>netaik.</v>
      </c>
      <c r="CB58" s="977" t="str">
        <f>Translations!$B$157</f>
        <v>netaik.</v>
      </c>
      <c r="CC58" s="977" t="str">
        <f>Translations!$B$157</f>
        <v>netaik.</v>
      </c>
      <c r="CD58" s="977" t="str">
        <f>Translations!$B$157</f>
        <v>netaik.</v>
      </c>
      <c r="CE58" s="978" t="str">
        <f>Translations!$B$157</f>
        <v>netaik.</v>
      </c>
      <c r="CF58" s="977" t="str">
        <f>Translations!$B$157</f>
        <v>netaik.</v>
      </c>
      <c r="CG58" s="977" t="str">
        <f>Translations!$B$157</f>
        <v>netaik.</v>
      </c>
      <c r="CH58" s="977" t="str">
        <f>Translations!$B$157</f>
        <v>netaik.</v>
      </c>
      <c r="CI58" s="977" t="str">
        <f>Translations!$B$157</f>
        <v>netaik.</v>
      </c>
      <c r="CJ58" s="977" t="str">
        <f>Translations!$B$157</f>
        <v>netaik.</v>
      </c>
      <c r="CK58" s="977" t="str">
        <f>Translations!$B$157</f>
        <v>netaik.</v>
      </c>
      <c r="CL58" s="977" t="str">
        <f>Translations!$B$157</f>
        <v>netaik.</v>
      </c>
      <c r="CM58" s="977" t="str">
        <f>Translations!$B$157</f>
        <v>netaik.</v>
      </c>
      <c r="CN58" s="977" t="str">
        <f>Translations!$B$157</f>
        <v>netaik.</v>
      </c>
      <c r="CO58" s="977" t="str">
        <f>Translations!$B$157</f>
        <v>netaik.</v>
      </c>
      <c r="CP58" s="977" t="str">
        <f>Translations!$B$157</f>
        <v>netaik.</v>
      </c>
      <c r="CQ58" s="977" t="str">
        <f>Translations!$B$157</f>
        <v>netaik.</v>
      </c>
      <c r="CR58" s="977" t="str">
        <f>Translations!$B$157</f>
        <v>netaik.</v>
      </c>
      <c r="CS58" s="977" t="str">
        <f>Translations!$B$157</f>
        <v>netaik.</v>
      </c>
      <c r="CT58" s="977" t="str">
        <f>Translations!$B$157</f>
        <v>netaik.</v>
      </c>
      <c r="CU58" s="977" t="str">
        <f>Translations!$B$157</f>
        <v>netaik.</v>
      </c>
      <c r="CV58" s="977" t="str">
        <f>Translations!$B$157</f>
        <v>netaik.</v>
      </c>
      <c r="CW58" s="977" t="str">
        <f>Translations!$B$157</f>
        <v>netaik.</v>
      </c>
      <c r="CX58" s="977" t="str">
        <f>Translations!$B$157</f>
        <v>netaik.</v>
      </c>
      <c r="CY58" s="977" t="str">
        <f>Translations!$B$157</f>
        <v>netaik.</v>
      </c>
      <c r="CZ58" s="977" t="str">
        <f>Translations!$B$157</f>
        <v>netaik.</v>
      </c>
      <c r="DA58" s="977" t="str">
        <f>Translations!$B$157</f>
        <v>netaik.</v>
      </c>
      <c r="DB58" s="977" t="str">
        <f>Translations!$B$157</f>
        <v>netaik.</v>
      </c>
    </row>
    <row r="59" spans="1:106" ht="13.5" thickBot="1" x14ac:dyDescent="0.25">
      <c r="A59" s="481">
        <v>42</v>
      </c>
      <c r="B59" s="371" t="str">
        <f t="shared" si="0"/>
        <v>Pirminis aliuminis: Išmetamas PFC kiekis (viršįtampio metodas)</v>
      </c>
      <c r="C59" s="371"/>
      <c r="D59" s="373"/>
      <c r="E59" s="818" t="str">
        <f t="shared" ca="1" si="1"/>
        <v>MSParameters!$G$59:$K$59</v>
      </c>
      <c r="F59" s="904"/>
      <c r="G59" s="976" t="str">
        <f>Translations!$B$859</f>
        <v>Medžiaga – Tiekimas į vonių su termiškai apdorotais perforuotais anodais centrą (CWPB)</v>
      </c>
      <c r="H59" s="977" t="str">
        <f>Translations!$B$860</f>
        <v>Medžiaga – Sioderbergo vonia su vertikaliais strypais (VSS)</v>
      </c>
      <c r="I59" s="977" t="str">
        <f>Translations!$B$861</f>
        <v>Medžiaga – Tiekimas į vonių su termiškai apdorotais perforuotais anodais kraštą (SWPB)</v>
      </c>
      <c r="J59" s="977" t="str">
        <f>Translations!$B$862</f>
        <v>Medžiaga – Sioderbergo vonia su horizontaliais strypais (HSS)</v>
      </c>
      <c r="K59" s="977" t="str">
        <f>Translations!$B$1142</f>
        <v>Medžiaga – Kitos</v>
      </c>
      <c r="L59" s="977" t="str">
        <f>Translations!$B$157</f>
        <v>netaik.</v>
      </c>
      <c r="M59" s="977" t="str">
        <f>Translations!$B$157</f>
        <v>netaik.</v>
      </c>
      <c r="N59" s="977" t="str">
        <f>Translations!$B$157</f>
        <v>netaik.</v>
      </c>
      <c r="O59" s="977" t="str">
        <f>Translations!$B$157</f>
        <v>netaik.</v>
      </c>
      <c r="P59" s="977" t="str">
        <f>Translations!$B$157</f>
        <v>netaik.</v>
      </c>
      <c r="Q59" s="977" t="str">
        <f>Translations!$B$157</f>
        <v>netaik.</v>
      </c>
      <c r="R59" s="977" t="str">
        <f>Translations!$B$157</f>
        <v>netaik.</v>
      </c>
      <c r="S59" s="977" t="str">
        <f>Translations!$B$157</f>
        <v>netaik.</v>
      </c>
      <c r="T59" s="977" t="str">
        <f>Translations!$B$157</f>
        <v>netaik.</v>
      </c>
      <c r="U59" s="977" t="str">
        <f>Translations!$B$157</f>
        <v>netaik.</v>
      </c>
      <c r="V59" s="977" t="str">
        <f>Translations!$B$157</f>
        <v>netaik.</v>
      </c>
      <c r="W59" s="977" t="str">
        <f>Translations!$B$157</f>
        <v>netaik.</v>
      </c>
      <c r="X59" s="977" t="str">
        <f>Translations!$B$157</f>
        <v>netaik.</v>
      </c>
      <c r="Y59" s="977" t="str">
        <f>Translations!$B$157</f>
        <v>netaik.</v>
      </c>
      <c r="Z59" s="977" t="str">
        <f>Translations!$B$157</f>
        <v>netaik.</v>
      </c>
      <c r="AA59" s="977" t="str">
        <f>Translations!$B$157</f>
        <v>netaik.</v>
      </c>
      <c r="AB59" s="977" t="str">
        <f>Translations!$B$157</f>
        <v>netaik.</v>
      </c>
      <c r="AC59" s="977" t="str">
        <f>Translations!$B$157</f>
        <v>netaik.</v>
      </c>
      <c r="AD59" s="977" t="str">
        <f>Translations!$B$157</f>
        <v>netaik.</v>
      </c>
      <c r="AE59" s="977" t="str">
        <f>Translations!$B$157</f>
        <v>netaik.</v>
      </c>
      <c r="AF59" s="977" t="str">
        <f>Translations!$B$157</f>
        <v>netaik.</v>
      </c>
      <c r="AG59" s="977" t="str">
        <f>Translations!$B$157</f>
        <v>netaik.</v>
      </c>
      <c r="AH59" s="977" t="str">
        <f>Translations!$B$157</f>
        <v>netaik.</v>
      </c>
      <c r="AI59" s="977" t="str">
        <f>Translations!$B$157</f>
        <v>netaik.</v>
      </c>
      <c r="AJ59" s="977" t="str">
        <f>Translations!$B$157</f>
        <v>netaik.</v>
      </c>
      <c r="AK59" s="977" t="str">
        <f>Translations!$B$157</f>
        <v>netaik.</v>
      </c>
      <c r="AL59" s="977" t="str">
        <f>Translations!$B$157</f>
        <v>netaik.</v>
      </c>
      <c r="AM59" s="977" t="str">
        <f>Translations!$B$157</f>
        <v>netaik.</v>
      </c>
      <c r="AN59" s="977" t="str">
        <f>Translations!$B$157</f>
        <v>netaik.</v>
      </c>
      <c r="AO59" s="977" t="str">
        <f>Translations!$B$157</f>
        <v>netaik.</v>
      </c>
      <c r="AP59" s="977" t="str">
        <f>Translations!$B$157</f>
        <v>netaik.</v>
      </c>
      <c r="AQ59" s="977" t="str">
        <f>Translations!$B$157</f>
        <v>netaik.</v>
      </c>
      <c r="AR59" s="977" t="str">
        <f>Translations!$B$157</f>
        <v>netaik.</v>
      </c>
      <c r="AS59" s="977" t="str">
        <f>Translations!$B$157</f>
        <v>netaik.</v>
      </c>
      <c r="AT59" s="977" t="str">
        <f>Translations!$B$157</f>
        <v>netaik.</v>
      </c>
      <c r="AU59" s="977" t="str">
        <f>Translations!$B$157</f>
        <v>netaik.</v>
      </c>
      <c r="AV59" s="977" t="str">
        <f>Translations!$B$157</f>
        <v>netaik.</v>
      </c>
      <c r="AW59" s="977" t="str">
        <f>Translations!$B$157</f>
        <v>netaik.</v>
      </c>
      <c r="AX59" s="977" t="str">
        <f>Translations!$B$157</f>
        <v>netaik.</v>
      </c>
      <c r="AY59" s="977" t="str">
        <f>Translations!$B$157</f>
        <v>netaik.</v>
      </c>
      <c r="AZ59" s="977" t="str">
        <f>Translations!$B$157</f>
        <v>netaik.</v>
      </c>
      <c r="BA59" s="977" t="str">
        <f>Translations!$B$157</f>
        <v>netaik.</v>
      </c>
      <c r="BB59" s="977" t="str">
        <f>Translations!$B$157</f>
        <v>netaik.</v>
      </c>
      <c r="BC59" s="977" t="str">
        <f>Translations!$B$157</f>
        <v>netaik.</v>
      </c>
      <c r="BD59" s="977" t="str">
        <f>Translations!$B$157</f>
        <v>netaik.</v>
      </c>
      <c r="BE59" s="977" t="str">
        <f>Translations!$B$157</f>
        <v>netaik.</v>
      </c>
      <c r="BF59" s="977" t="str">
        <f>Translations!$B$157</f>
        <v>netaik.</v>
      </c>
      <c r="BG59" s="977" t="str">
        <f>Translations!$B$157</f>
        <v>netaik.</v>
      </c>
      <c r="BH59" s="977" t="str">
        <f>Translations!$B$157</f>
        <v>netaik.</v>
      </c>
      <c r="BI59" s="977" t="str">
        <f>Translations!$B$157</f>
        <v>netaik.</v>
      </c>
      <c r="BJ59" s="977" t="str">
        <f>Translations!$B$157</f>
        <v>netaik.</v>
      </c>
      <c r="BK59" s="977" t="str">
        <f>Translations!$B$157</f>
        <v>netaik.</v>
      </c>
      <c r="BL59" s="977" t="str">
        <f>Translations!$B$157</f>
        <v>netaik.</v>
      </c>
      <c r="BM59" s="977" t="str">
        <f>Translations!$B$157</f>
        <v>netaik.</v>
      </c>
      <c r="BN59" s="977" t="str">
        <f>Translations!$B$157</f>
        <v>netaik.</v>
      </c>
      <c r="BO59" s="977" t="str">
        <f>Translations!$B$157</f>
        <v>netaik.</v>
      </c>
      <c r="BP59" s="977" t="str">
        <f>Translations!$B$157</f>
        <v>netaik.</v>
      </c>
      <c r="BQ59" s="977" t="str">
        <f>Translations!$B$157</f>
        <v>netaik.</v>
      </c>
      <c r="BR59" s="977" t="str">
        <f>Translations!$B$157</f>
        <v>netaik.</v>
      </c>
      <c r="BS59" s="977" t="str">
        <f>Translations!$B$157</f>
        <v>netaik.</v>
      </c>
      <c r="BT59" s="977" t="str">
        <f>Translations!$B$157</f>
        <v>netaik.</v>
      </c>
      <c r="BU59" s="977" t="str">
        <f>Translations!$B$157</f>
        <v>netaik.</v>
      </c>
      <c r="BV59" s="977" t="str">
        <f>Translations!$B$157</f>
        <v>netaik.</v>
      </c>
      <c r="BW59" s="977" t="str">
        <f>Translations!$B$157</f>
        <v>netaik.</v>
      </c>
      <c r="BX59" s="977" t="str">
        <f>Translations!$B$157</f>
        <v>netaik.</v>
      </c>
      <c r="BY59" s="977" t="str">
        <f>Translations!$B$157</f>
        <v>netaik.</v>
      </c>
      <c r="BZ59" s="977" t="str">
        <f>Translations!$B$157</f>
        <v>netaik.</v>
      </c>
      <c r="CA59" s="977" t="str">
        <f>Translations!$B$157</f>
        <v>netaik.</v>
      </c>
      <c r="CB59" s="977" t="str">
        <f>Translations!$B$157</f>
        <v>netaik.</v>
      </c>
      <c r="CC59" s="977" t="str">
        <f>Translations!$B$157</f>
        <v>netaik.</v>
      </c>
      <c r="CD59" s="977" t="str">
        <f>Translations!$B$157</f>
        <v>netaik.</v>
      </c>
      <c r="CE59" s="978" t="str">
        <f>Translations!$B$157</f>
        <v>netaik.</v>
      </c>
      <c r="CF59" s="977" t="str">
        <f>Translations!$B$157</f>
        <v>netaik.</v>
      </c>
      <c r="CG59" s="977" t="str">
        <f>Translations!$B$157</f>
        <v>netaik.</v>
      </c>
      <c r="CH59" s="977" t="str">
        <f>Translations!$B$157</f>
        <v>netaik.</v>
      </c>
      <c r="CI59" s="977" t="str">
        <f>Translations!$B$157</f>
        <v>netaik.</v>
      </c>
      <c r="CJ59" s="977" t="str">
        <f>Translations!$B$157</f>
        <v>netaik.</v>
      </c>
      <c r="CK59" s="977" t="str">
        <f>Translations!$B$157</f>
        <v>netaik.</v>
      </c>
      <c r="CL59" s="977" t="str">
        <f>Translations!$B$157</f>
        <v>netaik.</v>
      </c>
      <c r="CM59" s="977" t="str">
        <f>Translations!$B$157</f>
        <v>netaik.</v>
      </c>
      <c r="CN59" s="977" t="str">
        <f>Translations!$B$157</f>
        <v>netaik.</v>
      </c>
      <c r="CO59" s="977" t="str">
        <f>Translations!$B$157</f>
        <v>netaik.</v>
      </c>
      <c r="CP59" s="977" t="str">
        <f>Translations!$B$157</f>
        <v>netaik.</v>
      </c>
      <c r="CQ59" s="977" t="str">
        <f>Translations!$B$157</f>
        <v>netaik.</v>
      </c>
      <c r="CR59" s="977" t="str">
        <f>Translations!$B$157</f>
        <v>netaik.</v>
      </c>
      <c r="CS59" s="977" t="str">
        <f>Translations!$B$157</f>
        <v>netaik.</v>
      </c>
      <c r="CT59" s="977" t="str">
        <f>Translations!$B$157</f>
        <v>netaik.</v>
      </c>
      <c r="CU59" s="977" t="str">
        <f>Translations!$B$157</f>
        <v>netaik.</v>
      </c>
      <c r="CV59" s="977" t="str">
        <f>Translations!$B$157</f>
        <v>netaik.</v>
      </c>
      <c r="CW59" s="977" t="str">
        <f>Translations!$B$157</f>
        <v>netaik.</v>
      </c>
      <c r="CX59" s="977" t="str">
        <f>Translations!$B$157</f>
        <v>netaik.</v>
      </c>
      <c r="CY59" s="977" t="str">
        <f>Translations!$B$157</f>
        <v>netaik.</v>
      </c>
      <c r="CZ59" s="977" t="str">
        <f>Translations!$B$157</f>
        <v>netaik.</v>
      </c>
      <c r="DA59" s="977" t="str">
        <f>Translations!$B$157</f>
        <v>netaik.</v>
      </c>
      <c r="DB59" s="977" t="str">
        <f>Translations!$B$157</f>
        <v>netaik.</v>
      </c>
    </row>
    <row r="62" spans="1:106" s="339" customFormat="1" x14ac:dyDescent="0.2">
      <c r="A62" s="339" t="s">
        <v>542</v>
      </c>
    </row>
    <row r="63" spans="1:106" x14ac:dyDescent="0.2">
      <c r="A63" s="50" t="s">
        <v>289</v>
      </c>
      <c r="B63" s="50"/>
    </row>
    <row r="64" spans="1:106" x14ac:dyDescent="0.2">
      <c r="A64" s="340" t="s">
        <v>30</v>
      </c>
      <c r="B64" s="340"/>
    </row>
    <row r="65" spans="1:112" x14ac:dyDescent="0.2">
      <c r="A65" s="340" t="s">
        <v>34</v>
      </c>
      <c r="B65" s="340"/>
    </row>
    <row r="66" spans="1:112" x14ac:dyDescent="0.2">
      <c r="A66" s="340" t="s">
        <v>31</v>
      </c>
      <c r="B66" s="340"/>
    </row>
    <row r="67" spans="1:112" x14ac:dyDescent="0.2">
      <c r="A67" s="340" t="s">
        <v>33</v>
      </c>
      <c r="B67" s="340"/>
    </row>
    <row r="68" spans="1:112" x14ac:dyDescent="0.2">
      <c r="A68" s="340" t="s">
        <v>32</v>
      </c>
      <c r="B68" s="340"/>
    </row>
    <row r="69" spans="1:112" x14ac:dyDescent="0.2">
      <c r="A69" s="340" t="s">
        <v>35</v>
      </c>
      <c r="B69" s="340"/>
    </row>
    <row r="70" spans="1:112" x14ac:dyDescent="0.2">
      <c r="A70" s="340" t="s">
        <v>590</v>
      </c>
      <c r="B70" s="340"/>
    </row>
    <row r="71" spans="1:112" ht="13.5" thickBot="1" x14ac:dyDescent="0.25">
      <c r="A71" s="340"/>
      <c r="B71" s="340"/>
    </row>
    <row r="72" spans="1:112" s="881" customFormat="1" ht="25.5" customHeight="1" thickBot="1" x14ac:dyDescent="0.25">
      <c r="A72" s="880"/>
      <c r="B72" s="1773" t="s">
        <v>505</v>
      </c>
      <c r="C72" s="1774"/>
      <c r="D72" s="1774"/>
      <c r="E72" s="1774"/>
      <c r="F72" s="1774"/>
      <c r="G72" s="1774"/>
      <c r="H72" s="1774"/>
      <c r="I72" s="1775"/>
      <c r="J72" s="876"/>
      <c r="K72" s="877"/>
      <c r="L72" s="1773" t="s">
        <v>506</v>
      </c>
      <c r="M72" s="1774"/>
      <c r="N72" s="1774"/>
      <c r="O72" s="1774"/>
      <c r="P72" s="1774"/>
      <c r="Q72" s="1774"/>
      <c r="R72" s="1774"/>
      <c r="S72" s="1774"/>
      <c r="T72" s="1774"/>
      <c r="U72" s="1775"/>
    </row>
    <row r="73" spans="1:112" ht="13.5" thickBot="1" x14ac:dyDescent="0.25">
      <c r="A73" s="340"/>
      <c r="B73" s="1781" t="s">
        <v>541</v>
      </c>
      <c r="C73" s="1782"/>
      <c r="D73" s="1782"/>
      <c r="E73" s="1782"/>
      <c r="F73" s="1782"/>
      <c r="G73" s="1782"/>
      <c r="H73" s="1782"/>
      <c r="I73" s="1783"/>
      <c r="J73" s="876"/>
      <c r="K73" s="877"/>
      <c r="L73" s="1781" t="s">
        <v>507</v>
      </c>
      <c r="M73" s="1782"/>
      <c r="N73" s="1782"/>
      <c r="O73" s="1782"/>
      <c r="P73" s="1782"/>
      <c r="Q73" s="1782"/>
      <c r="R73" s="1782"/>
      <c r="S73" s="1782"/>
      <c r="T73" s="1782"/>
      <c r="U73" s="1783"/>
    </row>
    <row r="74" spans="1:112" x14ac:dyDescent="0.2">
      <c r="A74" s="1776" t="s">
        <v>225</v>
      </c>
      <c r="B74" s="1777"/>
      <c r="C74" s="471" t="s">
        <v>216</v>
      </c>
      <c r="D74" s="1786" t="s">
        <v>211</v>
      </c>
      <c r="E74" s="1787"/>
      <c r="F74" s="1786" t="s">
        <v>68</v>
      </c>
      <c r="G74" s="1787"/>
      <c r="H74" s="1786" t="s">
        <v>214</v>
      </c>
      <c r="I74" s="1788"/>
      <c r="J74" s="876"/>
      <c r="K74" s="877"/>
      <c r="L74" s="380" t="s">
        <v>552</v>
      </c>
      <c r="M74" s="1784" t="s">
        <v>68</v>
      </c>
      <c r="N74" s="1785"/>
      <c r="O74" s="1784" t="s">
        <v>211</v>
      </c>
      <c r="P74" s="1785"/>
      <c r="Q74" s="475" t="s">
        <v>212</v>
      </c>
      <c r="R74" s="475" t="s">
        <v>213</v>
      </c>
      <c r="S74" s="1784" t="s">
        <v>214</v>
      </c>
      <c r="T74" s="1785"/>
      <c r="U74" s="388" t="s">
        <v>215</v>
      </c>
    </row>
    <row r="75" spans="1:112" ht="13.5" thickBot="1" x14ac:dyDescent="0.25">
      <c r="A75" s="1778"/>
      <c r="B75" s="1779"/>
      <c r="C75" s="364" t="s">
        <v>110</v>
      </c>
      <c r="D75" s="365" t="s">
        <v>559</v>
      </c>
      <c r="E75" s="351" t="s">
        <v>110</v>
      </c>
      <c r="F75" s="365" t="s">
        <v>559</v>
      </c>
      <c r="G75" s="351" t="s">
        <v>110</v>
      </c>
      <c r="H75" s="365" t="s">
        <v>559</v>
      </c>
      <c r="I75" s="358" t="s">
        <v>110</v>
      </c>
      <c r="J75" s="876"/>
      <c r="K75" s="877"/>
      <c r="L75" s="386" t="s">
        <v>110</v>
      </c>
      <c r="M75" s="356" t="s">
        <v>559</v>
      </c>
      <c r="N75" s="356" t="s">
        <v>110</v>
      </c>
      <c r="O75" s="356" t="s">
        <v>559</v>
      </c>
      <c r="P75" s="356" t="s">
        <v>110</v>
      </c>
      <c r="Q75" s="356" t="s">
        <v>135</v>
      </c>
      <c r="R75" s="356" t="s">
        <v>135</v>
      </c>
      <c r="S75" s="356" t="s">
        <v>559</v>
      </c>
      <c r="T75" s="356" t="s">
        <v>110</v>
      </c>
      <c r="U75" s="357" t="s">
        <v>135</v>
      </c>
    </row>
    <row r="76" spans="1:112" ht="30.75" customHeight="1" thickBot="1" x14ac:dyDescent="0.25">
      <c r="A76" s="468" t="s">
        <v>223</v>
      </c>
      <c r="B76" s="468" t="s">
        <v>543</v>
      </c>
      <c r="C76" s="379" t="str">
        <f>EUconst_CNTR_ActivityData&amp;EUconst_Unit&amp;"_"&amp;1</f>
        <v>ActivityData_Vienetas_1</v>
      </c>
      <c r="D76" s="366" t="str">
        <f>EUconst_CNTR_EF&amp;EUconst_Value&amp;"_"&amp;1</f>
        <v>EF_Vertė_1</v>
      </c>
      <c r="E76" s="360" t="str">
        <f>EUconst_CNTR_EF&amp;EUconst_Unit&amp;"_"&amp;1</f>
        <v>EF_Vienetas_1</v>
      </c>
      <c r="F76" s="366" t="str">
        <f>EUconst_CNTR_NCV&amp;EUconst_Value&amp;"_"&amp;1</f>
        <v>NCV_Vertė_1</v>
      </c>
      <c r="G76" s="360" t="str">
        <f>EUconst_CNTR_NCV&amp;EUconst_Unit&amp;"_"&amp;1</f>
        <v>NCV_Vienetas_1</v>
      </c>
      <c r="H76" s="366" t="str">
        <f>EUconst_CNTR_CarbonContent&amp;EUconst_Value&amp;"_"&amp;1</f>
        <v>CarbC_Vertė_1</v>
      </c>
      <c r="I76" s="361" t="str">
        <f>EUconst_CNTR_CarbonContent&amp;EUconst_Unit&amp;"_"&amp;1</f>
        <v>CarbC_Vienetas_1</v>
      </c>
      <c r="J76" s="875" t="s">
        <v>220</v>
      </c>
      <c r="K76" s="473" t="s">
        <v>534</v>
      </c>
      <c r="L76" s="387" t="str">
        <f>EUconst_CNTR_ActivityData&amp;EUconst_Unit&amp;"_"&amp;2</f>
        <v>ActivityData_Vienetas_2</v>
      </c>
      <c r="M76" s="360" t="str">
        <f>EUconst_CNTR_NCV&amp;EUconst_Value&amp;"_"&amp;2</f>
        <v>NCV_Vertė_2</v>
      </c>
      <c r="N76" s="360" t="str">
        <f>EUconst_CNTR_NCV&amp;EUconst_Unit&amp;"_"&amp;2</f>
        <v>NCV_Vienetas_2</v>
      </c>
      <c r="O76" s="360" t="str">
        <f>EUconst_CNTR_EF&amp;EUconst_Value&amp;"_"&amp;2</f>
        <v>EF_Vertė_2</v>
      </c>
      <c r="P76" s="360" t="str">
        <f>EUconst_CNTR_EF&amp;EUconst_Unit&amp;"_"&amp;2</f>
        <v>EF_Vienetas_2</v>
      </c>
      <c r="Q76" s="360" t="str">
        <f>EUconst_CNTR_OxidationFactor&amp;EUconst_Value&amp;"_"&amp;2</f>
        <v>OxF_Vertė_2</v>
      </c>
      <c r="R76" s="360" t="str">
        <f>EUconst_CNTR_ConversionFactor&amp;EUconst_Value&amp;"_"&amp;2</f>
        <v>ConvF_Vertė_2</v>
      </c>
      <c r="S76" s="360" t="str">
        <f>EUconst_CNTR_CarbonContent&amp;EUconst_Value&amp;"_"&amp;2</f>
        <v>CarbC_Vertė_2</v>
      </c>
      <c r="T76" s="360" t="str">
        <f>EUconst_CNTR_CarbonContent&amp;EUconst_Unit&amp;"_"&amp;2</f>
        <v>CarbC_Vienetas_2</v>
      </c>
      <c r="U76" s="361" t="str">
        <f>EUconst_CNTR_BiomassContent&amp;EUconst_Value&amp;"_"&amp;2</f>
        <v>BioC_Vertė_2</v>
      </c>
      <c r="V76" s="52" t="s">
        <v>230</v>
      </c>
    </row>
    <row r="77" spans="1:112" x14ac:dyDescent="0.2">
      <c r="A77" s="469" t="str">
        <f>Translations!$B$1015</f>
        <v>Skystasis – Žalia nafta</v>
      </c>
      <c r="B77" s="469" t="s">
        <v>544</v>
      </c>
      <c r="C77" s="362" t="str">
        <f t="shared" ref="C77:C108" si="2">EUconst_t</f>
        <v>t</v>
      </c>
      <c r="D77" s="367">
        <v>73.3</v>
      </c>
      <c r="E77" s="359" t="str">
        <f t="shared" ref="E77:E108" si="3">EUconst_tCO2pTJ</f>
        <v>tCO2/TJ</v>
      </c>
      <c r="F77" s="367">
        <v>42.3</v>
      </c>
      <c r="G77" s="359" t="str">
        <f t="shared" ref="G77:G108" si="4">EUconst_GJpt</f>
        <v>GJ/t</v>
      </c>
      <c r="H77" s="367" t="str">
        <f t="shared" ref="H77:I96" si="5">EUconst_NA</f>
        <v>netaik.</v>
      </c>
      <c r="I77" s="368" t="str">
        <f t="shared" si="5"/>
        <v>netaik.</v>
      </c>
      <c r="J77" s="937" t="b">
        <f>FALSE</f>
        <v>0</v>
      </c>
      <c r="K77" s="937" t="b">
        <f>TRUE</f>
        <v>1</v>
      </c>
      <c r="L77" s="938" t="str">
        <f t="shared" ref="L77:M92" si="6">EUconst_NA</f>
        <v>netaik.</v>
      </c>
      <c r="M77" s="939" t="str">
        <f t="shared" si="6"/>
        <v>netaik.</v>
      </c>
      <c r="N77" s="377" t="str">
        <f t="shared" ref="N77:N108" si="7">IF(OR(L77="",L77=EUconst_NA),EUconst_NA,IF(L77=EUconst_t,EUconst_GJpt,EUconst_GJpkNm3))</f>
        <v>netaik.</v>
      </c>
      <c r="O77" s="939" t="str">
        <f t="shared" ref="O77:O113" si="8">EUconst_NA</f>
        <v>netaik.</v>
      </c>
      <c r="P77" s="939" t="str">
        <f t="shared" ref="P77:P108" si="9">EUconst_tCO2pTJ</f>
        <v>tCO2/TJ</v>
      </c>
      <c r="Q77" s="939">
        <v>1</v>
      </c>
      <c r="R77" s="939">
        <v>1</v>
      </c>
      <c r="S77" s="939" t="str">
        <f t="shared" ref="S77:U92" si="10">EUconst_NA</f>
        <v>netaik.</v>
      </c>
      <c r="T77" s="940" t="str">
        <f t="shared" si="10"/>
        <v>netaik.</v>
      </c>
      <c r="U77" s="941" t="str">
        <f t="shared" si="10"/>
        <v>netaik.</v>
      </c>
      <c r="W77" s="348"/>
      <c r="DH77" s="59">
        <v>1</v>
      </c>
    </row>
    <row r="78" spans="1:112" x14ac:dyDescent="0.2">
      <c r="A78" s="470" t="str">
        <f>Translations!$B$1016</f>
        <v>Skystasis – Orimulsija</v>
      </c>
      <c r="B78" s="470" t="s">
        <v>544</v>
      </c>
      <c r="C78" s="363" t="str">
        <f t="shared" si="2"/>
        <v>t</v>
      </c>
      <c r="D78" s="369">
        <v>77</v>
      </c>
      <c r="E78" s="350" t="str">
        <f t="shared" si="3"/>
        <v>tCO2/TJ</v>
      </c>
      <c r="F78" s="369">
        <v>27.5</v>
      </c>
      <c r="G78" s="350" t="str">
        <f t="shared" si="4"/>
        <v>GJ/t</v>
      </c>
      <c r="H78" s="369" t="str">
        <f t="shared" si="5"/>
        <v>netaik.</v>
      </c>
      <c r="I78" s="370" t="str">
        <f t="shared" si="5"/>
        <v>netaik.</v>
      </c>
      <c r="J78" s="942" t="b">
        <f>FALSE</f>
        <v>0</v>
      </c>
      <c r="K78" s="942" t="b">
        <f>TRUE</f>
        <v>1</v>
      </c>
      <c r="L78" s="943" t="str">
        <f t="shared" si="6"/>
        <v>netaik.</v>
      </c>
      <c r="M78" s="944" t="str">
        <f t="shared" si="6"/>
        <v>netaik.</v>
      </c>
      <c r="N78" s="375" t="str">
        <f t="shared" si="7"/>
        <v>netaik.</v>
      </c>
      <c r="O78" s="944" t="str">
        <f t="shared" si="8"/>
        <v>netaik.</v>
      </c>
      <c r="P78" s="944" t="str">
        <f t="shared" si="9"/>
        <v>tCO2/TJ</v>
      </c>
      <c r="Q78" s="944">
        <v>1</v>
      </c>
      <c r="R78" s="944">
        <v>1</v>
      </c>
      <c r="S78" s="944" t="str">
        <f t="shared" si="10"/>
        <v>netaik.</v>
      </c>
      <c r="T78" s="945" t="str">
        <f t="shared" si="10"/>
        <v>netaik.</v>
      </c>
      <c r="U78" s="946" t="str">
        <f t="shared" si="10"/>
        <v>netaik.</v>
      </c>
      <c r="W78" s="348"/>
      <c r="DH78" s="59">
        <v>2</v>
      </c>
    </row>
    <row r="79" spans="1:112" x14ac:dyDescent="0.2">
      <c r="A79" s="470" t="str">
        <f>Translations!$B$1017</f>
        <v>Skystasis – Gamtinių dujų kondensatai</v>
      </c>
      <c r="B79" s="470" t="s">
        <v>544</v>
      </c>
      <c r="C79" s="363" t="str">
        <f t="shared" si="2"/>
        <v>t</v>
      </c>
      <c r="D79" s="369">
        <v>64.2</v>
      </c>
      <c r="E79" s="350" t="str">
        <f t="shared" si="3"/>
        <v>tCO2/TJ</v>
      </c>
      <c r="F79" s="369">
        <v>44.2</v>
      </c>
      <c r="G79" s="350" t="str">
        <f t="shared" si="4"/>
        <v>GJ/t</v>
      </c>
      <c r="H79" s="369" t="str">
        <f t="shared" si="5"/>
        <v>netaik.</v>
      </c>
      <c r="I79" s="370" t="str">
        <f t="shared" si="5"/>
        <v>netaik.</v>
      </c>
      <c r="J79" s="942" t="b">
        <f>FALSE</f>
        <v>0</v>
      </c>
      <c r="K79" s="942" t="b">
        <f>TRUE</f>
        <v>1</v>
      </c>
      <c r="L79" s="943" t="str">
        <f t="shared" si="6"/>
        <v>netaik.</v>
      </c>
      <c r="M79" s="944" t="str">
        <f t="shared" si="6"/>
        <v>netaik.</v>
      </c>
      <c r="N79" s="375" t="str">
        <f t="shared" si="7"/>
        <v>netaik.</v>
      </c>
      <c r="O79" s="944" t="str">
        <f t="shared" si="8"/>
        <v>netaik.</v>
      </c>
      <c r="P79" s="944" t="str">
        <f t="shared" si="9"/>
        <v>tCO2/TJ</v>
      </c>
      <c r="Q79" s="944">
        <v>1</v>
      </c>
      <c r="R79" s="944">
        <v>1</v>
      </c>
      <c r="S79" s="944" t="str">
        <f t="shared" si="10"/>
        <v>netaik.</v>
      </c>
      <c r="T79" s="945" t="str">
        <f t="shared" si="10"/>
        <v>netaik.</v>
      </c>
      <c r="U79" s="946" t="str">
        <f t="shared" si="10"/>
        <v>netaik.</v>
      </c>
      <c r="W79" s="348"/>
    </row>
    <row r="80" spans="1:112" x14ac:dyDescent="0.2">
      <c r="A80" s="470" t="str">
        <f>Translations!$B$1018</f>
        <v>Skystasis – Automobilinis benzinas</v>
      </c>
      <c r="B80" s="470" t="s">
        <v>544</v>
      </c>
      <c r="C80" s="363" t="str">
        <f t="shared" si="2"/>
        <v>t</v>
      </c>
      <c r="D80" s="369">
        <v>69.3</v>
      </c>
      <c r="E80" s="350" t="str">
        <f t="shared" si="3"/>
        <v>tCO2/TJ</v>
      </c>
      <c r="F80" s="369">
        <v>44.3</v>
      </c>
      <c r="G80" s="350" t="str">
        <f t="shared" si="4"/>
        <v>GJ/t</v>
      </c>
      <c r="H80" s="369" t="str">
        <f t="shared" si="5"/>
        <v>netaik.</v>
      </c>
      <c r="I80" s="370" t="str">
        <f t="shared" si="5"/>
        <v>netaik.</v>
      </c>
      <c r="J80" s="942" t="b">
        <f>FALSE</f>
        <v>0</v>
      </c>
      <c r="K80" s="942" t="b">
        <f>TRUE</f>
        <v>1</v>
      </c>
      <c r="L80" s="943" t="str">
        <f t="shared" si="6"/>
        <v>netaik.</v>
      </c>
      <c r="M80" s="944" t="str">
        <f t="shared" si="6"/>
        <v>netaik.</v>
      </c>
      <c r="N80" s="375" t="str">
        <f t="shared" si="7"/>
        <v>netaik.</v>
      </c>
      <c r="O80" s="944" t="str">
        <f t="shared" si="8"/>
        <v>netaik.</v>
      </c>
      <c r="P80" s="944" t="str">
        <f t="shared" si="9"/>
        <v>tCO2/TJ</v>
      </c>
      <c r="Q80" s="944">
        <v>1</v>
      </c>
      <c r="R80" s="944">
        <v>1</v>
      </c>
      <c r="S80" s="944" t="str">
        <f t="shared" si="10"/>
        <v>netaik.</v>
      </c>
      <c r="T80" s="945" t="str">
        <f t="shared" si="10"/>
        <v>netaik.</v>
      </c>
      <c r="U80" s="946" t="str">
        <f t="shared" si="10"/>
        <v>netaik.</v>
      </c>
      <c r="W80" s="348"/>
    </row>
    <row r="81" spans="1:23" x14ac:dyDescent="0.2">
      <c r="A81" s="470" t="str">
        <f>Translations!$B$995</f>
        <v>Skystasis – Žibalas</v>
      </c>
      <c r="B81" s="470" t="s">
        <v>544</v>
      </c>
      <c r="C81" s="363" t="str">
        <f t="shared" si="2"/>
        <v>t</v>
      </c>
      <c r="D81" s="369">
        <v>71.900000000000006</v>
      </c>
      <c r="E81" s="350" t="str">
        <f t="shared" si="3"/>
        <v>tCO2/TJ</v>
      </c>
      <c r="F81" s="369">
        <v>43.8</v>
      </c>
      <c r="G81" s="350" t="str">
        <f t="shared" si="4"/>
        <v>GJ/t</v>
      </c>
      <c r="H81" s="369" t="str">
        <f t="shared" si="5"/>
        <v>netaik.</v>
      </c>
      <c r="I81" s="370" t="str">
        <f t="shared" si="5"/>
        <v>netaik.</v>
      </c>
      <c r="J81" s="942" t="b">
        <f>TRUE</f>
        <v>1</v>
      </c>
      <c r="K81" s="942" t="b">
        <f>TRUE</f>
        <v>1</v>
      </c>
      <c r="L81" s="943" t="str">
        <f t="shared" si="6"/>
        <v>netaik.</v>
      </c>
      <c r="M81" s="944" t="str">
        <f t="shared" si="6"/>
        <v>netaik.</v>
      </c>
      <c r="N81" s="375" t="str">
        <f t="shared" si="7"/>
        <v>netaik.</v>
      </c>
      <c r="O81" s="944" t="str">
        <f t="shared" si="8"/>
        <v>netaik.</v>
      </c>
      <c r="P81" s="944" t="str">
        <f t="shared" si="9"/>
        <v>tCO2/TJ</v>
      </c>
      <c r="Q81" s="944">
        <v>1</v>
      </c>
      <c r="R81" s="944">
        <v>1</v>
      </c>
      <c r="S81" s="944" t="str">
        <f t="shared" si="10"/>
        <v>netaik.</v>
      </c>
      <c r="T81" s="945" t="str">
        <f t="shared" si="10"/>
        <v>netaik.</v>
      </c>
      <c r="U81" s="946" t="str">
        <f t="shared" si="10"/>
        <v>netaik.</v>
      </c>
      <c r="W81" s="348"/>
    </row>
    <row r="82" spans="1:23" x14ac:dyDescent="0.2">
      <c r="A82" s="470" t="str">
        <f>Translations!$B$998</f>
        <v>Skystasis – Aviacinis gazolinas (benzinas) (AvGas)</v>
      </c>
      <c r="B82" s="470" t="s">
        <v>544</v>
      </c>
      <c r="C82" s="363" t="str">
        <f t="shared" si="2"/>
        <v>t</v>
      </c>
      <c r="D82" s="369">
        <v>70</v>
      </c>
      <c r="E82" s="350" t="str">
        <f t="shared" si="3"/>
        <v>tCO2/TJ</v>
      </c>
      <c r="F82" s="369">
        <v>44.3</v>
      </c>
      <c r="G82" s="350" t="str">
        <f t="shared" si="4"/>
        <v>GJ/t</v>
      </c>
      <c r="H82" s="369" t="str">
        <f t="shared" si="5"/>
        <v>netaik.</v>
      </c>
      <c r="I82" s="370" t="str">
        <f t="shared" si="5"/>
        <v>netaik.</v>
      </c>
      <c r="J82" s="942" t="b">
        <f>TRUE</f>
        <v>1</v>
      </c>
      <c r="K82" s="942" t="b">
        <f>TRUE</f>
        <v>1</v>
      </c>
      <c r="L82" s="943" t="str">
        <f t="shared" si="6"/>
        <v>netaik.</v>
      </c>
      <c r="M82" s="944" t="str">
        <f t="shared" si="6"/>
        <v>netaik.</v>
      </c>
      <c r="N82" s="375" t="str">
        <f t="shared" si="7"/>
        <v>netaik.</v>
      </c>
      <c r="O82" s="944" t="str">
        <f t="shared" si="8"/>
        <v>netaik.</v>
      </c>
      <c r="P82" s="944" t="str">
        <f t="shared" si="9"/>
        <v>tCO2/TJ</v>
      </c>
      <c r="Q82" s="944">
        <v>1</v>
      </c>
      <c r="R82" s="944">
        <v>1</v>
      </c>
      <c r="S82" s="944" t="str">
        <f t="shared" si="10"/>
        <v>netaik.</v>
      </c>
      <c r="T82" s="945" t="str">
        <f t="shared" si="10"/>
        <v>netaik.</v>
      </c>
      <c r="U82" s="946" t="str">
        <f t="shared" si="10"/>
        <v>netaik.</v>
      </c>
      <c r="W82" s="348"/>
    </row>
    <row r="83" spans="1:23" x14ac:dyDescent="0.2">
      <c r="A83" s="470" t="str">
        <f>Translations!$B$997</f>
        <v>Skystasis – Reaktyvinis gazolinas (benzinas) (Jet B)</v>
      </c>
      <c r="B83" s="470" t="s">
        <v>544</v>
      </c>
      <c r="C83" s="363" t="str">
        <f t="shared" si="2"/>
        <v>t</v>
      </c>
      <c r="D83" s="369">
        <v>70</v>
      </c>
      <c r="E83" s="350" t="str">
        <f t="shared" si="3"/>
        <v>tCO2/TJ</v>
      </c>
      <c r="F83" s="369">
        <v>44.3</v>
      </c>
      <c r="G83" s="350" t="str">
        <f t="shared" si="4"/>
        <v>GJ/t</v>
      </c>
      <c r="H83" s="369" t="str">
        <f t="shared" si="5"/>
        <v>netaik.</v>
      </c>
      <c r="I83" s="370" t="str">
        <f t="shared" si="5"/>
        <v>netaik.</v>
      </c>
      <c r="J83" s="942" t="b">
        <f>TRUE</f>
        <v>1</v>
      </c>
      <c r="K83" s="942" t="b">
        <f>TRUE</f>
        <v>1</v>
      </c>
      <c r="L83" s="943" t="str">
        <f t="shared" si="6"/>
        <v>netaik.</v>
      </c>
      <c r="M83" s="944" t="str">
        <f t="shared" si="6"/>
        <v>netaik.</v>
      </c>
      <c r="N83" s="375" t="str">
        <f t="shared" si="7"/>
        <v>netaik.</v>
      </c>
      <c r="O83" s="944" t="str">
        <f t="shared" si="8"/>
        <v>netaik.</v>
      </c>
      <c r="P83" s="944" t="str">
        <f t="shared" si="9"/>
        <v>tCO2/TJ</v>
      </c>
      <c r="Q83" s="944">
        <v>1</v>
      </c>
      <c r="R83" s="944">
        <v>1</v>
      </c>
      <c r="S83" s="944" t="str">
        <f t="shared" si="10"/>
        <v>netaik.</v>
      </c>
      <c r="T83" s="945" t="str">
        <f t="shared" si="10"/>
        <v>netaik.</v>
      </c>
      <c r="U83" s="946" t="str">
        <f t="shared" si="10"/>
        <v>netaik.</v>
      </c>
      <c r="W83" s="348"/>
    </row>
    <row r="84" spans="1:23" x14ac:dyDescent="0.2">
      <c r="A84" s="470" t="str">
        <f>Translations!$B$996</f>
        <v>Skystasis – Reaktyvinis žibalas (Jet A1 arba Jet A)</v>
      </c>
      <c r="B84" s="470" t="s">
        <v>544</v>
      </c>
      <c r="C84" s="363" t="str">
        <f t="shared" si="2"/>
        <v>t</v>
      </c>
      <c r="D84" s="369">
        <v>71.5</v>
      </c>
      <c r="E84" s="350" t="str">
        <f t="shared" si="3"/>
        <v>tCO2/TJ</v>
      </c>
      <c r="F84" s="369">
        <v>44.1</v>
      </c>
      <c r="G84" s="350" t="str">
        <f t="shared" si="4"/>
        <v>GJ/t</v>
      </c>
      <c r="H84" s="369" t="str">
        <f t="shared" si="5"/>
        <v>netaik.</v>
      </c>
      <c r="I84" s="370" t="str">
        <f t="shared" si="5"/>
        <v>netaik.</v>
      </c>
      <c r="J84" s="942" t="b">
        <f>TRUE</f>
        <v>1</v>
      </c>
      <c r="K84" s="942" t="b">
        <f>TRUE</f>
        <v>1</v>
      </c>
      <c r="L84" s="943" t="str">
        <f t="shared" si="6"/>
        <v>netaik.</v>
      </c>
      <c r="M84" s="944" t="str">
        <f t="shared" si="6"/>
        <v>netaik.</v>
      </c>
      <c r="N84" s="375" t="str">
        <f t="shared" si="7"/>
        <v>netaik.</v>
      </c>
      <c r="O84" s="944" t="str">
        <f t="shared" si="8"/>
        <v>netaik.</v>
      </c>
      <c r="P84" s="944" t="str">
        <f t="shared" si="9"/>
        <v>tCO2/TJ</v>
      </c>
      <c r="Q84" s="944">
        <v>1</v>
      </c>
      <c r="R84" s="944">
        <v>1</v>
      </c>
      <c r="S84" s="944" t="str">
        <f t="shared" si="10"/>
        <v>netaik.</v>
      </c>
      <c r="T84" s="945" t="str">
        <f t="shared" si="10"/>
        <v>netaik.</v>
      </c>
      <c r="U84" s="946" t="str">
        <f t="shared" si="10"/>
        <v>netaik.</v>
      </c>
      <c r="W84" s="348"/>
    </row>
    <row r="85" spans="1:23" x14ac:dyDescent="0.2">
      <c r="A85" s="470" t="str">
        <f>Translations!$B$1019</f>
        <v>Skystasis – Skalūnų alyva</v>
      </c>
      <c r="B85" s="470" t="s">
        <v>544</v>
      </c>
      <c r="C85" s="363" t="str">
        <f t="shared" si="2"/>
        <v>t</v>
      </c>
      <c r="D85" s="369">
        <v>73.3</v>
      </c>
      <c r="E85" s="350" t="str">
        <f t="shared" si="3"/>
        <v>tCO2/TJ</v>
      </c>
      <c r="F85" s="369">
        <v>38.1</v>
      </c>
      <c r="G85" s="350" t="str">
        <f t="shared" si="4"/>
        <v>GJ/t</v>
      </c>
      <c r="H85" s="369" t="str">
        <f t="shared" si="5"/>
        <v>netaik.</v>
      </c>
      <c r="I85" s="370" t="str">
        <f t="shared" si="5"/>
        <v>netaik.</v>
      </c>
      <c r="J85" s="942" t="b">
        <f>FALSE</f>
        <v>0</v>
      </c>
      <c r="K85" s="942" t="b">
        <f>TRUE</f>
        <v>1</v>
      </c>
      <c r="L85" s="943" t="str">
        <f t="shared" si="6"/>
        <v>netaik.</v>
      </c>
      <c r="M85" s="944" t="str">
        <f t="shared" si="6"/>
        <v>netaik.</v>
      </c>
      <c r="N85" s="375" t="str">
        <f t="shared" si="7"/>
        <v>netaik.</v>
      </c>
      <c r="O85" s="944" t="str">
        <f t="shared" si="8"/>
        <v>netaik.</v>
      </c>
      <c r="P85" s="944" t="str">
        <f t="shared" si="9"/>
        <v>tCO2/TJ</v>
      </c>
      <c r="Q85" s="944">
        <v>1</v>
      </c>
      <c r="R85" s="944">
        <v>1</v>
      </c>
      <c r="S85" s="944" t="str">
        <f t="shared" si="10"/>
        <v>netaik.</v>
      </c>
      <c r="T85" s="945" t="str">
        <f t="shared" si="10"/>
        <v>netaik.</v>
      </c>
      <c r="U85" s="946" t="str">
        <f t="shared" si="10"/>
        <v>netaik.</v>
      </c>
      <c r="W85" s="348"/>
    </row>
    <row r="86" spans="1:23" x14ac:dyDescent="0.2">
      <c r="A86" s="470" t="str">
        <f>Translations!$B$1020</f>
        <v>Skystasis – Dujos ir (arba) dyzelinas</v>
      </c>
      <c r="B86" s="470" t="s">
        <v>544</v>
      </c>
      <c r="C86" s="363" t="str">
        <f t="shared" si="2"/>
        <v>t</v>
      </c>
      <c r="D86" s="369">
        <v>74.099999999999994</v>
      </c>
      <c r="E86" s="350" t="str">
        <f t="shared" si="3"/>
        <v>tCO2/TJ</v>
      </c>
      <c r="F86" s="369">
        <v>43</v>
      </c>
      <c r="G86" s="350" t="str">
        <f t="shared" si="4"/>
        <v>GJ/t</v>
      </c>
      <c r="H86" s="369" t="str">
        <f t="shared" si="5"/>
        <v>netaik.</v>
      </c>
      <c r="I86" s="370" t="str">
        <f t="shared" si="5"/>
        <v>netaik.</v>
      </c>
      <c r="J86" s="942" t="b">
        <f>FALSE</f>
        <v>0</v>
      </c>
      <c r="K86" s="942" t="b">
        <f>TRUE</f>
        <v>1</v>
      </c>
      <c r="L86" s="943" t="str">
        <f t="shared" si="6"/>
        <v>netaik.</v>
      </c>
      <c r="M86" s="944" t="str">
        <f t="shared" si="6"/>
        <v>netaik.</v>
      </c>
      <c r="N86" s="375" t="str">
        <f t="shared" si="7"/>
        <v>netaik.</v>
      </c>
      <c r="O86" s="944" t="str">
        <f t="shared" si="8"/>
        <v>netaik.</v>
      </c>
      <c r="P86" s="944" t="str">
        <f t="shared" si="9"/>
        <v>tCO2/TJ</v>
      </c>
      <c r="Q86" s="944">
        <v>1</v>
      </c>
      <c r="R86" s="944">
        <v>1</v>
      </c>
      <c r="S86" s="944" t="str">
        <f t="shared" si="10"/>
        <v>netaik.</v>
      </c>
      <c r="T86" s="945" t="str">
        <f t="shared" si="10"/>
        <v>netaik.</v>
      </c>
      <c r="U86" s="946" t="str">
        <f t="shared" si="10"/>
        <v>netaik.</v>
      </c>
      <c r="W86" s="348"/>
    </row>
    <row r="87" spans="1:23" x14ac:dyDescent="0.2">
      <c r="A87" s="470" t="str">
        <f>Translations!$B$1021</f>
        <v>Skystasis – Mazuto distiliavimo likutis</v>
      </c>
      <c r="B87" s="470" t="s">
        <v>544</v>
      </c>
      <c r="C87" s="363" t="str">
        <f t="shared" si="2"/>
        <v>t</v>
      </c>
      <c r="D87" s="369">
        <v>77.400000000000006</v>
      </c>
      <c r="E87" s="350" t="str">
        <f t="shared" si="3"/>
        <v>tCO2/TJ</v>
      </c>
      <c r="F87" s="369">
        <v>40.4</v>
      </c>
      <c r="G87" s="350" t="str">
        <f t="shared" si="4"/>
        <v>GJ/t</v>
      </c>
      <c r="H87" s="369" t="str">
        <f t="shared" si="5"/>
        <v>netaik.</v>
      </c>
      <c r="I87" s="370" t="str">
        <f t="shared" si="5"/>
        <v>netaik.</v>
      </c>
      <c r="J87" s="942" t="b">
        <f>FALSE</f>
        <v>0</v>
      </c>
      <c r="K87" s="942" t="b">
        <f>TRUE</f>
        <v>1</v>
      </c>
      <c r="L87" s="943" t="str">
        <f t="shared" si="6"/>
        <v>netaik.</v>
      </c>
      <c r="M87" s="944" t="str">
        <f t="shared" si="6"/>
        <v>netaik.</v>
      </c>
      <c r="N87" s="375" t="str">
        <f t="shared" si="7"/>
        <v>netaik.</v>
      </c>
      <c r="O87" s="944" t="str">
        <f t="shared" si="8"/>
        <v>netaik.</v>
      </c>
      <c r="P87" s="944" t="str">
        <f t="shared" si="9"/>
        <v>tCO2/TJ</v>
      </c>
      <c r="Q87" s="944">
        <v>1</v>
      </c>
      <c r="R87" s="944">
        <v>1</v>
      </c>
      <c r="S87" s="944" t="str">
        <f t="shared" si="10"/>
        <v>netaik.</v>
      </c>
      <c r="T87" s="945" t="str">
        <f t="shared" si="10"/>
        <v>netaik.</v>
      </c>
      <c r="U87" s="946" t="str">
        <f t="shared" si="10"/>
        <v>netaik.</v>
      </c>
      <c r="W87" s="348"/>
    </row>
    <row r="88" spans="1:23" x14ac:dyDescent="0.2">
      <c r="A88" s="470" t="str">
        <f>Translations!$B$1014</f>
        <v>Skystasis – Suskystintosios naftos dujos</v>
      </c>
      <c r="B88" s="470" t="s">
        <v>544</v>
      </c>
      <c r="C88" s="363" t="str">
        <f t="shared" si="2"/>
        <v>t</v>
      </c>
      <c r="D88" s="369">
        <v>63.1</v>
      </c>
      <c r="E88" s="350" t="str">
        <f t="shared" si="3"/>
        <v>tCO2/TJ</v>
      </c>
      <c r="F88" s="369">
        <v>47.3</v>
      </c>
      <c r="G88" s="350" t="str">
        <f t="shared" si="4"/>
        <v>GJ/t</v>
      </c>
      <c r="H88" s="369" t="str">
        <f t="shared" si="5"/>
        <v>netaik.</v>
      </c>
      <c r="I88" s="370" t="str">
        <f t="shared" si="5"/>
        <v>netaik.</v>
      </c>
      <c r="J88" s="942" t="b">
        <f>TRUE</f>
        <v>1</v>
      </c>
      <c r="K88" s="942" t="b">
        <f>TRUE</f>
        <v>1</v>
      </c>
      <c r="L88" s="943" t="str">
        <f t="shared" si="6"/>
        <v>netaik.</v>
      </c>
      <c r="M88" s="944" t="str">
        <f t="shared" si="6"/>
        <v>netaik.</v>
      </c>
      <c r="N88" s="375" t="str">
        <f t="shared" si="7"/>
        <v>netaik.</v>
      </c>
      <c r="O88" s="944" t="str">
        <f t="shared" si="8"/>
        <v>netaik.</v>
      </c>
      <c r="P88" s="944" t="str">
        <f t="shared" si="9"/>
        <v>tCO2/TJ</v>
      </c>
      <c r="Q88" s="944">
        <v>1</v>
      </c>
      <c r="R88" s="944">
        <v>1</v>
      </c>
      <c r="S88" s="944" t="str">
        <f t="shared" si="10"/>
        <v>netaik.</v>
      </c>
      <c r="T88" s="945" t="str">
        <f t="shared" si="10"/>
        <v>netaik.</v>
      </c>
      <c r="U88" s="946" t="str">
        <f t="shared" si="10"/>
        <v>netaik.</v>
      </c>
      <c r="W88" s="348"/>
    </row>
    <row r="89" spans="1:23" x14ac:dyDescent="0.2">
      <c r="A89" s="470" t="str">
        <f>Translations!$B$988</f>
        <v>Dujinis – Etanas</v>
      </c>
      <c r="B89" s="470" t="s">
        <v>544</v>
      </c>
      <c r="C89" s="363" t="str">
        <f t="shared" si="2"/>
        <v>t</v>
      </c>
      <c r="D89" s="369">
        <v>61.6</v>
      </c>
      <c r="E89" s="350" t="str">
        <f t="shared" si="3"/>
        <v>tCO2/TJ</v>
      </c>
      <c r="F89" s="385">
        <v>46.4</v>
      </c>
      <c r="G89" s="350" t="str">
        <f t="shared" si="4"/>
        <v>GJ/t</v>
      </c>
      <c r="H89" s="369" t="str">
        <f t="shared" si="5"/>
        <v>netaik.</v>
      </c>
      <c r="I89" s="370" t="str">
        <f t="shared" si="5"/>
        <v>netaik.</v>
      </c>
      <c r="J89" s="942" t="b">
        <f>TRUE</f>
        <v>1</v>
      </c>
      <c r="K89" s="942" t="b">
        <f>TRUE</f>
        <v>1</v>
      </c>
      <c r="L89" s="943" t="str">
        <f t="shared" si="6"/>
        <v>netaik.</v>
      </c>
      <c r="M89" s="944" t="str">
        <f t="shared" si="6"/>
        <v>netaik.</v>
      </c>
      <c r="N89" s="375" t="str">
        <f t="shared" si="7"/>
        <v>netaik.</v>
      </c>
      <c r="O89" s="944" t="str">
        <f t="shared" si="8"/>
        <v>netaik.</v>
      </c>
      <c r="P89" s="944" t="str">
        <f t="shared" si="9"/>
        <v>tCO2/TJ</v>
      </c>
      <c r="Q89" s="944">
        <v>1</v>
      </c>
      <c r="R89" s="944">
        <v>1</v>
      </c>
      <c r="S89" s="944" t="str">
        <f t="shared" si="10"/>
        <v>netaik.</v>
      </c>
      <c r="T89" s="945" t="str">
        <f t="shared" si="10"/>
        <v>netaik.</v>
      </c>
      <c r="U89" s="946" t="str">
        <f t="shared" si="10"/>
        <v>netaik.</v>
      </c>
      <c r="W89" s="348"/>
    </row>
    <row r="90" spans="1:23" x14ac:dyDescent="0.2">
      <c r="A90" s="470" t="str">
        <f>Translations!$B$1022</f>
        <v>Skystasis – Pirminis benzinas</v>
      </c>
      <c r="B90" s="470" t="s">
        <v>544</v>
      </c>
      <c r="C90" s="363" t="str">
        <f t="shared" si="2"/>
        <v>t</v>
      </c>
      <c r="D90" s="369">
        <v>73.3</v>
      </c>
      <c r="E90" s="350" t="str">
        <f t="shared" si="3"/>
        <v>tCO2/TJ</v>
      </c>
      <c r="F90" s="369">
        <v>44.5</v>
      </c>
      <c r="G90" s="350" t="str">
        <f t="shared" si="4"/>
        <v>GJ/t</v>
      </c>
      <c r="H90" s="369" t="str">
        <f t="shared" si="5"/>
        <v>netaik.</v>
      </c>
      <c r="I90" s="370" t="str">
        <f t="shared" si="5"/>
        <v>netaik.</v>
      </c>
      <c r="J90" s="942" t="b">
        <f>FALSE</f>
        <v>0</v>
      </c>
      <c r="K90" s="942" t="b">
        <f>TRUE</f>
        <v>1</v>
      </c>
      <c r="L90" s="943" t="str">
        <f t="shared" si="6"/>
        <v>netaik.</v>
      </c>
      <c r="M90" s="944" t="str">
        <f t="shared" si="6"/>
        <v>netaik.</v>
      </c>
      <c r="N90" s="375" t="str">
        <f t="shared" si="7"/>
        <v>netaik.</v>
      </c>
      <c r="O90" s="944" t="str">
        <f t="shared" si="8"/>
        <v>netaik.</v>
      </c>
      <c r="P90" s="944" t="str">
        <f t="shared" si="9"/>
        <v>tCO2/TJ</v>
      </c>
      <c r="Q90" s="944">
        <v>1</v>
      </c>
      <c r="R90" s="944">
        <v>1</v>
      </c>
      <c r="S90" s="944" t="str">
        <f t="shared" si="10"/>
        <v>netaik.</v>
      </c>
      <c r="T90" s="945" t="str">
        <f t="shared" si="10"/>
        <v>netaik.</v>
      </c>
      <c r="U90" s="946" t="str">
        <f t="shared" si="10"/>
        <v>netaik.</v>
      </c>
      <c r="W90" s="348"/>
    </row>
    <row r="91" spans="1:23" x14ac:dyDescent="0.2">
      <c r="A91" s="470" t="str">
        <f>Translations!$B$1030</f>
        <v>Skystasis – Bitumas</v>
      </c>
      <c r="B91" s="470" t="s">
        <v>544</v>
      </c>
      <c r="C91" s="363" t="str">
        <f t="shared" si="2"/>
        <v>t</v>
      </c>
      <c r="D91" s="369">
        <v>80.7</v>
      </c>
      <c r="E91" s="350" t="str">
        <f t="shared" si="3"/>
        <v>tCO2/TJ</v>
      </c>
      <c r="F91" s="369">
        <v>40.200000000000003</v>
      </c>
      <c r="G91" s="350" t="str">
        <f t="shared" si="4"/>
        <v>GJ/t</v>
      </c>
      <c r="H91" s="369" t="str">
        <f t="shared" si="5"/>
        <v>netaik.</v>
      </c>
      <c r="I91" s="370" t="str">
        <f t="shared" si="5"/>
        <v>netaik.</v>
      </c>
      <c r="J91" s="942" t="b">
        <f>FALSE</f>
        <v>0</v>
      </c>
      <c r="K91" s="942" t="b">
        <f>TRUE</f>
        <v>1</v>
      </c>
      <c r="L91" s="943" t="str">
        <f t="shared" si="6"/>
        <v>netaik.</v>
      </c>
      <c r="M91" s="944" t="str">
        <f t="shared" si="6"/>
        <v>netaik.</v>
      </c>
      <c r="N91" s="375" t="str">
        <f t="shared" si="7"/>
        <v>netaik.</v>
      </c>
      <c r="O91" s="944" t="str">
        <f t="shared" si="8"/>
        <v>netaik.</v>
      </c>
      <c r="P91" s="944" t="str">
        <f t="shared" si="9"/>
        <v>tCO2/TJ</v>
      </c>
      <c r="Q91" s="944">
        <v>1</v>
      </c>
      <c r="R91" s="944">
        <v>1</v>
      </c>
      <c r="S91" s="944" t="str">
        <f t="shared" si="10"/>
        <v>netaik.</v>
      </c>
      <c r="T91" s="945" t="str">
        <f t="shared" si="10"/>
        <v>netaik.</v>
      </c>
      <c r="U91" s="946" t="str">
        <f t="shared" si="10"/>
        <v>netaik.</v>
      </c>
      <c r="W91" s="348"/>
    </row>
    <row r="92" spans="1:23" x14ac:dyDescent="0.2">
      <c r="A92" s="470" t="str">
        <f>Translations!$B$1023</f>
        <v>Skystasis – Tepalai</v>
      </c>
      <c r="B92" s="470" t="s">
        <v>544</v>
      </c>
      <c r="C92" s="363" t="str">
        <f t="shared" si="2"/>
        <v>t</v>
      </c>
      <c r="D92" s="369">
        <v>73.3</v>
      </c>
      <c r="E92" s="350" t="str">
        <f t="shared" si="3"/>
        <v>tCO2/TJ</v>
      </c>
      <c r="F92" s="369">
        <v>40.200000000000003</v>
      </c>
      <c r="G92" s="350" t="str">
        <f t="shared" si="4"/>
        <v>GJ/t</v>
      </c>
      <c r="H92" s="369" t="str">
        <f t="shared" si="5"/>
        <v>netaik.</v>
      </c>
      <c r="I92" s="370" t="str">
        <f t="shared" si="5"/>
        <v>netaik.</v>
      </c>
      <c r="J92" s="942" t="b">
        <f>FALSE</f>
        <v>0</v>
      </c>
      <c r="K92" s="942" t="b">
        <f>TRUE</f>
        <v>1</v>
      </c>
      <c r="L92" s="943" t="str">
        <f t="shared" si="6"/>
        <v>netaik.</v>
      </c>
      <c r="M92" s="944" t="str">
        <f t="shared" si="6"/>
        <v>netaik.</v>
      </c>
      <c r="N92" s="375" t="str">
        <f t="shared" si="7"/>
        <v>netaik.</v>
      </c>
      <c r="O92" s="944" t="str">
        <f t="shared" si="8"/>
        <v>netaik.</v>
      </c>
      <c r="P92" s="944" t="str">
        <f t="shared" si="9"/>
        <v>tCO2/TJ</v>
      </c>
      <c r="Q92" s="944">
        <v>1</v>
      </c>
      <c r="R92" s="944">
        <v>1</v>
      </c>
      <c r="S92" s="944" t="str">
        <f t="shared" si="10"/>
        <v>netaik.</v>
      </c>
      <c r="T92" s="945" t="str">
        <f t="shared" si="10"/>
        <v>netaik.</v>
      </c>
      <c r="U92" s="946" t="str">
        <f t="shared" si="10"/>
        <v>netaik.</v>
      </c>
      <c r="W92" s="348"/>
    </row>
    <row r="93" spans="1:23" x14ac:dyDescent="0.2">
      <c r="A93" s="470" t="str">
        <f>Translations!$B$1041</f>
        <v>Kietasis – Naftos koksas</v>
      </c>
      <c r="B93" s="470" t="s">
        <v>544</v>
      </c>
      <c r="C93" s="363" t="str">
        <f t="shared" si="2"/>
        <v>t</v>
      </c>
      <c r="D93" s="369">
        <v>97.5</v>
      </c>
      <c r="E93" s="350" t="str">
        <f t="shared" si="3"/>
        <v>tCO2/TJ</v>
      </c>
      <c r="F93" s="369">
        <v>32.5</v>
      </c>
      <c r="G93" s="350" t="str">
        <f t="shared" si="4"/>
        <v>GJ/t</v>
      </c>
      <c r="H93" s="369">
        <v>0.87060000000000004</v>
      </c>
      <c r="I93" s="370" t="str">
        <f>EUconst_tCpt</f>
        <v>t C/t</v>
      </c>
      <c r="J93" s="942" t="b">
        <f>TRUE</f>
        <v>1</v>
      </c>
      <c r="K93" s="942" t="b">
        <f>TRUE</f>
        <v>1</v>
      </c>
      <c r="L93" s="943" t="str">
        <f t="shared" ref="L93:L139" si="11">EUconst_NA</f>
        <v>netaik.</v>
      </c>
      <c r="M93" s="944" t="str">
        <f t="shared" ref="M93:M113" si="12">EUconst_NA</f>
        <v>netaik.</v>
      </c>
      <c r="N93" s="375" t="str">
        <f t="shared" si="7"/>
        <v>netaik.</v>
      </c>
      <c r="O93" s="944" t="str">
        <f t="shared" si="8"/>
        <v>netaik.</v>
      </c>
      <c r="P93" s="944" t="str">
        <f t="shared" si="9"/>
        <v>tCO2/TJ</v>
      </c>
      <c r="Q93" s="944">
        <v>1</v>
      </c>
      <c r="R93" s="944">
        <v>1</v>
      </c>
      <c r="S93" s="944" t="str">
        <f t="shared" ref="S93:U104" si="13">EUconst_NA</f>
        <v>netaik.</v>
      </c>
      <c r="T93" s="945" t="str">
        <f t="shared" si="13"/>
        <v>netaik.</v>
      </c>
      <c r="U93" s="946" t="str">
        <f t="shared" si="13"/>
        <v>netaik.</v>
      </c>
      <c r="W93" s="348"/>
    </row>
    <row r="94" spans="1:23" x14ac:dyDescent="0.2">
      <c r="A94" s="470" t="str">
        <f>Translations!$B$1143</f>
        <v>Naftos perdirbimo įmonių žaliava – Kita naftos perdirbimo įmonių žaliava</v>
      </c>
      <c r="B94" s="470" t="s">
        <v>544</v>
      </c>
      <c r="C94" s="363" t="str">
        <f t="shared" si="2"/>
        <v>t</v>
      </c>
      <c r="D94" s="369">
        <v>73.3</v>
      </c>
      <c r="E94" s="350" t="str">
        <f t="shared" si="3"/>
        <v>tCO2/TJ</v>
      </c>
      <c r="F94" s="369">
        <v>43</v>
      </c>
      <c r="G94" s="350" t="str">
        <f t="shared" si="4"/>
        <v>GJ/t</v>
      </c>
      <c r="H94" s="369" t="str">
        <f t="shared" si="5"/>
        <v>netaik.</v>
      </c>
      <c r="I94" s="370" t="str">
        <f t="shared" si="5"/>
        <v>netaik.</v>
      </c>
      <c r="J94" s="942" t="b">
        <f>FALSE</f>
        <v>0</v>
      </c>
      <c r="K94" s="942" t="b">
        <f>TRUE</f>
        <v>1</v>
      </c>
      <c r="L94" s="943" t="str">
        <f t="shared" si="11"/>
        <v>netaik.</v>
      </c>
      <c r="M94" s="944" t="str">
        <f t="shared" si="12"/>
        <v>netaik.</v>
      </c>
      <c r="N94" s="375" t="str">
        <f t="shared" si="7"/>
        <v>netaik.</v>
      </c>
      <c r="O94" s="944" t="str">
        <f t="shared" si="8"/>
        <v>netaik.</v>
      </c>
      <c r="P94" s="944" t="str">
        <f t="shared" si="9"/>
        <v>tCO2/TJ</v>
      </c>
      <c r="Q94" s="944">
        <v>1</v>
      </c>
      <c r="R94" s="944">
        <v>1</v>
      </c>
      <c r="S94" s="944" t="str">
        <f t="shared" si="13"/>
        <v>netaik.</v>
      </c>
      <c r="T94" s="945" t="str">
        <f t="shared" si="13"/>
        <v>netaik.</v>
      </c>
      <c r="U94" s="946" t="str">
        <f t="shared" si="13"/>
        <v>netaik.</v>
      </c>
      <c r="W94" s="348"/>
    </row>
    <row r="95" spans="1:23" x14ac:dyDescent="0.2">
      <c r="A95" s="470" t="str">
        <f>Translations!$B$1036</f>
        <v>Naftos perdirbimo įmonių žaliava – Naftos perdirbimo įmonių dujos</v>
      </c>
      <c r="B95" s="470" t="s">
        <v>544</v>
      </c>
      <c r="C95" s="363" t="str">
        <f t="shared" si="2"/>
        <v>t</v>
      </c>
      <c r="D95" s="369">
        <v>57.6</v>
      </c>
      <c r="E95" s="350" t="str">
        <f t="shared" si="3"/>
        <v>tCO2/TJ</v>
      </c>
      <c r="F95" s="369">
        <v>49.5</v>
      </c>
      <c r="G95" s="350" t="str">
        <f t="shared" si="4"/>
        <v>GJ/t</v>
      </c>
      <c r="H95" s="369" t="str">
        <f t="shared" si="5"/>
        <v>netaik.</v>
      </c>
      <c r="I95" s="370" t="str">
        <f t="shared" si="5"/>
        <v>netaik.</v>
      </c>
      <c r="J95" s="942" t="b">
        <f>FALSE</f>
        <v>0</v>
      </c>
      <c r="K95" s="942" t="b">
        <f>TRUE</f>
        <v>1</v>
      </c>
      <c r="L95" s="943" t="str">
        <f t="shared" si="11"/>
        <v>netaik.</v>
      </c>
      <c r="M95" s="944" t="str">
        <f t="shared" si="12"/>
        <v>netaik.</v>
      </c>
      <c r="N95" s="375" t="str">
        <f t="shared" si="7"/>
        <v>netaik.</v>
      </c>
      <c r="O95" s="944" t="str">
        <f t="shared" si="8"/>
        <v>netaik.</v>
      </c>
      <c r="P95" s="944" t="str">
        <f t="shared" si="9"/>
        <v>tCO2/TJ</v>
      </c>
      <c r="Q95" s="944">
        <v>1</v>
      </c>
      <c r="R95" s="944">
        <v>1</v>
      </c>
      <c r="S95" s="944" t="str">
        <f t="shared" si="13"/>
        <v>netaik.</v>
      </c>
      <c r="T95" s="945" t="str">
        <f t="shared" si="13"/>
        <v>netaik.</v>
      </c>
      <c r="U95" s="946" t="str">
        <f t="shared" si="13"/>
        <v>netaik.</v>
      </c>
      <c r="W95" s="348"/>
    </row>
    <row r="96" spans="1:23" x14ac:dyDescent="0.2">
      <c r="A96" s="470" t="str">
        <f>Translations!$B$1049</f>
        <v>Kietasis – Parafinas</v>
      </c>
      <c r="B96" s="470" t="s">
        <v>544</v>
      </c>
      <c r="C96" s="363" t="str">
        <f t="shared" si="2"/>
        <v>t</v>
      </c>
      <c r="D96" s="369">
        <v>73.3</v>
      </c>
      <c r="E96" s="350" t="str">
        <f t="shared" si="3"/>
        <v>tCO2/TJ</v>
      </c>
      <c r="F96" s="369">
        <v>40.200000000000003</v>
      </c>
      <c r="G96" s="350" t="str">
        <f t="shared" si="4"/>
        <v>GJ/t</v>
      </c>
      <c r="H96" s="369" t="str">
        <f t="shared" si="5"/>
        <v>netaik.</v>
      </c>
      <c r="I96" s="370" t="str">
        <f t="shared" si="5"/>
        <v>netaik.</v>
      </c>
      <c r="J96" s="942" t="b">
        <f>FALSE</f>
        <v>0</v>
      </c>
      <c r="K96" s="942" t="b">
        <f>TRUE</f>
        <v>1</v>
      </c>
      <c r="L96" s="943" t="str">
        <f t="shared" si="11"/>
        <v>netaik.</v>
      </c>
      <c r="M96" s="944" t="str">
        <f t="shared" si="12"/>
        <v>netaik.</v>
      </c>
      <c r="N96" s="375" t="str">
        <f t="shared" si="7"/>
        <v>netaik.</v>
      </c>
      <c r="O96" s="944" t="str">
        <f t="shared" si="8"/>
        <v>netaik.</v>
      </c>
      <c r="P96" s="944" t="str">
        <f t="shared" si="9"/>
        <v>tCO2/TJ</v>
      </c>
      <c r="Q96" s="944">
        <v>1</v>
      </c>
      <c r="R96" s="944">
        <v>1</v>
      </c>
      <c r="S96" s="944" t="str">
        <f t="shared" si="13"/>
        <v>netaik.</v>
      </c>
      <c r="T96" s="945" t="str">
        <f t="shared" si="13"/>
        <v>netaik.</v>
      </c>
      <c r="U96" s="946" t="str">
        <f t="shared" si="13"/>
        <v>netaik.</v>
      </c>
      <c r="W96" s="348"/>
    </row>
    <row r="97" spans="1:23" x14ac:dyDescent="0.2">
      <c r="A97" s="470" t="str">
        <f>Translations!$B$1024</f>
        <v>Skystasis – Vaitspiritas ir SBP</v>
      </c>
      <c r="B97" s="470" t="s">
        <v>544</v>
      </c>
      <c r="C97" s="363" t="str">
        <f t="shared" si="2"/>
        <v>t</v>
      </c>
      <c r="D97" s="369">
        <v>73.3</v>
      </c>
      <c r="E97" s="350" t="str">
        <f t="shared" si="3"/>
        <v>tCO2/TJ</v>
      </c>
      <c r="F97" s="369">
        <v>40.200000000000003</v>
      </c>
      <c r="G97" s="350" t="str">
        <f t="shared" si="4"/>
        <v>GJ/t</v>
      </c>
      <c r="H97" s="369" t="str">
        <f t="shared" ref="H97:I111" si="14">EUconst_NA</f>
        <v>netaik.</v>
      </c>
      <c r="I97" s="370" t="str">
        <f t="shared" si="14"/>
        <v>netaik.</v>
      </c>
      <c r="J97" s="942" t="b">
        <f>FALSE</f>
        <v>0</v>
      </c>
      <c r="K97" s="942" t="b">
        <f>TRUE</f>
        <v>1</v>
      </c>
      <c r="L97" s="943" t="str">
        <f t="shared" si="11"/>
        <v>netaik.</v>
      </c>
      <c r="M97" s="944" t="str">
        <f t="shared" si="12"/>
        <v>netaik.</v>
      </c>
      <c r="N97" s="375" t="str">
        <f t="shared" si="7"/>
        <v>netaik.</v>
      </c>
      <c r="O97" s="944" t="str">
        <f t="shared" si="8"/>
        <v>netaik.</v>
      </c>
      <c r="P97" s="944" t="str">
        <f t="shared" si="9"/>
        <v>tCO2/TJ</v>
      </c>
      <c r="Q97" s="944">
        <v>1</v>
      </c>
      <c r="R97" s="944">
        <v>1</v>
      </c>
      <c r="S97" s="944" t="str">
        <f t="shared" si="13"/>
        <v>netaik.</v>
      </c>
      <c r="T97" s="945" t="str">
        <f t="shared" si="13"/>
        <v>netaik.</v>
      </c>
      <c r="U97" s="946" t="str">
        <f t="shared" si="13"/>
        <v>netaik.</v>
      </c>
      <c r="W97" s="348"/>
    </row>
    <row r="98" spans="1:23" x14ac:dyDescent="0.2">
      <c r="A98" s="470" t="str">
        <f>Translations!$B$1039</f>
        <v>Naftos perdirbimo įmonių žaliava – Kiti naftos produktai</v>
      </c>
      <c r="B98" s="470" t="s">
        <v>544</v>
      </c>
      <c r="C98" s="363" t="str">
        <f t="shared" si="2"/>
        <v>t</v>
      </c>
      <c r="D98" s="369">
        <v>73.3</v>
      </c>
      <c r="E98" s="350" t="str">
        <f t="shared" si="3"/>
        <v>tCO2/TJ</v>
      </c>
      <c r="F98" s="369">
        <v>40.200000000000003</v>
      </c>
      <c r="G98" s="350" t="str">
        <f t="shared" si="4"/>
        <v>GJ/t</v>
      </c>
      <c r="H98" s="369" t="str">
        <f t="shared" si="14"/>
        <v>netaik.</v>
      </c>
      <c r="I98" s="370" t="str">
        <f t="shared" si="14"/>
        <v>netaik.</v>
      </c>
      <c r="J98" s="942" t="b">
        <f>FALSE</f>
        <v>0</v>
      </c>
      <c r="K98" s="942" t="b">
        <f>TRUE</f>
        <v>1</v>
      </c>
      <c r="L98" s="943" t="str">
        <f t="shared" si="11"/>
        <v>netaik.</v>
      </c>
      <c r="M98" s="944" t="str">
        <f t="shared" si="12"/>
        <v>netaik.</v>
      </c>
      <c r="N98" s="375" t="str">
        <f t="shared" si="7"/>
        <v>netaik.</v>
      </c>
      <c r="O98" s="944" t="str">
        <f t="shared" si="8"/>
        <v>netaik.</v>
      </c>
      <c r="P98" s="944" t="str">
        <f t="shared" si="9"/>
        <v>tCO2/TJ</v>
      </c>
      <c r="Q98" s="944">
        <v>1</v>
      </c>
      <c r="R98" s="944">
        <v>1</v>
      </c>
      <c r="S98" s="944" t="str">
        <f t="shared" si="13"/>
        <v>netaik.</v>
      </c>
      <c r="T98" s="945" t="str">
        <f t="shared" si="13"/>
        <v>netaik.</v>
      </c>
      <c r="U98" s="946" t="str">
        <f t="shared" si="13"/>
        <v>netaik.</v>
      </c>
      <c r="W98" s="348"/>
    </row>
    <row r="99" spans="1:23" x14ac:dyDescent="0.2">
      <c r="A99" s="470" t="str">
        <f>Translations!$B$1044</f>
        <v>Kietasis – Antracitas</v>
      </c>
      <c r="B99" s="470" t="s">
        <v>544</v>
      </c>
      <c r="C99" s="363" t="str">
        <f t="shared" si="2"/>
        <v>t</v>
      </c>
      <c r="D99" s="369">
        <v>98.3</v>
      </c>
      <c r="E99" s="350" t="str">
        <f t="shared" si="3"/>
        <v>tCO2/TJ</v>
      </c>
      <c r="F99" s="369">
        <v>26.7</v>
      </c>
      <c r="G99" s="350" t="str">
        <f t="shared" si="4"/>
        <v>GJ/t</v>
      </c>
      <c r="H99" s="369" t="str">
        <f t="shared" si="14"/>
        <v>netaik.</v>
      </c>
      <c r="I99" s="370" t="str">
        <f t="shared" si="14"/>
        <v>netaik.</v>
      </c>
      <c r="J99" s="942" t="b">
        <f>TRUE</f>
        <v>1</v>
      </c>
      <c r="K99" s="942" t="b">
        <f>TRUE</f>
        <v>1</v>
      </c>
      <c r="L99" s="943" t="str">
        <f t="shared" si="11"/>
        <v>netaik.</v>
      </c>
      <c r="M99" s="944" t="str">
        <f t="shared" si="12"/>
        <v>netaik.</v>
      </c>
      <c r="N99" s="375" t="str">
        <f t="shared" si="7"/>
        <v>netaik.</v>
      </c>
      <c r="O99" s="944" t="str">
        <f t="shared" si="8"/>
        <v>netaik.</v>
      </c>
      <c r="P99" s="944" t="str">
        <f t="shared" si="9"/>
        <v>tCO2/TJ</v>
      </c>
      <c r="Q99" s="944">
        <v>1</v>
      </c>
      <c r="R99" s="944">
        <v>1</v>
      </c>
      <c r="S99" s="944" t="str">
        <f t="shared" si="13"/>
        <v>netaik.</v>
      </c>
      <c r="T99" s="945" t="str">
        <f t="shared" si="13"/>
        <v>netaik.</v>
      </c>
      <c r="U99" s="946" t="str">
        <f t="shared" si="13"/>
        <v>netaik.</v>
      </c>
      <c r="W99" s="348"/>
    </row>
    <row r="100" spans="1:23" x14ac:dyDescent="0.2">
      <c r="A100" s="470" t="str">
        <f>Translations!$B$1045</f>
        <v>Kietasis – Koksinės anglys</v>
      </c>
      <c r="B100" s="470" t="s">
        <v>544</v>
      </c>
      <c r="C100" s="363" t="str">
        <f t="shared" si="2"/>
        <v>t</v>
      </c>
      <c r="D100" s="369">
        <v>94.6</v>
      </c>
      <c r="E100" s="350" t="str">
        <f t="shared" si="3"/>
        <v>tCO2/TJ</v>
      </c>
      <c r="F100" s="369">
        <v>28.2</v>
      </c>
      <c r="G100" s="350" t="str">
        <f t="shared" si="4"/>
        <v>GJ/t</v>
      </c>
      <c r="H100" s="369" t="str">
        <f t="shared" si="14"/>
        <v>netaik.</v>
      </c>
      <c r="I100" s="370" t="str">
        <f t="shared" si="14"/>
        <v>netaik.</v>
      </c>
      <c r="J100" s="942" t="b">
        <f>TRUE</f>
        <v>1</v>
      </c>
      <c r="K100" s="942" t="b">
        <f>TRUE</f>
        <v>1</v>
      </c>
      <c r="L100" s="943" t="str">
        <f t="shared" si="11"/>
        <v>netaik.</v>
      </c>
      <c r="M100" s="944" t="str">
        <f t="shared" si="12"/>
        <v>netaik.</v>
      </c>
      <c r="N100" s="375" t="str">
        <f t="shared" si="7"/>
        <v>netaik.</v>
      </c>
      <c r="O100" s="944" t="str">
        <f t="shared" si="8"/>
        <v>netaik.</v>
      </c>
      <c r="P100" s="944" t="str">
        <f t="shared" si="9"/>
        <v>tCO2/TJ</v>
      </c>
      <c r="Q100" s="944">
        <v>1</v>
      </c>
      <c r="R100" s="944">
        <v>1</v>
      </c>
      <c r="S100" s="944" t="str">
        <f t="shared" si="13"/>
        <v>netaik.</v>
      </c>
      <c r="T100" s="945" t="str">
        <f t="shared" si="13"/>
        <v>netaik.</v>
      </c>
      <c r="U100" s="946" t="str">
        <f t="shared" si="13"/>
        <v>netaik.</v>
      </c>
      <c r="W100" s="348"/>
    </row>
    <row r="101" spans="1:23" x14ac:dyDescent="0.2">
      <c r="A101" s="470" t="str">
        <f>Translations!$B$1047</f>
        <v>Kietasis – Kitos bituminės akmens anglys</v>
      </c>
      <c r="B101" s="470" t="s">
        <v>544</v>
      </c>
      <c r="C101" s="363" t="str">
        <f t="shared" si="2"/>
        <v>t</v>
      </c>
      <c r="D101" s="369">
        <v>94.6</v>
      </c>
      <c r="E101" s="350" t="str">
        <f t="shared" si="3"/>
        <v>tCO2/TJ</v>
      </c>
      <c r="F101" s="369">
        <v>25.8</v>
      </c>
      <c r="G101" s="350" t="str">
        <f t="shared" si="4"/>
        <v>GJ/t</v>
      </c>
      <c r="H101" s="369" t="str">
        <f t="shared" si="14"/>
        <v>netaik.</v>
      </c>
      <c r="I101" s="370" t="str">
        <f t="shared" si="14"/>
        <v>netaik.</v>
      </c>
      <c r="J101" s="942" t="b">
        <f>FALSE</f>
        <v>0</v>
      </c>
      <c r="K101" s="942" t="b">
        <f>TRUE</f>
        <v>1</v>
      </c>
      <c r="L101" s="943" t="str">
        <f t="shared" si="11"/>
        <v>netaik.</v>
      </c>
      <c r="M101" s="944" t="str">
        <f t="shared" si="12"/>
        <v>netaik.</v>
      </c>
      <c r="N101" s="375" t="str">
        <f t="shared" si="7"/>
        <v>netaik.</v>
      </c>
      <c r="O101" s="944" t="str">
        <f t="shared" si="8"/>
        <v>netaik.</v>
      </c>
      <c r="P101" s="944" t="str">
        <f t="shared" si="9"/>
        <v>tCO2/TJ</v>
      </c>
      <c r="Q101" s="944">
        <v>1</v>
      </c>
      <c r="R101" s="944">
        <v>1</v>
      </c>
      <c r="S101" s="944" t="str">
        <f t="shared" si="13"/>
        <v>netaik.</v>
      </c>
      <c r="T101" s="945" t="str">
        <f t="shared" si="13"/>
        <v>netaik.</v>
      </c>
      <c r="U101" s="946" t="str">
        <f t="shared" si="13"/>
        <v>netaik.</v>
      </c>
      <c r="W101" s="348"/>
    </row>
    <row r="102" spans="1:23" x14ac:dyDescent="0.2">
      <c r="A102" s="470" t="str">
        <f>Translations!$B$1046</f>
        <v>Kietasis – Subbituminės akmens anglys</v>
      </c>
      <c r="B102" s="470" t="s">
        <v>544</v>
      </c>
      <c r="C102" s="363" t="str">
        <f t="shared" si="2"/>
        <v>t</v>
      </c>
      <c r="D102" s="369">
        <v>96.1</v>
      </c>
      <c r="E102" s="350" t="str">
        <f t="shared" si="3"/>
        <v>tCO2/TJ</v>
      </c>
      <c r="F102" s="369">
        <v>18.899999999999999</v>
      </c>
      <c r="G102" s="350" t="str">
        <f t="shared" si="4"/>
        <v>GJ/t</v>
      </c>
      <c r="H102" s="369" t="str">
        <f t="shared" si="14"/>
        <v>netaik.</v>
      </c>
      <c r="I102" s="370" t="str">
        <f t="shared" si="14"/>
        <v>netaik.</v>
      </c>
      <c r="J102" s="942" t="b">
        <f>TRUE</f>
        <v>1</v>
      </c>
      <c r="K102" s="942" t="b">
        <f>TRUE</f>
        <v>1</v>
      </c>
      <c r="L102" s="943" t="str">
        <f t="shared" si="11"/>
        <v>netaik.</v>
      </c>
      <c r="M102" s="944" t="str">
        <f t="shared" si="12"/>
        <v>netaik.</v>
      </c>
      <c r="N102" s="375" t="str">
        <f t="shared" si="7"/>
        <v>netaik.</v>
      </c>
      <c r="O102" s="944" t="str">
        <f t="shared" si="8"/>
        <v>netaik.</v>
      </c>
      <c r="P102" s="944" t="str">
        <f t="shared" si="9"/>
        <v>tCO2/TJ</v>
      </c>
      <c r="Q102" s="944">
        <v>1</v>
      </c>
      <c r="R102" s="944">
        <v>1</v>
      </c>
      <c r="S102" s="944" t="str">
        <f t="shared" si="13"/>
        <v>netaik.</v>
      </c>
      <c r="T102" s="945" t="str">
        <f t="shared" si="13"/>
        <v>netaik.</v>
      </c>
      <c r="U102" s="946" t="str">
        <f t="shared" si="13"/>
        <v>netaik.</v>
      </c>
      <c r="W102" s="348"/>
    </row>
    <row r="103" spans="1:23" x14ac:dyDescent="0.2">
      <c r="A103" s="470" t="str">
        <f>Translations!$B$1043</f>
        <v>Kietasis – Lignitas</v>
      </c>
      <c r="B103" s="470" t="s">
        <v>544</v>
      </c>
      <c r="C103" s="363" t="str">
        <f t="shared" si="2"/>
        <v>t</v>
      </c>
      <c r="D103" s="369">
        <v>101</v>
      </c>
      <c r="E103" s="350" t="str">
        <f t="shared" si="3"/>
        <v>tCO2/TJ</v>
      </c>
      <c r="F103" s="369">
        <v>11.9</v>
      </c>
      <c r="G103" s="350" t="str">
        <f t="shared" si="4"/>
        <v>GJ/t</v>
      </c>
      <c r="H103" s="369" t="str">
        <f t="shared" si="14"/>
        <v>netaik.</v>
      </c>
      <c r="I103" s="370" t="str">
        <f t="shared" si="14"/>
        <v>netaik.</v>
      </c>
      <c r="J103" s="942" t="b">
        <f>TRUE</f>
        <v>1</v>
      </c>
      <c r="K103" s="942" t="b">
        <f>TRUE</f>
        <v>1</v>
      </c>
      <c r="L103" s="943" t="str">
        <f t="shared" si="11"/>
        <v>netaik.</v>
      </c>
      <c r="M103" s="944" t="str">
        <f t="shared" si="12"/>
        <v>netaik.</v>
      </c>
      <c r="N103" s="375" t="str">
        <f t="shared" si="7"/>
        <v>netaik.</v>
      </c>
      <c r="O103" s="944" t="str">
        <f t="shared" si="8"/>
        <v>netaik.</v>
      </c>
      <c r="P103" s="944" t="str">
        <f t="shared" si="9"/>
        <v>tCO2/TJ</v>
      </c>
      <c r="Q103" s="944">
        <v>1</v>
      </c>
      <c r="R103" s="944">
        <v>1</v>
      </c>
      <c r="S103" s="944" t="str">
        <f t="shared" si="13"/>
        <v>netaik.</v>
      </c>
      <c r="T103" s="945" t="str">
        <f t="shared" si="13"/>
        <v>netaik.</v>
      </c>
      <c r="U103" s="946" t="str">
        <f t="shared" si="13"/>
        <v>netaik.</v>
      </c>
      <c r="W103" s="348"/>
    </row>
    <row r="104" spans="1:23" x14ac:dyDescent="0.2">
      <c r="A104" s="470" t="str">
        <f>Translations!$B$1025</f>
        <v>Skystasis – Skalūnų alyva ir gudoniniai smėliai</v>
      </c>
      <c r="B104" s="470" t="s">
        <v>544</v>
      </c>
      <c r="C104" s="363" t="str">
        <f t="shared" si="2"/>
        <v>t</v>
      </c>
      <c r="D104" s="369">
        <v>107</v>
      </c>
      <c r="E104" s="350" t="str">
        <f t="shared" si="3"/>
        <v>tCO2/TJ</v>
      </c>
      <c r="F104" s="369">
        <v>8.9</v>
      </c>
      <c r="G104" s="350" t="str">
        <f t="shared" si="4"/>
        <v>GJ/t</v>
      </c>
      <c r="H104" s="369" t="str">
        <f t="shared" si="14"/>
        <v>netaik.</v>
      </c>
      <c r="I104" s="370" t="str">
        <f t="shared" si="14"/>
        <v>netaik.</v>
      </c>
      <c r="J104" s="942" t="b">
        <f>FALSE</f>
        <v>0</v>
      </c>
      <c r="K104" s="942" t="b">
        <f>TRUE</f>
        <v>1</v>
      </c>
      <c r="L104" s="943" t="str">
        <f t="shared" si="11"/>
        <v>netaik.</v>
      </c>
      <c r="M104" s="944" t="str">
        <f t="shared" si="12"/>
        <v>netaik.</v>
      </c>
      <c r="N104" s="375" t="str">
        <f t="shared" si="7"/>
        <v>netaik.</v>
      </c>
      <c r="O104" s="944" t="str">
        <f t="shared" si="8"/>
        <v>netaik.</v>
      </c>
      <c r="P104" s="944" t="str">
        <f t="shared" si="9"/>
        <v>tCO2/TJ</v>
      </c>
      <c r="Q104" s="944">
        <v>1</v>
      </c>
      <c r="R104" s="944">
        <v>1</v>
      </c>
      <c r="S104" s="944" t="str">
        <f t="shared" si="13"/>
        <v>netaik.</v>
      </c>
      <c r="T104" s="945" t="str">
        <f t="shared" si="13"/>
        <v>netaik.</v>
      </c>
      <c r="U104" s="946" t="str">
        <f t="shared" si="13"/>
        <v>netaik.</v>
      </c>
      <c r="W104" s="348"/>
    </row>
    <row r="105" spans="1:23" x14ac:dyDescent="0.2">
      <c r="A105" s="470" t="str">
        <f>Translations!$B$1026</f>
        <v>Skystasis – Akmens anglių briketai</v>
      </c>
      <c r="B105" s="470" t="s">
        <v>544</v>
      </c>
      <c r="C105" s="363" t="str">
        <f t="shared" si="2"/>
        <v>t</v>
      </c>
      <c r="D105" s="369">
        <v>97.5</v>
      </c>
      <c r="E105" s="350" t="str">
        <f t="shared" si="3"/>
        <v>tCO2/TJ</v>
      </c>
      <c r="F105" s="369">
        <v>20.7</v>
      </c>
      <c r="G105" s="350" t="str">
        <f t="shared" si="4"/>
        <v>GJ/t</v>
      </c>
      <c r="H105" s="369" t="str">
        <f t="shared" si="14"/>
        <v>netaik.</v>
      </c>
      <c r="I105" s="370" t="str">
        <f t="shared" si="14"/>
        <v>netaik.</v>
      </c>
      <c r="J105" s="942" t="b">
        <f>FALSE</f>
        <v>0</v>
      </c>
      <c r="K105" s="942" t="b">
        <f>TRUE</f>
        <v>1</v>
      </c>
      <c r="L105" s="943" t="str">
        <f t="shared" si="11"/>
        <v>netaik.</v>
      </c>
      <c r="M105" s="944" t="str">
        <f t="shared" si="12"/>
        <v>netaik.</v>
      </c>
      <c r="N105" s="375" t="str">
        <f t="shared" si="7"/>
        <v>netaik.</v>
      </c>
      <c r="O105" s="944" t="str">
        <f t="shared" si="8"/>
        <v>netaik.</v>
      </c>
      <c r="P105" s="944" t="str">
        <f t="shared" si="9"/>
        <v>tCO2/TJ</v>
      </c>
      <c r="Q105" s="944">
        <v>1</v>
      </c>
      <c r="R105" s="944">
        <v>1</v>
      </c>
      <c r="S105" s="944" t="str">
        <f t="shared" ref="S105:U112" si="15">EUconst_NA</f>
        <v>netaik.</v>
      </c>
      <c r="T105" s="945" t="str">
        <f t="shared" si="15"/>
        <v>netaik.</v>
      </c>
      <c r="U105" s="946" t="str">
        <f t="shared" si="15"/>
        <v>netaik.</v>
      </c>
      <c r="W105" s="348"/>
    </row>
    <row r="106" spans="1:23" x14ac:dyDescent="0.2">
      <c r="A106" s="470" t="str">
        <f>Translations!$B$1144</f>
        <v>Kietasis – Kokso krosnių koksas ir lignito koksas</v>
      </c>
      <c r="B106" s="470" t="s">
        <v>544</v>
      </c>
      <c r="C106" s="363" t="str">
        <f t="shared" si="2"/>
        <v>t</v>
      </c>
      <c r="D106" s="369">
        <v>107</v>
      </c>
      <c r="E106" s="350" t="str">
        <f t="shared" si="3"/>
        <v>tCO2/TJ</v>
      </c>
      <c r="F106" s="369">
        <v>28.2</v>
      </c>
      <c r="G106" s="350" t="str">
        <f t="shared" si="4"/>
        <v>GJ/t</v>
      </c>
      <c r="H106" s="369" t="str">
        <f t="shared" si="14"/>
        <v>netaik.</v>
      </c>
      <c r="I106" s="370" t="str">
        <f t="shared" si="14"/>
        <v>netaik.</v>
      </c>
      <c r="J106" s="942" t="b">
        <f>FALSE</f>
        <v>0</v>
      </c>
      <c r="K106" s="942" t="b">
        <f>TRUE</f>
        <v>1</v>
      </c>
      <c r="L106" s="943" t="str">
        <f t="shared" si="11"/>
        <v>netaik.</v>
      </c>
      <c r="M106" s="944" t="str">
        <f t="shared" si="12"/>
        <v>netaik.</v>
      </c>
      <c r="N106" s="375" t="str">
        <f t="shared" si="7"/>
        <v>netaik.</v>
      </c>
      <c r="O106" s="944" t="str">
        <f t="shared" si="8"/>
        <v>netaik.</v>
      </c>
      <c r="P106" s="944" t="str">
        <f t="shared" si="9"/>
        <v>tCO2/TJ</v>
      </c>
      <c r="Q106" s="944">
        <v>1</v>
      </c>
      <c r="R106" s="944">
        <v>1</v>
      </c>
      <c r="S106" s="944" t="str">
        <f t="shared" si="15"/>
        <v>netaik.</v>
      </c>
      <c r="T106" s="945" t="str">
        <f t="shared" si="15"/>
        <v>netaik.</v>
      </c>
      <c r="U106" s="946" t="str">
        <f t="shared" si="15"/>
        <v>netaik.</v>
      </c>
      <c r="W106" s="348"/>
    </row>
    <row r="107" spans="1:23" x14ac:dyDescent="0.2">
      <c r="A107" s="470" t="str">
        <f>Translations!$B$1048</f>
        <v>Kietasis – Dujinis koksas</v>
      </c>
      <c r="B107" s="470" t="s">
        <v>544</v>
      </c>
      <c r="C107" s="363" t="str">
        <f t="shared" si="2"/>
        <v>t</v>
      </c>
      <c r="D107" s="369">
        <v>107</v>
      </c>
      <c r="E107" s="350" t="str">
        <f t="shared" si="3"/>
        <v>tCO2/TJ</v>
      </c>
      <c r="F107" s="369">
        <v>28.2</v>
      </c>
      <c r="G107" s="350" t="str">
        <f t="shared" si="4"/>
        <v>GJ/t</v>
      </c>
      <c r="H107" s="369" t="str">
        <f t="shared" si="14"/>
        <v>netaik.</v>
      </c>
      <c r="I107" s="370" t="str">
        <f t="shared" si="14"/>
        <v>netaik.</v>
      </c>
      <c r="J107" s="942" t="b">
        <f>FALSE</f>
        <v>0</v>
      </c>
      <c r="K107" s="942" t="b">
        <f>TRUE</f>
        <v>1</v>
      </c>
      <c r="L107" s="943" t="str">
        <f t="shared" si="11"/>
        <v>netaik.</v>
      </c>
      <c r="M107" s="944" t="str">
        <f t="shared" si="12"/>
        <v>netaik.</v>
      </c>
      <c r="N107" s="375" t="str">
        <f t="shared" si="7"/>
        <v>netaik.</v>
      </c>
      <c r="O107" s="944" t="str">
        <f t="shared" si="8"/>
        <v>netaik.</v>
      </c>
      <c r="P107" s="944" t="str">
        <f t="shared" si="9"/>
        <v>tCO2/TJ</v>
      </c>
      <c r="Q107" s="944">
        <v>1</v>
      </c>
      <c r="R107" s="944">
        <v>1</v>
      </c>
      <c r="S107" s="944" t="str">
        <f t="shared" si="15"/>
        <v>netaik.</v>
      </c>
      <c r="T107" s="945" t="str">
        <f t="shared" si="15"/>
        <v>netaik.</v>
      </c>
      <c r="U107" s="946" t="str">
        <f t="shared" si="15"/>
        <v>netaik.</v>
      </c>
      <c r="W107" s="348"/>
    </row>
    <row r="108" spans="1:23" x14ac:dyDescent="0.2">
      <c r="A108" s="470" t="str">
        <f>Translations!$B$1057</f>
        <v>Kietasis – Akmens anglių degutas</v>
      </c>
      <c r="B108" s="470" t="s">
        <v>544</v>
      </c>
      <c r="C108" s="363" t="str">
        <f t="shared" si="2"/>
        <v>t</v>
      </c>
      <c r="D108" s="369">
        <v>80.7</v>
      </c>
      <c r="E108" s="350" t="str">
        <f t="shared" si="3"/>
        <v>tCO2/TJ</v>
      </c>
      <c r="F108" s="369">
        <v>28</v>
      </c>
      <c r="G108" s="350" t="str">
        <f t="shared" si="4"/>
        <v>GJ/t</v>
      </c>
      <c r="H108" s="369" t="str">
        <f t="shared" si="14"/>
        <v>netaik.</v>
      </c>
      <c r="I108" s="370" t="str">
        <f t="shared" si="14"/>
        <v>netaik.</v>
      </c>
      <c r="J108" s="942" t="b">
        <f>FALSE</f>
        <v>0</v>
      </c>
      <c r="K108" s="942" t="b">
        <f>TRUE</f>
        <v>1</v>
      </c>
      <c r="L108" s="943" t="str">
        <f t="shared" si="11"/>
        <v>netaik.</v>
      </c>
      <c r="M108" s="944" t="str">
        <f t="shared" si="12"/>
        <v>netaik.</v>
      </c>
      <c r="N108" s="375" t="str">
        <f t="shared" si="7"/>
        <v>netaik.</v>
      </c>
      <c r="O108" s="944" t="str">
        <f t="shared" si="8"/>
        <v>netaik.</v>
      </c>
      <c r="P108" s="944" t="str">
        <f t="shared" si="9"/>
        <v>tCO2/TJ</v>
      </c>
      <c r="Q108" s="944">
        <v>1</v>
      </c>
      <c r="R108" s="944">
        <v>1</v>
      </c>
      <c r="S108" s="944" t="str">
        <f t="shared" si="15"/>
        <v>netaik.</v>
      </c>
      <c r="T108" s="945" t="str">
        <f t="shared" si="15"/>
        <v>netaik.</v>
      </c>
      <c r="U108" s="946" t="str">
        <f t="shared" si="15"/>
        <v>netaik.</v>
      </c>
      <c r="W108" s="348"/>
    </row>
    <row r="109" spans="1:23" x14ac:dyDescent="0.2">
      <c r="A109" s="470" t="str">
        <f>Translations!$B$1000</f>
        <v>Dujinis – Dujų gamyklos dujos</v>
      </c>
      <c r="B109" s="470" t="s">
        <v>544</v>
      </c>
      <c r="C109" s="363" t="str">
        <f t="shared" ref="C109:C150" si="16">EUconst_t</f>
        <v>t</v>
      </c>
      <c r="D109" s="369">
        <v>44.4</v>
      </c>
      <c r="E109" s="350" t="str">
        <f t="shared" ref="E109:E129" si="17">EUconst_tCO2pTJ</f>
        <v>tCO2/TJ</v>
      </c>
      <c r="F109" s="369">
        <v>38.700000000000003</v>
      </c>
      <c r="G109" s="350" t="str">
        <f t="shared" ref="G109:G129" si="18">EUconst_GJpt</f>
        <v>GJ/t</v>
      </c>
      <c r="H109" s="369" t="str">
        <f t="shared" si="14"/>
        <v>netaik.</v>
      </c>
      <c r="I109" s="370" t="str">
        <f t="shared" si="14"/>
        <v>netaik.</v>
      </c>
      <c r="J109" s="942" t="b">
        <f>FALSE</f>
        <v>0</v>
      </c>
      <c r="K109" s="942" t="b">
        <f>TRUE</f>
        <v>1</v>
      </c>
      <c r="L109" s="943" t="str">
        <f t="shared" si="11"/>
        <v>netaik.</v>
      </c>
      <c r="M109" s="944" t="str">
        <f t="shared" si="12"/>
        <v>netaik.</v>
      </c>
      <c r="N109" s="375" t="str">
        <f t="shared" ref="N109:N140" si="19">IF(OR(L109="",L109=EUconst_NA),EUconst_NA,IF(L109=EUconst_t,EUconst_GJpt,EUconst_GJpkNm3))</f>
        <v>netaik.</v>
      </c>
      <c r="O109" s="944" t="str">
        <f t="shared" si="8"/>
        <v>netaik.</v>
      </c>
      <c r="P109" s="944" t="str">
        <f t="shared" ref="P109:P129" si="20">EUconst_tCO2pTJ</f>
        <v>tCO2/TJ</v>
      </c>
      <c r="Q109" s="944">
        <v>1</v>
      </c>
      <c r="R109" s="944">
        <v>1</v>
      </c>
      <c r="S109" s="944" t="str">
        <f t="shared" si="15"/>
        <v>netaik.</v>
      </c>
      <c r="T109" s="945" t="str">
        <f t="shared" si="15"/>
        <v>netaik.</v>
      </c>
      <c r="U109" s="946" t="str">
        <f t="shared" si="15"/>
        <v>netaik.</v>
      </c>
      <c r="W109" s="348"/>
    </row>
    <row r="110" spans="1:23" x14ac:dyDescent="0.2">
      <c r="A110" s="470" t="str">
        <f>Translations!$B$1001</f>
        <v>Dujinis – Koksavimo dujos</v>
      </c>
      <c r="B110" s="470" t="s">
        <v>544</v>
      </c>
      <c r="C110" s="363" t="str">
        <f t="shared" si="16"/>
        <v>t</v>
      </c>
      <c r="D110" s="369">
        <v>44.4</v>
      </c>
      <c r="E110" s="350" t="str">
        <f t="shared" si="17"/>
        <v>tCO2/TJ</v>
      </c>
      <c r="F110" s="369">
        <v>38.700000000000003</v>
      </c>
      <c r="G110" s="350" t="str">
        <f t="shared" si="18"/>
        <v>GJ/t</v>
      </c>
      <c r="H110" s="369" t="str">
        <f t="shared" si="14"/>
        <v>netaik.</v>
      </c>
      <c r="I110" s="370" t="str">
        <f t="shared" si="14"/>
        <v>netaik.</v>
      </c>
      <c r="J110" s="942" t="b">
        <f>FALSE</f>
        <v>0</v>
      </c>
      <c r="K110" s="942" t="b">
        <f>TRUE</f>
        <v>1</v>
      </c>
      <c r="L110" s="943" t="str">
        <f t="shared" si="11"/>
        <v>netaik.</v>
      </c>
      <c r="M110" s="944" t="str">
        <f t="shared" si="12"/>
        <v>netaik.</v>
      </c>
      <c r="N110" s="375" t="str">
        <f t="shared" si="19"/>
        <v>netaik.</v>
      </c>
      <c r="O110" s="944" t="str">
        <f t="shared" si="8"/>
        <v>netaik.</v>
      </c>
      <c r="P110" s="944" t="str">
        <f t="shared" si="20"/>
        <v>tCO2/TJ</v>
      </c>
      <c r="Q110" s="944">
        <v>1</v>
      </c>
      <c r="R110" s="944">
        <v>1</v>
      </c>
      <c r="S110" s="944" t="str">
        <f t="shared" si="15"/>
        <v>netaik.</v>
      </c>
      <c r="T110" s="945" t="str">
        <f t="shared" si="15"/>
        <v>netaik.</v>
      </c>
      <c r="U110" s="946" t="str">
        <f t="shared" si="15"/>
        <v>netaik.</v>
      </c>
      <c r="W110" s="348"/>
    </row>
    <row r="111" spans="1:23" x14ac:dyDescent="0.2">
      <c r="A111" s="470" t="str">
        <f>Translations!$B$1002</f>
        <v>Dujinis – Aukštakrosnių dujos</v>
      </c>
      <c r="B111" s="470" t="s">
        <v>544</v>
      </c>
      <c r="C111" s="363" t="str">
        <f t="shared" si="16"/>
        <v>t</v>
      </c>
      <c r="D111" s="369">
        <v>260</v>
      </c>
      <c r="E111" s="350" t="str">
        <f t="shared" si="17"/>
        <v>tCO2/TJ</v>
      </c>
      <c r="F111" s="369">
        <v>2.4700000000000002</v>
      </c>
      <c r="G111" s="350" t="str">
        <f t="shared" si="18"/>
        <v>GJ/t</v>
      </c>
      <c r="H111" s="369" t="str">
        <f t="shared" si="14"/>
        <v>netaik.</v>
      </c>
      <c r="I111" s="370" t="str">
        <f t="shared" si="14"/>
        <v>netaik.</v>
      </c>
      <c r="J111" s="942" t="b">
        <f>FALSE</f>
        <v>0</v>
      </c>
      <c r="K111" s="942" t="b">
        <f>TRUE</f>
        <v>1</v>
      </c>
      <c r="L111" s="943" t="str">
        <f t="shared" si="11"/>
        <v>netaik.</v>
      </c>
      <c r="M111" s="944" t="str">
        <f t="shared" si="12"/>
        <v>netaik.</v>
      </c>
      <c r="N111" s="375" t="str">
        <f t="shared" si="19"/>
        <v>netaik.</v>
      </c>
      <c r="O111" s="944" t="str">
        <f t="shared" si="8"/>
        <v>netaik.</v>
      </c>
      <c r="P111" s="944" t="str">
        <f t="shared" si="20"/>
        <v>tCO2/TJ</v>
      </c>
      <c r="Q111" s="944">
        <v>1</v>
      </c>
      <c r="R111" s="944">
        <v>1</v>
      </c>
      <c r="S111" s="944" t="str">
        <f t="shared" si="15"/>
        <v>netaik.</v>
      </c>
      <c r="T111" s="945" t="str">
        <f t="shared" si="15"/>
        <v>netaik.</v>
      </c>
      <c r="U111" s="946" t="str">
        <f t="shared" si="15"/>
        <v>netaik.</v>
      </c>
      <c r="W111" s="348"/>
    </row>
    <row r="112" spans="1:23" x14ac:dyDescent="0.2">
      <c r="A112" s="470" t="str">
        <f>Translations!$B$1003</f>
        <v>Dujinis – Deguoninių plieno aukštakrosnių dujos</v>
      </c>
      <c r="B112" s="470" t="s">
        <v>544</v>
      </c>
      <c r="C112" s="363" t="str">
        <f t="shared" si="16"/>
        <v>t</v>
      </c>
      <c r="D112" s="369">
        <v>182</v>
      </c>
      <c r="E112" s="350" t="str">
        <f t="shared" si="17"/>
        <v>tCO2/TJ</v>
      </c>
      <c r="F112" s="369">
        <v>7.06</v>
      </c>
      <c r="G112" s="350" t="str">
        <f t="shared" si="18"/>
        <v>GJ/t</v>
      </c>
      <c r="H112" s="369">
        <v>0.3493</v>
      </c>
      <c r="I112" s="370" t="str">
        <f>EUconst_tCpt</f>
        <v>t C/t</v>
      </c>
      <c r="J112" s="942" t="b">
        <f>FALSE</f>
        <v>0</v>
      </c>
      <c r="K112" s="942" t="b">
        <f>TRUE</f>
        <v>1</v>
      </c>
      <c r="L112" s="943" t="str">
        <f t="shared" si="11"/>
        <v>netaik.</v>
      </c>
      <c r="M112" s="944" t="str">
        <f t="shared" si="12"/>
        <v>netaik.</v>
      </c>
      <c r="N112" s="375" t="str">
        <f t="shared" si="19"/>
        <v>netaik.</v>
      </c>
      <c r="O112" s="944" t="str">
        <f t="shared" si="8"/>
        <v>netaik.</v>
      </c>
      <c r="P112" s="944" t="str">
        <f t="shared" si="20"/>
        <v>tCO2/TJ</v>
      </c>
      <c r="Q112" s="944">
        <v>1</v>
      </c>
      <c r="R112" s="944">
        <v>1</v>
      </c>
      <c r="S112" s="944" t="str">
        <f t="shared" si="15"/>
        <v>netaik.</v>
      </c>
      <c r="T112" s="945" t="str">
        <f t="shared" si="15"/>
        <v>netaik.</v>
      </c>
      <c r="U112" s="946" t="str">
        <f t="shared" si="15"/>
        <v>netaik.</v>
      </c>
      <c r="W112" s="348"/>
    </row>
    <row r="113" spans="1:23" x14ac:dyDescent="0.2">
      <c r="A113" s="470" t="str">
        <f>Translations!$B$999</f>
        <v>Dujinis – Gamtinės dujos</v>
      </c>
      <c r="B113" s="470" t="s">
        <v>544</v>
      </c>
      <c r="C113" s="363" t="str">
        <f t="shared" si="16"/>
        <v>t</v>
      </c>
      <c r="D113" s="369">
        <v>56.1</v>
      </c>
      <c r="E113" s="350" t="str">
        <f t="shared" si="17"/>
        <v>tCO2/TJ</v>
      </c>
      <c r="F113" s="369">
        <v>48</v>
      </c>
      <c r="G113" s="350" t="str">
        <f t="shared" si="18"/>
        <v>GJ/t</v>
      </c>
      <c r="H113" s="369" t="str">
        <f t="shared" ref="H113:I130" si="21">EUconst_NA</f>
        <v>netaik.</v>
      </c>
      <c r="I113" s="370" t="str">
        <f t="shared" si="21"/>
        <v>netaik.</v>
      </c>
      <c r="J113" s="942" t="b">
        <f>TRUE</f>
        <v>1</v>
      </c>
      <c r="K113" s="942" t="b">
        <f>TRUE</f>
        <v>1</v>
      </c>
      <c r="L113" s="943" t="str">
        <f t="shared" si="11"/>
        <v>netaik.</v>
      </c>
      <c r="M113" s="944" t="str">
        <f t="shared" si="12"/>
        <v>netaik.</v>
      </c>
      <c r="N113" s="375" t="str">
        <f t="shared" si="19"/>
        <v>netaik.</v>
      </c>
      <c r="O113" s="944" t="str">
        <f t="shared" si="8"/>
        <v>netaik.</v>
      </c>
      <c r="P113" s="944" t="str">
        <f t="shared" si="20"/>
        <v>tCO2/TJ</v>
      </c>
      <c r="Q113" s="944">
        <v>1</v>
      </c>
      <c r="R113" s="944">
        <v>1</v>
      </c>
      <c r="S113" s="944" t="str">
        <f t="shared" ref="S113:U140" si="22">EUconst_NA</f>
        <v>netaik.</v>
      </c>
      <c r="T113" s="945" t="str">
        <f t="shared" si="22"/>
        <v>netaik.</v>
      </c>
      <c r="U113" s="946" t="str">
        <f t="shared" si="22"/>
        <v>netaik.</v>
      </c>
      <c r="W113" s="348"/>
    </row>
    <row r="114" spans="1:23" x14ac:dyDescent="0.2">
      <c r="A114" s="470" t="str">
        <f>Translations!$B$1035</f>
        <v>Atliekos – Pramoninės atliekos</v>
      </c>
      <c r="B114" s="470" t="s">
        <v>544</v>
      </c>
      <c r="C114" s="363" t="str">
        <f t="shared" si="16"/>
        <v>t</v>
      </c>
      <c r="D114" s="369">
        <v>143</v>
      </c>
      <c r="E114" s="350" t="str">
        <f t="shared" si="17"/>
        <v>tCO2/TJ</v>
      </c>
      <c r="F114" s="369" t="str">
        <f>EUconst_NA</f>
        <v>netaik.</v>
      </c>
      <c r="G114" s="350" t="str">
        <f t="shared" si="18"/>
        <v>GJ/t</v>
      </c>
      <c r="H114" s="369" t="str">
        <f t="shared" si="21"/>
        <v>netaik.</v>
      </c>
      <c r="I114" s="370" t="str">
        <f t="shared" si="21"/>
        <v>netaik.</v>
      </c>
      <c r="J114" s="942" t="b">
        <f>FALSE</f>
        <v>0</v>
      </c>
      <c r="K114" s="942" t="b">
        <v>0</v>
      </c>
      <c r="L114" s="943" t="str">
        <f t="shared" si="11"/>
        <v>netaik.</v>
      </c>
      <c r="M114" s="944" t="str">
        <f t="shared" ref="M114:M164" si="23">EUconst_NA</f>
        <v>netaik.</v>
      </c>
      <c r="N114" s="375" t="str">
        <f t="shared" si="19"/>
        <v>netaik.</v>
      </c>
      <c r="O114" s="944" t="str">
        <f>EUconst_NA</f>
        <v>netaik.</v>
      </c>
      <c r="P114" s="944" t="str">
        <f t="shared" si="20"/>
        <v>tCO2/TJ</v>
      </c>
      <c r="Q114" s="944">
        <v>1</v>
      </c>
      <c r="R114" s="944">
        <v>1</v>
      </c>
      <c r="S114" s="944" t="str">
        <f t="shared" si="22"/>
        <v>netaik.</v>
      </c>
      <c r="T114" s="945" t="str">
        <f t="shared" si="22"/>
        <v>netaik.</v>
      </c>
      <c r="U114" s="946" t="str">
        <f t="shared" si="22"/>
        <v>netaik.</v>
      </c>
      <c r="W114" s="348"/>
    </row>
    <row r="115" spans="1:23" x14ac:dyDescent="0.2">
      <c r="A115" s="470" t="str">
        <f>Translations!$B$1027</f>
        <v>Skystasis – Alyvų atliekos</v>
      </c>
      <c r="B115" s="470" t="s">
        <v>544</v>
      </c>
      <c r="C115" s="363" t="str">
        <f t="shared" si="16"/>
        <v>t</v>
      </c>
      <c r="D115" s="369">
        <v>73.3</v>
      </c>
      <c r="E115" s="350" t="str">
        <f t="shared" si="17"/>
        <v>tCO2/TJ</v>
      </c>
      <c r="F115" s="369">
        <v>40.200000000000003</v>
      </c>
      <c r="G115" s="350" t="str">
        <f t="shared" si="18"/>
        <v>GJ/t</v>
      </c>
      <c r="H115" s="369" t="str">
        <f t="shared" si="21"/>
        <v>netaik.</v>
      </c>
      <c r="I115" s="370" t="str">
        <f t="shared" si="21"/>
        <v>netaik.</v>
      </c>
      <c r="J115" s="942" t="b">
        <f>FALSE</f>
        <v>0</v>
      </c>
      <c r="K115" s="942" t="b">
        <v>0</v>
      </c>
      <c r="L115" s="943" t="str">
        <f t="shared" si="11"/>
        <v>netaik.</v>
      </c>
      <c r="M115" s="944" t="str">
        <f t="shared" si="23"/>
        <v>netaik.</v>
      </c>
      <c r="N115" s="375" t="str">
        <f t="shared" si="19"/>
        <v>netaik.</v>
      </c>
      <c r="O115" s="944" t="str">
        <f>EUconst_NA</f>
        <v>netaik.</v>
      </c>
      <c r="P115" s="944" t="str">
        <f t="shared" si="20"/>
        <v>tCO2/TJ</v>
      </c>
      <c r="Q115" s="944">
        <v>1</v>
      </c>
      <c r="R115" s="944">
        <v>1</v>
      </c>
      <c r="S115" s="944" t="str">
        <f t="shared" si="22"/>
        <v>netaik.</v>
      </c>
      <c r="T115" s="945" t="str">
        <f t="shared" si="22"/>
        <v>netaik.</v>
      </c>
      <c r="U115" s="946" t="str">
        <f t="shared" si="22"/>
        <v>netaik.</v>
      </c>
      <c r="W115" s="348"/>
    </row>
    <row r="116" spans="1:23" x14ac:dyDescent="0.2">
      <c r="A116" s="470" t="str">
        <f>Translations!$B$1054</f>
        <v>Kietasis – Durpės</v>
      </c>
      <c r="B116" s="470" t="s">
        <v>544</v>
      </c>
      <c r="C116" s="363" t="str">
        <f t="shared" si="16"/>
        <v>t</v>
      </c>
      <c r="D116" s="369">
        <v>106</v>
      </c>
      <c r="E116" s="350" t="str">
        <f t="shared" si="17"/>
        <v>tCO2/TJ</v>
      </c>
      <c r="F116" s="369">
        <v>9.76</v>
      </c>
      <c r="G116" s="350" t="str">
        <f t="shared" si="18"/>
        <v>GJ/t</v>
      </c>
      <c r="H116" s="369" t="str">
        <f t="shared" si="21"/>
        <v>netaik.</v>
      </c>
      <c r="I116" s="370" t="str">
        <f t="shared" si="21"/>
        <v>netaik.</v>
      </c>
      <c r="J116" s="942" t="b">
        <f>FALSE</f>
        <v>0</v>
      </c>
      <c r="K116" s="942" t="b">
        <f>TRUE</f>
        <v>1</v>
      </c>
      <c r="L116" s="943" t="str">
        <f t="shared" si="11"/>
        <v>netaik.</v>
      </c>
      <c r="M116" s="944" t="str">
        <f t="shared" si="23"/>
        <v>netaik.</v>
      </c>
      <c r="N116" s="375" t="str">
        <f t="shared" si="19"/>
        <v>netaik.</v>
      </c>
      <c r="O116" s="944" t="str">
        <f>EUconst_NA</f>
        <v>netaik.</v>
      </c>
      <c r="P116" s="944" t="str">
        <f t="shared" si="20"/>
        <v>tCO2/TJ</v>
      </c>
      <c r="Q116" s="944">
        <v>1</v>
      </c>
      <c r="R116" s="944">
        <v>1</v>
      </c>
      <c r="S116" s="944" t="str">
        <f t="shared" si="22"/>
        <v>netaik.</v>
      </c>
      <c r="T116" s="945" t="str">
        <f t="shared" si="22"/>
        <v>netaik.</v>
      </c>
      <c r="U116" s="946" t="str">
        <f t="shared" si="22"/>
        <v>netaik.</v>
      </c>
      <c r="W116" s="348"/>
    </row>
    <row r="117" spans="1:23" x14ac:dyDescent="0.2">
      <c r="A117" s="470" t="str">
        <f>Translations!$B$1052</f>
        <v>Kietasis – Mediena (ne atliekos)</v>
      </c>
      <c r="B117" s="470" t="s">
        <v>544</v>
      </c>
      <c r="C117" s="363" t="str">
        <f t="shared" si="16"/>
        <v>t</v>
      </c>
      <c r="D117" s="369">
        <v>0</v>
      </c>
      <c r="E117" s="350" t="str">
        <f t="shared" si="17"/>
        <v>tCO2/TJ</v>
      </c>
      <c r="F117" s="369">
        <v>15.6</v>
      </c>
      <c r="G117" s="350" t="str">
        <f t="shared" si="18"/>
        <v>GJ/t</v>
      </c>
      <c r="H117" s="369" t="str">
        <f t="shared" si="21"/>
        <v>netaik.</v>
      </c>
      <c r="I117" s="370" t="str">
        <f t="shared" si="21"/>
        <v>netaik.</v>
      </c>
      <c r="J117" s="942" t="b">
        <f>FALSE</f>
        <v>0</v>
      </c>
      <c r="K117" s="942" t="b">
        <v>0</v>
      </c>
      <c r="L117" s="943" t="str">
        <f t="shared" si="11"/>
        <v>netaik.</v>
      </c>
      <c r="M117" s="944" t="str">
        <f t="shared" si="23"/>
        <v>netaik.</v>
      </c>
      <c r="N117" s="375" t="str">
        <f t="shared" si="19"/>
        <v>netaik.</v>
      </c>
      <c r="O117" s="944" t="str">
        <f>EUconst_NA</f>
        <v>netaik.</v>
      </c>
      <c r="P117" s="944" t="str">
        <f t="shared" si="20"/>
        <v>tCO2/TJ</v>
      </c>
      <c r="Q117" s="944">
        <v>1</v>
      </c>
      <c r="R117" s="944">
        <v>1</v>
      </c>
      <c r="S117" s="944" t="str">
        <f t="shared" si="22"/>
        <v>netaik.</v>
      </c>
      <c r="T117" s="945" t="str">
        <f t="shared" si="22"/>
        <v>netaik.</v>
      </c>
      <c r="U117" s="946" t="str">
        <f t="shared" si="22"/>
        <v>netaik.</v>
      </c>
      <c r="W117" s="348"/>
    </row>
    <row r="118" spans="1:23" x14ac:dyDescent="0.2">
      <c r="A118" s="470" t="str">
        <f>Translations!$B$1053</f>
        <v>Kietasis – Mediena (atliekos)</v>
      </c>
      <c r="B118" s="470" t="s">
        <v>544</v>
      </c>
      <c r="C118" s="363" t="s">
        <v>277</v>
      </c>
      <c r="D118" s="369">
        <v>0</v>
      </c>
      <c r="E118" s="350" t="str">
        <f t="shared" si="17"/>
        <v>tCO2/TJ</v>
      </c>
      <c r="F118" s="369">
        <v>15.6</v>
      </c>
      <c r="G118" s="350" t="str">
        <f t="shared" si="18"/>
        <v>GJ/t</v>
      </c>
      <c r="H118" s="369" t="str">
        <f t="shared" si="21"/>
        <v>netaik.</v>
      </c>
      <c r="I118" s="370" t="str">
        <f t="shared" si="21"/>
        <v>netaik.</v>
      </c>
      <c r="J118" s="942" t="b">
        <f>FALSE</f>
        <v>0</v>
      </c>
      <c r="K118" s="942" t="b">
        <v>0</v>
      </c>
      <c r="L118" s="943" t="str">
        <f t="shared" si="11"/>
        <v>netaik.</v>
      </c>
      <c r="M118" s="944" t="str">
        <f t="shared" si="23"/>
        <v>netaik.</v>
      </c>
      <c r="N118" s="375" t="str">
        <f t="shared" si="19"/>
        <v>netaik.</v>
      </c>
      <c r="O118" s="944" t="str">
        <f>EUconst_NA</f>
        <v>netaik.</v>
      </c>
      <c r="P118" s="944" t="str">
        <f t="shared" si="20"/>
        <v>tCO2/TJ</v>
      </c>
      <c r="Q118" s="944">
        <v>1</v>
      </c>
      <c r="R118" s="944">
        <v>1</v>
      </c>
      <c r="S118" s="944" t="str">
        <f t="shared" si="22"/>
        <v>netaik.</v>
      </c>
      <c r="T118" s="945" t="str">
        <f t="shared" si="22"/>
        <v>netaik.</v>
      </c>
      <c r="U118" s="946" t="str">
        <f t="shared" si="22"/>
        <v>netaik.</v>
      </c>
      <c r="W118" s="348"/>
    </row>
    <row r="119" spans="1:23" x14ac:dyDescent="0.2">
      <c r="A119" s="470" t="str">
        <f>Translations!$B$1145</f>
        <v>Kietasis – Kitų rūšių kietoji biomasė</v>
      </c>
      <c r="B119" s="470" t="s">
        <v>544</v>
      </c>
      <c r="C119" s="363" t="str">
        <f t="shared" si="16"/>
        <v>t</v>
      </c>
      <c r="D119" s="369">
        <v>0</v>
      </c>
      <c r="E119" s="350" t="str">
        <f t="shared" si="17"/>
        <v>tCO2/TJ</v>
      </c>
      <c r="F119" s="369">
        <v>11.6</v>
      </c>
      <c r="G119" s="350" t="str">
        <f t="shared" si="18"/>
        <v>GJ/t</v>
      </c>
      <c r="H119" s="369" t="str">
        <f t="shared" si="21"/>
        <v>netaik.</v>
      </c>
      <c r="I119" s="370" t="str">
        <f t="shared" si="21"/>
        <v>netaik.</v>
      </c>
      <c r="J119" s="942" t="b">
        <f>FALSE</f>
        <v>0</v>
      </c>
      <c r="K119" s="942" t="b">
        <v>0</v>
      </c>
      <c r="L119" s="943" t="str">
        <f t="shared" si="11"/>
        <v>netaik.</v>
      </c>
      <c r="M119" s="944" t="str">
        <f t="shared" si="23"/>
        <v>netaik.</v>
      </c>
      <c r="N119" s="375" t="str">
        <f t="shared" si="19"/>
        <v>netaik.</v>
      </c>
      <c r="O119" s="944" t="str">
        <f t="shared" ref="O119:O164" si="24">EUconst_NA</f>
        <v>netaik.</v>
      </c>
      <c r="P119" s="944" t="str">
        <f t="shared" si="20"/>
        <v>tCO2/TJ</v>
      </c>
      <c r="Q119" s="944">
        <v>1</v>
      </c>
      <c r="R119" s="944">
        <v>1</v>
      </c>
      <c r="S119" s="944" t="str">
        <f t="shared" si="22"/>
        <v>netaik.</v>
      </c>
      <c r="T119" s="945" t="str">
        <f t="shared" si="22"/>
        <v>netaik.</v>
      </c>
      <c r="U119" s="946" t="str">
        <f t="shared" si="22"/>
        <v>netaik.</v>
      </c>
      <c r="W119" s="348"/>
    </row>
    <row r="120" spans="1:23" x14ac:dyDescent="0.2">
      <c r="A120" s="470" t="str">
        <f>Translations!$B$1058</f>
        <v>Kietasis – Medžio anglys</v>
      </c>
      <c r="B120" s="470" t="s">
        <v>544</v>
      </c>
      <c r="C120" s="363" t="str">
        <f t="shared" si="16"/>
        <v>t</v>
      </c>
      <c r="D120" s="369">
        <v>0</v>
      </c>
      <c r="E120" s="350" t="str">
        <f t="shared" si="17"/>
        <v>tCO2/TJ</v>
      </c>
      <c r="F120" s="369">
        <v>29.5</v>
      </c>
      <c r="G120" s="350" t="str">
        <f t="shared" si="18"/>
        <v>GJ/t</v>
      </c>
      <c r="H120" s="369" t="str">
        <f t="shared" si="21"/>
        <v>netaik.</v>
      </c>
      <c r="I120" s="370" t="str">
        <f t="shared" si="21"/>
        <v>netaik.</v>
      </c>
      <c r="J120" s="942" t="b">
        <f>FALSE</f>
        <v>0</v>
      </c>
      <c r="K120" s="942" t="b">
        <v>0</v>
      </c>
      <c r="L120" s="943" t="str">
        <f t="shared" si="11"/>
        <v>netaik.</v>
      </c>
      <c r="M120" s="944" t="str">
        <f t="shared" si="23"/>
        <v>netaik.</v>
      </c>
      <c r="N120" s="375" t="str">
        <f t="shared" si="19"/>
        <v>netaik.</v>
      </c>
      <c r="O120" s="944" t="str">
        <f t="shared" si="24"/>
        <v>netaik.</v>
      </c>
      <c r="P120" s="944" t="str">
        <f t="shared" si="20"/>
        <v>tCO2/TJ</v>
      </c>
      <c r="Q120" s="944">
        <v>1</v>
      </c>
      <c r="R120" s="944">
        <v>1</v>
      </c>
      <c r="S120" s="944" t="str">
        <f t="shared" si="22"/>
        <v>netaik.</v>
      </c>
      <c r="T120" s="945" t="str">
        <f t="shared" si="22"/>
        <v>netaik.</v>
      </c>
      <c r="U120" s="946" t="str">
        <f t="shared" si="22"/>
        <v>netaik.</v>
      </c>
      <c r="W120" s="348"/>
    </row>
    <row r="121" spans="1:23" x14ac:dyDescent="0.2">
      <c r="A121" s="470" t="str">
        <f>Translations!$B$1028</f>
        <v>Skystasis – Biobenzinas</v>
      </c>
      <c r="B121" s="470" t="s">
        <v>544</v>
      </c>
      <c r="C121" s="363" t="str">
        <f t="shared" si="16"/>
        <v>t</v>
      </c>
      <c r="D121" s="369">
        <v>0</v>
      </c>
      <c r="E121" s="350" t="str">
        <f t="shared" si="17"/>
        <v>tCO2/TJ</v>
      </c>
      <c r="F121" s="369">
        <v>27</v>
      </c>
      <c r="G121" s="350" t="str">
        <f t="shared" si="18"/>
        <v>GJ/t</v>
      </c>
      <c r="H121" s="369" t="str">
        <f t="shared" si="21"/>
        <v>netaik.</v>
      </c>
      <c r="I121" s="370" t="str">
        <f t="shared" si="21"/>
        <v>netaik.</v>
      </c>
      <c r="J121" s="942" t="b">
        <f>FALSE</f>
        <v>0</v>
      </c>
      <c r="K121" s="942" t="b">
        <v>0</v>
      </c>
      <c r="L121" s="943" t="str">
        <f t="shared" si="11"/>
        <v>netaik.</v>
      </c>
      <c r="M121" s="944" t="str">
        <f t="shared" si="23"/>
        <v>netaik.</v>
      </c>
      <c r="N121" s="375" t="str">
        <f t="shared" si="19"/>
        <v>netaik.</v>
      </c>
      <c r="O121" s="944" t="str">
        <f t="shared" si="24"/>
        <v>netaik.</v>
      </c>
      <c r="P121" s="944" t="str">
        <f t="shared" si="20"/>
        <v>tCO2/TJ</v>
      </c>
      <c r="Q121" s="944">
        <v>1</v>
      </c>
      <c r="R121" s="944">
        <v>1</v>
      </c>
      <c r="S121" s="944" t="str">
        <f t="shared" si="22"/>
        <v>netaik.</v>
      </c>
      <c r="T121" s="945" t="str">
        <f t="shared" si="22"/>
        <v>netaik.</v>
      </c>
      <c r="U121" s="946" t="str">
        <f t="shared" si="22"/>
        <v>netaik.</v>
      </c>
      <c r="W121" s="348"/>
    </row>
    <row r="122" spans="1:23" x14ac:dyDescent="0.2">
      <c r="A122" s="470" t="str">
        <f>Translations!$B$1029</f>
        <v>Skystasi – Biodyzelinas</v>
      </c>
      <c r="B122" s="470" t="s">
        <v>544</v>
      </c>
      <c r="C122" s="363" t="str">
        <f t="shared" si="16"/>
        <v>t</v>
      </c>
      <c r="D122" s="369">
        <v>0</v>
      </c>
      <c r="E122" s="350" t="str">
        <f t="shared" si="17"/>
        <v>tCO2/TJ</v>
      </c>
      <c r="F122" s="369">
        <v>27</v>
      </c>
      <c r="G122" s="350" t="str">
        <f t="shared" si="18"/>
        <v>GJ/t</v>
      </c>
      <c r="H122" s="369" t="str">
        <f t="shared" si="21"/>
        <v>netaik.</v>
      </c>
      <c r="I122" s="370" t="str">
        <f t="shared" si="21"/>
        <v>netaik.</v>
      </c>
      <c r="J122" s="942" t="b">
        <f>FALSE</f>
        <v>0</v>
      </c>
      <c r="K122" s="942" t="b">
        <v>0</v>
      </c>
      <c r="L122" s="943" t="str">
        <f t="shared" si="11"/>
        <v>netaik.</v>
      </c>
      <c r="M122" s="944" t="str">
        <f t="shared" si="23"/>
        <v>netaik.</v>
      </c>
      <c r="N122" s="375" t="str">
        <f t="shared" si="19"/>
        <v>netaik.</v>
      </c>
      <c r="O122" s="944" t="str">
        <f t="shared" si="24"/>
        <v>netaik.</v>
      </c>
      <c r="P122" s="944" t="str">
        <f t="shared" si="20"/>
        <v>tCO2/TJ</v>
      </c>
      <c r="Q122" s="944">
        <v>1</v>
      </c>
      <c r="R122" s="944">
        <v>1</v>
      </c>
      <c r="S122" s="944" t="str">
        <f t="shared" si="22"/>
        <v>netaik.</v>
      </c>
      <c r="T122" s="945" t="str">
        <f t="shared" si="22"/>
        <v>netaik.</v>
      </c>
      <c r="U122" s="946" t="str">
        <f t="shared" si="22"/>
        <v>netaik.</v>
      </c>
      <c r="W122" s="348"/>
    </row>
    <row r="123" spans="1:23" x14ac:dyDescent="0.2">
      <c r="A123" s="470" t="str">
        <f>Translations!$B$1146</f>
        <v>Skystasis – Kitų rūšių skystoji biomasė</v>
      </c>
      <c r="B123" s="470" t="s">
        <v>544</v>
      </c>
      <c r="C123" s="363" t="str">
        <f t="shared" si="16"/>
        <v>t</v>
      </c>
      <c r="D123" s="369">
        <v>0</v>
      </c>
      <c r="E123" s="350" t="str">
        <f t="shared" si="17"/>
        <v>tCO2/TJ</v>
      </c>
      <c r="F123" s="369">
        <v>27.4</v>
      </c>
      <c r="G123" s="350" t="str">
        <f t="shared" si="18"/>
        <v>GJ/t</v>
      </c>
      <c r="H123" s="369" t="str">
        <f t="shared" si="21"/>
        <v>netaik.</v>
      </c>
      <c r="I123" s="370" t="str">
        <f t="shared" si="21"/>
        <v>netaik.</v>
      </c>
      <c r="J123" s="942" t="b">
        <f>FALSE</f>
        <v>0</v>
      </c>
      <c r="K123" s="942" t="b">
        <v>0</v>
      </c>
      <c r="L123" s="943" t="str">
        <f t="shared" si="11"/>
        <v>netaik.</v>
      </c>
      <c r="M123" s="944" t="str">
        <f t="shared" si="23"/>
        <v>netaik.</v>
      </c>
      <c r="N123" s="375" t="str">
        <f t="shared" si="19"/>
        <v>netaik.</v>
      </c>
      <c r="O123" s="944" t="str">
        <f t="shared" si="24"/>
        <v>netaik.</v>
      </c>
      <c r="P123" s="944" t="str">
        <f t="shared" si="20"/>
        <v>tCO2/TJ</v>
      </c>
      <c r="Q123" s="944">
        <v>1</v>
      </c>
      <c r="R123" s="944">
        <v>1</v>
      </c>
      <c r="S123" s="944" t="str">
        <f t="shared" si="22"/>
        <v>netaik.</v>
      </c>
      <c r="T123" s="945" t="str">
        <f t="shared" si="22"/>
        <v>netaik.</v>
      </c>
      <c r="U123" s="946" t="str">
        <f t="shared" si="22"/>
        <v>netaik.</v>
      </c>
      <c r="W123" s="348"/>
    </row>
    <row r="124" spans="1:23" x14ac:dyDescent="0.2">
      <c r="A124" s="470" t="str">
        <f>Translations!$B$1006</f>
        <v>Dujinis – Sąvartynų dujos</v>
      </c>
      <c r="B124" s="470" t="s">
        <v>544</v>
      </c>
      <c r="C124" s="363" t="str">
        <f t="shared" si="16"/>
        <v>t</v>
      </c>
      <c r="D124" s="369">
        <v>0</v>
      </c>
      <c r="E124" s="350" t="str">
        <f t="shared" si="17"/>
        <v>tCO2/TJ</v>
      </c>
      <c r="F124" s="369">
        <v>50.4</v>
      </c>
      <c r="G124" s="350" t="str">
        <f t="shared" si="18"/>
        <v>GJ/t</v>
      </c>
      <c r="H124" s="369" t="str">
        <f t="shared" si="21"/>
        <v>netaik.</v>
      </c>
      <c r="I124" s="370" t="str">
        <f t="shared" si="21"/>
        <v>netaik.</v>
      </c>
      <c r="J124" s="942" t="b">
        <f>FALSE</f>
        <v>0</v>
      </c>
      <c r="K124" s="942" t="b">
        <v>0</v>
      </c>
      <c r="L124" s="943" t="str">
        <f t="shared" si="11"/>
        <v>netaik.</v>
      </c>
      <c r="M124" s="944" t="str">
        <f t="shared" si="23"/>
        <v>netaik.</v>
      </c>
      <c r="N124" s="375" t="str">
        <f t="shared" si="19"/>
        <v>netaik.</v>
      </c>
      <c r="O124" s="944" t="str">
        <f t="shared" si="24"/>
        <v>netaik.</v>
      </c>
      <c r="P124" s="944" t="str">
        <f t="shared" si="20"/>
        <v>tCO2/TJ</v>
      </c>
      <c r="Q124" s="944">
        <v>1</v>
      </c>
      <c r="R124" s="944">
        <v>1</v>
      </c>
      <c r="S124" s="944" t="str">
        <f t="shared" si="22"/>
        <v>netaik.</v>
      </c>
      <c r="T124" s="945" t="str">
        <f t="shared" si="22"/>
        <v>netaik.</v>
      </c>
      <c r="U124" s="946" t="str">
        <f t="shared" si="22"/>
        <v>netaik.</v>
      </c>
      <c r="W124" s="348"/>
    </row>
    <row r="125" spans="1:23" x14ac:dyDescent="0.2">
      <c r="A125" s="470" t="str">
        <f>Translations!$B$1005</f>
        <v>Dujinis – Dumblo dujos</v>
      </c>
      <c r="B125" s="470" t="s">
        <v>544</v>
      </c>
      <c r="C125" s="363" t="str">
        <f t="shared" si="16"/>
        <v>t</v>
      </c>
      <c r="D125" s="369">
        <v>0</v>
      </c>
      <c r="E125" s="350" t="str">
        <f t="shared" si="17"/>
        <v>tCO2/TJ</v>
      </c>
      <c r="F125" s="369">
        <v>50.4</v>
      </c>
      <c r="G125" s="350" t="str">
        <f t="shared" si="18"/>
        <v>GJ/t</v>
      </c>
      <c r="H125" s="369" t="str">
        <f t="shared" si="21"/>
        <v>netaik.</v>
      </c>
      <c r="I125" s="370" t="str">
        <f t="shared" si="21"/>
        <v>netaik.</v>
      </c>
      <c r="J125" s="942" t="b">
        <f>FALSE</f>
        <v>0</v>
      </c>
      <c r="K125" s="942" t="b">
        <v>0</v>
      </c>
      <c r="L125" s="943" t="str">
        <f t="shared" si="11"/>
        <v>netaik.</v>
      </c>
      <c r="M125" s="944" t="str">
        <f t="shared" si="23"/>
        <v>netaik.</v>
      </c>
      <c r="N125" s="375" t="str">
        <f t="shared" si="19"/>
        <v>netaik.</v>
      </c>
      <c r="O125" s="944" t="str">
        <f t="shared" si="24"/>
        <v>netaik.</v>
      </c>
      <c r="P125" s="944" t="str">
        <f t="shared" si="20"/>
        <v>tCO2/TJ</v>
      </c>
      <c r="Q125" s="944">
        <v>1</v>
      </c>
      <c r="R125" s="944">
        <v>1</v>
      </c>
      <c r="S125" s="944" t="str">
        <f t="shared" si="22"/>
        <v>netaik.</v>
      </c>
      <c r="T125" s="945" t="str">
        <f t="shared" si="22"/>
        <v>netaik.</v>
      </c>
      <c r="U125" s="946" t="str">
        <f t="shared" si="22"/>
        <v>netaik.</v>
      </c>
      <c r="W125" s="348"/>
    </row>
    <row r="126" spans="1:23" x14ac:dyDescent="0.2">
      <c r="A126" s="470" t="str">
        <f>Translations!$B$1147</f>
        <v>Dujinis – Kitų rūšių dujinė biomasė</v>
      </c>
      <c r="B126" s="470" t="s">
        <v>544</v>
      </c>
      <c r="C126" s="363" t="str">
        <f t="shared" si="16"/>
        <v>t</v>
      </c>
      <c r="D126" s="369">
        <v>0</v>
      </c>
      <c r="E126" s="350" t="str">
        <f t="shared" si="17"/>
        <v>tCO2/TJ</v>
      </c>
      <c r="F126" s="369">
        <v>50.4</v>
      </c>
      <c r="G126" s="350" t="str">
        <f t="shared" si="18"/>
        <v>GJ/t</v>
      </c>
      <c r="H126" s="369" t="str">
        <f t="shared" si="21"/>
        <v>netaik.</v>
      </c>
      <c r="I126" s="370" t="str">
        <f t="shared" si="21"/>
        <v>netaik.</v>
      </c>
      <c r="J126" s="942" t="b">
        <f>FALSE</f>
        <v>0</v>
      </c>
      <c r="K126" s="942" t="b">
        <v>0</v>
      </c>
      <c r="L126" s="943" t="str">
        <f t="shared" si="11"/>
        <v>netaik.</v>
      </c>
      <c r="M126" s="944" t="str">
        <f t="shared" si="23"/>
        <v>netaik.</v>
      </c>
      <c r="N126" s="375" t="str">
        <f t="shared" si="19"/>
        <v>netaik.</v>
      </c>
      <c r="O126" s="944" t="str">
        <f t="shared" si="24"/>
        <v>netaik.</v>
      </c>
      <c r="P126" s="944" t="str">
        <f t="shared" si="20"/>
        <v>tCO2/TJ</v>
      </c>
      <c r="Q126" s="944">
        <v>1</v>
      </c>
      <c r="R126" s="944">
        <v>1</v>
      </c>
      <c r="S126" s="944" t="str">
        <f t="shared" si="22"/>
        <v>netaik.</v>
      </c>
      <c r="T126" s="945" t="str">
        <f t="shared" si="22"/>
        <v>netaik.</v>
      </c>
      <c r="U126" s="946" t="str">
        <f t="shared" si="22"/>
        <v>netaik.</v>
      </c>
      <c r="W126" s="348"/>
    </row>
    <row r="127" spans="1:23" x14ac:dyDescent="0.2">
      <c r="A127" s="470" t="str">
        <f>Translations!$B$1059</f>
        <v>Kietasis – Panaudos padangos</v>
      </c>
      <c r="B127" s="470" t="s">
        <v>544</v>
      </c>
      <c r="C127" s="363" t="str">
        <f t="shared" si="16"/>
        <v>t</v>
      </c>
      <c r="D127" s="369">
        <v>85</v>
      </c>
      <c r="E127" s="350" t="str">
        <f t="shared" si="17"/>
        <v>tCO2/TJ</v>
      </c>
      <c r="F127" s="369" t="str">
        <f>EUconst_NA</f>
        <v>netaik.</v>
      </c>
      <c r="G127" s="350" t="str">
        <f t="shared" si="18"/>
        <v>GJ/t</v>
      </c>
      <c r="H127" s="369" t="str">
        <f t="shared" si="21"/>
        <v>netaik.</v>
      </c>
      <c r="I127" s="370" t="str">
        <f t="shared" si="21"/>
        <v>netaik.</v>
      </c>
      <c r="J127" s="942" t="b">
        <f>FALSE</f>
        <v>0</v>
      </c>
      <c r="K127" s="942" t="b">
        <v>0</v>
      </c>
      <c r="L127" s="943" t="str">
        <f t="shared" si="11"/>
        <v>netaik.</v>
      </c>
      <c r="M127" s="944" t="str">
        <f t="shared" si="23"/>
        <v>netaik.</v>
      </c>
      <c r="N127" s="375" t="str">
        <f t="shared" si="19"/>
        <v>netaik.</v>
      </c>
      <c r="O127" s="944" t="str">
        <f t="shared" si="24"/>
        <v>netaik.</v>
      </c>
      <c r="P127" s="944" t="str">
        <f t="shared" si="20"/>
        <v>tCO2/TJ</v>
      </c>
      <c r="Q127" s="944">
        <v>1</v>
      </c>
      <c r="R127" s="944">
        <v>1</v>
      </c>
      <c r="S127" s="944" t="str">
        <f t="shared" si="22"/>
        <v>netaik.</v>
      </c>
      <c r="T127" s="945" t="str">
        <f t="shared" si="22"/>
        <v>netaik.</v>
      </c>
      <c r="U127" s="946" t="str">
        <f t="shared" si="22"/>
        <v>netaik.</v>
      </c>
      <c r="W127" s="348"/>
    </row>
    <row r="128" spans="1:23" x14ac:dyDescent="0.2">
      <c r="A128" s="470" t="str">
        <f>Translations!$B$1007</f>
        <v>Dujinis – Anglies monoksidas</v>
      </c>
      <c r="B128" s="470" t="s">
        <v>544</v>
      </c>
      <c r="C128" s="363" t="str">
        <f t="shared" si="16"/>
        <v>t</v>
      </c>
      <c r="D128" s="369">
        <v>155.19999999999999</v>
      </c>
      <c r="E128" s="350" t="str">
        <f t="shared" si="17"/>
        <v>tCO2/TJ</v>
      </c>
      <c r="F128" s="369">
        <v>10.1</v>
      </c>
      <c r="G128" s="350" t="str">
        <f t="shared" si="18"/>
        <v>GJ/t</v>
      </c>
      <c r="H128" s="369" t="str">
        <f t="shared" si="21"/>
        <v>netaik.</v>
      </c>
      <c r="I128" s="370" t="str">
        <f t="shared" si="21"/>
        <v>netaik.</v>
      </c>
      <c r="J128" s="942" t="b">
        <f>TRUE</f>
        <v>1</v>
      </c>
      <c r="K128" s="942" t="b">
        <v>1</v>
      </c>
      <c r="L128" s="943" t="str">
        <f t="shared" si="11"/>
        <v>netaik.</v>
      </c>
      <c r="M128" s="944" t="str">
        <f t="shared" si="23"/>
        <v>netaik.</v>
      </c>
      <c r="N128" s="375" t="str">
        <f t="shared" si="19"/>
        <v>netaik.</v>
      </c>
      <c r="O128" s="944" t="str">
        <f t="shared" si="24"/>
        <v>netaik.</v>
      </c>
      <c r="P128" s="944" t="str">
        <f t="shared" si="20"/>
        <v>tCO2/TJ</v>
      </c>
      <c r="Q128" s="944">
        <v>1</v>
      </c>
      <c r="R128" s="944">
        <v>1</v>
      </c>
      <c r="S128" s="944" t="str">
        <f t="shared" si="22"/>
        <v>netaik.</v>
      </c>
      <c r="T128" s="945" t="str">
        <f t="shared" si="22"/>
        <v>netaik.</v>
      </c>
      <c r="U128" s="946" t="str">
        <f t="shared" si="22"/>
        <v>netaik.</v>
      </c>
      <c r="W128" s="348"/>
    </row>
    <row r="129" spans="1:25" x14ac:dyDescent="0.2">
      <c r="A129" s="470" t="str">
        <f>Translations!$B$1008</f>
        <v>Dujinis – Metanas</v>
      </c>
      <c r="B129" s="470" t="s">
        <v>544</v>
      </c>
      <c r="C129" s="363" t="str">
        <f t="shared" si="16"/>
        <v>t</v>
      </c>
      <c r="D129" s="369">
        <v>54.9</v>
      </c>
      <c r="E129" s="350" t="str">
        <f t="shared" si="17"/>
        <v>tCO2/TJ</v>
      </c>
      <c r="F129" s="369">
        <v>50</v>
      </c>
      <c r="G129" s="350" t="str">
        <f t="shared" si="18"/>
        <v>GJ/t</v>
      </c>
      <c r="H129" s="369">
        <v>0.749</v>
      </c>
      <c r="I129" s="370" t="str">
        <f>EUconst_tCpt</f>
        <v>t C/t</v>
      </c>
      <c r="J129" s="942" t="b">
        <f>TRUE</f>
        <v>1</v>
      </c>
      <c r="K129" s="942" t="b">
        <v>1</v>
      </c>
      <c r="L129" s="943" t="str">
        <f t="shared" si="11"/>
        <v>netaik.</v>
      </c>
      <c r="M129" s="944" t="str">
        <f t="shared" si="23"/>
        <v>netaik.</v>
      </c>
      <c r="N129" s="375" t="str">
        <f t="shared" si="19"/>
        <v>netaik.</v>
      </c>
      <c r="O129" s="944" t="str">
        <f t="shared" si="24"/>
        <v>netaik.</v>
      </c>
      <c r="P129" s="944" t="str">
        <f t="shared" si="20"/>
        <v>tCO2/TJ</v>
      </c>
      <c r="Q129" s="944">
        <v>1</v>
      </c>
      <c r="R129" s="944">
        <v>1</v>
      </c>
      <c r="S129" s="944" t="str">
        <f t="shared" si="22"/>
        <v>netaik.</v>
      </c>
      <c r="T129" s="945" t="str">
        <f t="shared" si="22"/>
        <v>netaik.</v>
      </c>
      <c r="U129" s="946" t="str">
        <f t="shared" si="22"/>
        <v>netaik.</v>
      </c>
      <c r="W129" s="348"/>
    </row>
    <row r="130" spans="1:25" x14ac:dyDescent="0.2">
      <c r="A130" s="905" t="str">
        <f t="shared" ref="A130:B139" si="25">EUconst_NA</f>
        <v>netaik.</v>
      </c>
      <c r="B130" s="889" t="str">
        <f t="shared" si="25"/>
        <v>netaik.</v>
      </c>
      <c r="C130" s="890" t="str">
        <f t="shared" si="16"/>
        <v>t</v>
      </c>
      <c r="D130" s="369" t="str">
        <f t="shared" ref="D130:G139" si="26">EUconst_NA</f>
        <v>netaik.</v>
      </c>
      <c r="E130" s="369" t="str">
        <f t="shared" si="26"/>
        <v>netaik.</v>
      </c>
      <c r="F130" s="369" t="str">
        <f t="shared" si="26"/>
        <v>netaik.</v>
      </c>
      <c r="G130" s="369" t="str">
        <f t="shared" si="26"/>
        <v>netaik.</v>
      </c>
      <c r="H130" s="369" t="str">
        <f t="shared" si="21"/>
        <v>netaik.</v>
      </c>
      <c r="I130" s="370" t="str">
        <f t="shared" si="21"/>
        <v>netaik.</v>
      </c>
      <c r="J130" s="942" t="b">
        <f>TRUE</f>
        <v>1</v>
      </c>
      <c r="K130" s="947" t="b">
        <f>TRUE</f>
        <v>1</v>
      </c>
      <c r="L130" s="948" t="str">
        <f t="shared" si="11"/>
        <v>netaik.</v>
      </c>
      <c r="M130" s="949" t="str">
        <f t="shared" si="23"/>
        <v>netaik.</v>
      </c>
      <c r="N130" s="878" t="str">
        <f t="shared" si="19"/>
        <v>netaik.</v>
      </c>
      <c r="O130" s="949" t="str">
        <f t="shared" si="24"/>
        <v>netaik.</v>
      </c>
      <c r="P130" s="949" t="str">
        <f t="shared" ref="P130:R139" si="27">EUconst_NA</f>
        <v>netaik.</v>
      </c>
      <c r="Q130" s="949" t="str">
        <f t="shared" si="27"/>
        <v>netaik.</v>
      </c>
      <c r="R130" s="949" t="str">
        <f t="shared" si="27"/>
        <v>netaik.</v>
      </c>
      <c r="S130" s="949" t="str">
        <f t="shared" si="22"/>
        <v>netaik.</v>
      </c>
      <c r="T130" s="950" t="str">
        <f t="shared" si="22"/>
        <v>netaik.</v>
      </c>
      <c r="U130" s="951" t="str">
        <f t="shared" si="22"/>
        <v>netaik.</v>
      </c>
      <c r="W130" s="348"/>
    </row>
    <row r="131" spans="1:25" x14ac:dyDescent="0.2">
      <c r="A131" s="905" t="str">
        <f t="shared" si="25"/>
        <v>netaik.</v>
      </c>
      <c r="B131" s="889" t="str">
        <f t="shared" si="25"/>
        <v>netaik.</v>
      </c>
      <c r="C131" s="890" t="str">
        <f t="shared" si="16"/>
        <v>t</v>
      </c>
      <c r="D131" s="369" t="str">
        <f t="shared" si="26"/>
        <v>netaik.</v>
      </c>
      <c r="E131" s="369" t="str">
        <f t="shared" si="26"/>
        <v>netaik.</v>
      </c>
      <c r="F131" s="369" t="str">
        <f t="shared" si="26"/>
        <v>netaik.</v>
      </c>
      <c r="G131" s="369" t="str">
        <f t="shared" si="26"/>
        <v>netaik.</v>
      </c>
      <c r="H131" s="369" t="str">
        <f t="shared" ref="H131:I139" si="28">EUconst_NA</f>
        <v>netaik.</v>
      </c>
      <c r="I131" s="370" t="str">
        <f t="shared" si="28"/>
        <v>netaik.</v>
      </c>
      <c r="J131" s="947" t="b">
        <f>FALSE</f>
        <v>0</v>
      </c>
      <c r="K131" s="947" t="b">
        <f>TRUE</f>
        <v>1</v>
      </c>
      <c r="L131" s="948" t="str">
        <f t="shared" si="11"/>
        <v>netaik.</v>
      </c>
      <c r="M131" s="949" t="str">
        <f t="shared" si="23"/>
        <v>netaik.</v>
      </c>
      <c r="N131" s="878" t="str">
        <f t="shared" si="19"/>
        <v>netaik.</v>
      </c>
      <c r="O131" s="949" t="str">
        <f t="shared" si="24"/>
        <v>netaik.</v>
      </c>
      <c r="P131" s="949" t="str">
        <f t="shared" si="27"/>
        <v>netaik.</v>
      </c>
      <c r="Q131" s="949" t="str">
        <f t="shared" si="27"/>
        <v>netaik.</v>
      </c>
      <c r="R131" s="949" t="str">
        <f t="shared" si="27"/>
        <v>netaik.</v>
      </c>
      <c r="S131" s="949" t="str">
        <f t="shared" si="22"/>
        <v>netaik.</v>
      </c>
      <c r="T131" s="950" t="str">
        <f t="shared" si="22"/>
        <v>netaik.</v>
      </c>
      <c r="U131" s="951" t="str">
        <f t="shared" si="22"/>
        <v>netaik.</v>
      </c>
      <c r="W131" s="348"/>
    </row>
    <row r="132" spans="1:25" x14ac:dyDescent="0.2">
      <c r="A132" s="905" t="str">
        <f t="shared" si="25"/>
        <v>netaik.</v>
      </c>
      <c r="B132" s="889" t="str">
        <f t="shared" si="25"/>
        <v>netaik.</v>
      </c>
      <c r="C132" s="890" t="str">
        <f t="shared" si="16"/>
        <v>t</v>
      </c>
      <c r="D132" s="369" t="str">
        <f t="shared" si="26"/>
        <v>netaik.</v>
      </c>
      <c r="E132" s="369" t="str">
        <f t="shared" si="26"/>
        <v>netaik.</v>
      </c>
      <c r="F132" s="369" t="str">
        <f t="shared" si="26"/>
        <v>netaik.</v>
      </c>
      <c r="G132" s="369" t="str">
        <f t="shared" si="26"/>
        <v>netaik.</v>
      </c>
      <c r="H132" s="369" t="str">
        <f t="shared" si="28"/>
        <v>netaik.</v>
      </c>
      <c r="I132" s="370" t="str">
        <f t="shared" si="28"/>
        <v>netaik.</v>
      </c>
      <c r="J132" s="947" t="b">
        <f>FALSE</f>
        <v>0</v>
      </c>
      <c r="K132" s="947" t="b">
        <f>TRUE</f>
        <v>1</v>
      </c>
      <c r="L132" s="948" t="str">
        <f t="shared" si="11"/>
        <v>netaik.</v>
      </c>
      <c r="M132" s="949" t="str">
        <f t="shared" si="23"/>
        <v>netaik.</v>
      </c>
      <c r="N132" s="878" t="str">
        <f t="shared" si="19"/>
        <v>netaik.</v>
      </c>
      <c r="O132" s="949" t="str">
        <f t="shared" si="24"/>
        <v>netaik.</v>
      </c>
      <c r="P132" s="949" t="str">
        <f t="shared" si="27"/>
        <v>netaik.</v>
      </c>
      <c r="Q132" s="949" t="str">
        <f t="shared" si="27"/>
        <v>netaik.</v>
      </c>
      <c r="R132" s="949" t="str">
        <f t="shared" si="27"/>
        <v>netaik.</v>
      </c>
      <c r="S132" s="949" t="str">
        <f t="shared" si="22"/>
        <v>netaik.</v>
      </c>
      <c r="T132" s="950" t="str">
        <f t="shared" si="22"/>
        <v>netaik.</v>
      </c>
      <c r="U132" s="951" t="str">
        <f t="shared" si="22"/>
        <v>netaik.</v>
      </c>
      <c r="W132" s="348"/>
    </row>
    <row r="133" spans="1:25" x14ac:dyDescent="0.2">
      <c r="A133" s="905" t="str">
        <f t="shared" si="25"/>
        <v>netaik.</v>
      </c>
      <c r="B133" s="889" t="str">
        <f t="shared" si="25"/>
        <v>netaik.</v>
      </c>
      <c r="C133" s="890" t="str">
        <f t="shared" si="16"/>
        <v>t</v>
      </c>
      <c r="D133" s="369" t="str">
        <f t="shared" si="26"/>
        <v>netaik.</v>
      </c>
      <c r="E133" s="369" t="str">
        <f t="shared" si="26"/>
        <v>netaik.</v>
      </c>
      <c r="F133" s="369" t="str">
        <f t="shared" si="26"/>
        <v>netaik.</v>
      </c>
      <c r="G133" s="369" t="str">
        <f t="shared" si="26"/>
        <v>netaik.</v>
      </c>
      <c r="H133" s="369" t="str">
        <f t="shared" si="28"/>
        <v>netaik.</v>
      </c>
      <c r="I133" s="370" t="str">
        <f t="shared" si="28"/>
        <v>netaik.</v>
      </c>
      <c r="J133" s="947" t="b">
        <f>FALSE</f>
        <v>0</v>
      </c>
      <c r="K133" s="947" t="b">
        <f>TRUE</f>
        <v>1</v>
      </c>
      <c r="L133" s="948" t="str">
        <f t="shared" si="11"/>
        <v>netaik.</v>
      </c>
      <c r="M133" s="949" t="str">
        <f t="shared" si="23"/>
        <v>netaik.</v>
      </c>
      <c r="N133" s="878" t="str">
        <f t="shared" si="19"/>
        <v>netaik.</v>
      </c>
      <c r="O133" s="949" t="str">
        <f t="shared" si="24"/>
        <v>netaik.</v>
      </c>
      <c r="P133" s="949" t="str">
        <f t="shared" si="27"/>
        <v>netaik.</v>
      </c>
      <c r="Q133" s="949" t="str">
        <f t="shared" si="27"/>
        <v>netaik.</v>
      </c>
      <c r="R133" s="949" t="str">
        <f t="shared" si="27"/>
        <v>netaik.</v>
      </c>
      <c r="S133" s="949" t="str">
        <f t="shared" si="22"/>
        <v>netaik.</v>
      </c>
      <c r="T133" s="950" t="str">
        <f t="shared" si="22"/>
        <v>netaik.</v>
      </c>
      <c r="U133" s="951" t="str">
        <f t="shared" si="22"/>
        <v>netaik.</v>
      </c>
      <c r="W133" s="348"/>
    </row>
    <row r="134" spans="1:25" x14ac:dyDescent="0.2">
      <c r="A134" s="905" t="str">
        <f t="shared" si="25"/>
        <v>netaik.</v>
      </c>
      <c r="B134" s="889" t="str">
        <f t="shared" si="25"/>
        <v>netaik.</v>
      </c>
      <c r="C134" s="890" t="str">
        <f t="shared" si="16"/>
        <v>t</v>
      </c>
      <c r="D134" s="369" t="str">
        <f t="shared" si="26"/>
        <v>netaik.</v>
      </c>
      <c r="E134" s="369" t="str">
        <f t="shared" si="26"/>
        <v>netaik.</v>
      </c>
      <c r="F134" s="369" t="str">
        <f t="shared" si="26"/>
        <v>netaik.</v>
      </c>
      <c r="G134" s="369" t="str">
        <f t="shared" si="26"/>
        <v>netaik.</v>
      </c>
      <c r="H134" s="369" t="str">
        <f t="shared" si="28"/>
        <v>netaik.</v>
      </c>
      <c r="I134" s="370" t="str">
        <f t="shared" si="28"/>
        <v>netaik.</v>
      </c>
      <c r="J134" s="947" t="b">
        <f>FALSE</f>
        <v>0</v>
      </c>
      <c r="K134" s="947" t="b">
        <f>TRUE</f>
        <v>1</v>
      </c>
      <c r="L134" s="948" t="str">
        <f t="shared" si="11"/>
        <v>netaik.</v>
      </c>
      <c r="M134" s="949" t="str">
        <f t="shared" si="23"/>
        <v>netaik.</v>
      </c>
      <c r="N134" s="878" t="str">
        <f t="shared" si="19"/>
        <v>netaik.</v>
      </c>
      <c r="O134" s="949" t="str">
        <f t="shared" si="24"/>
        <v>netaik.</v>
      </c>
      <c r="P134" s="949" t="str">
        <f t="shared" si="27"/>
        <v>netaik.</v>
      </c>
      <c r="Q134" s="949" t="str">
        <f t="shared" si="27"/>
        <v>netaik.</v>
      </c>
      <c r="R134" s="949" t="str">
        <f t="shared" si="27"/>
        <v>netaik.</v>
      </c>
      <c r="S134" s="949" t="str">
        <f t="shared" si="22"/>
        <v>netaik.</v>
      </c>
      <c r="T134" s="950" t="str">
        <f t="shared" si="22"/>
        <v>netaik.</v>
      </c>
      <c r="U134" s="951" t="str">
        <f t="shared" si="22"/>
        <v>netaik.</v>
      </c>
      <c r="W134" s="348"/>
    </row>
    <row r="135" spans="1:25" x14ac:dyDescent="0.2">
      <c r="A135" s="905" t="str">
        <f t="shared" si="25"/>
        <v>netaik.</v>
      </c>
      <c r="B135" s="889" t="str">
        <f t="shared" si="25"/>
        <v>netaik.</v>
      </c>
      <c r="C135" s="890" t="str">
        <f t="shared" si="16"/>
        <v>t</v>
      </c>
      <c r="D135" s="369" t="str">
        <f t="shared" si="26"/>
        <v>netaik.</v>
      </c>
      <c r="E135" s="369" t="str">
        <f t="shared" si="26"/>
        <v>netaik.</v>
      </c>
      <c r="F135" s="369" t="str">
        <f t="shared" si="26"/>
        <v>netaik.</v>
      </c>
      <c r="G135" s="369" t="str">
        <f t="shared" si="26"/>
        <v>netaik.</v>
      </c>
      <c r="H135" s="369" t="str">
        <f t="shared" si="28"/>
        <v>netaik.</v>
      </c>
      <c r="I135" s="370" t="str">
        <f t="shared" si="28"/>
        <v>netaik.</v>
      </c>
      <c r="J135" s="947" t="b">
        <f>FALSE</f>
        <v>0</v>
      </c>
      <c r="K135" s="947" t="b">
        <f>TRUE</f>
        <v>1</v>
      </c>
      <c r="L135" s="948" t="str">
        <f t="shared" si="11"/>
        <v>netaik.</v>
      </c>
      <c r="M135" s="949" t="str">
        <f t="shared" si="23"/>
        <v>netaik.</v>
      </c>
      <c r="N135" s="878" t="str">
        <f t="shared" si="19"/>
        <v>netaik.</v>
      </c>
      <c r="O135" s="949" t="str">
        <f t="shared" si="24"/>
        <v>netaik.</v>
      </c>
      <c r="P135" s="949" t="str">
        <f t="shared" si="27"/>
        <v>netaik.</v>
      </c>
      <c r="Q135" s="949" t="str">
        <f t="shared" si="27"/>
        <v>netaik.</v>
      </c>
      <c r="R135" s="949" t="str">
        <f t="shared" si="27"/>
        <v>netaik.</v>
      </c>
      <c r="S135" s="949" t="str">
        <f t="shared" si="22"/>
        <v>netaik.</v>
      </c>
      <c r="T135" s="950" t="str">
        <f t="shared" si="22"/>
        <v>netaik.</v>
      </c>
      <c r="U135" s="951" t="str">
        <f t="shared" si="22"/>
        <v>netaik.</v>
      </c>
      <c r="W135" s="348"/>
    </row>
    <row r="136" spans="1:25" x14ac:dyDescent="0.2">
      <c r="A136" s="905" t="str">
        <f t="shared" si="25"/>
        <v>netaik.</v>
      </c>
      <c r="B136" s="889" t="str">
        <f t="shared" si="25"/>
        <v>netaik.</v>
      </c>
      <c r="C136" s="890" t="str">
        <f t="shared" si="16"/>
        <v>t</v>
      </c>
      <c r="D136" s="369" t="str">
        <f t="shared" si="26"/>
        <v>netaik.</v>
      </c>
      <c r="E136" s="369" t="str">
        <f t="shared" si="26"/>
        <v>netaik.</v>
      </c>
      <c r="F136" s="369" t="str">
        <f t="shared" si="26"/>
        <v>netaik.</v>
      </c>
      <c r="G136" s="369" t="str">
        <f t="shared" si="26"/>
        <v>netaik.</v>
      </c>
      <c r="H136" s="369" t="str">
        <f t="shared" si="28"/>
        <v>netaik.</v>
      </c>
      <c r="I136" s="370" t="str">
        <f t="shared" si="28"/>
        <v>netaik.</v>
      </c>
      <c r="J136" s="947" t="b">
        <f>FALSE</f>
        <v>0</v>
      </c>
      <c r="K136" s="947" t="b">
        <f>TRUE</f>
        <v>1</v>
      </c>
      <c r="L136" s="948" t="str">
        <f t="shared" si="11"/>
        <v>netaik.</v>
      </c>
      <c r="M136" s="949" t="str">
        <f t="shared" si="23"/>
        <v>netaik.</v>
      </c>
      <c r="N136" s="878" t="str">
        <f t="shared" si="19"/>
        <v>netaik.</v>
      </c>
      <c r="O136" s="949" t="str">
        <f t="shared" si="24"/>
        <v>netaik.</v>
      </c>
      <c r="P136" s="949" t="str">
        <f t="shared" si="27"/>
        <v>netaik.</v>
      </c>
      <c r="Q136" s="949" t="str">
        <f t="shared" si="27"/>
        <v>netaik.</v>
      </c>
      <c r="R136" s="949" t="str">
        <f t="shared" si="27"/>
        <v>netaik.</v>
      </c>
      <c r="S136" s="949" t="str">
        <f t="shared" si="22"/>
        <v>netaik.</v>
      </c>
      <c r="T136" s="950" t="str">
        <f t="shared" si="22"/>
        <v>netaik.</v>
      </c>
      <c r="U136" s="951" t="str">
        <f t="shared" si="22"/>
        <v>netaik.</v>
      </c>
      <c r="W136" s="348"/>
    </row>
    <row r="137" spans="1:25" x14ac:dyDescent="0.2">
      <c r="A137" s="905" t="str">
        <f t="shared" si="25"/>
        <v>netaik.</v>
      </c>
      <c r="B137" s="889" t="str">
        <f t="shared" si="25"/>
        <v>netaik.</v>
      </c>
      <c r="C137" s="890" t="str">
        <f t="shared" si="16"/>
        <v>t</v>
      </c>
      <c r="D137" s="369" t="str">
        <f t="shared" si="26"/>
        <v>netaik.</v>
      </c>
      <c r="E137" s="369" t="str">
        <f t="shared" si="26"/>
        <v>netaik.</v>
      </c>
      <c r="F137" s="369" t="str">
        <f t="shared" si="26"/>
        <v>netaik.</v>
      </c>
      <c r="G137" s="369" t="str">
        <f t="shared" si="26"/>
        <v>netaik.</v>
      </c>
      <c r="H137" s="369" t="str">
        <f t="shared" si="28"/>
        <v>netaik.</v>
      </c>
      <c r="I137" s="370" t="str">
        <f t="shared" si="28"/>
        <v>netaik.</v>
      </c>
      <c r="J137" s="947" t="b">
        <f>FALSE</f>
        <v>0</v>
      </c>
      <c r="K137" s="947" t="b">
        <f>TRUE</f>
        <v>1</v>
      </c>
      <c r="L137" s="948" t="str">
        <f t="shared" si="11"/>
        <v>netaik.</v>
      </c>
      <c r="M137" s="949" t="str">
        <f t="shared" si="23"/>
        <v>netaik.</v>
      </c>
      <c r="N137" s="878" t="str">
        <f t="shared" si="19"/>
        <v>netaik.</v>
      </c>
      <c r="O137" s="949" t="str">
        <f t="shared" si="24"/>
        <v>netaik.</v>
      </c>
      <c r="P137" s="949" t="str">
        <f t="shared" si="27"/>
        <v>netaik.</v>
      </c>
      <c r="Q137" s="949" t="str">
        <f t="shared" si="27"/>
        <v>netaik.</v>
      </c>
      <c r="R137" s="949" t="str">
        <f t="shared" si="27"/>
        <v>netaik.</v>
      </c>
      <c r="S137" s="949" t="str">
        <f t="shared" si="22"/>
        <v>netaik.</v>
      </c>
      <c r="T137" s="950" t="str">
        <f t="shared" si="22"/>
        <v>netaik.</v>
      </c>
      <c r="U137" s="951" t="str">
        <f t="shared" si="22"/>
        <v>netaik.</v>
      </c>
      <c r="W137" s="348"/>
    </row>
    <row r="138" spans="1:25" x14ac:dyDescent="0.2">
      <c r="A138" s="905" t="str">
        <f t="shared" si="25"/>
        <v>netaik.</v>
      </c>
      <c r="B138" s="889" t="str">
        <f t="shared" si="25"/>
        <v>netaik.</v>
      </c>
      <c r="C138" s="890" t="str">
        <f t="shared" si="16"/>
        <v>t</v>
      </c>
      <c r="D138" s="369" t="str">
        <f t="shared" si="26"/>
        <v>netaik.</v>
      </c>
      <c r="E138" s="369" t="str">
        <f t="shared" si="26"/>
        <v>netaik.</v>
      </c>
      <c r="F138" s="369" t="str">
        <f t="shared" si="26"/>
        <v>netaik.</v>
      </c>
      <c r="G138" s="369" t="str">
        <f t="shared" si="26"/>
        <v>netaik.</v>
      </c>
      <c r="H138" s="369" t="str">
        <f t="shared" si="28"/>
        <v>netaik.</v>
      </c>
      <c r="I138" s="370" t="str">
        <f t="shared" si="28"/>
        <v>netaik.</v>
      </c>
      <c r="J138" s="947" t="b">
        <f>FALSE</f>
        <v>0</v>
      </c>
      <c r="K138" s="947" t="b">
        <f>TRUE</f>
        <v>1</v>
      </c>
      <c r="L138" s="948" t="str">
        <f t="shared" si="11"/>
        <v>netaik.</v>
      </c>
      <c r="M138" s="949" t="str">
        <f t="shared" si="23"/>
        <v>netaik.</v>
      </c>
      <c r="N138" s="878" t="str">
        <f t="shared" si="19"/>
        <v>netaik.</v>
      </c>
      <c r="O138" s="949" t="str">
        <f t="shared" si="24"/>
        <v>netaik.</v>
      </c>
      <c r="P138" s="949" t="str">
        <f t="shared" si="27"/>
        <v>netaik.</v>
      </c>
      <c r="Q138" s="949" t="str">
        <f t="shared" si="27"/>
        <v>netaik.</v>
      </c>
      <c r="R138" s="949" t="str">
        <f t="shared" si="27"/>
        <v>netaik.</v>
      </c>
      <c r="S138" s="949" t="str">
        <f t="shared" si="22"/>
        <v>netaik.</v>
      </c>
      <c r="T138" s="950" t="str">
        <f t="shared" si="22"/>
        <v>netaik.</v>
      </c>
      <c r="U138" s="951" t="str">
        <f t="shared" si="22"/>
        <v>netaik.</v>
      </c>
      <c r="W138" s="348"/>
    </row>
    <row r="139" spans="1:25" ht="13.5" thickBot="1" x14ac:dyDescent="0.25">
      <c r="A139" s="906" t="str">
        <f t="shared" si="25"/>
        <v>netaik.</v>
      </c>
      <c r="B139" s="891" t="str">
        <f t="shared" si="25"/>
        <v>netaik.</v>
      </c>
      <c r="C139" s="892" t="str">
        <f t="shared" si="16"/>
        <v>t</v>
      </c>
      <c r="D139" s="893" t="str">
        <f t="shared" si="26"/>
        <v>netaik.</v>
      </c>
      <c r="E139" s="893" t="str">
        <f t="shared" si="26"/>
        <v>netaik.</v>
      </c>
      <c r="F139" s="893" t="str">
        <f t="shared" si="26"/>
        <v>netaik.</v>
      </c>
      <c r="G139" s="893" t="str">
        <f t="shared" si="26"/>
        <v>netaik.</v>
      </c>
      <c r="H139" s="893" t="str">
        <f t="shared" si="28"/>
        <v>netaik.</v>
      </c>
      <c r="I139" s="894" t="str">
        <f t="shared" si="28"/>
        <v>netaik.</v>
      </c>
      <c r="J139" s="952" t="b">
        <f>FALSE</f>
        <v>0</v>
      </c>
      <c r="K139" s="952" t="b">
        <f>TRUE</f>
        <v>1</v>
      </c>
      <c r="L139" s="953" t="str">
        <f t="shared" si="11"/>
        <v>netaik.</v>
      </c>
      <c r="M139" s="954" t="str">
        <f t="shared" si="23"/>
        <v>netaik.</v>
      </c>
      <c r="N139" s="378" t="str">
        <f t="shared" si="19"/>
        <v>netaik.</v>
      </c>
      <c r="O139" s="954" t="str">
        <f t="shared" si="24"/>
        <v>netaik.</v>
      </c>
      <c r="P139" s="954" t="str">
        <f t="shared" si="27"/>
        <v>netaik.</v>
      </c>
      <c r="Q139" s="954" t="str">
        <f t="shared" si="27"/>
        <v>netaik.</v>
      </c>
      <c r="R139" s="954" t="str">
        <f t="shared" si="27"/>
        <v>netaik.</v>
      </c>
      <c r="S139" s="954" t="str">
        <f t="shared" si="22"/>
        <v>netaik.</v>
      </c>
      <c r="T139" s="955" t="str">
        <f t="shared" si="22"/>
        <v>netaik.</v>
      </c>
      <c r="U139" s="956" t="str">
        <f t="shared" si="22"/>
        <v>netaik.</v>
      </c>
      <c r="W139" s="348"/>
    </row>
    <row r="140" spans="1:25" x14ac:dyDescent="0.2">
      <c r="A140" s="469" t="str">
        <f>Translations!$B$1070</f>
        <v>Medžiaga – CaCO3</v>
      </c>
      <c r="B140" s="469" t="s">
        <v>544</v>
      </c>
      <c r="C140" s="895" t="str">
        <f t="shared" si="16"/>
        <v>t</v>
      </c>
      <c r="D140" s="896">
        <v>0.44</v>
      </c>
      <c r="E140" s="897" t="str">
        <f t="shared" ref="E140:E151" si="29">EUconst_tCO2pt</f>
        <v>tCO2/t</v>
      </c>
      <c r="F140" s="896" t="str">
        <f t="shared" ref="F140:I161" si="30">EUconst_NA</f>
        <v>netaik.</v>
      </c>
      <c r="G140" s="897" t="str">
        <f t="shared" si="30"/>
        <v>netaik.</v>
      </c>
      <c r="H140" s="896" t="str">
        <f t="shared" si="30"/>
        <v>netaik.</v>
      </c>
      <c r="I140" s="898" t="str">
        <f t="shared" si="30"/>
        <v>netaik.</v>
      </c>
      <c r="J140" s="942" t="b">
        <f>TRUE</f>
        <v>1</v>
      </c>
      <c r="K140" s="937" t="b">
        <f>TRUE</f>
        <v>1</v>
      </c>
      <c r="L140" s="957" t="s">
        <v>277</v>
      </c>
      <c r="M140" s="958" t="str">
        <f t="shared" si="23"/>
        <v>netaik.</v>
      </c>
      <c r="N140" s="374" t="str">
        <f t="shared" si="19"/>
        <v>GJ/t</v>
      </c>
      <c r="O140" s="958" t="str">
        <f t="shared" si="24"/>
        <v>netaik.</v>
      </c>
      <c r="P140" s="958" t="str">
        <f t="shared" ref="P140:P151" si="31">EUconst_tCO2pt</f>
        <v>tCO2/t</v>
      </c>
      <c r="Q140" s="958" t="str">
        <f t="shared" ref="Q140:R155" si="32">EUconst_NA</f>
        <v>netaik.</v>
      </c>
      <c r="R140" s="958">
        <v>1</v>
      </c>
      <c r="S140" s="958" t="str">
        <f t="shared" si="22"/>
        <v>netaik.</v>
      </c>
      <c r="T140" s="959" t="str">
        <f t="shared" si="22"/>
        <v>netaik.</v>
      </c>
      <c r="U140" s="960" t="str">
        <f t="shared" ref="U140:U168" si="33">EUconst_NA</f>
        <v>netaik.</v>
      </c>
      <c r="W140" s="348"/>
    </row>
    <row r="141" spans="1:25" x14ac:dyDescent="0.2">
      <c r="A141" s="470" t="str">
        <f>Translations!$B$1071</f>
        <v>Medžiaga – MgCO3</v>
      </c>
      <c r="B141" s="470" t="s">
        <v>544</v>
      </c>
      <c r="C141" s="363" t="str">
        <f t="shared" si="16"/>
        <v>t</v>
      </c>
      <c r="D141" s="369">
        <v>0.52200000000000002</v>
      </c>
      <c r="E141" s="350" t="str">
        <f t="shared" si="29"/>
        <v>tCO2/t</v>
      </c>
      <c r="F141" s="369" t="str">
        <f t="shared" si="30"/>
        <v>netaik.</v>
      </c>
      <c r="G141" s="350" t="str">
        <f t="shared" si="30"/>
        <v>netaik.</v>
      </c>
      <c r="H141" s="369" t="str">
        <f t="shared" si="30"/>
        <v>netaik.</v>
      </c>
      <c r="I141" s="370" t="str">
        <f t="shared" si="30"/>
        <v>netaik.</v>
      </c>
      <c r="J141" s="942" t="b">
        <f>TRUE</f>
        <v>1</v>
      </c>
      <c r="K141" s="942" t="b">
        <f>TRUE</f>
        <v>1</v>
      </c>
      <c r="L141" s="943" t="s">
        <v>277</v>
      </c>
      <c r="M141" s="944" t="str">
        <f t="shared" si="23"/>
        <v>netaik.</v>
      </c>
      <c r="N141" s="375" t="str">
        <f t="shared" ref="N141:N172" si="34">IF(OR(L141="",L141=EUconst_NA),EUconst_NA,IF(L141=EUconst_t,EUconst_GJpt,EUconst_GJpkNm3))</f>
        <v>GJ/t</v>
      </c>
      <c r="O141" s="944" t="str">
        <f t="shared" si="24"/>
        <v>netaik.</v>
      </c>
      <c r="P141" s="944" t="str">
        <f t="shared" si="31"/>
        <v>tCO2/t</v>
      </c>
      <c r="Q141" s="944" t="str">
        <f t="shared" si="32"/>
        <v>netaik.</v>
      </c>
      <c r="R141" s="944">
        <v>1</v>
      </c>
      <c r="S141" s="944" t="str">
        <f t="shared" ref="S141:T204" si="35">EUconst_NA</f>
        <v>netaik.</v>
      </c>
      <c r="T141" s="945" t="str">
        <f t="shared" si="35"/>
        <v>netaik.</v>
      </c>
      <c r="U141" s="946" t="str">
        <f t="shared" si="33"/>
        <v>netaik.</v>
      </c>
      <c r="W141" s="348"/>
    </row>
    <row r="142" spans="1:25" x14ac:dyDescent="0.2">
      <c r="A142" s="470" t="str">
        <f>Translations!$B$1072</f>
        <v>Medžiaga – Na2CO3</v>
      </c>
      <c r="B142" s="470" t="s">
        <v>544</v>
      </c>
      <c r="C142" s="363" t="str">
        <f t="shared" si="16"/>
        <v>t</v>
      </c>
      <c r="D142" s="369">
        <v>0.41499999999999998</v>
      </c>
      <c r="E142" s="350" t="str">
        <f t="shared" si="29"/>
        <v>tCO2/t</v>
      </c>
      <c r="F142" s="369" t="str">
        <f t="shared" si="30"/>
        <v>netaik.</v>
      </c>
      <c r="G142" s="350" t="str">
        <f t="shared" si="30"/>
        <v>netaik.</v>
      </c>
      <c r="H142" s="369" t="str">
        <f t="shared" si="30"/>
        <v>netaik.</v>
      </c>
      <c r="I142" s="370" t="str">
        <f t="shared" si="30"/>
        <v>netaik.</v>
      </c>
      <c r="J142" s="942" t="b">
        <f>TRUE</f>
        <v>1</v>
      </c>
      <c r="K142" s="942" t="b">
        <f>TRUE</f>
        <v>1</v>
      </c>
      <c r="L142" s="943" t="s">
        <v>277</v>
      </c>
      <c r="M142" s="944" t="str">
        <f t="shared" si="23"/>
        <v>netaik.</v>
      </c>
      <c r="N142" s="375" t="str">
        <f t="shared" si="34"/>
        <v>GJ/t</v>
      </c>
      <c r="O142" s="944" t="str">
        <f t="shared" si="24"/>
        <v>netaik.</v>
      </c>
      <c r="P142" s="944" t="str">
        <f t="shared" si="31"/>
        <v>tCO2/t</v>
      </c>
      <c r="Q142" s="944" t="str">
        <f t="shared" si="32"/>
        <v>netaik.</v>
      </c>
      <c r="R142" s="944">
        <v>1</v>
      </c>
      <c r="S142" s="944" t="str">
        <f t="shared" si="35"/>
        <v>netaik.</v>
      </c>
      <c r="T142" s="945" t="str">
        <f t="shared" si="35"/>
        <v>netaik.</v>
      </c>
      <c r="U142" s="946" t="str">
        <f t="shared" si="33"/>
        <v>netaik.</v>
      </c>
      <c r="W142" s="348"/>
      <c r="Y142" s="348"/>
    </row>
    <row r="143" spans="1:25" x14ac:dyDescent="0.2">
      <c r="A143" s="470" t="str">
        <f>Translations!$B$1073</f>
        <v>Medžiaga – BaCO3</v>
      </c>
      <c r="B143" s="470" t="s">
        <v>544</v>
      </c>
      <c r="C143" s="363" t="str">
        <f t="shared" si="16"/>
        <v>t</v>
      </c>
      <c r="D143" s="369">
        <v>0.223</v>
      </c>
      <c r="E143" s="350" t="str">
        <f t="shared" si="29"/>
        <v>tCO2/t</v>
      </c>
      <c r="F143" s="369" t="str">
        <f t="shared" si="30"/>
        <v>netaik.</v>
      </c>
      <c r="G143" s="350" t="str">
        <f t="shared" si="30"/>
        <v>netaik.</v>
      </c>
      <c r="H143" s="369" t="str">
        <f t="shared" si="30"/>
        <v>netaik.</v>
      </c>
      <c r="I143" s="370" t="str">
        <f t="shared" si="30"/>
        <v>netaik.</v>
      </c>
      <c r="J143" s="942" t="b">
        <f>TRUE</f>
        <v>1</v>
      </c>
      <c r="K143" s="942" t="b">
        <f>TRUE</f>
        <v>1</v>
      </c>
      <c r="L143" s="943" t="s">
        <v>277</v>
      </c>
      <c r="M143" s="944" t="str">
        <f t="shared" si="23"/>
        <v>netaik.</v>
      </c>
      <c r="N143" s="375" t="str">
        <f t="shared" si="34"/>
        <v>GJ/t</v>
      </c>
      <c r="O143" s="944" t="str">
        <f t="shared" si="24"/>
        <v>netaik.</v>
      </c>
      <c r="P143" s="944" t="str">
        <f t="shared" si="31"/>
        <v>tCO2/t</v>
      </c>
      <c r="Q143" s="944" t="str">
        <f t="shared" si="32"/>
        <v>netaik.</v>
      </c>
      <c r="R143" s="944">
        <v>1</v>
      </c>
      <c r="S143" s="944" t="str">
        <f t="shared" si="35"/>
        <v>netaik.</v>
      </c>
      <c r="T143" s="945" t="str">
        <f t="shared" si="35"/>
        <v>netaik.</v>
      </c>
      <c r="U143" s="946" t="str">
        <f t="shared" si="33"/>
        <v>netaik.</v>
      </c>
      <c r="W143" s="348"/>
      <c r="Y143" s="348"/>
    </row>
    <row r="144" spans="1:25" x14ac:dyDescent="0.2">
      <c r="A144" s="470" t="str">
        <f>Translations!$B$1074</f>
        <v>Medžiaga – Li2CO3</v>
      </c>
      <c r="B144" s="470" t="s">
        <v>544</v>
      </c>
      <c r="C144" s="363" t="str">
        <f t="shared" si="16"/>
        <v>t</v>
      </c>
      <c r="D144" s="369">
        <v>0.59599999999999997</v>
      </c>
      <c r="E144" s="350" t="str">
        <f t="shared" si="29"/>
        <v>tCO2/t</v>
      </c>
      <c r="F144" s="369" t="str">
        <f t="shared" si="30"/>
        <v>netaik.</v>
      </c>
      <c r="G144" s="350" t="str">
        <f t="shared" si="30"/>
        <v>netaik.</v>
      </c>
      <c r="H144" s="369" t="str">
        <f t="shared" si="30"/>
        <v>netaik.</v>
      </c>
      <c r="I144" s="370" t="str">
        <f t="shared" si="30"/>
        <v>netaik.</v>
      </c>
      <c r="J144" s="942" t="b">
        <f>TRUE</f>
        <v>1</v>
      </c>
      <c r="K144" s="942" t="b">
        <f>TRUE</f>
        <v>1</v>
      </c>
      <c r="L144" s="943" t="s">
        <v>277</v>
      </c>
      <c r="M144" s="944" t="str">
        <f t="shared" si="23"/>
        <v>netaik.</v>
      </c>
      <c r="N144" s="375" t="str">
        <f t="shared" si="34"/>
        <v>GJ/t</v>
      </c>
      <c r="O144" s="944" t="str">
        <f t="shared" si="24"/>
        <v>netaik.</v>
      </c>
      <c r="P144" s="944" t="str">
        <f t="shared" si="31"/>
        <v>tCO2/t</v>
      </c>
      <c r="Q144" s="944" t="str">
        <f t="shared" si="32"/>
        <v>netaik.</v>
      </c>
      <c r="R144" s="944">
        <v>1</v>
      </c>
      <c r="S144" s="944" t="str">
        <f t="shared" si="35"/>
        <v>netaik.</v>
      </c>
      <c r="T144" s="945" t="str">
        <f t="shared" si="35"/>
        <v>netaik.</v>
      </c>
      <c r="U144" s="946" t="str">
        <f t="shared" si="33"/>
        <v>netaik.</v>
      </c>
      <c r="W144" s="348"/>
    </row>
    <row r="145" spans="1:23" x14ac:dyDescent="0.2">
      <c r="A145" s="470" t="str">
        <f>Translations!$B$1075</f>
        <v>Medžiaga – K2CO3</v>
      </c>
      <c r="B145" s="470" t="s">
        <v>544</v>
      </c>
      <c r="C145" s="363" t="str">
        <f t="shared" si="16"/>
        <v>t</v>
      </c>
      <c r="D145" s="369">
        <v>0.318</v>
      </c>
      <c r="E145" s="350" t="str">
        <f t="shared" si="29"/>
        <v>tCO2/t</v>
      </c>
      <c r="F145" s="369" t="str">
        <f t="shared" si="30"/>
        <v>netaik.</v>
      </c>
      <c r="G145" s="350" t="str">
        <f t="shared" si="30"/>
        <v>netaik.</v>
      </c>
      <c r="H145" s="369" t="str">
        <f t="shared" si="30"/>
        <v>netaik.</v>
      </c>
      <c r="I145" s="370" t="str">
        <f t="shared" si="30"/>
        <v>netaik.</v>
      </c>
      <c r="J145" s="942" t="b">
        <f>TRUE</f>
        <v>1</v>
      </c>
      <c r="K145" s="942" t="b">
        <f>TRUE</f>
        <v>1</v>
      </c>
      <c r="L145" s="943" t="s">
        <v>277</v>
      </c>
      <c r="M145" s="944" t="str">
        <f t="shared" si="23"/>
        <v>netaik.</v>
      </c>
      <c r="N145" s="375" t="str">
        <f t="shared" si="34"/>
        <v>GJ/t</v>
      </c>
      <c r="O145" s="944" t="str">
        <f t="shared" si="24"/>
        <v>netaik.</v>
      </c>
      <c r="P145" s="944" t="str">
        <f t="shared" si="31"/>
        <v>tCO2/t</v>
      </c>
      <c r="Q145" s="944" t="str">
        <f t="shared" si="32"/>
        <v>netaik.</v>
      </c>
      <c r="R145" s="944">
        <v>1</v>
      </c>
      <c r="S145" s="944" t="str">
        <f t="shared" si="35"/>
        <v>netaik.</v>
      </c>
      <c r="T145" s="945" t="str">
        <f t="shared" si="35"/>
        <v>netaik.</v>
      </c>
      <c r="U145" s="946" t="str">
        <f t="shared" si="33"/>
        <v>netaik.</v>
      </c>
      <c r="W145" s="348"/>
    </row>
    <row r="146" spans="1:23" x14ac:dyDescent="0.2">
      <c r="A146" s="470" t="str">
        <f>Translations!$B$1076</f>
        <v>Medžiaga – SrCO3</v>
      </c>
      <c r="B146" s="470" t="s">
        <v>544</v>
      </c>
      <c r="C146" s="363" t="str">
        <f t="shared" si="16"/>
        <v>t</v>
      </c>
      <c r="D146" s="369">
        <v>0.29799999999999999</v>
      </c>
      <c r="E146" s="350" t="str">
        <f t="shared" si="29"/>
        <v>tCO2/t</v>
      </c>
      <c r="F146" s="369" t="str">
        <f t="shared" si="30"/>
        <v>netaik.</v>
      </c>
      <c r="G146" s="350" t="str">
        <f t="shared" si="30"/>
        <v>netaik.</v>
      </c>
      <c r="H146" s="369" t="str">
        <f t="shared" si="30"/>
        <v>netaik.</v>
      </c>
      <c r="I146" s="370" t="str">
        <f t="shared" si="30"/>
        <v>netaik.</v>
      </c>
      <c r="J146" s="942" t="b">
        <f>TRUE</f>
        <v>1</v>
      </c>
      <c r="K146" s="942" t="b">
        <f>TRUE</f>
        <v>1</v>
      </c>
      <c r="L146" s="943" t="s">
        <v>277</v>
      </c>
      <c r="M146" s="944" t="str">
        <f t="shared" si="23"/>
        <v>netaik.</v>
      </c>
      <c r="N146" s="375" t="str">
        <f t="shared" si="34"/>
        <v>GJ/t</v>
      </c>
      <c r="O146" s="944" t="str">
        <f t="shared" si="24"/>
        <v>netaik.</v>
      </c>
      <c r="P146" s="944" t="str">
        <f t="shared" si="31"/>
        <v>tCO2/t</v>
      </c>
      <c r="Q146" s="944" t="str">
        <f t="shared" si="32"/>
        <v>netaik.</v>
      </c>
      <c r="R146" s="944">
        <v>1</v>
      </c>
      <c r="S146" s="944" t="str">
        <f t="shared" si="35"/>
        <v>netaik.</v>
      </c>
      <c r="T146" s="945" t="str">
        <f t="shared" si="35"/>
        <v>netaik.</v>
      </c>
      <c r="U146" s="946" t="str">
        <f t="shared" si="33"/>
        <v>netaik.</v>
      </c>
      <c r="W146" s="348"/>
    </row>
    <row r="147" spans="1:23" x14ac:dyDescent="0.2">
      <c r="A147" s="470" t="str">
        <f>Translations!$B$1077</f>
        <v>Medžiaga – NaHCO3</v>
      </c>
      <c r="B147" s="470" t="s">
        <v>544</v>
      </c>
      <c r="C147" s="363" t="str">
        <f t="shared" si="16"/>
        <v>t</v>
      </c>
      <c r="D147" s="369">
        <v>0.52400000000000002</v>
      </c>
      <c r="E147" s="350" t="str">
        <f t="shared" si="29"/>
        <v>tCO2/t</v>
      </c>
      <c r="F147" s="369" t="str">
        <f t="shared" si="30"/>
        <v>netaik.</v>
      </c>
      <c r="G147" s="350" t="str">
        <f t="shared" si="30"/>
        <v>netaik.</v>
      </c>
      <c r="H147" s="369" t="str">
        <f t="shared" si="30"/>
        <v>netaik.</v>
      </c>
      <c r="I147" s="370" t="str">
        <f t="shared" si="30"/>
        <v>netaik.</v>
      </c>
      <c r="J147" s="942" t="b">
        <f>TRUE</f>
        <v>1</v>
      </c>
      <c r="K147" s="942" t="b">
        <f>TRUE</f>
        <v>1</v>
      </c>
      <c r="L147" s="943" t="s">
        <v>277</v>
      </c>
      <c r="M147" s="944" t="str">
        <f t="shared" si="23"/>
        <v>netaik.</v>
      </c>
      <c r="N147" s="375" t="str">
        <f t="shared" si="34"/>
        <v>GJ/t</v>
      </c>
      <c r="O147" s="944" t="str">
        <f t="shared" si="24"/>
        <v>netaik.</v>
      </c>
      <c r="P147" s="944" t="str">
        <f t="shared" si="31"/>
        <v>tCO2/t</v>
      </c>
      <c r="Q147" s="944" t="str">
        <f t="shared" si="32"/>
        <v>netaik.</v>
      </c>
      <c r="R147" s="944">
        <v>1</v>
      </c>
      <c r="S147" s="944" t="str">
        <f t="shared" si="35"/>
        <v>netaik.</v>
      </c>
      <c r="T147" s="945" t="str">
        <f t="shared" si="35"/>
        <v>netaik.</v>
      </c>
      <c r="U147" s="946" t="str">
        <f t="shared" si="33"/>
        <v>netaik.</v>
      </c>
      <c r="W147" s="348"/>
    </row>
    <row r="148" spans="1:23" x14ac:dyDescent="0.2">
      <c r="A148" s="470" t="str">
        <f>Translations!$B$1078</f>
        <v>Medžiaga – FeCO3</v>
      </c>
      <c r="B148" s="470" t="s">
        <v>544</v>
      </c>
      <c r="C148" s="363" t="str">
        <f t="shared" si="16"/>
        <v>t</v>
      </c>
      <c r="D148" s="369">
        <v>0.38</v>
      </c>
      <c r="E148" s="350" t="str">
        <f t="shared" si="29"/>
        <v>tCO2/t</v>
      </c>
      <c r="F148" s="369" t="str">
        <f t="shared" si="30"/>
        <v>netaik.</v>
      </c>
      <c r="G148" s="350" t="str">
        <f t="shared" si="30"/>
        <v>netaik.</v>
      </c>
      <c r="H148" s="369" t="str">
        <f t="shared" si="30"/>
        <v>netaik.</v>
      </c>
      <c r="I148" s="370" t="str">
        <f t="shared" si="30"/>
        <v>netaik.</v>
      </c>
      <c r="J148" s="942" t="b">
        <f>TRUE</f>
        <v>1</v>
      </c>
      <c r="K148" s="942" t="b">
        <f>TRUE</f>
        <v>1</v>
      </c>
      <c r="L148" s="943" t="s">
        <v>277</v>
      </c>
      <c r="M148" s="944" t="str">
        <f t="shared" si="23"/>
        <v>netaik.</v>
      </c>
      <c r="N148" s="375" t="str">
        <f t="shared" si="34"/>
        <v>GJ/t</v>
      </c>
      <c r="O148" s="944" t="str">
        <f t="shared" si="24"/>
        <v>netaik.</v>
      </c>
      <c r="P148" s="944" t="str">
        <f t="shared" si="31"/>
        <v>tCO2/t</v>
      </c>
      <c r="Q148" s="944" t="str">
        <f t="shared" si="32"/>
        <v>netaik.</v>
      </c>
      <c r="R148" s="944">
        <v>1</v>
      </c>
      <c r="S148" s="944" t="str">
        <f t="shared" si="35"/>
        <v>netaik.</v>
      </c>
      <c r="T148" s="945" t="str">
        <f t="shared" si="35"/>
        <v>netaik.</v>
      </c>
      <c r="U148" s="946" t="str">
        <f t="shared" si="33"/>
        <v>netaik.</v>
      </c>
      <c r="W148" s="348"/>
    </row>
    <row r="149" spans="1:23" x14ac:dyDescent="0.2">
      <c r="A149" s="470" t="str">
        <f>Translations!$B$1082</f>
        <v>Medžiaga – CaO</v>
      </c>
      <c r="B149" s="470" t="s">
        <v>544</v>
      </c>
      <c r="C149" s="363" t="str">
        <f t="shared" si="16"/>
        <v>t</v>
      </c>
      <c r="D149" s="369">
        <v>0.78500000000000003</v>
      </c>
      <c r="E149" s="350" t="str">
        <f t="shared" si="29"/>
        <v>tCO2/t</v>
      </c>
      <c r="F149" s="369" t="str">
        <f t="shared" si="30"/>
        <v>netaik.</v>
      </c>
      <c r="G149" s="350" t="str">
        <f t="shared" si="30"/>
        <v>netaik.</v>
      </c>
      <c r="H149" s="369" t="str">
        <f t="shared" si="30"/>
        <v>netaik.</v>
      </c>
      <c r="I149" s="370" t="str">
        <f t="shared" si="30"/>
        <v>netaik.</v>
      </c>
      <c r="J149" s="942" t="b">
        <f>TRUE</f>
        <v>1</v>
      </c>
      <c r="K149" s="942" t="b">
        <f>TRUE</f>
        <v>1</v>
      </c>
      <c r="L149" s="943" t="s">
        <v>277</v>
      </c>
      <c r="M149" s="944" t="str">
        <f t="shared" si="23"/>
        <v>netaik.</v>
      </c>
      <c r="N149" s="375" t="str">
        <f t="shared" si="34"/>
        <v>GJ/t</v>
      </c>
      <c r="O149" s="944" t="str">
        <f t="shared" si="24"/>
        <v>netaik.</v>
      </c>
      <c r="P149" s="944" t="str">
        <f t="shared" si="31"/>
        <v>tCO2/t</v>
      </c>
      <c r="Q149" s="944" t="str">
        <f t="shared" si="32"/>
        <v>netaik.</v>
      </c>
      <c r="R149" s="944">
        <v>1</v>
      </c>
      <c r="S149" s="944" t="str">
        <f t="shared" si="35"/>
        <v>netaik.</v>
      </c>
      <c r="T149" s="945" t="str">
        <f t="shared" si="35"/>
        <v>netaik.</v>
      </c>
      <c r="U149" s="946" t="str">
        <f t="shared" si="33"/>
        <v>netaik.</v>
      </c>
      <c r="W149" s="348"/>
    </row>
    <row r="150" spans="1:23" x14ac:dyDescent="0.2">
      <c r="A150" s="470" t="str">
        <f>Translations!$B$1083</f>
        <v>Medžiaga – MgO</v>
      </c>
      <c r="B150" s="470" t="s">
        <v>544</v>
      </c>
      <c r="C150" s="363" t="str">
        <f t="shared" si="16"/>
        <v>t</v>
      </c>
      <c r="D150" s="369">
        <v>1.0920000000000001</v>
      </c>
      <c r="E150" s="350" t="str">
        <f t="shared" si="29"/>
        <v>tCO2/t</v>
      </c>
      <c r="F150" s="369" t="str">
        <f t="shared" si="30"/>
        <v>netaik.</v>
      </c>
      <c r="G150" s="350" t="str">
        <f t="shared" si="30"/>
        <v>netaik.</v>
      </c>
      <c r="H150" s="369" t="str">
        <f t="shared" si="30"/>
        <v>netaik.</v>
      </c>
      <c r="I150" s="370" t="str">
        <f t="shared" si="30"/>
        <v>netaik.</v>
      </c>
      <c r="J150" s="942" t="b">
        <f>TRUE</f>
        <v>1</v>
      </c>
      <c r="K150" s="942" t="b">
        <f>TRUE</f>
        <v>1</v>
      </c>
      <c r="L150" s="943" t="s">
        <v>277</v>
      </c>
      <c r="M150" s="944" t="str">
        <f t="shared" si="23"/>
        <v>netaik.</v>
      </c>
      <c r="N150" s="375" t="str">
        <f t="shared" si="34"/>
        <v>GJ/t</v>
      </c>
      <c r="O150" s="944" t="str">
        <f t="shared" si="24"/>
        <v>netaik.</v>
      </c>
      <c r="P150" s="944" t="str">
        <f t="shared" si="31"/>
        <v>tCO2/t</v>
      </c>
      <c r="Q150" s="944" t="str">
        <f t="shared" si="32"/>
        <v>netaik.</v>
      </c>
      <c r="R150" s="944">
        <v>1</v>
      </c>
      <c r="S150" s="944" t="str">
        <f t="shared" si="35"/>
        <v>netaik.</v>
      </c>
      <c r="T150" s="945" t="str">
        <f t="shared" si="35"/>
        <v>netaik.</v>
      </c>
      <c r="U150" s="946" t="str">
        <f t="shared" si="33"/>
        <v>netaik.</v>
      </c>
      <c r="W150" s="348"/>
    </row>
    <row r="151" spans="1:23" x14ac:dyDescent="0.2">
      <c r="A151" s="470" t="str">
        <f>Translations!$B$1084</f>
        <v>Medžiaga – BaO</v>
      </c>
      <c r="B151" s="470" t="s">
        <v>544</v>
      </c>
      <c r="C151" s="363" t="str">
        <f t="shared" ref="C151:C204" si="36">EUconst_t</f>
        <v>t</v>
      </c>
      <c r="D151" s="369">
        <v>0.28699999999999998</v>
      </c>
      <c r="E151" s="350" t="str">
        <f t="shared" si="29"/>
        <v>tCO2/t</v>
      </c>
      <c r="F151" s="369" t="str">
        <f t="shared" si="30"/>
        <v>netaik.</v>
      </c>
      <c r="G151" s="350" t="str">
        <f t="shared" si="30"/>
        <v>netaik.</v>
      </c>
      <c r="H151" s="369" t="str">
        <f t="shared" si="30"/>
        <v>netaik.</v>
      </c>
      <c r="I151" s="370" t="str">
        <f t="shared" si="30"/>
        <v>netaik.</v>
      </c>
      <c r="J151" s="942" t="b">
        <f>TRUE</f>
        <v>1</v>
      </c>
      <c r="K151" s="942" t="b">
        <f>TRUE</f>
        <v>1</v>
      </c>
      <c r="L151" s="943" t="s">
        <v>277</v>
      </c>
      <c r="M151" s="944" t="str">
        <f t="shared" si="23"/>
        <v>netaik.</v>
      </c>
      <c r="N151" s="375" t="str">
        <f t="shared" si="34"/>
        <v>GJ/t</v>
      </c>
      <c r="O151" s="944" t="str">
        <f t="shared" si="24"/>
        <v>netaik.</v>
      </c>
      <c r="P151" s="944" t="str">
        <f t="shared" si="31"/>
        <v>tCO2/t</v>
      </c>
      <c r="Q151" s="944" t="str">
        <f t="shared" si="32"/>
        <v>netaik.</v>
      </c>
      <c r="R151" s="944">
        <v>1</v>
      </c>
      <c r="S151" s="944" t="str">
        <f t="shared" si="35"/>
        <v>netaik.</v>
      </c>
      <c r="T151" s="945" t="str">
        <f t="shared" si="35"/>
        <v>netaik.</v>
      </c>
      <c r="U151" s="946" t="str">
        <f t="shared" si="33"/>
        <v>netaik.</v>
      </c>
      <c r="W151" s="348"/>
    </row>
    <row r="152" spans="1:23" x14ac:dyDescent="0.2">
      <c r="A152" s="907" t="str">
        <f t="shared" ref="A152:B161" si="37">EUconst_NA</f>
        <v>netaik.</v>
      </c>
      <c r="B152" s="899" t="str">
        <f t="shared" si="37"/>
        <v>netaik.</v>
      </c>
      <c r="C152" s="364" t="str">
        <f t="shared" si="36"/>
        <v>t</v>
      </c>
      <c r="D152" s="365" t="str">
        <f t="shared" ref="D152:E161" si="38">EUconst_NA</f>
        <v>netaik.</v>
      </c>
      <c r="E152" s="351" t="str">
        <f t="shared" si="38"/>
        <v>netaik.</v>
      </c>
      <c r="F152" s="365" t="str">
        <f t="shared" si="30"/>
        <v>netaik.</v>
      </c>
      <c r="G152" s="351" t="str">
        <f t="shared" si="30"/>
        <v>netaik.</v>
      </c>
      <c r="H152" s="365" t="str">
        <f t="shared" si="30"/>
        <v>netaik.</v>
      </c>
      <c r="I152" s="900" t="str">
        <f t="shared" si="30"/>
        <v>netaik.</v>
      </c>
      <c r="J152" s="961" t="b">
        <f>FALSE</f>
        <v>0</v>
      </c>
      <c r="K152" s="961" t="b">
        <f>TRUE</f>
        <v>1</v>
      </c>
      <c r="L152" s="962" t="str">
        <f t="shared" ref="L152:L161" si="39">EUconst_NA</f>
        <v>netaik.</v>
      </c>
      <c r="M152" s="963" t="str">
        <f t="shared" si="23"/>
        <v>netaik.</v>
      </c>
      <c r="N152" s="879" t="str">
        <f t="shared" si="34"/>
        <v>netaik.</v>
      </c>
      <c r="O152" s="963" t="str">
        <f t="shared" si="24"/>
        <v>netaik.</v>
      </c>
      <c r="P152" s="963" t="str">
        <f t="shared" ref="P152:P161" si="40">EUconst_NA</f>
        <v>netaik.</v>
      </c>
      <c r="Q152" s="963" t="str">
        <f t="shared" si="32"/>
        <v>netaik.</v>
      </c>
      <c r="R152" s="963" t="str">
        <f t="shared" si="32"/>
        <v>netaik.</v>
      </c>
      <c r="S152" s="963" t="str">
        <f t="shared" si="35"/>
        <v>netaik.</v>
      </c>
      <c r="T152" s="964" t="str">
        <f t="shared" si="35"/>
        <v>netaik.</v>
      </c>
      <c r="U152" s="965" t="str">
        <f t="shared" si="33"/>
        <v>netaik.</v>
      </c>
      <c r="W152" s="348"/>
    </row>
    <row r="153" spans="1:23" x14ac:dyDescent="0.2">
      <c r="A153" s="907" t="str">
        <f t="shared" si="37"/>
        <v>netaik.</v>
      </c>
      <c r="B153" s="899" t="str">
        <f t="shared" si="37"/>
        <v>netaik.</v>
      </c>
      <c r="C153" s="364" t="str">
        <f t="shared" si="36"/>
        <v>t</v>
      </c>
      <c r="D153" s="365" t="str">
        <f t="shared" si="38"/>
        <v>netaik.</v>
      </c>
      <c r="E153" s="351" t="str">
        <f t="shared" si="38"/>
        <v>netaik.</v>
      </c>
      <c r="F153" s="365" t="str">
        <f t="shared" si="30"/>
        <v>netaik.</v>
      </c>
      <c r="G153" s="351" t="str">
        <f t="shared" si="30"/>
        <v>netaik.</v>
      </c>
      <c r="H153" s="365" t="str">
        <f t="shared" si="30"/>
        <v>netaik.</v>
      </c>
      <c r="I153" s="900" t="str">
        <f t="shared" si="30"/>
        <v>netaik.</v>
      </c>
      <c r="J153" s="961" t="b">
        <f>FALSE</f>
        <v>0</v>
      </c>
      <c r="K153" s="961" t="b">
        <f>TRUE</f>
        <v>1</v>
      </c>
      <c r="L153" s="962" t="str">
        <f t="shared" si="39"/>
        <v>netaik.</v>
      </c>
      <c r="M153" s="963" t="str">
        <f t="shared" si="23"/>
        <v>netaik.</v>
      </c>
      <c r="N153" s="879" t="str">
        <f t="shared" si="34"/>
        <v>netaik.</v>
      </c>
      <c r="O153" s="963" t="str">
        <f t="shared" si="24"/>
        <v>netaik.</v>
      </c>
      <c r="P153" s="963" t="str">
        <f t="shared" si="40"/>
        <v>netaik.</v>
      </c>
      <c r="Q153" s="963" t="str">
        <f t="shared" si="32"/>
        <v>netaik.</v>
      </c>
      <c r="R153" s="963" t="str">
        <f t="shared" si="32"/>
        <v>netaik.</v>
      </c>
      <c r="S153" s="963" t="str">
        <f t="shared" si="35"/>
        <v>netaik.</v>
      </c>
      <c r="T153" s="964" t="str">
        <f t="shared" si="35"/>
        <v>netaik.</v>
      </c>
      <c r="U153" s="965" t="str">
        <f t="shared" si="33"/>
        <v>netaik.</v>
      </c>
      <c r="W153" s="348"/>
    </row>
    <row r="154" spans="1:23" x14ac:dyDescent="0.2">
      <c r="A154" s="907" t="str">
        <f t="shared" si="37"/>
        <v>netaik.</v>
      </c>
      <c r="B154" s="899" t="str">
        <f t="shared" si="37"/>
        <v>netaik.</v>
      </c>
      <c r="C154" s="364" t="str">
        <f t="shared" si="36"/>
        <v>t</v>
      </c>
      <c r="D154" s="365" t="str">
        <f t="shared" si="38"/>
        <v>netaik.</v>
      </c>
      <c r="E154" s="351" t="str">
        <f t="shared" si="38"/>
        <v>netaik.</v>
      </c>
      <c r="F154" s="365" t="str">
        <f t="shared" si="30"/>
        <v>netaik.</v>
      </c>
      <c r="G154" s="351" t="str">
        <f t="shared" si="30"/>
        <v>netaik.</v>
      </c>
      <c r="H154" s="365" t="str">
        <f t="shared" si="30"/>
        <v>netaik.</v>
      </c>
      <c r="I154" s="900" t="str">
        <f t="shared" si="30"/>
        <v>netaik.</v>
      </c>
      <c r="J154" s="961" t="b">
        <f>FALSE</f>
        <v>0</v>
      </c>
      <c r="K154" s="961" t="b">
        <f>TRUE</f>
        <v>1</v>
      </c>
      <c r="L154" s="962" t="str">
        <f t="shared" si="39"/>
        <v>netaik.</v>
      </c>
      <c r="M154" s="963" t="str">
        <f t="shared" si="23"/>
        <v>netaik.</v>
      </c>
      <c r="N154" s="879" t="str">
        <f t="shared" si="34"/>
        <v>netaik.</v>
      </c>
      <c r="O154" s="963" t="str">
        <f t="shared" si="24"/>
        <v>netaik.</v>
      </c>
      <c r="P154" s="963" t="str">
        <f t="shared" si="40"/>
        <v>netaik.</v>
      </c>
      <c r="Q154" s="963" t="str">
        <f>EUconst_NA</f>
        <v>netaik.</v>
      </c>
      <c r="R154" s="963" t="str">
        <f>EUconst_NA</f>
        <v>netaik.</v>
      </c>
      <c r="S154" s="963" t="str">
        <f t="shared" si="35"/>
        <v>netaik.</v>
      </c>
      <c r="T154" s="964" t="str">
        <f t="shared" si="35"/>
        <v>netaik.</v>
      </c>
      <c r="U154" s="965" t="str">
        <f t="shared" si="33"/>
        <v>netaik.</v>
      </c>
      <c r="W154" s="348"/>
    </row>
    <row r="155" spans="1:23" x14ac:dyDescent="0.2">
      <c r="A155" s="907" t="str">
        <f t="shared" si="37"/>
        <v>netaik.</v>
      </c>
      <c r="B155" s="899" t="str">
        <f t="shared" si="37"/>
        <v>netaik.</v>
      </c>
      <c r="C155" s="364" t="str">
        <f t="shared" si="36"/>
        <v>t</v>
      </c>
      <c r="D155" s="365" t="str">
        <f t="shared" si="38"/>
        <v>netaik.</v>
      </c>
      <c r="E155" s="351" t="str">
        <f t="shared" si="38"/>
        <v>netaik.</v>
      </c>
      <c r="F155" s="365" t="str">
        <f t="shared" si="30"/>
        <v>netaik.</v>
      </c>
      <c r="G155" s="351" t="str">
        <f t="shared" si="30"/>
        <v>netaik.</v>
      </c>
      <c r="H155" s="365" t="str">
        <f t="shared" si="30"/>
        <v>netaik.</v>
      </c>
      <c r="I155" s="900" t="str">
        <f t="shared" si="30"/>
        <v>netaik.</v>
      </c>
      <c r="J155" s="961" t="b">
        <f>FALSE</f>
        <v>0</v>
      </c>
      <c r="K155" s="961" t="b">
        <f>TRUE</f>
        <v>1</v>
      </c>
      <c r="L155" s="962" t="str">
        <f t="shared" si="39"/>
        <v>netaik.</v>
      </c>
      <c r="M155" s="963" t="str">
        <f t="shared" si="23"/>
        <v>netaik.</v>
      </c>
      <c r="N155" s="879" t="str">
        <f t="shared" si="34"/>
        <v>netaik.</v>
      </c>
      <c r="O155" s="963" t="str">
        <f t="shared" si="24"/>
        <v>netaik.</v>
      </c>
      <c r="P155" s="963" t="str">
        <f t="shared" si="40"/>
        <v>netaik.</v>
      </c>
      <c r="Q155" s="963" t="str">
        <f t="shared" si="32"/>
        <v>netaik.</v>
      </c>
      <c r="R155" s="963" t="str">
        <f t="shared" si="32"/>
        <v>netaik.</v>
      </c>
      <c r="S155" s="963" t="str">
        <f t="shared" si="35"/>
        <v>netaik.</v>
      </c>
      <c r="T155" s="964" t="str">
        <f t="shared" si="35"/>
        <v>netaik.</v>
      </c>
      <c r="U155" s="965" t="str">
        <f t="shared" si="33"/>
        <v>netaik.</v>
      </c>
      <c r="W155" s="348"/>
    </row>
    <row r="156" spans="1:23" x14ac:dyDescent="0.2">
      <c r="A156" s="907" t="str">
        <f t="shared" si="37"/>
        <v>netaik.</v>
      </c>
      <c r="B156" s="899" t="str">
        <f t="shared" si="37"/>
        <v>netaik.</v>
      </c>
      <c r="C156" s="364" t="str">
        <f t="shared" si="36"/>
        <v>t</v>
      </c>
      <c r="D156" s="365" t="str">
        <f t="shared" si="38"/>
        <v>netaik.</v>
      </c>
      <c r="E156" s="351" t="str">
        <f t="shared" si="38"/>
        <v>netaik.</v>
      </c>
      <c r="F156" s="365" t="str">
        <f t="shared" si="30"/>
        <v>netaik.</v>
      </c>
      <c r="G156" s="351" t="str">
        <f t="shared" si="30"/>
        <v>netaik.</v>
      </c>
      <c r="H156" s="365" t="str">
        <f t="shared" si="30"/>
        <v>netaik.</v>
      </c>
      <c r="I156" s="900" t="str">
        <f t="shared" si="30"/>
        <v>netaik.</v>
      </c>
      <c r="J156" s="961" t="b">
        <f>FALSE</f>
        <v>0</v>
      </c>
      <c r="K156" s="961" t="b">
        <f>TRUE</f>
        <v>1</v>
      </c>
      <c r="L156" s="962" t="str">
        <f t="shared" si="39"/>
        <v>netaik.</v>
      </c>
      <c r="M156" s="963" t="str">
        <f t="shared" si="23"/>
        <v>netaik.</v>
      </c>
      <c r="N156" s="879" t="str">
        <f t="shared" si="34"/>
        <v>netaik.</v>
      </c>
      <c r="O156" s="963" t="str">
        <f t="shared" si="24"/>
        <v>netaik.</v>
      </c>
      <c r="P156" s="963" t="str">
        <f t="shared" si="40"/>
        <v>netaik.</v>
      </c>
      <c r="Q156" s="963" t="str">
        <f t="shared" ref="Q156:R161" si="41">EUconst_NA</f>
        <v>netaik.</v>
      </c>
      <c r="R156" s="963" t="str">
        <f t="shared" si="41"/>
        <v>netaik.</v>
      </c>
      <c r="S156" s="963" t="str">
        <f t="shared" si="35"/>
        <v>netaik.</v>
      </c>
      <c r="T156" s="964" t="str">
        <f t="shared" si="35"/>
        <v>netaik.</v>
      </c>
      <c r="U156" s="965" t="str">
        <f t="shared" si="33"/>
        <v>netaik.</v>
      </c>
      <c r="W156" s="348"/>
    </row>
    <row r="157" spans="1:23" x14ac:dyDescent="0.2">
      <c r="A157" s="907" t="str">
        <f t="shared" si="37"/>
        <v>netaik.</v>
      </c>
      <c r="B157" s="899" t="str">
        <f t="shared" si="37"/>
        <v>netaik.</v>
      </c>
      <c r="C157" s="364" t="str">
        <f t="shared" si="36"/>
        <v>t</v>
      </c>
      <c r="D157" s="365" t="str">
        <f t="shared" si="38"/>
        <v>netaik.</v>
      </c>
      <c r="E157" s="351" t="str">
        <f t="shared" si="38"/>
        <v>netaik.</v>
      </c>
      <c r="F157" s="365" t="str">
        <f t="shared" si="30"/>
        <v>netaik.</v>
      </c>
      <c r="G157" s="351" t="str">
        <f t="shared" si="30"/>
        <v>netaik.</v>
      </c>
      <c r="H157" s="365" t="str">
        <f t="shared" si="30"/>
        <v>netaik.</v>
      </c>
      <c r="I157" s="900" t="str">
        <f t="shared" si="30"/>
        <v>netaik.</v>
      </c>
      <c r="J157" s="961" t="b">
        <f>FALSE</f>
        <v>0</v>
      </c>
      <c r="K157" s="961" t="b">
        <f>TRUE</f>
        <v>1</v>
      </c>
      <c r="L157" s="962" t="str">
        <f t="shared" si="39"/>
        <v>netaik.</v>
      </c>
      <c r="M157" s="963" t="str">
        <f t="shared" si="23"/>
        <v>netaik.</v>
      </c>
      <c r="N157" s="879" t="str">
        <f t="shared" si="34"/>
        <v>netaik.</v>
      </c>
      <c r="O157" s="963" t="str">
        <f t="shared" si="24"/>
        <v>netaik.</v>
      </c>
      <c r="P157" s="963" t="str">
        <f t="shared" si="40"/>
        <v>netaik.</v>
      </c>
      <c r="Q157" s="963" t="str">
        <f t="shared" si="41"/>
        <v>netaik.</v>
      </c>
      <c r="R157" s="963" t="str">
        <f t="shared" si="41"/>
        <v>netaik.</v>
      </c>
      <c r="S157" s="963" t="str">
        <f t="shared" si="35"/>
        <v>netaik.</v>
      </c>
      <c r="T157" s="964" t="str">
        <f t="shared" si="35"/>
        <v>netaik.</v>
      </c>
      <c r="U157" s="965" t="str">
        <f t="shared" si="33"/>
        <v>netaik.</v>
      </c>
      <c r="W157" s="348"/>
    </row>
    <row r="158" spans="1:23" x14ac:dyDescent="0.2">
      <c r="A158" s="907" t="str">
        <f t="shared" si="37"/>
        <v>netaik.</v>
      </c>
      <c r="B158" s="899" t="str">
        <f t="shared" si="37"/>
        <v>netaik.</v>
      </c>
      <c r="C158" s="364" t="str">
        <f t="shared" si="36"/>
        <v>t</v>
      </c>
      <c r="D158" s="365" t="str">
        <f t="shared" si="38"/>
        <v>netaik.</v>
      </c>
      <c r="E158" s="351" t="str">
        <f t="shared" si="38"/>
        <v>netaik.</v>
      </c>
      <c r="F158" s="365" t="str">
        <f t="shared" si="30"/>
        <v>netaik.</v>
      </c>
      <c r="G158" s="351" t="str">
        <f t="shared" si="30"/>
        <v>netaik.</v>
      </c>
      <c r="H158" s="365" t="str">
        <f t="shared" si="30"/>
        <v>netaik.</v>
      </c>
      <c r="I158" s="900" t="str">
        <f t="shared" si="30"/>
        <v>netaik.</v>
      </c>
      <c r="J158" s="961" t="b">
        <f>FALSE</f>
        <v>0</v>
      </c>
      <c r="K158" s="961" t="b">
        <f>TRUE</f>
        <v>1</v>
      </c>
      <c r="L158" s="962" t="str">
        <f t="shared" si="39"/>
        <v>netaik.</v>
      </c>
      <c r="M158" s="963" t="str">
        <f t="shared" si="23"/>
        <v>netaik.</v>
      </c>
      <c r="N158" s="879" t="str">
        <f t="shared" si="34"/>
        <v>netaik.</v>
      </c>
      <c r="O158" s="963" t="str">
        <f t="shared" si="24"/>
        <v>netaik.</v>
      </c>
      <c r="P158" s="963" t="str">
        <f t="shared" si="40"/>
        <v>netaik.</v>
      </c>
      <c r="Q158" s="963" t="str">
        <f t="shared" si="41"/>
        <v>netaik.</v>
      </c>
      <c r="R158" s="963" t="str">
        <f t="shared" si="41"/>
        <v>netaik.</v>
      </c>
      <c r="S158" s="963" t="str">
        <f t="shared" si="35"/>
        <v>netaik.</v>
      </c>
      <c r="T158" s="964" t="str">
        <f t="shared" si="35"/>
        <v>netaik.</v>
      </c>
      <c r="U158" s="965" t="str">
        <f t="shared" si="33"/>
        <v>netaik.</v>
      </c>
      <c r="W158" s="348"/>
    </row>
    <row r="159" spans="1:23" x14ac:dyDescent="0.2">
      <c r="A159" s="907" t="str">
        <f t="shared" si="37"/>
        <v>netaik.</v>
      </c>
      <c r="B159" s="899" t="str">
        <f t="shared" si="37"/>
        <v>netaik.</v>
      </c>
      <c r="C159" s="364" t="str">
        <f t="shared" si="36"/>
        <v>t</v>
      </c>
      <c r="D159" s="365" t="str">
        <f t="shared" si="38"/>
        <v>netaik.</v>
      </c>
      <c r="E159" s="351" t="str">
        <f t="shared" si="38"/>
        <v>netaik.</v>
      </c>
      <c r="F159" s="365" t="str">
        <f t="shared" si="30"/>
        <v>netaik.</v>
      </c>
      <c r="G159" s="351" t="str">
        <f t="shared" si="30"/>
        <v>netaik.</v>
      </c>
      <c r="H159" s="365" t="str">
        <f t="shared" si="30"/>
        <v>netaik.</v>
      </c>
      <c r="I159" s="900" t="str">
        <f t="shared" si="30"/>
        <v>netaik.</v>
      </c>
      <c r="J159" s="961" t="b">
        <f>FALSE</f>
        <v>0</v>
      </c>
      <c r="K159" s="961" t="b">
        <f>TRUE</f>
        <v>1</v>
      </c>
      <c r="L159" s="962" t="str">
        <f t="shared" si="39"/>
        <v>netaik.</v>
      </c>
      <c r="M159" s="963" t="str">
        <f t="shared" si="23"/>
        <v>netaik.</v>
      </c>
      <c r="N159" s="879" t="str">
        <f t="shared" si="34"/>
        <v>netaik.</v>
      </c>
      <c r="O159" s="963" t="str">
        <f t="shared" si="24"/>
        <v>netaik.</v>
      </c>
      <c r="P159" s="963" t="str">
        <f t="shared" si="40"/>
        <v>netaik.</v>
      </c>
      <c r="Q159" s="963" t="str">
        <f t="shared" si="41"/>
        <v>netaik.</v>
      </c>
      <c r="R159" s="963" t="str">
        <f t="shared" si="41"/>
        <v>netaik.</v>
      </c>
      <c r="S159" s="963" t="str">
        <f t="shared" si="35"/>
        <v>netaik.</v>
      </c>
      <c r="T159" s="964" t="str">
        <f t="shared" si="35"/>
        <v>netaik.</v>
      </c>
      <c r="U159" s="965" t="str">
        <f t="shared" si="33"/>
        <v>netaik.</v>
      </c>
      <c r="W159" s="348"/>
    </row>
    <row r="160" spans="1:23" x14ac:dyDescent="0.2">
      <c r="A160" s="907" t="str">
        <f t="shared" si="37"/>
        <v>netaik.</v>
      </c>
      <c r="B160" s="899" t="str">
        <f t="shared" si="37"/>
        <v>netaik.</v>
      </c>
      <c r="C160" s="364" t="str">
        <f t="shared" si="36"/>
        <v>t</v>
      </c>
      <c r="D160" s="365" t="str">
        <f t="shared" si="38"/>
        <v>netaik.</v>
      </c>
      <c r="E160" s="351" t="str">
        <f t="shared" si="38"/>
        <v>netaik.</v>
      </c>
      <c r="F160" s="365" t="str">
        <f t="shared" si="30"/>
        <v>netaik.</v>
      </c>
      <c r="G160" s="351" t="str">
        <f t="shared" si="30"/>
        <v>netaik.</v>
      </c>
      <c r="H160" s="365" t="str">
        <f t="shared" si="30"/>
        <v>netaik.</v>
      </c>
      <c r="I160" s="900" t="str">
        <f t="shared" si="30"/>
        <v>netaik.</v>
      </c>
      <c r="J160" s="961" t="b">
        <f>FALSE</f>
        <v>0</v>
      </c>
      <c r="K160" s="961" t="b">
        <f>TRUE</f>
        <v>1</v>
      </c>
      <c r="L160" s="962" t="str">
        <f t="shared" si="39"/>
        <v>netaik.</v>
      </c>
      <c r="M160" s="963" t="str">
        <f t="shared" si="23"/>
        <v>netaik.</v>
      </c>
      <c r="N160" s="879" t="str">
        <f t="shared" si="34"/>
        <v>netaik.</v>
      </c>
      <c r="O160" s="963" t="str">
        <f t="shared" si="24"/>
        <v>netaik.</v>
      </c>
      <c r="P160" s="963" t="str">
        <f t="shared" si="40"/>
        <v>netaik.</v>
      </c>
      <c r="Q160" s="963" t="str">
        <f t="shared" si="41"/>
        <v>netaik.</v>
      </c>
      <c r="R160" s="963" t="str">
        <f t="shared" si="41"/>
        <v>netaik.</v>
      </c>
      <c r="S160" s="963" t="str">
        <f t="shared" si="35"/>
        <v>netaik.</v>
      </c>
      <c r="T160" s="964" t="str">
        <f t="shared" si="35"/>
        <v>netaik.</v>
      </c>
      <c r="U160" s="965" t="str">
        <f t="shared" si="33"/>
        <v>netaik.</v>
      </c>
      <c r="W160" s="348"/>
    </row>
    <row r="161" spans="1:23" ht="13.5" thickBot="1" x14ac:dyDescent="0.25">
      <c r="A161" s="906" t="str">
        <f t="shared" si="37"/>
        <v>netaik.</v>
      </c>
      <c r="B161" s="891" t="str">
        <f t="shared" si="37"/>
        <v>netaik.</v>
      </c>
      <c r="C161" s="901" t="str">
        <f t="shared" si="36"/>
        <v>t</v>
      </c>
      <c r="D161" s="893" t="str">
        <f t="shared" si="38"/>
        <v>netaik.</v>
      </c>
      <c r="E161" s="356" t="str">
        <f t="shared" si="38"/>
        <v>netaik.</v>
      </c>
      <c r="F161" s="893" t="str">
        <f t="shared" si="30"/>
        <v>netaik.</v>
      </c>
      <c r="G161" s="356" t="str">
        <f t="shared" si="30"/>
        <v>netaik.</v>
      </c>
      <c r="H161" s="893" t="str">
        <f t="shared" si="30"/>
        <v>netaik.</v>
      </c>
      <c r="I161" s="894" t="str">
        <f t="shared" si="30"/>
        <v>netaik.</v>
      </c>
      <c r="J161" s="966" t="b">
        <f>FALSE</f>
        <v>0</v>
      </c>
      <c r="K161" s="966" t="b">
        <f>TRUE</f>
        <v>1</v>
      </c>
      <c r="L161" s="967" t="str">
        <f t="shared" si="39"/>
        <v>netaik.</v>
      </c>
      <c r="M161" s="968" t="str">
        <f t="shared" si="23"/>
        <v>netaik.</v>
      </c>
      <c r="N161" s="376" t="str">
        <f t="shared" si="34"/>
        <v>netaik.</v>
      </c>
      <c r="O161" s="968" t="str">
        <f t="shared" si="24"/>
        <v>netaik.</v>
      </c>
      <c r="P161" s="968" t="str">
        <f t="shared" si="40"/>
        <v>netaik.</v>
      </c>
      <c r="Q161" s="968" t="str">
        <f t="shared" si="41"/>
        <v>netaik.</v>
      </c>
      <c r="R161" s="968" t="str">
        <f t="shared" si="41"/>
        <v>netaik.</v>
      </c>
      <c r="S161" s="968" t="str">
        <f t="shared" si="35"/>
        <v>netaik.</v>
      </c>
      <c r="T161" s="969" t="str">
        <f t="shared" si="35"/>
        <v>netaik.</v>
      </c>
      <c r="U161" s="970" t="str">
        <f t="shared" si="33"/>
        <v>netaik.</v>
      </c>
      <c r="W161" s="348"/>
    </row>
    <row r="162" spans="1:23" x14ac:dyDescent="0.2">
      <c r="A162" s="469" t="str">
        <f>Translations!$B$1093</f>
        <v>Medžiaga – Tiesiogiai redukuojama geležis</v>
      </c>
      <c r="B162" s="469" t="s">
        <v>544</v>
      </c>
      <c r="C162" s="895" t="str">
        <f t="shared" si="36"/>
        <v>t</v>
      </c>
      <c r="D162" s="896">
        <v>7.0000000000000007E-2</v>
      </c>
      <c r="E162" s="897" t="str">
        <f t="shared" ref="E162:E194" si="42">EUconst_tCO2pt</f>
        <v>tCO2/t</v>
      </c>
      <c r="F162" s="896" t="str">
        <f t="shared" ref="F162:I194" si="43">EUconst_NA</f>
        <v>netaik.</v>
      </c>
      <c r="G162" s="897" t="str">
        <f t="shared" si="43"/>
        <v>netaik.</v>
      </c>
      <c r="H162" s="896">
        <v>1.9099999999999999E-2</v>
      </c>
      <c r="I162" s="898" t="str">
        <f t="shared" ref="I162:I170" si="44">EUconst_tCpt</f>
        <v>t C/t</v>
      </c>
      <c r="J162" s="937" t="b">
        <f>TRUE</f>
        <v>1</v>
      </c>
      <c r="K162" s="937" t="b">
        <v>0</v>
      </c>
      <c r="L162" s="957" t="s">
        <v>277</v>
      </c>
      <c r="M162" s="958" t="str">
        <f t="shared" si="23"/>
        <v>netaik.</v>
      </c>
      <c r="N162" s="374" t="str">
        <f t="shared" si="34"/>
        <v>GJ/t</v>
      </c>
      <c r="O162" s="958" t="str">
        <f t="shared" si="24"/>
        <v>netaik.</v>
      </c>
      <c r="P162" s="958" t="str">
        <f t="shared" ref="P162:P170" si="45">EUconst_tCO2pt</f>
        <v>tCO2/t</v>
      </c>
      <c r="Q162" s="958">
        <v>1</v>
      </c>
      <c r="R162" s="958">
        <v>1</v>
      </c>
      <c r="S162" s="958" t="str">
        <f t="shared" si="35"/>
        <v>netaik.</v>
      </c>
      <c r="T162" s="959" t="str">
        <f t="shared" si="35"/>
        <v>netaik.</v>
      </c>
      <c r="U162" s="960" t="str">
        <f t="shared" si="33"/>
        <v>netaik.</v>
      </c>
      <c r="W162" s="348"/>
    </row>
    <row r="163" spans="1:23" x14ac:dyDescent="0.2">
      <c r="A163" s="470" t="str">
        <f>Translations!$B$1094</f>
        <v>Medžiaga – EAF anglies elektrodai</v>
      </c>
      <c r="B163" s="470" t="s">
        <v>544</v>
      </c>
      <c r="C163" s="363" t="str">
        <f t="shared" si="36"/>
        <v>t</v>
      </c>
      <c r="D163" s="369">
        <v>3</v>
      </c>
      <c r="E163" s="350" t="str">
        <f t="shared" si="42"/>
        <v>tCO2/t</v>
      </c>
      <c r="F163" s="369" t="str">
        <f t="shared" si="43"/>
        <v>netaik.</v>
      </c>
      <c r="G163" s="350" t="str">
        <f t="shared" si="43"/>
        <v>netaik.</v>
      </c>
      <c r="H163" s="369">
        <v>0.81879999999999997</v>
      </c>
      <c r="I163" s="370" t="str">
        <f t="shared" si="44"/>
        <v>t C/t</v>
      </c>
      <c r="J163" s="942" t="b">
        <f>TRUE</f>
        <v>1</v>
      </c>
      <c r="K163" s="942" t="b">
        <v>0</v>
      </c>
      <c r="L163" s="943" t="s">
        <v>277</v>
      </c>
      <c r="M163" s="944" t="str">
        <f t="shared" si="23"/>
        <v>netaik.</v>
      </c>
      <c r="N163" s="375" t="str">
        <f t="shared" si="34"/>
        <v>GJ/t</v>
      </c>
      <c r="O163" s="944" t="str">
        <f t="shared" si="24"/>
        <v>netaik.</v>
      </c>
      <c r="P163" s="944" t="str">
        <f t="shared" si="45"/>
        <v>tCO2/t</v>
      </c>
      <c r="Q163" s="944">
        <v>1</v>
      </c>
      <c r="R163" s="944">
        <v>1</v>
      </c>
      <c r="S163" s="944" t="str">
        <f t="shared" si="35"/>
        <v>netaik.</v>
      </c>
      <c r="T163" s="945" t="str">
        <f t="shared" si="35"/>
        <v>netaik.</v>
      </c>
      <c r="U163" s="946" t="str">
        <f t="shared" si="33"/>
        <v>netaik.</v>
      </c>
      <c r="W163" s="348"/>
    </row>
    <row r="164" spans="1:23" x14ac:dyDescent="0.2">
      <c r="A164" s="470" t="str">
        <f>Translations!$B$1095</f>
        <v>Medžiaga – EAF krūvio anglis</v>
      </c>
      <c r="B164" s="470" t="s">
        <v>544</v>
      </c>
      <c r="C164" s="363" t="str">
        <f t="shared" si="36"/>
        <v>t</v>
      </c>
      <c r="D164" s="369">
        <v>3.04</v>
      </c>
      <c r="E164" s="350" t="str">
        <f t="shared" si="42"/>
        <v>tCO2/t</v>
      </c>
      <c r="F164" s="369" t="str">
        <f t="shared" si="43"/>
        <v>netaik.</v>
      </c>
      <c r="G164" s="350" t="str">
        <f t="shared" si="43"/>
        <v>netaik.</v>
      </c>
      <c r="H164" s="369">
        <v>0.82969999999999999</v>
      </c>
      <c r="I164" s="370" t="str">
        <f t="shared" si="44"/>
        <v>t C/t</v>
      </c>
      <c r="J164" s="942" t="b">
        <f>TRUE</f>
        <v>1</v>
      </c>
      <c r="K164" s="942" t="b">
        <v>0</v>
      </c>
      <c r="L164" s="943" t="s">
        <v>277</v>
      </c>
      <c r="M164" s="944" t="str">
        <f t="shared" si="23"/>
        <v>netaik.</v>
      </c>
      <c r="N164" s="375" t="str">
        <f t="shared" si="34"/>
        <v>GJ/t</v>
      </c>
      <c r="O164" s="944" t="str">
        <f t="shared" si="24"/>
        <v>netaik.</v>
      </c>
      <c r="P164" s="944" t="str">
        <f t="shared" si="45"/>
        <v>tCO2/t</v>
      </c>
      <c r="Q164" s="944">
        <v>1</v>
      </c>
      <c r="R164" s="944">
        <v>1</v>
      </c>
      <c r="S164" s="944" t="str">
        <f t="shared" si="35"/>
        <v>netaik.</v>
      </c>
      <c r="T164" s="945" t="str">
        <f t="shared" si="35"/>
        <v>netaik.</v>
      </c>
      <c r="U164" s="946" t="str">
        <f t="shared" si="33"/>
        <v>netaik.</v>
      </c>
      <c r="W164" s="348"/>
    </row>
    <row r="165" spans="1:23" x14ac:dyDescent="0.2">
      <c r="A165" s="470" t="str">
        <f>Translations!$B$1096</f>
        <v>Medžiaga – Karštojo briketavimo geležis</v>
      </c>
      <c r="B165" s="470" t="s">
        <v>544</v>
      </c>
      <c r="C165" s="363" t="str">
        <f t="shared" si="36"/>
        <v>t</v>
      </c>
      <c r="D165" s="369">
        <v>7.0000000000000007E-2</v>
      </c>
      <c r="E165" s="350" t="str">
        <f t="shared" si="42"/>
        <v>tCO2/t</v>
      </c>
      <c r="F165" s="369" t="str">
        <f t="shared" si="43"/>
        <v>netaik.</v>
      </c>
      <c r="G165" s="350" t="str">
        <f t="shared" si="43"/>
        <v>netaik.</v>
      </c>
      <c r="H165" s="369">
        <v>1.9099999999999999E-2</v>
      </c>
      <c r="I165" s="370" t="str">
        <f t="shared" si="44"/>
        <v>t C/t</v>
      </c>
      <c r="J165" s="942" t="b">
        <f>TRUE</f>
        <v>1</v>
      </c>
      <c r="K165" s="942" t="b">
        <v>0</v>
      </c>
      <c r="L165" s="943" t="s">
        <v>277</v>
      </c>
      <c r="M165" s="944" t="str">
        <f t="shared" ref="M165:M194" si="46">EUconst_NA</f>
        <v>netaik.</v>
      </c>
      <c r="N165" s="375" t="str">
        <f t="shared" si="34"/>
        <v>GJ/t</v>
      </c>
      <c r="O165" s="944" t="str">
        <f t="shared" ref="O165:R204" si="47">EUconst_NA</f>
        <v>netaik.</v>
      </c>
      <c r="P165" s="944" t="str">
        <f t="shared" si="45"/>
        <v>tCO2/t</v>
      </c>
      <c r="Q165" s="944">
        <v>1</v>
      </c>
      <c r="R165" s="944">
        <v>1</v>
      </c>
      <c r="S165" s="944" t="str">
        <f t="shared" si="35"/>
        <v>netaik.</v>
      </c>
      <c r="T165" s="945" t="str">
        <f t="shared" si="35"/>
        <v>netaik.</v>
      </c>
      <c r="U165" s="946" t="str">
        <f t="shared" si="33"/>
        <v>netaik.</v>
      </c>
      <c r="W165" s="348"/>
    </row>
    <row r="166" spans="1:23" x14ac:dyDescent="0.2">
      <c r="A166" s="470" t="str">
        <f>Translations!$B$1003</f>
        <v>Dujinis – Deguoninių plieno aukštakrosnių dujos</v>
      </c>
      <c r="B166" s="470" t="s">
        <v>544</v>
      </c>
      <c r="C166" s="363" t="str">
        <f t="shared" si="36"/>
        <v>t</v>
      </c>
      <c r="D166" s="369">
        <v>1.28</v>
      </c>
      <c r="E166" s="350" t="str">
        <f t="shared" si="42"/>
        <v>tCO2/t</v>
      </c>
      <c r="F166" s="369" t="str">
        <f t="shared" si="43"/>
        <v>netaik.</v>
      </c>
      <c r="G166" s="350" t="str">
        <f t="shared" si="43"/>
        <v>netaik.</v>
      </c>
      <c r="H166" s="369">
        <v>0.3493</v>
      </c>
      <c r="I166" s="370" t="str">
        <f t="shared" si="44"/>
        <v>t C/t</v>
      </c>
      <c r="J166" s="942" t="b">
        <f>TRUE</f>
        <v>1</v>
      </c>
      <c r="K166" s="942" t="b">
        <v>0</v>
      </c>
      <c r="L166" s="943" t="s">
        <v>277</v>
      </c>
      <c r="M166" s="944" t="str">
        <f t="shared" si="46"/>
        <v>netaik.</v>
      </c>
      <c r="N166" s="375" t="str">
        <f t="shared" si="34"/>
        <v>GJ/t</v>
      </c>
      <c r="O166" s="944" t="str">
        <f t="shared" si="47"/>
        <v>netaik.</v>
      </c>
      <c r="P166" s="944" t="str">
        <f t="shared" si="45"/>
        <v>tCO2/t</v>
      </c>
      <c r="Q166" s="944">
        <v>1</v>
      </c>
      <c r="R166" s="944">
        <v>1</v>
      </c>
      <c r="S166" s="944" t="str">
        <f t="shared" si="35"/>
        <v>netaik.</v>
      </c>
      <c r="T166" s="945" t="str">
        <f t="shared" si="35"/>
        <v>netaik.</v>
      </c>
      <c r="U166" s="946" t="str">
        <f t="shared" si="33"/>
        <v>netaik.</v>
      </c>
      <c r="W166" s="348"/>
    </row>
    <row r="167" spans="1:23" x14ac:dyDescent="0.2">
      <c r="A167" s="470" t="str">
        <f>Translations!$B$1041</f>
        <v>Kietasis – Naftos koksas</v>
      </c>
      <c r="B167" s="470" t="s">
        <v>544</v>
      </c>
      <c r="C167" s="363" t="str">
        <f t="shared" si="36"/>
        <v>t</v>
      </c>
      <c r="D167" s="369">
        <v>3.19</v>
      </c>
      <c r="E167" s="350" t="str">
        <f t="shared" si="42"/>
        <v>tCO2/t</v>
      </c>
      <c r="F167" s="369" t="str">
        <f t="shared" si="43"/>
        <v>netaik.</v>
      </c>
      <c r="G167" s="350" t="str">
        <f t="shared" si="43"/>
        <v>netaik.</v>
      </c>
      <c r="H167" s="369">
        <v>0.87060000000000004</v>
      </c>
      <c r="I167" s="370" t="str">
        <f t="shared" si="44"/>
        <v>t C/t</v>
      </c>
      <c r="J167" s="942" t="b">
        <f>TRUE</f>
        <v>1</v>
      </c>
      <c r="K167" s="942" t="b">
        <v>0</v>
      </c>
      <c r="L167" s="943" t="s">
        <v>277</v>
      </c>
      <c r="M167" s="944" t="str">
        <f t="shared" si="46"/>
        <v>netaik.</v>
      </c>
      <c r="N167" s="375" t="str">
        <f t="shared" si="34"/>
        <v>GJ/t</v>
      </c>
      <c r="O167" s="944" t="str">
        <f t="shared" si="47"/>
        <v>netaik.</v>
      </c>
      <c r="P167" s="944" t="str">
        <f t="shared" si="45"/>
        <v>tCO2/t</v>
      </c>
      <c r="Q167" s="944">
        <v>1</v>
      </c>
      <c r="R167" s="944">
        <v>1</v>
      </c>
      <c r="S167" s="944" t="str">
        <f t="shared" si="35"/>
        <v>netaik.</v>
      </c>
      <c r="T167" s="945" t="str">
        <f t="shared" si="35"/>
        <v>netaik.</v>
      </c>
      <c r="U167" s="946" t="str">
        <f t="shared" si="33"/>
        <v>netaik.</v>
      </c>
      <c r="W167" s="348"/>
    </row>
    <row r="168" spans="1:23" x14ac:dyDescent="0.2">
      <c r="A168" s="470" t="str">
        <f>Translations!$B$1097</f>
        <v>Medžiaga – Perkama geležis luitais</v>
      </c>
      <c r="B168" s="470" t="s">
        <v>544</v>
      </c>
      <c r="C168" s="363" t="str">
        <f t="shared" si="36"/>
        <v>t</v>
      </c>
      <c r="D168" s="369">
        <v>0.15</v>
      </c>
      <c r="E168" s="350" t="str">
        <f t="shared" si="42"/>
        <v>tCO2/t</v>
      </c>
      <c r="F168" s="369" t="str">
        <f t="shared" si="43"/>
        <v>netaik.</v>
      </c>
      <c r="G168" s="350" t="str">
        <f t="shared" si="43"/>
        <v>netaik.</v>
      </c>
      <c r="H168" s="369">
        <v>4.0899999999999999E-2</v>
      </c>
      <c r="I168" s="370" t="str">
        <f t="shared" si="44"/>
        <v>t C/t</v>
      </c>
      <c r="J168" s="942" t="b">
        <f>TRUE</f>
        <v>1</v>
      </c>
      <c r="K168" s="942" t="b">
        <v>0</v>
      </c>
      <c r="L168" s="943" t="s">
        <v>277</v>
      </c>
      <c r="M168" s="944" t="str">
        <f t="shared" si="46"/>
        <v>netaik.</v>
      </c>
      <c r="N168" s="375" t="str">
        <f t="shared" si="34"/>
        <v>GJ/t</v>
      </c>
      <c r="O168" s="944" t="str">
        <f t="shared" si="47"/>
        <v>netaik.</v>
      </c>
      <c r="P168" s="944" t="str">
        <f t="shared" si="45"/>
        <v>tCO2/t</v>
      </c>
      <c r="Q168" s="944">
        <v>1</v>
      </c>
      <c r="R168" s="944">
        <v>1</v>
      </c>
      <c r="S168" s="944" t="str">
        <f t="shared" si="35"/>
        <v>netaik.</v>
      </c>
      <c r="T168" s="945" t="str">
        <f t="shared" si="35"/>
        <v>netaik.</v>
      </c>
      <c r="U168" s="946" t="str">
        <f t="shared" si="33"/>
        <v>netaik.</v>
      </c>
      <c r="W168" s="348"/>
    </row>
    <row r="169" spans="1:23" x14ac:dyDescent="0.2">
      <c r="A169" s="470" t="str">
        <f>Translations!$B$1088</f>
        <v>Medžiaga – Metalo laužas</v>
      </c>
      <c r="B169" s="470" t="s">
        <v>544</v>
      </c>
      <c r="C169" s="363" t="str">
        <f t="shared" si="36"/>
        <v>t</v>
      </c>
      <c r="D169" s="369">
        <v>0.15</v>
      </c>
      <c r="E169" s="350" t="str">
        <f t="shared" si="42"/>
        <v>tCO2/t</v>
      </c>
      <c r="F169" s="369" t="str">
        <f t="shared" si="43"/>
        <v>netaik.</v>
      </c>
      <c r="G169" s="350" t="str">
        <f t="shared" si="43"/>
        <v>netaik.</v>
      </c>
      <c r="H169" s="369">
        <v>4.0899999999999999E-2</v>
      </c>
      <c r="I169" s="370" t="str">
        <f t="shared" si="44"/>
        <v>t C/t</v>
      </c>
      <c r="J169" s="942" t="b">
        <f>TRUE</f>
        <v>1</v>
      </c>
      <c r="K169" s="942" t="b">
        <v>0</v>
      </c>
      <c r="L169" s="943" t="s">
        <v>277</v>
      </c>
      <c r="M169" s="944" t="str">
        <f t="shared" si="46"/>
        <v>netaik.</v>
      </c>
      <c r="N169" s="375" t="str">
        <f t="shared" si="34"/>
        <v>GJ/t</v>
      </c>
      <c r="O169" s="944" t="str">
        <f t="shared" si="47"/>
        <v>netaik.</v>
      </c>
      <c r="P169" s="944" t="str">
        <f t="shared" si="45"/>
        <v>tCO2/t</v>
      </c>
      <c r="Q169" s="944">
        <v>1</v>
      </c>
      <c r="R169" s="944">
        <v>1</v>
      </c>
      <c r="S169" s="944" t="str">
        <f t="shared" si="35"/>
        <v>netaik.</v>
      </c>
      <c r="T169" s="945" t="str">
        <f t="shared" si="35"/>
        <v>netaik.</v>
      </c>
      <c r="U169" s="946" t="str">
        <f t="shared" ref="U169:U204" si="48">EUconst_NA</f>
        <v>netaik.</v>
      </c>
      <c r="W169" s="348"/>
    </row>
    <row r="170" spans="1:23" x14ac:dyDescent="0.2">
      <c r="A170" s="470" t="str">
        <f>Translations!$B$1098</f>
        <v>Medžiaga – Plienas</v>
      </c>
      <c r="B170" s="470" t="s">
        <v>544</v>
      </c>
      <c r="C170" s="363" t="str">
        <f t="shared" si="36"/>
        <v>t</v>
      </c>
      <c r="D170" s="369">
        <v>0.04</v>
      </c>
      <c r="E170" s="350" t="str">
        <f t="shared" si="42"/>
        <v>tCO2/t</v>
      </c>
      <c r="F170" s="369" t="str">
        <f t="shared" si="43"/>
        <v>netaik.</v>
      </c>
      <c r="G170" s="350" t="str">
        <f t="shared" si="43"/>
        <v>netaik.</v>
      </c>
      <c r="H170" s="369">
        <v>1.09E-2</v>
      </c>
      <c r="I170" s="370" t="str">
        <f t="shared" si="44"/>
        <v>t C/t</v>
      </c>
      <c r="J170" s="942" t="b">
        <f>TRUE</f>
        <v>1</v>
      </c>
      <c r="K170" s="942" t="b">
        <f>TRUE</f>
        <v>1</v>
      </c>
      <c r="L170" s="943" t="s">
        <v>277</v>
      </c>
      <c r="M170" s="944" t="str">
        <f t="shared" si="46"/>
        <v>netaik.</v>
      </c>
      <c r="N170" s="375" t="str">
        <f t="shared" si="34"/>
        <v>GJ/t</v>
      </c>
      <c r="O170" s="944" t="str">
        <f t="shared" si="47"/>
        <v>netaik.</v>
      </c>
      <c r="P170" s="944" t="str">
        <f t="shared" si="45"/>
        <v>tCO2/t</v>
      </c>
      <c r="Q170" s="944">
        <v>1</v>
      </c>
      <c r="R170" s="944">
        <v>1</v>
      </c>
      <c r="S170" s="944" t="str">
        <f t="shared" si="35"/>
        <v>netaik.</v>
      </c>
      <c r="T170" s="945" t="str">
        <f t="shared" si="35"/>
        <v>netaik.</v>
      </c>
      <c r="U170" s="946" t="str">
        <f t="shared" si="48"/>
        <v>netaik.</v>
      </c>
      <c r="W170" s="348"/>
    </row>
    <row r="171" spans="1:23" x14ac:dyDescent="0.2">
      <c r="A171" s="907" t="str">
        <f t="shared" ref="A171:B180" si="49">EUconst_NA</f>
        <v>netaik.</v>
      </c>
      <c r="B171" s="899" t="str">
        <f t="shared" si="49"/>
        <v>netaik.</v>
      </c>
      <c r="C171" s="364" t="str">
        <f t="shared" si="36"/>
        <v>t</v>
      </c>
      <c r="D171" s="365" t="str">
        <f t="shared" ref="D171:E180" si="50">EUconst_NA</f>
        <v>netaik.</v>
      </c>
      <c r="E171" s="351" t="str">
        <f t="shared" si="50"/>
        <v>netaik.</v>
      </c>
      <c r="F171" s="365" t="str">
        <f t="shared" si="43"/>
        <v>netaik.</v>
      </c>
      <c r="G171" s="351" t="str">
        <f t="shared" si="43"/>
        <v>netaik.</v>
      </c>
      <c r="H171" s="365" t="str">
        <f t="shared" si="43"/>
        <v>netaik.</v>
      </c>
      <c r="I171" s="900" t="str">
        <f t="shared" si="43"/>
        <v>netaik.</v>
      </c>
      <c r="J171" s="961" t="b">
        <f>FALSE</f>
        <v>0</v>
      </c>
      <c r="K171" s="961" t="b">
        <f>TRUE</f>
        <v>1</v>
      </c>
      <c r="L171" s="962" t="str">
        <f t="shared" ref="L171:L180" si="51">EUconst_NA</f>
        <v>netaik.</v>
      </c>
      <c r="M171" s="963" t="str">
        <f t="shared" si="46"/>
        <v>netaik.</v>
      </c>
      <c r="N171" s="879" t="str">
        <f t="shared" si="34"/>
        <v>netaik.</v>
      </c>
      <c r="O171" s="963" t="str">
        <f t="shared" si="47"/>
        <v>netaik.</v>
      </c>
      <c r="P171" s="963" t="str">
        <f t="shared" si="47"/>
        <v>netaik.</v>
      </c>
      <c r="Q171" s="963" t="str">
        <f t="shared" si="47"/>
        <v>netaik.</v>
      </c>
      <c r="R171" s="963" t="str">
        <f t="shared" si="47"/>
        <v>netaik.</v>
      </c>
      <c r="S171" s="963" t="str">
        <f t="shared" si="35"/>
        <v>netaik.</v>
      </c>
      <c r="T171" s="964" t="str">
        <f t="shared" si="35"/>
        <v>netaik.</v>
      </c>
      <c r="U171" s="965" t="str">
        <f t="shared" si="48"/>
        <v>netaik.</v>
      </c>
      <c r="W171" s="348"/>
    </row>
    <row r="172" spans="1:23" x14ac:dyDescent="0.2">
      <c r="A172" s="907" t="str">
        <f t="shared" si="49"/>
        <v>netaik.</v>
      </c>
      <c r="B172" s="899" t="str">
        <f t="shared" si="49"/>
        <v>netaik.</v>
      </c>
      <c r="C172" s="364" t="str">
        <f t="shared" si="36"/>
        <v>t</v>
      </c>
      <c r="D172" s="365" t="str">
        <f t="shared" si="50"/>
        <v>netaik.</v>
      </c>
      <c r="E172" s="351" t="str">
        <f t="shared" si="50"/>
        <v>netaik.</v>
      </c>
      <c r="F172" s="365" t="str">
        <f t="shared" si="43"/>
        <v>netaik.</v>
      </c>
      <c r="G172" s="351" t="str">
        <f t="shared" si="43"/>
        <v>netaik.</v>
      </c>
      <c r="H172" s="365" t="str">
        <f t="shared" si="43"/>
        <v>netaik.</v>
      </c>
      <c r="I172" s="900" t="str">
        <f t="shared" si="43"/>
        <v>netaik.</v>
      </c>
      <c r="J172" s="961" t="b">
        <f>FALSE</f>
        <v>0</v>
      </c>
      <c r="K172" s="961" t="b">
        <f>TRUE</f>
        <v>1</v>
      </c>
      <c r="L172" s="962" t="str">
        <f t="shared" si="51"/>
        <v>netaik.</v>
      </c>
      <c r="M172" s="963" t="str">
        <f t="shared" si="46"/>
        <v>netaik.</v>
      </c>
      <c r="N172" s="879" t="str">
        <f t="shared" si="34"/>
        <v>netaik.</v>
      </c>
      <c r="O172" s="963" t="str">
        <f t="shared" si="47"/>
        <v>netaik.</v>
      </c>
      <c r="P172" s="963" t="str">
        <f t="shared" si="47"/>
        <v>netaik.</v>
      </c>
      <c r="Q172" s="963" t="str">
        <f t="shared" si="47"/>
        <v>netaik.</v>
      </c>
      <c r="R172" s="963" t="str">
        <f t="shared" si="47"/>
        <v>netaik.</v>
      </c>
      <c r="S172" s="963" t="str">
        <f t="shared" si="35"/>
        <v>netaik.</v>
      </c>
      <c r="T172" s="964" t="str">
        <f t="shared" si="35"/>
        <v>netaik.</v>
      </c>
      <c r="U172" s="965" t="str">
        <f t="shared" si="48"/>
        <v>netaik.</v>
      </c>
      <c r="W172" s="348"/>
    </row>
    <row r="173" spans="1:23" x14ac:dyDescent="0.2">
      <c r="A173" s="907" t="str">
        <f t="shared" si="49"/>
        <v>netaik.</v>
      </c>
      <c r="B173" s="899" t="str">
        <f t="shared" si="49"/>
        <v>netaik.</v>
      </c>
      <c r="C173" s="364" t="str">
        <f t="shared" si="36"/>
        <v>t</v>
      </c>
      <c r="D173" s="365" t="str">
        <f t="shared" si="50"/>
        <v>netaik.</v>
      </c>
      <c r="E173" s="351" t="str">
        <f t="shared" si="50"/>
        <v>netaik.</v>
      </c>
      <c r="F173" s="365" t="str">
        <f t="shared" si="43"/>
        <v>netaik.</v>
      </c>
      <c r="G173" s="351" t="str">
        <f t="shared" si="43"/>
        <v>netaik.</v>
      </c>
      <c r="H173" s="365" t="str">
        <f t="shared" si="43"/>
        <v>netaik.</v>
      </c>
      <c r="I173" s="900" t="str">
        <f t="shared" si="43"/>
        <v>netaik.</v>
      </c>
      <c r="J173" s="961" t="b">
        <f>FALSE</f>
        <v>0</v>
      </c>
      <c r="K173" s="961" t="b">
        <f>TRUE</f>
        <v>1</v>
      </c>
      <c r="L173" s="962" t="str">
        <f t="shared" si="51"/>
        <v>netaik.</v>
      </c>
      <c r="M173" s="963" t="str">
        <f t="shared" si="46"/>
        <v>netaik.</v>
      </c>
      <c r="N173" s="879" t="str">
        <f t="shared" ref="N173:N204" si="52">IF(OR(L173="",L173=EUconst_NA),EUconst_NA,IF(L173=EUconst_t,EUconst_GJpt,EUconst_GJpkNm3))</f>
        <v>netaik.</v>
      </c>
      <c r="O173" s="963" t="str">
        <f t="shared" si="47"/>
        <v>netaik.</v>
      </c>
      <c r="P173" s="963" t="str">
        <f t="shared" si="47"/>
        <v>netaik.</v>
      </c>
      <c r="Q173" s="963" t="str">
        <f t="shared" si="47"/>
        <v>netaik.</v>
      </c>
      <c r="R173" s="963" t="str">
        <f t="shared" si="47"/>
        <v>netaik.</v>
      </c>
      <c r="S173" s="963" t="str">
        <f t="shared" si="35"/>
        <v>netaik.</v>
      </c>
      <c r="T173" s="964" t="str">
        <f t="shared" si="35"/>
        <v>netaik.</v>
      </c>
      <c r="U173" s="965" t="str">
        <f t="shared" si="48"/>
        <v>netaik.</v>
      </c>
      <c r="W173" s="348"/>
    </row>
    <row r="174" spans="1:23" x14ac:dyDescent="0.2">
      <c r="A174" s="907" t="str">
        <f t="shared" si="49"/>
        <v>netaik.</v>
      </c>
      <c r="B174" s="899" t="str">
        <f t="shared" si="49"/>
        <v>netaik.</v>
      </c>
      <c r="C174" s="364" t="str">
        <f t="shared" si="36"/>
        <v>t</v>
      </c>
      <c r="D174" s="365" t="str">
        <f t="shared" si="50"/>
        <v>netaik.</v>
      </c>
      <c r="E174" s="351" t="str">
        <f t="shared" si="50"/>
        <v>netaik.</v>
      </c>
      <c r="F174" s="365" t="str">
        <f t="shared" si="43"/>
        <v>netaik.</v>
      </c>
      <c r="G174" s="351" t="str">
        <f t="shared" si="43"/>
        <v>netaik.</v>
      </c>
      <c r="H174" s="365" t="str">
        <f t="shared" si="43"/>
        <v>netaik.</v>
      </c>
      <c r="I174" s="900" t="str">
        <f t="shared" si="43"/>
        <v>netaik.</v>
      </c>
      <c r="J174" s="961" t="b">
        <f>FALSE</f>
        <v>0</v>
      </c>
      <c r="K174" s="961" t="b">
        <f>TRUE</f>
        <v>1</v>
      </c>
      <c r="L174" s="962" t="str">
        <f t="shared" si="51"/>
        <v>netaik.</v>
      </c>
      <c r="M174" s="963" t="str">
        <f t="shared" si="46"/>
        <v>netaik.</v>
      </c>
      <c r="N174" s="879" t="str">
        <f t="shared" si="52"/>
        <v>netaik.</v>
      </c>
      <c r="O174" s="963" t="str">
        <f t="shared" si="47"/>
        <v>netaik.</v>
      </c>
      <c r="P174" s="963" t="str">
        <f t="shared" si="47"/>
        <v>netaik.</v>
      </c>
      <c r="Q174" s="963" t="str">
        <f t="shared" si="47"/>
        <v>netaik.</v>
      </c>
      <c r="R174" s="963" t="str">
        <f t="shared" si="47"/>
        <v>netaik.</v>
      </c>
      <c r="S174" s="963" t="str">
        <f t="shared" si="35"/>
        <v>netaik.</v>
      </c>
      <c r="T174" s="964" t="str">
        <f t="shared" si="35"/>
        <v>netaik.</v>
      </c>
      <c r="U174" s="965" t="str">
        <f t="shared" si="48"/>
        <v>netaik.</v>
      </c>
      <c r="W174" s="348"/>
    </row>
    <row r="175" spans="1:23" x14ac:dyDescent="0.2">
      <c r="A175" s="907" t="str">
        <f t="shared" si="49"/>
        <v>netaik.</v>
      </c>
      <c r="B175" s="899" t="str">
        <f t="shared" si="49"/>
        <v>netaik.</v>
      </c>
      <c r="C175" s="364" t="str">
        <f t="shared" si="36"/>
        <v>t</v>
      </c>
      <c r="D175" s="365" t="str">
        <f t="shared" si="50"/>
        <v>netaik.</v>
      </c>
      <c r="E175" s="351" t="str">
        <f t="shared" si="50"/>
        <v>netaik.</v>
      </c>
      <c r="F175" s="365" t="str">
        <f t="shared" si="43"/>
        <v>netaik.</v>
      </c>
      <c r="G175" s="351" t="str">
        <f t="shared" si="43"/>
        <v>netaik.</v>
      </c>
      <c r="H175" s="365" t="str">
        <f t="shared" si="43"/>
        <v>netaik.</v>
      </c>
      <c r="I175" s="900" t="str">
        <f t="shared" si="43"/>
        <v>netaik.</v>
      </c>
      <c r="J175" s="961" t="b">
        <f>FALSE</f>
        <v>0</v>
      </c>
      <c r="K175" s="961" t="b">
        <f>TRUE</f>
        <v>1</v>
      </c>
      <c r="L175" s="962" t="str">
        <f t="shared" si="51"/>
        <v>netaik.</v>
      </c>
      <c r="M175" s="963" t="str">
        <f t="shared" si="46"/>
        <v>netaik.</v>
      </c>
      <c r="N175" s="879" t="str">
        <f t="shared" si="52"/>
        <v>netaik.</v>
      </c>
      <c r="O175" s="963" t="str">
        <f t="shared" si="47"/>
        <v>netaik.</v>
      </c>
      <c r="P175" s="963" t="str">
        <f t="shared" si="47"/>
        <v>netaik.</v>
      </c>
      <c r="Q175" s="963" t="str">
        <f t="shared" si="47"/>
        <v>netaik.</v>
      </c>
      <c r="R175" s="963" t="str">
        <f t="shared" si="47"/>
        <v>netaik.</v>
      </c>
      <c r="S175" s="963" t="str">
        <f t="shared" si="35"/>
        <v>netaik.</v>
      </c>
      <c r="T175" s="964" t="str">
        <f t="shared" si="35"/>
        <v>netaik.</v>
      </c>
      <c r="U175" s="965" t="str">
        <f t="shared" si="48"/>
        <v>netaik.</v>
      </c>
      <c r="W175" s="348"/>
    </row>
    <row r="176" spans="1:23" x14ac:dyDescent="0.2">
      <c r="A176" s="907" t="str">
        <f t="shared" si="49"/>
        <v>netaik.</v>
      </c>
      <c r="B176" s="899" t="str">
        <f t="shared" si="49"/>
        <v>netaik.</v>
      </c>
      <c r="C176" s="364" t="str">
        <f t="shared" si="36"/>
        <v>t</v>
      </c>
      <c r="D176" s="365" t="str">
        <f t="shared" si="50"/>
        <v>netaik.</v>
      </c>
      <c r="E176" s="351" t="str">
        <f t="shared" si="50"/>
        <v>netaik.</v>
      </c>
      <c r="F176" s="365" t="str">
        <f t="shared" si="43"/>
        <v>netaik.</v>
      </c>
      <c r="G176" s="351" t="str">
        <f t="shared" si="43"/>
        <v>netaik.</v>
      </c>
      <c r="H176" s="365" t="str">
        <f t="shared" si="43"/>
        <v>netaik.</v>
      </c>
      <c r="I176" s="900" t="str">
        <f t="shared" si="43"/>
        <v>netaik.</v>
      </c>
      <c r="J176" s="961" t="b">
        <f>FALSE</f>
        <v>0</v>
      </c>
      <c r="K176" s="961" t="b">
        <f>TRUE</f>
        <v>1</v>
      </c>
      <c r="L176" s="962" t="str">
        <f t="shared" si="51"/>
        <v>netaik.</v>
      </c>
      <c r="M176" s="963" t="str">
        <f t="shared" si="46"/>
        <v>netaik.</v>
      </c>
      <c r="N176" s="879" t="str">
        <f t="shared" si="52"/>
        <v>netaik.</v>
      </c>
      <c r="O176" s="963" t="str">
        <f t="shared" si="47"/>
        <v>netaik.</v>
      </c>
      <c r="P176" s="963" t="str">
        <f t="shared" si="47"/>
        <v>netaik.</v>
      </c>
      <c r="Q176" s="963" t="str">
        <f t="shared" si="47"/>
        <v>netaik.</v>
      </c>
      <c r="R176" s="963" t="str">
        <f t="shared" si="47"/>
        <v>netaik.</v>
      </c>
      <c r="S176" s="963" t="str">
        <f t="shared" si="35"/>
        <v>netaik.</v>
      </c>
      <c r="T176" s="964" t="str">
        <f t="shared" si="35"/>
        <v>netaik.</v>
      </c>
      <c r="U176" s="965" t="str">
        <f t="shared" si="48"/>
        <v>netaik.</v>
      </c>
      <c r="W176" s="348"/>
    </row>
    <row r="177" spans="1:23" x14ac:dyDescent="0.2">
      <c r="A177" s="907" t="str">
        <f t="shared" si="49"/>
        <v>netaik.</v>
      </c>
      <c r="B177" s="899" t="str">
        <f t="shared" si="49"/>
        <v>netaik.</v>
      </c>
      <c r="C177" s="364" t="str">
        <f t="shared" si="36"/>
        <v>t</v>
      </c>
      <c r="D177" s="365" t="str">
        <f t="shared" si="50"/>
        <v>netaik.</v>
      </c>
      <c r="E177" s="351" t="str">
        <f t="shared" si="50"/>
        <v>netaik.</v>
      </c>
      <c r="F177" s="365" t="str">
        <f t="shared" si="43"/>
        <v>netaik.</v>
      </c>
      <c r="G177" s="351" t="str">
        <f t="shared" si="43"/>
        <v>netaik.</v>
      </c>
      <c r="H177" s="365" t="str">
        <f t="shared" si="43"/>
        <v>netaik.</v>
      </c>
      <c r="I177" s="900" t="str">
        <f t="shared" si="43"/>
        <v>netaik.</v>
      </c>
      <c r="J177" s="961" t="b">
        <f>FALSE</f>
        <v>0</v>
      </c>
      <c r="K177" s="961" t="b">
        <f>TRUE</f>
        <v>1</v>
      </c>
      <c r="L177" s="962" t="str">
        <f t="shared" si="51"/>
        <v>netaik.</v>
      </c>
      <c r="M177" s="963" t="str">
        <f t="shared" si="46"/>
        <v>netaik.</v>
      </c>
      <c r="N177" s="879" t="str">
        <f t="shared" si="52"/>
        <v>netaik.</v>
      </c>
      <c r="O177" s="963" t="str">
        <f t="shared" si="47"/>
        <v>netaik.</v>
      </c>
      <c r="P177" s="963" t="str">
        <f t="shared" si="47"/>
        <v>netaik.</v>
      </c>
      <c r="Q177" s="963" t="str">
        <f t="shared" si="47"/>
        <v>netaik.</v>
      </c>
      <c r="R177" s="963" t="str">
        <f t="shared" si="47"/>
        <v>netaik.</v>
      </c>
      <c r="S177" s="963" t="str">
        <f t="shared" si="35"/>
        <v>netaik.</v>
      </c>
      <c r="T177" s="964" t="str">
        <f t="shared" si="35"/>
        <v>netaik.</v>
      </c>
      <c r="U177" s="965" t="str">
        <f t="shared" si="48"/>
        <v>netaik.</v>
      </c>
      <c r="W177" s="348"/>
    </row>
    <row r="178" spans="1:23" x14ac:dyDescent="0.2">
      <c r="A178" s="907" t="str">
        <f t="shared" si="49"/>
        <v>netaik.</v>
      </c>
      <c r="B178" s="899" t="str">
        <f t="shared" si="49"/>
        <v>netaik.</v>
      </c>
      <c r="C178" s="364" t="str">
        <f t="shared" si="36"/>
        <v>t</v>
      </c>
      <c r="D178" s="365" t="str">
        <f t="shared" si="50"/>
        <v>netaik.</v>
      </c>
      <c r="E178" s="351" t="str">
        <f t="shared" si="50"/>
        <v>netaik.</v>
      </c>
      <c r="F178" s="365" t="str">
        <f t="shared" si="43"/>
        <v>netaik.</v>
      </c>
      <c r="G178" s="351" t="str">
        <f t="shared" si="43"/>
        <v>netaik.</v>
      </c>
      <c r="H178" s="365" t="str">
        <f t="shared" si="43"/>
        <v>netaik.</v>
      </c>
      <c r="I178" s="900" t="str">
        <f t="shared" si="43"/>
        <v>netaik.</v>
      </c>
      <c r="J178" s="961" t="b">
        <f>FALSE</f>
        <v>0</v>
      </c>
      <c r="K178" s="961" t="b">
        <f>TRUE</f>
        <v>1</v>
      </c>
      <c r="L178" s="962" t="str">
        <f t="shared" si="51"/>
        <v>netaik.</v>
      </c>
      <c r="M178" s="963" t="str">
        <f t="shared" si="46"/>
        <v>netaik.</v>
      </c>
      <c r="N178" s="879" t="str">
        <f t="shared" si="52"/>
        <v>netaik.</v>
      </c>
      <c r="O178" s="963" t="str">
        <f t="shared" si="47"/>
        <v>netaik.</v>
      </c>
      <c r="P178" s="963" t="str">
        <f t="shared" si="47"/>
        <v>netaik.</v>
      </c>
      <c r="Q178" s="963" t="str">
        <f t="shared" si="47"/>
        <v>netaik.</v>
      </c>
      <c r="R178" s="963" t="str">
        <f t="shared" si="47"/>
        <v>netaik.</v>
      </c>
      <c r="S178" s="963" t="str">
        <f t="shared" si="35"/>
        <v>netaik.</v>
      </c>
      <c r="T178" s="964" t="str">
        <f t="shared" si="35"/>
        <v>netaik.</v>
      </c>
      <c r="U178" s="965" t="str">
        <f t="shared" si="48"/>
        <v>netaik.</v>
      </c>
      <c r="W178" s="348"/>
    </row>
    <row r="179" spans="1:23" x14ac:dyDescent="0.2">
      <c r="A179" s="907" t="str">
        <f t="shared" si="49"/>
        <v>netaik.</v>
      </c>
      <c r="B179" s="899" t="str">
        <f t="shared" si="49"/>
        <v>netaik.</v>
      </c>
      <c r="C179" s="364" t="str">
        <f t="shared" si="36"/>
        <v>t</v>
      </c>
      <c r="D179" s="365" t="str">
        <f t="shared" si="50"/>
        <v>netaik.</v>
      </c>
      <c r="E179" s="351" t="str">
        <f t="shared" si="50"/>
        <v>netaik.</v>
      </c>
      <c r="F179" s="365" t="str">
        <f t="shared" si="43"/>
        <v>netaik.</v>
      </c>
      <c r="G179" s="351" t="str">
        <f t="shared" si="43"/>
        <v>netaik.</v>
      </c>
      <c r="H179" s="365" t="str">
        <f t="shared" si="43"/>
        <v>netaik.</v>
      </c>
      <c r="I179" s="900" t="str">
        <f t="shared" si="43"/>
        <v>netaik.</v>
      </c>
      <c r="J179" s="961" t="b">
        <f>FALSE</f>
        <v>0</v>
      </c>
      <c r="K179" s="961" t="b">
        <f>TRUE</f>
        <v>1</v>
      </c>
      <c r="L179" s="962" t="str">
        <f t="shared" si="51"/>
        <v>netaik.</v>
      </c>
      <c r="M179" s="963" t="str">
        <f t="shared" si="46"/>
        <v>netaik.</v>
      </c>
      <c r="N179" s="879" t="str">
        <f t="shared" si="52"/>
        <v>netaik.</v>
      </c>
      <c r="O179" s="963" t="str">
        <f t="shared" si="47"/>
        <v>netaik.</v>
      </c>
      <c r="P179" s="963" t="str">
        <f t="shared" si="47"/>
        <v>netaik.</v>
      </c>
      <c r="Q179" s="963" t="str">
        <f t="shared" si="47"/>
        <v>netaik.</v>
      </c>
      <c r="R179" s="963" t="str">
        <f t="shared" si="47"/>
        <v>netaik.</v>
      </c>
      <c r="S179" s="963" t="str">
        <f t="shared" si="35"/>
        <v>netaik.</v>
      </c>
      <c r="T179" s="964" t="str">
        <f t="shared" si="35"/>
        <v>netaik.</v>
      </c>
      <c r="U179" s="965" t="str">
        <f t="shared" si="48"/>
        <v>netaik.</v>
      </c>
      <c r="W179" s="348"/>
    </row>
    <row r="180" spans="1:23" ht="13.5" thickBot="1" x14ac:dyDescent="0.25">
      <c r="A180" s="906" t="str">
        <f t="shared" si="49"/>
        <v>netaik.</v>
      </c>
      <c r="B180" s="891" t="str">
        <f t="shared" si="49"/>
        <v>netaik.</v>
      </c>
      <c r="C180" s="901" t="str">
        <f t="shared" si="36"/>
        <v>t</v>
      </c>
      <c r="D180" s="893" t="str">
        <f t="shared" si="50"/>
        <v>netaik.</v>
      </c>
      <c r="E180" s="356" t="str">
        <f t="shared" si="50"/>
        <v>netaik.</v>
      </c>
      <c r="F180" s="893" t="str">
        <f t="shared" si="43"/>
        <v>netaik.</v>
      </c>
      <c r="G180" s="356" t="str">
        <f t="shared" si="43"/>
        <v>netaik.</v>
      </c>
      <c r="H180" s="893" t="str">
        <f>EUconst_NA</f>
        <v>netaik.</v>
      </c>
      <c r="I180" s="894" t="str">
        <f>EUconst_NA</f>
        <v>netaik.</v>
      </c>
      <c r="J180" s="966" t="b">
        <f>FALSE</f>
        <v>0</v>
      </c>
      <c r="K180" s="966" t="b">
        <f>TRUE</f>
        <v>1</v>
      </c>
      <c r="L180" s="967" t="str">
        <f t="shared" si="51"/>
        <v>netaik.</v>
      </c>
      <c r="M180" s="968" t="str">
        <f t="shared" si="46"/>
        <v>netaik.</v>
      </c>
      <c r="N180" s="376" t="str">
        <f t="shared" si="52"/>
        <v>netaik.</v>
      </c>
      <c r="O180" s="968" t="str">
        <f t="shared" si="47"/>
        <v>netaik.</v>
      </c>
      <c r="P180" s="968" t="str">
        <f>EUconst_NA</f>
        <v>netaik.</v>
      </c>
      <c r="Q180" s="968" t="str">
        <f>EUconst_NA</f>
        <v>netaik.</v>
      </c>
      <c r="R180" s="968" t="str">
        <f>EUconst_NA</f>
        <v>netaik.</v>
      </c>
      <c r="S180" s="968" t="str">
        <f t="shared" si="35"/>
        <v>netaik.</v>
      </c>
      <c r="T180" s="969" t="str">
        <f t="shared" si="35"/>
        <v>netaik.</v>
      </c>
      <c r="U180" s="970" t="str">
        <f t="shared" si="48"/>
        <v>netaik.</v>
      </c>
      <c r="W180" s="348"/>
    </row>
    <row r="181" spans="1:23" x14ac:dyDescent="0.2">
      <c r="A181" s="902" t="str">
        <f>Translations!$B$1116</f>
        <v>Medžiaga – Acetonitrilas</v>
      </c>
      <c r="B181" s="902" t="s">
        <v>544</v>
      </c>
      <c r="C181" s="362" t="str">
        <f t="shared" si="36"/>
        <v>t</v>
      </c>
      <c r="D181" s="367">
        <v>2.1440000000000001</v>
      </c>
      <c r="E181" s="359" t="str">
        <f t="shared" si="42"/>
        <v>tCO2/t</v>
      </c>
      <c r="F181" s="367" t="str">
        <f t="shared" si="43"/>
        <v>netaik.</v>
      </c>
      <c r="G181" s="359" t="str">
        <f t="shared" si="43"/>
        <v>netaik.</v>
      </c>
      <c r="H181" s="367">
        <v>0.58520000000000005</v>
      </c>
      <c r="I181" s="368" t="str">
        <f t="shared" ref="I181:I194" si="53">EUconst_tCpt</f>
        <v>t C/t</v>
      </c>
      <c r="J181" s="971" t="b">
        <f>TRUE</f>
        <v>1</v>
      </c>
      <c r="K181" s="972" t="b">
        <f>TRUE</f>
        <v>1</v>
      </c>
      <c r="L181" s="938" t="s">
        <v>277</v>
      </c>
      <c r="M181" s="939" t="str">
        <f t="shared" si="46"/>
        <v>netaik.</v>
      </c>
      <c r="N181" s="377" t="str">
        <f t="shared" si="52"/>
        <v>GJ/t</v>
      </c>
      <c r="O181" s="939" t="str">
        <f t="shared" si="47"/>
        <v>netaik.</v>
      </c>
      <c r="P181" s="939" t="str">
        <f t="shared" ref="P181:P194" si="54">EUconst_tCO2pt</f>
        <v>tCO2/t</v>
      </c>
      <c r="Q181" s="939">
        <v>1</v>
      </c>
      <c r="R181" s="939">
        <v>1</v>
      </c>
      <c r="S181" s="939" t="str">
        <f t="shared" si="35"/>
        <v>netaik.</v>
      </c>
      <c r="T181" s="940" t="str">
        <f t="shared" si="35"/>
        <v>netaik.</v>
      </c>
      <c r="U181" s="941" t="str">
        <f t="shared" si="48"/>
        <v>netaik.</v>
      </c>
      <c r="W181" s="348"/>
    </row>
    <row r="182" spans="1:23" x14ac:dyDescent="0.2">
      <c r="A182" s="470" t="str">
        <f>Translations!$B$1117</f>
        <v>Medžiaga – Akrilonitrilas</v>
      </c>
      <c r="B182" s="470" t="s">
        <v>544</v>
      </c>
      <c r="C182" s="363" t="str">
        <f t="shared" si="36"/>
        <v>t</v>
      </c>
      <c r="D182" s="369">
        <v>2.4420000000000002</v>
      </c>
      <c r="E182" s="350" t="str">
        <f t="shared" si="42"/>
        <v>tCO2/t</v>
      </c>
      <c r="F182" s="369" t="str">
        <f t="shared" si="43"/>
        <v>netaik.</v>
      </c>
      <c r="G182" s="350" t="str">
        <f t="shared" si="43"/>
        <v>netaik.</v>
      </c>
      <c r="H182" s="369">
        <v>0.66639999999999999</v>
      </c>
      <c r="I182" s="370" t="str">
        <f t="shared" si="53"/>
        <v>t C/t</v>
      </c>
      <c r="J182" s="942" t="b">
        <f>TRUE</f>
        <v>1</v>
      </c>
      <c r="K182" s="973" t="b">
        <f>TRUE</f>
        <v>1</v>
      </c>
      <c r="L182" s="943" t="s">
        <v>277</v>
      </c>
      <c r="M182" s="944" t="str">
        <f t="shared" si="46"/>
        <v>netaik.</v>
      </c>
      <c r="N182" s="375" t="str">
        <f t="shared" si="52"/>
        <v>GJ/t</v>
      </c>
      <c r="O182" s="944" t="str">
        <f t="shared" si="47"/>
        <v>netaik.</v>
      </c>
      <c r="P182" s="944" t="str">
        <f t="shared" si="54"/>
        <v>tCO2/t</v>
      </c>
      <c r="Q182" s="944">
        <v>1</v>
      </c>
      <c r="R182" s="944">
        <v>1</v>
      </c>
      <c r="S182" s="944" t="str">
        <f t="shared" si="35"/>
        <v>netaik.</v>
      </c>
      <c r="T182" s="945" t="str">
        <f t="shared" si="35"/>
        <v>netaik.</v>
      </c>
      <c r="U182" s="946" t="str">
        <f t="shared" si="48"/>
        <v>netaik.</v>
      </c>
      <c r="W182" s="348"/>
    </row>
    <row r="183" spans="1:23" x14ac:dyDescent="0.2">
      <c r="A183" s="470" t="str">
        <f>Translations!$B$1118</f>
        <v>Medžiaga – Butadienas</v>
      </c>
      <c r="B183" s="470" t="s">
        <v>544</v>
      </c>
      <c r="C183" s="363" t="str">
        <f t="shared" si="36"/>
        <v>t</v>
      </c>
      <c r="D183" s="369">
        <v>3.254</v>
      </c>
      <c r="E183" s="350" t="str">
        <f t="shared" si="42"/>
        <v>tCO2/t</v>
      </c>
      <c r="F183" s="369" t="str">
        <f t="shared" si="43"/>
        <v>netaik.</v>
      </c>
      <c r="G183" s="350" t="str">
        <f t="shared" si="43"/>
        <v>netaik.</v>
      </c>
      <c r="H183" s="369">
        <v>0.88800000000000001</v>
      </c>
      <c r="I183" s="370" t="str">
        <f t="shared" si="53"/>
        <v>t C/t</v>
      </c>
      <c r="J183" s="942" t="b">
        <f>TRUE</f>
        <v>1</v>
      </c>
      <c r="K183" s="973" t="b">
        <f>TRUE</f>
        <v>1</v>
      </c>
      <c r="L183" s="943" t="s">
        <v>277</v>
      </c>
      <c r="M183" s="944" t="str">
        <f t="shared" si="46"/>
        <v>netaik.</v>
      </c>
      <c r="N183" s="375" t="str">
        <f t="shared" si="52"/>
        <v>GJ/t</v>
      </c>
      <c r="O183" s="944" t="str">
        <f t="shared" si="47"/>
        <v>netaik.</v>
      </c>
      <c r="P183" s="944" t="str">
        <f t="shared" si="54"/>
        <v>tCO2/t</v>
      </c>
      <c r="Q183" s="944">
        <v>1</v>
      </c>
      <c r="R183" s="944">
        <v>1</v>
      </c>
      <c r="S183" s="944" t="str">
        <f t="shared" si="35"/>
        <v>netaik.</v>
      </c>
      <c r="T183" s="945" t="str">
        <f t="shared" si="35"/>
        <v>netaik.</v>
      </c>
      <c r="U183" s="946" t="str">
        <f t="shared" si="48"/>
        <v>netaik.</v>
      </c>
      <c r="W183" s="348"/>
    </row>
    <row r="184" spans="1:23" x14ac:dyDescent="0.2">
      <c r="A184" s="470" t="str">
        <f>Translations!$B$1119</f>
        <v>Medžiaga – Suodžiai</v>
      </c>
      <c r="B184" s="470" t="s">
        <v>544</v>
      </c>
      <c r="C184" s="363" t="str">
        <f t="shared" si="36"/>
        <v>t</v>
      </c>
      <c r="D184" s="369">
        <v>3.5539999999999998</v>
      </c>
      <c r="E184" s="350" t="str">
        <f t="shared" si="42"/>
        <v>tCO2/t</v>
      </c>
      <c r="F184" s="369" t="str">
        <f t="shared" si="43"/>
        <v>netaik.</v>
      </c>
      <c r="G184" s="350" t="str">
        <f t="shared" si="43"/>
        <v>netaik.</v>
      </c>
      <c r="H184" s="369">
        <v>0.97</v>
      </c>
      <c r="I184" s="370" t="str">
        <f t="shared" si="53"/>
        <v>t C/t</v>
      </c>
      <c r="J184" s="942" t="b">
        <f>TRUE</f>
        <v>1</v>
      </c>
      <c r="K184" s="973" t="b">
        <f>TRUE</f>
        <v>1</v>
      </c>
      <c r="L184" s="943" t="s">
        <v>277</v>
      </c>
      <c r="M184" s="944" t="str">
        <f t="shared" si="46"/>
        <v>netaik.</v>
      </c>
      <c r="N184" s="375" t="str">
        <f t="shared" si="52"/>
        <v>GJ/t</v>
      </c>
      <c r="O184" s="944" t="str">
        <f t="shared" si="47"/>
        <v>netaik.</v>
      </c>
      <c r="P184" s="944" t="str">
        <f t="shared" si="54"/>
        <v>tCO2/t</v>
      </c>
      <c r="Q184" s="944">
        <v>1</v>
      </c>
      <c r="R184" s="944">
        <v>1</v>
      </c>
      <c r="S184" s="944" t="str">
        <f t="shared" si="35"/>
        <v>netaik.</v>
      </c>
      <c r="T184" s="945" t="str">
        <f t="shared" si="35"/>
        <v>netaik.</v>
      </c>
      <c r="U184" s="946" t="str">
        <f t="shared" si="48"/>
        <v>netaik.</v>
      </c>
      <c r="W184" s="348"/>
    </row>
    <row r="185" spans="1:23" x14ac:dyDescent="0.2">
      <c r="A185" s="470" t="str">
        <f>Translations!$B$1120</f>
        <v>Medžiaga – Etilenas</v>
      </c>
      <c r="B185" s="470" t="s">
        <v>544</v>
      </c>
      <c r="C185" s="363" t="str">
        <f t="shared" si="36"/>
        <v>t</v>
      </c>
      <c r="D185" s="369">
        <v>3.1360000000000001</v>
      </c>
      <c r="E185" s="350" t="str">
        <f t="shared" si="42"/>
        <v>tCO2/t</v>
      </c>
      <c r="F185" s="369" t="str">
        <f t="shared" si="43"/>
        <v>netaik.</v>
      </c>
      <c r="G185" s="350" t="str">
        <f t="shared" si="43"/>
        <v>netaik.</v>
      </c>
      <c r="H185" s="369">
        <v>0.85599999999999998</v>
      </c>
      <c r="I185" s="370" t="str">
        <f t="shared" si="53"/>
        <v>t C/t</v>
      </c>
      <c r="J185" s="942" t="b">
        <f>TRUE</f>
        <v>1</v>
      </c>
      <c r="K185" s="973" t="b">
        <f>TRUE</f>
        <v>1</v>
      </c>
      <c r="L185" s="943" t="s">
        <v>277</v>
      </c>
      <c r="M185" s="944" t="str">
        <f t="shared" si="46"/>
        <v>netaik.</v>
      </c>
      <c r="N185" s="375" t="str">
        <f t="shared" si="52"/>
        <v>GJ/t</v>
      </c>
      <c r="O185" s="944" t="str">
        <f t="shared" si="47"/>
        <v>netaik.</v>
      </c>
      <c r="P185" s="944" t="str">
        <f t="shared" si="54"/>
        <v>tCO2/t</v>
      </c>
      <c r="Q185" s="944">
        <v>1</v>
      </c>
      <c r="R185" s="944">
        <v>1</v>
      </c>
      <c r="S185" s="944" t="str">
        <f t="shared" si="35"/>
        <v>netaik.</v>
      </c>
      <c r="T185" s="945" t="str">
        <f t="shared" si="35"/>
        <v>netaik.</v>
      </c>
      <c r="U185" s="946" t="str">
        <f t="shared" si="48"/>
        <v>netaik.</v>
      </c>
      <c r="W185" s="348"/>
    </row>
    <row r="186" spans="1:23" x14ac:dyDescent="0.2">
      <c r="A186" s="470" t="str">
        <f>Translations!$B$1121</f>
        <v>Medžiaga – Etileno dichloridas</v>
      </c>
      <c r="B186" s="470" t="s">
        <v>544</v>
      </c>
      <c r="C186" s="363" t="str">
        <f t="shared" si="36"/>
        <v>t</v>
      </c>
      <c r="D186" s="369">
        <v>0.89800000000000002</v>
      </c>
      <c r="E186" s="350" t="str">
        <f t="shared" si="42"/>
        <v>tCO2/t</v>
      </c>
      <c r="F186" s="369" t="str">
        <f t="shared" si="43"/>
        <v>netaik.</v>
      </c>
      <c r="G186" s="350" t="str">
        <f t="shared" si="43"/>
        <v>netaik.</v>
      </c>
      <c r="H186" s="369">
        <v>0.245</v>
      </c>
      <c r="I186" s="370" t="str">
        <f t="shared" si="53"/>
        <v>t C/t</v>
      </c>
      <c r="J186" s="942" t="b">
        <f>TRUE</f>
        <v>1</v>
      </c>
      <c r="K186" s="973" t="b">
        <f>TRUE</f>
        <v>1</v>
      </c>
      <c r="L186" s="943" t="s">
        <v>277</v>
      </c>
      <c r="M186" s="944" t="str">
        <f t="shared" si="46"/>
        <v>netaik.</v>
      </c>
      <c r="N186" s="375" t="str">
        <f t="shared" si="52"/>
        <v>GJ/t</v>
      </c>
      <c r="O186" s="944" t="str">
        <f t="shared" si="47"/>
        <v>netaik.</v>
      </c>
      <c r="P186" s="944" t="str">
        <f t="shared" si="54"/>
        <v>tCO2/t</v>
      </c>
      <c r="Q186" s="944">
        <v>1</v>
      </c>
      <c r="R186" s="944">
        <v>1</v>
      </c>
      <c r="S186" s="944" t="str">
        <f t="shared" si="35"/>
        <v>netaik.</v>
      </c>
      <c r="T186" s="945" t="str">
        <f t="shared" si="35"/>
        <v>netaik.</v>
      </c>
      <c r="U186" s="946" t="str">
        <f t="shared" si="48"/>
        <v>netaik.</v>
      </c>
      <c r="W186" s="348"/>
    </row>
    <row r="187" spans="1:23" x14ac:dyDescent="0.2">
      <c r="A187" s="470" t="str">
        <f>Translations!$B$1122</f>
        <v>Medžiaga – Etilenglikolis</v>
      </c>
      <c r="B187" s="470" t="s">
        <v>544</v>
      </c>
      <c r="C187" s="363" t="str">
        <f t="shared" si="36"/>
        <v>t</v>
      </c>
      <c r="D187" s="369">
        <v>1.4179999999999999</v>
      </c>
      <c r="E187" s="350" t="str">
        <f t="shared" si="42"/>
        <v>tCO2/t</v>
      </c>
      <c r="F187" s="369" t="str">
        <f t="shared" si="43"/>
        <v>netaik.</v>
      </c>
      <c r="G187" s="350" t="str">
        <f t="shared" si="43"/>
        <v>netaik.</v>
      </c>
      <c r="H187" s="369">
        <v>0.38700000000000001</v>
      </c>
      <c r="I187" s="370" t="str">
        <f t="shared" si="53"/>
        <v>t C/t</v>
      </c>
      <c r="J187" s="942" t="b">
        <f>TRUE</f>
        <v>1</v>
      </c>
      <c r="K187" s="973" t="b">
        <f>TRUE</f>
        <v>1</v>
      </c>
      <c r="L187" s="943" t="s">
        <v>277</v>
      </c>
      <c r="M187" s="944" t="str">
        <f t="shared" si="46"/>
        <v>netaik.</v>
      </c>
      <c r="N187" s="375" t="str">
        <f t="shared" si="52"/>
        <v>GJ/t</v>
      </c>
      <c r="O187" s="944" t="str">
        <f t="shared" si="47"/>
        <v>netaik.</v>
      </c>
      <c r="P187" s="944" t="str">
        <f t="shared" si="54"/>
        <v>tCO2/t</v>
      </c>
      <c r="Q187" s="944">
        <v>1</v>
      </c>
      <c r="R187" s="944">
        <v>1</v>
      </c>
      <c r="S187" s="944" t="str">
        <f t="shared" si="35"/>
        <v>netaik.</v>
      </c>
      <c r="T187" s="945" t="str">
        <f t="shared" si="35"/>
        <v>netaik.</v>
      </c>
      <c r="U187" s="946" t="str">
        <f t="shared" si="48"/>
        <v>netaik.</v>
      </c>
      <c r="W187" s="348"/>
    </row>
    <row r="188" spans="1:23" x14ac:dyDescent="0.2">
      <c r="A188" s="470" t="str">
        <f>Translations!$B$1123</f>
        <v>Medžiaga – Oksiranas</v>
      </c>
      <c r="B188" s="470" t="s">
        <v>544</v>
      </c>
      <c r="C188" s="363" t="str">
        <f t="shared" si="36"/>
        <v>t</v>
      </c>
      <c r="D188" s="369">
        <v>1.9970000000000001</v>
      </c>
      <c r="E188" s="350" t="str">
        <f t="shared" si="42"/>
        <v>tCO2/t</v>
      </c>
      <c r="F188" s="369" t="str">
        <f t="shared" si="43"/>
        <v>netaik.</v>
      </c>
      <c r="G188" s="350" t="str">
        <f t="shared" si="43"/>
        <v>netaik.</v>
      </c>
      <c r="H188" s="369">
        <v>0.54500000000000004</v>
      </c>
      <c r="I188" s="370" t="str">
        <f t="shared" si="53"/>
        <v>t C/t</v>
      </c>
      <c r="J188" s="942" t="b">
        <f>TRUE</f>
        <v>1</v>
      </c>
      <c r="K188" s="973" t="b">
        <f>TRUE</f>
        <v>1</v>
      </c>
      <c r="L188" s="943" t="s">
        <v>277</v>
      </c>
      <c r="M188" s="944" t="str">
        <f t="shared" si="46"/>
        <v>netaik.</v>
      </c>
      <c r="N188" s="375" t="str">
        <f t="shared" si="52"/>
        <v>GJ/t</v>
      </c>
      <c r="O188" s="944" t="str">
        <f t="shared" si="47"/>
        <v>netaik.</v>
      </c>
      <c r="P188" s="944" t="str">
        <f t="shared" si="54"/>
        <v>tCO2/t</v>
      </c>
      <c r="Q188" s="944">
        <v>1</v>
      </c>
      <c r="R188" s="944">
        <v>1</v>
      </c>
      <c r="S188" s="944" t="str">
        <f t="shared" si="35"/>
        <v>netaik.</v>
      </c>
      <c r="T188" s="945" t="str">
        <f t="shared" si="35"/>
        <v>netaik.</v>
      </c>
      <c r="U188" s="946" t="str">
        <f t="shared" si="48"/>
        <v>netaik.</v>
      </c>
      <c r="W188" s="348"/>
    </row>
    <row r="189" spans="1:23" x14ac:dyDescent="0.2">
      <c r="A189" s="470" t="str">
        <f>Translations!$B$1124</f>
        <v>Medžiaga – Vandenilio cianidas</v>
      </c>
      <c r="B189" s="470" t="s">
        <v>544</v>
      </c>
      <c r="C189" s="363" t="str">
        <f t="shared" si="36"/>
        <v>t</v>
      </c>
      <c r="D189" s="369">
        <v>1.6279999999999999</v>
      </c>
      <c r="E189" s="350" t="str">
        <f t="shared" si="42"/>
        <v>tCO2/t</v>
      </c>
      <c r="F189" s="369" t="str">
        <f t="shared" si="43"/>
        <v>netaik.</v>
      </c>
      <c r="G189" s="350" t="str">
        <f t="shared" si="43"/>
        <v>netaik.</v>
      </c>
      <c r="H189" s="369">
        <v>0.44440000000000002</v>
      </c>
      <c r="I189" s="370" t="str">
        <f t="shared" si="53"/>
        <v>t C/t</v>
      </c>
      <c r="J189" s="942" t="b">
        <f>TRUE</f>
        <v>1</v>
      </c>
      <c r="K189" s="973" t="b">
        <f>TRUE</f>
        <v>1</v>
      </c>
      <c r="L189" s="943" t="s">
        <v>277</v>
      </c>
      <c r="M189" s="944" t="str">
        <f t="shared" si="46"/>
        <v>netaik.</v>
      </c>
      <c r="N189" s="375" t="str">
        <f t="shared" si="52"/>
        <v>GJ/t</v>
      </c>
      <c r="O189" s="944" t="str">
        <f t="shared" si="47"/>
        <v>netaik.</v>
      </c>
      <c r="P189" s="944" t="str">
        <f t="shared" si="54"/>
        <v>tCO2/t</v>
      </c>
      <c r="Q189" s="944">
        <v>1</v>
      </c>
      <c r="R189" s="944">
        <v>1</v>
      </c>
      <c r="S189" s="944" t="str">
        <f t="shared" si="35"/>
        <v>netaik.</v>
      </c>
      <c r="T189" s="945" t="str">
        <f t="shared" si="35"/>
        <v>netaik.</v>
      </c>
      <c r="U189" s="946" t="str">
        <f t="shared" si="48"/>
        <v>netaik.</v>
      </c>
      <c r="W189" s="348"/>
    </row>
    <row r="190" spans="1:23" x14ac:dyDescent="0.2">
      <c r="A190" s="470" t="str">
        <f>Translations!$B$1125</f>
        <v>Medžiaga – Metanolis</v>
      </c>
      <c r="B190" s="470" t="s">
        <v>544</v>
      </c>
      <c r="C190" s="363" t="str">
        <f t="shared" si="36"/>
        <v>t</v>
      </c>
      <c r="D190" s="369">
        <v>1.3740000000000001</v>
      </c>
      <c r="E190" s="350" t="str">
        <f t="shared" si="42"/>
        <v>tCO2/t</v>
      </c>
      <c r="F190" s="369" t="str">
        <f t="shared" si="43"/>
        <v>netaik.</v>
      </c>
      <c r="G190" s="350" t="str">
        <f t="shared" si="43"/>
        <v>netaik.</v>
      </c>
      <c r="H190" s="369">
        <v>0.375</v>
      </c>
      <c r="I190" s="370" t="str">
        <f t="shared" si="53"/>
        <v>t C/t</v>
      </c>
      <c r="J190" s="942" t="b">
        <f>TRUE</f>
        <v>1</v>
      </c>
      <c r="K190" s="973" t="b">
        <f>TRUE</f>
        <v>1</v>
      </c>
      <c r="L190" s="943" t="s">
        <v>277</v>
      </c>
      <c r="M190" s="944" t="str">
        <f t="shared" si="46"/>
        <v>netaik.</v>
      </c>
      <c r="N190" s="375" t="str">
        <f t="shared" si="52"/>
        <v>GJ/t</v>
      </c>
      <c r="O190" s="944" t="str">
        <f t="shared" si="47"/>
        <v>netaik.</v>
      </c>
      <c r="P190" s="944" t="str">
        <f t="shared" si="54"/>
        <v>tCO2/t</v>
      </c>
      <c r="Q190" s="944">
        <v>1</v>
      </c>
      <c r="R190" s="944">
        <v>1</v>
      </c>
      <c r="S190" s="944" t="str">
        <f t="shared" si="35"/>
        <v>netaik.</v>
      </c>
      <c r="T190" s="945" t="str">
        <f t="shared" si="35"/>
        <v>netaik.</v>
      </c>
      <c r="U190" s="946" t="str">
        <f t="shared" si="48"/>
        <v>netaik.</v>
      </c>
      <c r="W190" s="348"/>
    </row>
    <row r="191" spans="1:23" x14ac:dyDescent="0.2">
      <c r="A191" s="470" t="str">
        <f>Translations!$B$1008</f>
        <v>Dujinis – Metanas</v>
      </c>
      <c r="B191" s="470" t="s">
        <v>544</v>
      </c>
      <c r="C191" s="363" t="str">
        <f t="shared" si="36"/>
        <v>t</v>
      </c>
      <c r="D191" s="369">
        <v>2.7440000000000002</v>
      </c>
      <c r="E191" s="350" t="str">
        <f t="shared" si="42"/>
        <v>tCO2/t</v>
      </c>
      <c r="F191" s="369" t="str">
        <f t="shared" si="43"/>
        <v>netaik.</v>
      </c>
      <c r="G191" s="350" t="str">
        <f t="shared" si="43"/>
        <v>netaik.</v>
      </c>
      <c r="H191" s="369">
        <v>0.749</v>
      </c>
      <c r="I191" s="370" t="str">
        <f t="shared" si="53"/>
        <v>t C/t</v>
      </c>
      <c r="J191" s="942" t="b">
        <f>TRUE</f>
        <v>1</v>
      </c>
      <c r="K191" s="973" t="b">
        <f>TRUE</f>
        <v>1</v>
      </c>
      <c r="L191" s="943" t="s">
        <v>277</v>
      </c>
      <c r="M191" s="944" t="str">
        <f t="shared" si="46"/>
        <v>netaik.</v>
      </c>
      <c r="N191" s="375" t="str">
        <f t="shared" si="52"/>
        <v>GJ/t</v>
      </c>
      <c r="O191" s="944" t="str">
        <f t="shared" si="47"/>
        <v>netaik.</v>
      </c>
      <c r="P191" s="944" t="str">
        <f t="shared" si="54"/>
        <v>tCO2/t</v>
      </c>
      <c r="Q191" s="944">
        <v>1</v>
      </c>
      <c r="R191" s="944">
        <v>1</v>
      </c>
      <c r="S191" s="944" t="str">
        <f t="shared" si="35"/>
        <v>netaik.</v>
      </c>
      <c r="T191" s="945" t="str">
        <f t="shared" si="35"/>
        <v>netaik.</v>
      </c>
      <c r="U191" s="946" t="str">
        <f t="shared" si="48"/>
        <v>netaik.</v>
      </c>
      <c r="W191" s="348"/>
    </row>
    <row r="192" spans="1:23" x14ac:dyDescent="0.2">
      <c r="A192" s="470" t="str">
        <f>Translations!$B$989</f>
        <v>Dujinis – Propanas</v>
      </c>
      <c r="B192" s="470" t="s">
        <v>544</v>
      </c>
      <c r="C192" s="363" t="str">
        <f t="shared" si="36"/>
        <v>t</v>
      </c>
      <c r="D192" s="369">
        <v>2.9929999999999999</v>
      </c>
      <c r="E192" s="350" t="str">
        <f t="shared" si="42"/>
        <v>tCO2/t</v>
      </c>
      <c r="F192" s="369" t="str">
        <f t="shared" si="43"/>
        <v>netaik.</v>
      </c>
      <c r="G192" s="350" t="str">
        <f t="shared" si="43"/>
        <v>netaik.</v>
      </c>
      <c r="H192" s="369">
        <v>0.81699999999999995</v>
      </c>
      <c r="I192" s="370" t="str">
        <f t="shared" si="53"/>
        <v>t C/t</v>
      </c>
      <c r="J192" s="942" t="b">
        <f>TRUE</f>
        <v>1</v>
      </c>
      <c r="K192" s="973" t="b">
        <f>TRUE</f>
        <v>1</v>
      </c>
      <c r="L192" s="943" t="s">
        <v>277</v>
      </c>
      <c r="M192" s="944" t="str">
        <f t="shared" si="46"/>
        <v>netaik.</v>
      </c>
      <c r="N192" s="375" t="str">
        <f t="shared" si="52"/>
        <v>GJ/t</v>
      </c>
      <c r="O192" s="944" t="str">
        <f t="shared" si="47"/>
        <v>netaik.</v>
      </c>
      <c r="P192" s="944" t="str">
        <f t="shared" si="54"/>
        <v>tCO2/t</v>
      </c>
      <c r="Q192" s="944">
        <v>1</v>
      </c>
      <c r="R192" s="944">
        <v>1</v>
      </c>
      <c r="S192" s="944" t="str">
        <f t="shared" si="35"/>
        <v>netaik.</v>
      </c>
      <c r="T192" s="945" t="str">
        <f t="shared" si="35"/>
        <v>netaik.</v>
      </c>
      <c r="U192" s="946" t="str">
        <f t="shared" si="48"/>
        <v>netaik.</v>
      </c>
      <c r="W192" s="348"/>
    </row>
    <row r="193" spans="1:27" x14ac:dyDescent="0.2">
      <c r="A193" s="470" t="str">
        <f>Translations!$B$1126</f>
        <v>Medžiaga – Propilenas</v>
      </c>
      <c r="B193" s="470" t="s">
        <v>544</v>
      </c>
      <c r="C193" s="363" t="str">
        <f t="shared" si="36"/>
        <v>t</v>
      </c>
      <c r="D193" s="369">
        <v>3.137</v>
      </c>
      <c r="E193" s="350" t="str">
        <f t="shared" si="42"/>
        <v>tCO2/t</v>
      </c>
      <c r="F193" s="369" t="str">
        <f t="shared" si="43"/>
        <v>netaik.</v>
      </c>
      <c r="G193" s="350" t="str">
        <f t="shared" si="43"/>
        <v>netaik.</v>
      </c>
      <c r="H193" s="369">
        <v>0.85629999999999995</v>
      </c>
      <c r="I193" s="370" t="str">
        <f t="shared" si="53"/>
        <v>t C/t</v>
      </c>
      <c r="J193" s="942" t="b">
        <f>TRUE</f>
        <v>1</v>
      </c>
      <c r="K193" s="973" t="b">
        <f>TRUE</f>
        <v>1</v>
      </c>
      <c r="L193" s="943" t="s">
        <v>277</v>
      </c>
      <c r="M193" s="944" t="str">
        <f t="shared" si="46"/>
        <v>netaik.</v>
      </c>
      <c r="N193" s="375" t="str">
        <f t="shared" si="52"/>
        <v>GJ/t</v>
      </c>
      <c r="O193" s="944" t="str">
        <f t="shared" si="47"/>
        <v>netaik.</v>
      </c>
      <c r="P193" s="944" t="str">
        <f t="shared" si="54"/>
        <v>tCO2/t</v>
      </c>
      <c r="Q193" s="944">
        <v>1</v>
      </c>
      <c r="R193" s="944">
        <v>1</v>
      </c>
      <c r="S193" s="944" t="str">
        <f t="shared" si="35"/>
        <v>netaik.</v>
      </c>
      <c r="T193" s="945" t="str">
        <f t="shared" si="35"/>
        <v>netaik.</v>
      </c>
      <c r="U193" s="946" t="str">
        <f t="shared" si="48"/>
        <v>netaik.</v>
      </c>
      <c r="W193" s="348"/>
    </row>
    <row r="194" spans="1:27" x14ac:dyDescent="0.2">
      <c r="A194" s="470" t="str">
        <f>Translations!$B$1127</f>
        <v>Medžiaga – Vinilchlorido monomeras</v>
      </c>
      <c r="B194" s="470" t="s">
        <v>544</v>
      </c>
      <c r="C194" s="363" t="str">
        <f t="shared" si="36"/>
        <v>t</v>
      </c>
      <c r="D194" s="369">
        <v>1.407</v>
      </c>
      <c r="E194" s="350" t="str">
        <f t="shared" si="42"/>
        <v>tCO2/t</v>
      </c>
      <c r="F194" s="369" t="str">
        <f t="shared" si="43"/>
        <v>netaik.</v>
      </c>
      <c r="G194" s="350" t="str">
        <f t="shared" si="43"/>
        <v>netaik.</v>
      </c>
      <c r="H194" s="369">
        <v>0.38400000000000001</v>
      </c>
      <c r="I194" s="370" t="str">
        <f t="shared" si="53"/>
        <v>t C/t</v>
      </c>
      <c r="J194" s="942" t="b">
        <f>TRUE</f>
        <v>1</v>
      </c>
      <c r="K194" s="973" t="b">
        <f>TRUE</f>
        <v>1</v>
      </c>
      <c r="L194" s="943" t="s">
        <v>277</v>
      </c>
      <c r="M194" s="944" t="str">
        <f t="shared" si="46"/>
        <v>netaik.</v>
      </c>
      <c r="N194" s="375" t="str">
        <f t="shared" si="52"/>
        <v>GJ/t</v>
      </c>
      <c r="O194" s="944" t="str">
        <f t="shared" si="47"/>
        <v>netaik.</v>
      </c>
      <c r="P194" s="944" t="str">
        <f t="shared" si="54"/>
        <v>tCO2/t</v>
      </c>
      <c r="Q194" s="944">
        <v>1</v>
      </c>
      <c r="R194" s="944">
        <v>1</v>
      </c>
      <c r="S194" s="944" t="str">
        <f t="shared" si="35"/>
        <v>netaik.</v>
      </c>
      <c r="T194" s="945" t="str">
        <f t="shared" si="35"/>
        <v>netaik.</v>
      </c>
      <c r="U194" s="946" t="str">
        <f t="shared" si="48"/>
        <v>netaik.</v>
      </c>
      <c r="W194" s="348"/>
    </row>
    <row r="195" spans="1:27" x14ac:dyDescent="0.2">
      <c r="A195" s="907" t="str">
        <f t="shared" ref="A195:B204" si="55">EUconst_NA</f>
        <v>netaik.</v>
      </c>
      <c r="B195" s="899" t="str">
        <f t="shared" si="55"/>
        <v>netaik.</v>
      </c>
      <c r="C195" s="364" t="str">
        <f t="shared" si="36"/>
        <v>t</v>
      </c>
      <c r="D195" s="365" t="str">
        <f t="shared" ref="D195:M203" si="56">EUconst_NA</f>
        <v>netaik.</v>
      </c>
      <c r="E195" s="351" t="str">
        <f t="shared" si="56"/>
        <v>netaik.</v>
      </c>
      <c r="F195" s="365" t="str">
        <f t="shared" si="56"/>
        <v>netaik.</v>
      </c>
      <c r="G195" s="351" t="str">
        <f t="shared" si="56"/>
        <v>netaik.</v>
      </c>
      <c r="H195" s="365" t="str">
        <f t="shared" si="56"/>
        <v>netaik.</v>
      </c>
      <c r="I195" s="900" t="str">
        <f t="shared" si="56"/>
        <v>netaik.</v>
      </c>
      <c r="J195" s="961" t="b">
        <f>FALSE</f>
        <v>0</v>
      </c>
      <c r="K195" s="974" t="b">
        <f>TRUE</f>
        <v>1</v>
      </c>
      <c r="L195" s="962" t="str">
        <f t="shared" ref="L195:L204" si="57">EUconst_NA</f>
        <v>netaik.</v>
      </c>
      <c r="M195" s="963" t="str">
        <f t="shared" si="56"/>
        <v>netaik.</v>
      </c>
      <c r="N195" s="879" t="str">
        <f t="shared" si="52"/>
        <v>netaik.</v>
      </c>
      <c r="O195" s="963" t="str">
        <f t="shared" si="47"/>
        <v>netaik.</v>
      </c>
      <c r="P195" s="963" t="str">
        <f t="shared" si="47"/>
        <v>netaik.</v>
      </c>
      <c r="Q195" s="963" t="str">
        <f t="shared" si="47"/>
        <v>netaik.</v>
      </c>
      <c r="R195" s="963" t="str">
        <f t="shared" si="47"/>
        <v>netaik.</v>
      </c>
      <c r="S195" s="963" t="str">
        <f t="shared" si="35"/>
        <v>netaik.</v>
      </c>
      <c r="T195" s="964" t="str">
        <f t="shared" si="35"/>
        <v>netaik.</v>
      </c>
      <c r="U195" s="965" t="str">
        <f t="shared" si="48"/>
        <v>netaik.</v>
      </c>
      <c r="W195" s="348"/>
    </row>
    <row r="196" spans="1:27" x14ac:dyDescent="0.2">
      <c r="A196" s="907" t="str">
        <f t="shared" si="55"/>
        <v>netaik.</v>
      </c>
      <c r="B196" s="899" t="str">
        <f t="shared" si="55"/>
        <v>netaik.</v>
      </c>
      <c r="C196" s="364" t="str">
        <f t="shared" si="36"/>
        <v>t</v>
      </c>
      <c r="D196" s="365" t="str">
        <f t="shared" si="56"/>
        <v>netaik.</v>
      </c>
      <c r="E196" s="351" t="str">
        <f t="shared" si="56"/>
        <v>netaik.</v>
      </c>
      <c r="F196" s="365" t="str">
        <f t="shared" si="56"/>
        <v>netaik.</v>
      </c>
      <c r="G196" s="351" t="str">
        <f t="shared" si="56"/>
        <v>netaik.</v>
      </c>
      <c r="H196" s="365" t="str">
        <f t="shared" si="56"/>
        <v>netaik.</v>
      </c>
      <c r="I196" s="900" t="str">
        <f t="shared" si="56"/>
        <v>netaik.</v>
      </c>
      <c r="J196" s="961" t="b">
        <f>FALSE</f>
        <v>0</v>
      </c>
      <c r="K196" s="974" t="b">
        <f>TRUE</f>
        <v>1</v>
      </c>
      <c r="L196" s="962" t="str">
        <f t="shared" si="57"/>
        <v>netaik.</v>
      </c>
      <c r="M196" s="963" t="str">
        <f t="shared" si="56"/>
        <v>netaik.</v>
      </c>
      <c r="N196" s="879" t="str">
        <f t="shared" si="52"/>
        <v>netaik.</v>
      </c>
      <c r="O196" s="963" t="str">
        <f t="shared" si="47"/>
        <v>netaik.</v>
      </c>
      <c r="P196" s="963" t="str">
        <f t="shared" si="47"/>
        <v>netaik.</v>
      </c>
      <c r="Q196" s="963" t="str">
        <f t="shared" si="47"/>
        <v>netaik.</v>
      </c>
      <c r="R196" s="963" t="str">
        <f t="shared" si="47"/>
        <v>netaik.</v>
      </c>
      <c r="S196" s="963" t="str">
        <f t="shared" si="35"/>
        <v>netaik.</v>
      </c>
      <c r="T196" s="964" t="str">
        <f t="shared" si="35"/>
        <v>netaik.</v>
      </c>
      <c r="U196" s="965" t="str">
        <f t="shared" si="48"/>
        <v>netaik.</v>
      </c>
      <c r="W196" s="348"/>
    </row>
    <row r="197" spans="1:27" x14ac:dyDescent="0.2">
      <c r="A197" s="907" t="str">
        <f t="shared" si="55"/>
        <v>netaik.</v>
      </c>
      <c r="B197" s="899" t="str">
        <f t="shared" si="55"/>
        <v>netaik.</v>
      </c>
      <c r="C197" s="364" t="str">
        <f t="shared" si="36"/>
        <v>t</v>
      </c>
      <c r="D197" s="365" t="str">
        <f t="shared" si="56"/>
        <v>netaik.</v>
      </c>
      <c r="E197" s="351" t="str">
        <f t="shared" si="56"/>
        <v>netaik.</v>
      </c>
      <c r="F197" s="365" t="str">
        <f t="shared" si="56"/>
        <v>netaik.</v>
      </c>
      <c r="G197" s="351" t="str">
        <f t="shared" si="56"/>
        <v>netaik.</v>
      </c>
      <c r="H197" s="365" t="str">
        <f t="shared" si="56"/>
        <v>netaik.</v>
      </c>
      <c r="I197" s="900" t="str">
        <f t="shared" si="56"/>
        <v>netaik.</v>
      </c>
      <c r="J197" s="961" t="b">
        <f>FALSE</f>
        <v>0</v>
      </c>
      <c r="K197" s="974" t="b">
        <f>TRUE</f>
        <v>1</v>
      </c>
      <c r="L197" s="962" t="str">
        <f t="shared" si="57"/>
        <v>netaik.</v>
      </c>
      <c r="M197" s="963" t="str">
        <f t="shared" si="56"/>
        <v>netaik.</v>
      </c>
      <c r="N197" s="879" t="str">
        <f t="shared" si="52"/>
        <v>netaik.</v>
      </c>
      <c r="O197" s="963" t="str">
        <f t="shared" si="47"/>
        <v>netaik.</v>
      </c>
      <c r="P197" s="963" t="str">
        <f t="shared" si="47"/>
        <v>netaik.</v>
      </c>
      <c r="Q197" s="963" t="str">
        <f t="shared" si="47"/>
        <v>netaik.</v>
      </c>
      <c r="R197" s="963" t="str">
        <f t="shared" si="47"/>
        <v>netaik.</v>
      </c>
      <c r="S197" s="963" t="str">
        <f t="shared" si="35"/>
        <v>netaik.</v>
      </c>
      <c r="T197" s="964" t="str">
        <f t="shared" si="35"/>
        <v>netaik.</v>
      </c>
      <c r="U197" s="965" t="str">
        <f t="shared" si="48"/>
        <v>netaik.</v>
      </c>
      <c r="W197" s="348"/>
    </row>
    <row r="198" spans="1:27" x14ac:dyDescent="0.2">
      <c r="A198" s="907" t="str">
        <f t="shared" si="55"/>
        <v>netaik.</v>
      </c>
      <c r="B198" s="899" t="str">
        <f t="shared" si="55"/>
        <v>netaik.</v>
      </c>
      <c r="C198" s="364" t="str">
        <f t="shared" si="36"/>
        <v>t</v>
      </c>
      <c r="D198" s="365" t="str">
        <f t="shared" si="56"/>
        <v>netaik.</v>
      </c>
      <c r="E198" s="351" t="str">
        <f t="shared" si="56"/>
        <v>netaik.</v>
      </c>
      <c r="F198" s="365" t="str">
        <f t="shared" si="56"/>
        <v>netaik.</v>
      </c>
      <c r="G198" s="351" t="str">
        <f t="shared" si="56"/>
        <v>netaik.</v>
      </c>
      <c r="H198" s="365" t="str">
        <f t="shared" si="56"/>
        <v>netaik.</v>
      </c>
      <c r="I198" s="900" t="str">
        <f t="shared" si="56"/>
        <v>netaik.</v>
      </c>
      <c r="J198" s="961" t="b">
        <f>FALSE</f>
        <v>0</v>
      </c>
      <c r="K198" s="974" t="b">
        <f>TRUE</f>
        <v>1</v>
      </c>
      <c r="L198" s="962" t="str">
        <f t="shared" si="57"/>
        <v>netaik.</v>
      </c>
      <c r="M198" s="963" t="str">
        <f t="shared" si="56"/>
        <v>netaik.</v>
      </c>
      <c r="N198" s="879" t="str">
        <f t="shared" si="52"/>
        <v>netaik.</v>
      </c>
      <c r="O198" s="963" t="str">
        <f t="shared" si="47"/>
        <v>netaik.</v>
      </c>
      <c r="P198" s="963" t="str">
        <f t="shared" si="47"/>
        <v>netaik.</v>
      </c>
      <c r="Q198" s="963" t="str">
        <f t="shared" si="47"/>
        <v>netaik.</v>
      </c>
      <c r="R198" s="963" t="str">
        <f t="shared" si="47"/>
        <v>netaik.</v>
      </c>
      <c r="S198" s="963" t="str">
        <f t="shared" si="35"/>
        <v>netaik.</v>
      </c>
      <c r="T198" s="964" t="str">
        <f t="shared" si="35"/>
        <v>netaik.</v>
      </c>
      <c r="U198" s="965" t="str">
        <f t="shared" si="48"/>
        <v>netaik.</v>
      </c>
      <c r="W198" s="348"/>
    </row>
    <row r="199" spans="1:27" x14ac:dyDescent="0.2">
      <c r="A199" s="907" t="str">
        <f t="shared" si="55"/>
        <v>netaik.</v>
      </c>
      <c r="B199" s="899" t="str">
        <f t="shared" si="55"/>
        <v>netaik.</v>
      </c>
      <c r="C199" s="364" t="str">
        <f t="shared" si="36"/>
        <v>t</v>
      </c>
      <c r="D199" s="365" t="str">
        <f t="shared" si="56"/>
        <v>netaik.</v>
      </c>
      <c r="E199" s="351" t="str">
        <f t="shared" si="56"/>
        <v>netaik.</v>
      </c>
      <c r="F199" s="365" t="str">
        <f t="shared" si="56"/>
        <v>netaik.</v>
      </c>
      <c r="G199" s="351" t="str">
        <f t="shared" si="56"/>
        <v>netaik.</v>
      </c>
      <c r="H199" s="365" t="str">
        <f t="shared" si="56"/>
        <v>netaik.</v>
      </c>
      <c r="I199" s="900" t="str">
        <f t="shared" si="56"/>
        <v>netaik.</v>
      </c>
      <c r="J199" s="961" t="b">
        <f>FALSE</f>
        <v>0</v>
      </c>
      <c r="K199" s="974" t="b">
        <f>TRUE</f>
        <v>1</v>
      </c>
      <c r="L199" s="962" t="str">
        <f t="shared" si="57"/>
        <v>netaik.</v>
      </c>
      <c r="M199" s="963" t="str">
        <f t="shared" si="56"/>
        <v>netaik.</v>
      </c>
      <c r="N199" s="879" t="str">
        <f t="shared" si="52"/>
        <v>netaik.</v>
      </c>
      <c r="O199" s="963" t="str">
        <f t="shared" si="47"/>
        <v>netaik.</v>
      </c>
      <c r="P199" s="963" t="str">
        <f t="shared" si="47"/>
        <v>netaik.</v>
      </c>
      <c r="Q199" s="963" t="str">
        <f t="shared" si="47"/>
        <v>netaik.</v>
      </c>
      <c r="R199" s="963" t="str">
        <f t="shared" si="47"/>
        <v>netaik.</v>
      </c>
      <c r="S199" s="963" t="str">
        <f t="shared" si="35"/>
        <v>netaik.</v>
      </c>
      <c r="T199" s="964" t="str">
        <f t="shared" si="35"/>
        <v>netaik.</v>
      </c>
      <c r="U199" s="965" t="str">
        <f t="shared" si="48"/>
        <v>netaik.</v>
      </c>
      <c r="W199" s="348"/>
    </row>
    <row r="200" spans="1:27" x14ac:dyDescent="0.2">
      <c r="A200" s="907" t="str">
        <f t="shared" si="55"/>
        <v>netaik.</v>
      </c>
      <c r="B200" s="899" t="str">
        <f t="shared" si="55"/>
        <v>netaik.</v>
      </c>
      <c r="C200" s="364" t="str">
        <f t="shared" si="36"/>
        <v>t</v>
      </c>
      <c r="D200" s="365" t="str">
        <f t="shared" si="56"/>
        <v>netaik.</v>
      </c>
      <c r="E200" s="351" t="str">
        <f t="shared" si="56"/>
        <v>netaik.</v>
      </c>
      <c r="F200" s="365" t="str">
        <f t="shared" si="56"/>
        <v>netaik.</v>
      </c>
      <c r="G200" s="351" t="str">
        <f t="shared" si="56"/>
        <v>netaik.</v>
      </c>
      <c r="H200" s="365" t="str">
        <f t="shared" si="56"/>
        <v>netaik.</v>
      </c>
      <c r="I200" s="900" t="str">
        <f t="shared" si="56"/>
        <v>netaik.</v>
      </c>
      <c r="J200" s="961" t="b">
        <f>FALSE</f>
        <v>0</v>
      </c>
      <c r="K200" s="974" t="b">
        <f>TRUE</f>
        <v>1</v>
      </c>
      <c r="L200" s="962" t="str">
        <f t="shared" si="57"/>
        <v>netaik.</v>
      </c>
      <c r="M200" s="963" t="str">
        <f t="shared" si="56"/>
        <v>netaik.</v>
      </c>
      <c r="N200" s="879" t="str">
        <f t="shared" si="52"/>
        <v>netaik.</v>
      </c>
      <c r="O200" s="963" t="str">
        <f t="shared" si="47"/>
        <v>netaik.</v>
      </c>
      <c r="P200" s="963" t="str">
        <f t="shared" si="47"/>
        <v>netaik.</v>
      </c>
      <c r="Q200" s="963" t="str">
        <f t="shared" si="47"/>
        <v>netaik.</v>
      </c>
      <c r="R200" s="963" t="str">
        <f t="shared" si="47"/>
        <v>netaik.</v>
      </c>
      <c r="S200" s="963" t="str">
        <f t="shared" si="35"/>
        <v>netaik.</v>
      </c>
      <c r="T200" s="964" t="str">
        <f t="shared" si="35"/>
        <v>netaik.</v>
      </c>
      <c r="U200" s="965" t="str">
        <f t="shared" si="48"/>
        <v>netaik.</v>
      </c>
      <c r="W200" s="348"/>
    </row>
    <row r="201" spans="1:27" x14ac:dyDescent="0.2">
      <c r="A201" s="907" t="str">
        <f t="shared" si="55"/>
        <v>netaik.</v>
      </c>
      <c r="B201" s="899" t="str">
        <f t="shared" si="55"/>
        <v>netaik.</v>
      </c>
      <c r="C201" s="364" t="str">
        <f t="shared" si="36"/>
        <v>t</v>
      </c>
      <c r="D201" s="365" t="str">
        <f t="shared" si="56"/>
        <v>netaik.</v>
      </c>
      <c r="E201" s="351" t="str">
        <f t="shared" si="56"/>
        <v>netaik.</v>
      </c>
      <c r="F201" s="365" t="str">
        <f t="shared" si="56"/>
        <v>netaik.</v>
      </c>
      <c r="G201" s="351" t="str">
        <f t="shared" si="56"/>
        <v>netaik.</v>
      </c>
      <c r="H201" s="365" t="str">
        <f t="shared" si="56"/>
        <v>netaik.</v>
      </c>
      <c r="I201" s="900" t="str">
        <f t="shared" si="56"/>
        <v>netaik.</v>
      </c>
      <c r="J201" s="961" t="b">
        <f>FALSE</f>
        <v>0</v>
      </c>
      <c r="K201" s="974" t="b">
        <f>TRUE</f>
        <v>1</v>
      </c>
      <c r="L201" s="962" t="str">
        <f t="shared" si="57"/>
        <v>netaik.</v>
      </c>
      <c r="M201" s="963" t="str">
        <f t="shared" si="56"/>
        <v>netaik.</v>
      </c>
      <c r="N201" s="879" t="str">
        <f t="shared" si="52"/>
        <v>netaik.</v>
      </c>
      <c r="O201" s="963" t="str">
        <f t="shared" si="47"/>
        <v>netaik.</v>
      </c>
      <c r="P201" s="963" t="str">
        <f t="shared" si="47"/>
        <v>netaik.</v>
      </c>
      <c r="Q201" s="963" t="str">
        <f t="shared" si="47"/>
        <v>netaik.</v>
      </c>
      <c r="R201" s="963" t="str">
        <f t="shared" si="47"/>
        <v>netaik.</v>
      </c>
      <c r="S201" s="963" t="str">
        <f t="shared" si="35"/>
        <v>netaik.</v>
      </c>
      <c r="T201" s="964" t="str">
        <f t="shared" si="35"/>
        <v>netaik.</v>
      </c>
      <c r="U201" s="965" t="str">
        <f t="shared" si="48"/>
        <v>netaik.</v>
      </c>
      <c r="W201" s="348"/>
    </row>
    <row r="202" spans="1:27" x14ac:dyDescent="0.2">
      <c r="A202" s="907" t="str">
        <f t="shared" si="55"/>
        <v>netaik.</v>
      </c>
      <c r="B202" s="899" t="str">
        <f t="shared" si="55"/>
        <v>netaik.</v>
      </c>
      <c r="C202" s="364" t="str">
        <f t="shared" si="36"/>
        <v>t</v>
      </c>
      <c r="D202" s="365" t="str">
        <f t="shared" si="56"/>
        <v>netaik.</v>
      </c>
      <c r="E202" s="351" t="str">
        <f t="shared" si="56"/>
        <v>netaik.</v>
      </c>
      <c r="F202" s="365" t="str">
        <f t="shared" si="56"/>
        <v>netaik.</v>
      </c>
      <c r="G202" s="351" t="str">
        <f t="shared" si="56"/>
        <v>netaik.</v>
      </c>
      <c r="H202" s="365" t="str">
        <f t="shared" si="56"/>
        <v>netaik.</v>
      </c>
      <c r="I202" s="900" t="str">
        <f t="shared" si="56"/>
        <v>netaik.</v>
      </c>
      <c r="J202" s="961" t="b">
        <f>FALSE</f>
        <v>0</v>
      </c>
      <c r="K202" s="974" t="b">
        <f>TRUE</f>
        <v>1</v>
      </c>
      <c r="L202" s="962" t="str">
        <f t="shared" si="57"/>
        <v>netaik.</v>
      </c>
      <c r="M202" s="963" t="str">
        <f t="shared" si="56"/>
        <v>netaik.</v>
      </c>
      <c r="N202" s="879" t="str">
        <f t="shared" si="52"/>
        <v>netaik.</v>
      </c>
      <c r="O202" s="963" t="str">
        <f t="shared" si="47"/>
        <v>netaik.</v>
      </c>
      <c r="P202" s="963" t="str">
        <f t="shared" si="47"/>
        <v>netaik.</v>
      </c>
      <c r="Q202" s="963" t="str">
        <f t="shared" si="47"/>
        <v>netaik.</v>
      </c>
      <c r="R202" s="963" t="str">
        <f t="shared" si="47"/>
        <v>netaik.</v>
      </c>
      <c r="S202" s="963" t="str">
        <f t="shared" si="35"/>
        <v>netaik.</v>
      </c>
      <c r="T202" s="964" t="str">
        <f t="shared" si="35"/>
        <v>netaik.</v>
      </c>
      <c r="U202" s="965" t="str">
        <f t="shared" si="48"/>
        <v>netaik.</v>
      </c>
      <c r="W202" s="348"/>
    </row>
    <row r="203" spans="1:27" x14ac:dyDescent="0.2">
      <c r="A203" s="907" t="str">
        <f t="shared" si="55"/>
        <v>netaik.</v>
      </c>
      <c r="B203" s="899" t="str">
        <f t="shared" si="55"/>
        <v>netaik.</v>
      </c>
      <c r="C203" s="364" t="str">
        <f t="shared" si="36"/>
        <v>t</v>
      </c>
      <c r="D203" s="365" t="str">
        <f t="shared" si="56"/>
        <v>netaik.</v>
      </c>
      <c r="E203" s="351" t="str">
        <f t="shared" si="56"/>
        <v>netaik.</v>
      </c>
      <c r="F203" s="365" t="str">
        <f t="shared" si="56"/>
        <v>netaik.</v>
      </c>
      <c r="G203" s="351" t="str">
        <f t="shared" si="56"/>
        <v>netaik.</v>
      </c>
      <c r="H203" s="365" t="str">
        <f t="shared" si="56"/>
        <v>netaik.</v>
      </c>
      <c r="I203" s="900" t="str">
        <f t="shared" si="56"/>
        <v>netaik.</v>
      </c>
      <c r="J203" s="961" t="b">
        <f>FALSE</f>
        <v>0</v>
      </c>
      <c r="K203" s="974" t="b">
        <f>TRUE</f>
        <v>1</v>
      </c>
      <c r="L203" s="962" t="str">
        <f t="shared" si="57"/>
        <v>netaik.</v>
      </c>
      <c r="M203" s="963" t="str">
        <f t="shared" si="56"/>
        <v>netaik.</v>
      </c>
      <c r="N203" s="879" t="str">
        <f t="shared" si="52"/>
        <v>netaik.</v>
      </c>
      <c r="O203" s="963" t="str">
        <f t="shared" si="47"/>
        <v>netaik.</v>
      </c>
      <c r="P203" s="963" t="str">
        <f t="shared" si="47"/>
        <v>netaik.</v>
      </c>
      <c r="Q203" s="963" t="str">
        <f t="shared" si="47"/>
        <v>netaik.</v>
      </c>
      <c r="R203" s="963" t="str">
        <f t="shared" si="47"/>
        <v>netaik.</v>
      </c>
      <c r="S203" s="963" t="str">
        <f t="shared" si="35"/>
        <v>netaik.</v>
      </c>
      <c r="T203" s="964" t="str">
        <f t="shared" si="35"/>
        <v>netaik.</v>
      </c>
      <c r="U203" s="965" t="str">
        <f t="shared" si="48"/>
        <v>netaik.</v>
      </c>
      <c r="W203" s="348"/>
    </row>
    <row r="204" spans="1:27" ht="13.5" thickBot="1" x14ac:dyDescent="0.25">
      <c r="A204" s="907" t="str">
        <f t="shared" si="55"/>
        <v>netaik.</v>
      </c>
      <c r="B204" s="899" t="str">
        <f t="shared" si="55"/>
        <v>netaik.</v>
      </c>
      <c r="C204" s="364" t="str">
        <f t="shared" si="36"/>
        <v>t</v>
      </c>
      <c r="D204" s="893" t="str">
        <f t="shared" ref="D204:M204" si="58">EUconst_NA</f>
        <v>netaik.</v>
      </c>
      <c r="E204" s="356" t="str">
        <f t="shared" si="58"/>
        <v>netaik.</v>
      </c>
      <c r="F204" s="893" t="str">
        <f t="shared" si="58"/>
        <v>netaik.</v>
      </c>
      <c r="G204" s="356" t="str">
        <f t="shared" si="58"/>
        <v>netaik.</v>
      </c>
      <c r="H204" s="893" t="str">
        <f t="shared" si="58"/>
        <v>netaik.</v>
      </c>
      <c r="I204" s="894" t="str">
        <f t="shared" si="58"/>
        <v>netaik.</v>
      </c>
      <c r="J204" s="966" t="b">
        <f>FALSE</f>
        <v>0</v>
      </c>
      <c r="K204" s="975" t="b">
        <f>TRUE</f>
        <v>1</v>
      </c>
      <c r="L204" s="967" t="str">
        <f t="shared" si="57"/>
        <v>netaik.</v>
      </c>
      <c r="M204" s="968" t="str">
        <f t="shared" si="58"/>
        <v>netaik.</v>
      </c>
      <c r="N204" s="376" t="str">
        <f t="shared" si="52"/>
        <v>netaik.</v>
      </c>
      <c r="O204" s="968" t="str">
        <f t="shared" si="47"/>
        <v>netaik.</v>
      </c>
      <c r="P204" s="968" t="str">
        <f>EUconst_NA</f>
        <v>netaik.</v>
      </c>
      <c r="Q204" s="968" t="str">
        <f>EUconst_NA</f>
        <v>netaik.</v>
      </c>
      <c r="R204" s="968" t="str">
        <f>EUconst_NA</f>
        <v>netaik.</v>
      </c>
      <c r="S204" s="968" t="str">
        <f t="shared" si="35"/>
        <v>netaik.</v>
      </c>
      <c r="T204" s="969" t="str">
        <f t="shared" si="35"/>
        <v>netaik.</v>
      </c>
      <c r="U204" s="970" t="str">
        <f t="shared" si="48"/>
        <v>netaik.</v>
      </c>
      <c r="W204" s="348"/>
      <c r="AA204" s="59" t="str">
        <f>IF(A204=EUconst_NA,"",COUNTIF($A$77:$A$204,A204)&gt;1)</f>
        <v/>
      </c>
    </row>
    <row r="205" spans="1:27" ht="13.5" thickBot="1" x14ac:dyDescent="0.25">
      <c r="A205" s="903" t="str">
        <f>Translations!$B$1148</f>
        <v>&lt;Sąrašo PABAIGA&gt;</v>
      </c>
      <c r="B205" s="903"/>
      <c r="C205" s="474"/>
      <c r="D205" s="352"/>
      <c r="E205" s="352"/>
      <c r="F205" s="352"/>
      <c r="G205" s="352"/>
      <c r="H205" s="352"/>
      <c r="I205" s="353"/>
      <c r="J205" s="355"/>
      <c r="K205" s="474"/>
      <c r="L205" s="389"/>
      <c r="M205" s="352"/>
      <c r="N205" s="352"/>
      <c r="O205" s="352"/>
      <c r="P205" s="352"/>
      <c r="Q205" s="352"/>
      <c r="R205" s="352"/>
      <c r="S205" s="352"/>
      <c r="T205" s="354"/>
      <c r="U205" s="353"/>
      <c r="W205" s="348"/>
    </row>
    <row r="207" spans="1:27" x14ac:dyDescent="0.2">
      <c r="C207" s="1780" t="str">
        <f>Translations!$B$238</f>
        <v>A metodas</v>
      </c>
      <c r="D207" s="1780"/>
      <c r="E207" s="1780" t="str">
        <f>Translations!$B$239</f>
        <v>B Metodas</v>
      </c>
      <c r="F207" s="1780"/>
    </row>
    <row r="208" spans="1:27" ht="12.75" customHeight="1" x14ac:dyDescent="0.2">
      <c r="C208" s="655" t="str">
        <f>Translations!$B$1149</f>
        <v>ITF (NITFCF4)</v>
      </c>
      <c r="D208" s="655" t="str">
        <f>Translations!$B$1150</f>
        <v>ITF (C2F6)</v>
      </c>
      <c r="E208" s="655" t="str">
        <f>Translations!$B$1149</f>
        <v>ITF (NITFCF4)</v>
      </c>
      <c r="F208" s="655" t="str">
        <f>Translations!$B$1150</f>
        <v>ITF (C2F6)</v>
      </c>
    </row>
    <row r="209" spans="1:6" ht="13.5" thickBot="1" x14ac:dyDescent="0.25">
      <c r="A209" s="653" t="str">
        <f>Translations!$B$288</f>
        <v>PFCCellTypes</v>
      </c>
      <c r="B209" s="654" t="str">
        <f>Translations!$B$1151</f>
        <v>Šaltinis</v>
      </c>
      <c r="C209" s="652" t="str">
        <f>INDEX(PFCUnits,3)</f>
        <v>(kg CF4/t Al)/(min./vienoje elektrolizės vonioje per parą)</v>
      </c>
      <c r="D209" s="652" t="str">
        <f>INDEX(PFCUnits,7)</f>
        <v>t C2F6/t CF4</v>
      </c>
      <c r="E209" s="652" t="str">
        <f>INDEX(PFCUnits,6)</f>
        <v>(kg CF4)/(t Al mV)</v>
      </c>
      <c r="F209" s="652" t="str">
        <f>INDEX(PFCUnits,7)</f>
        <v>t C2F6/t CF4</v>
      </c>
    </row>
    <row r="210" spans="1:6" x14ac:dyDescent="0.2">
      <c r="A210" s="371" t="str">
        <f>Translations!$B$859</f>
        <v>Medžiaga – Tiekimas į vonių su termiškai apdorotais perforuotais anodais centrą (CWPB)</v>
      </c>
      <c r="B210" s="373" t="s">
        <v>607</v>
      </c>
      <c r="C210" s="656">
        <v>0.14299999999999999</v>
      </c>
      <c r="D210" s="657">
        <v>0.121</v>
      </c>
      <c r="E210" s="656">
        <v>1.1599999999999999</v>
      </c>
      <c r="F210" s="657">
        <v>0.121</v>
      </c>
    </row>
    <row r="211" spans="1:6" x14ac:dyDescent="0.2">
      <c r="A211" s="371" t="str">
        <f>Translations!$B$860</f>
        <v>Medžiaga – Sioderbergo vonia su vertikaliais strypais (VSS)</v>
      </c>
      <c r="B211" s="373" t="s">
        <v>607</v>
      </c>
      <c r="C211" s="658">
        <v>9.1999999999999998E-2</v>
      </c>
      <c r="D211" s="659">
        <v>5.2999999999999999E-2</v>
      </c>
      <c r="E211" s="658" t="str">
        <f>EUconst_NA</f>
        <v>netaik.</v>
      </c>
      <c r="F211" s="659">
        <v>5.2999999999999999E-2</v>
      </c>
    </row>
    <row r="212" spans="1:6" x14ac:dyDescent="0.2">
      <c r="A212" s="371" t="str">
        <f>Translations!$B$861</f>
        <v>Medžiaga – Tiekimas į vonių su termiškai apdorotais perforuotais anodais kraštą (SWPB)</v>
      </c>
      <c r="B212" s="373" t="s">
        <v>607</v>
      </c>
      <c r="C212" s="658" t="str">
        <f t="shared" ref="C212:D214" si="59">EUconst_NA</f>
        <v>netaik.</v>
      </c>
      <c r="D212" s="659" t="str">
        <f t="shared" si="59"/>
        <v>netaik.</v>
      </c>
      <c r="E212" s="658" t="str">
        <f>EUconst_NA</f>
        <v>netaik.</v>
      </c>
      <c r="F212" s="659" t="str">
        <f>EUconst_NA</f>
        <v>netaik.</v>
      </c>
    </row>
    <row r="213" spans="1:6" x14ac:dyDescent="0.2">
      <c r="A213" s="371" t="str">
        <f>Translations!$B$862</f>
        <v>Medžiaga – Sioderbergo vonia su horizontaliais strypais (HSS)</v>
      </c>
      <c r="B213" s="373" t="s">
        <v>607</v>
      </c>
      <c r="C213" s="882" t="str">
        <f t="shared" si="59"/>
        <v>netaik.</v>
      </c>
      <c r="D213" s="883" t="str">
        <f t="shared" si="59"/>
        <v>netaik.</v>
      </c>
      <c r="E213" s="882" t="str">
        <f>EUconst_NA</f>
        <v>netaik.</v>
      </c>
      <c r="F213" s="883" t="str">
        <f>EUconst_NA</f>
        <v>netaik.</v>
      </c>
    </row>
    <row r="214" spans="1:6" ht="13.5" thickBot="1" x14ac:dyDescent="0.25">
      <c r="A214" s="371" t="str">
        <f>EUconst_NA</f>
        <v>netaik.</v>
      </c>
      <c r="B214" s="373" t="str">
        <f>EUconst_NA</f>
        <v>netaik.</v>
      </c>
      <c r="C214" s="660" t="str">
        <f t="shared" si="59"/>
        <v>netaik.</v>
      </c>
      <c r="D214" s="661" t="str">
        <f t="shared" si="59"/>
        <v>netaik.</v>
      </c>
      <c r="E214" s="660" t="str">
        <f>EUconst_NA</f>
        <v>netaik.</v>
      </c>
      <c r="F214" s="661" t="str">
        <f>EUconst_NA</f>
        <v>netaik.</v>
      </c>
    </row>
    <row r="215" spans="1:6" x14ac:dyDescent="0.2">
      <c r="C215" s="59" t="s">
        <v>28</v>
      </c>
      <c r="E215" s="59" t="s">
        <v>27</v>
      </c>
    </row>
    <row r="217" spans="1:6" x14ac:dyDescent="0.2">
      <c r="B217" s="1231" t="s">
        <v>1688</v>
      </c>
      <c r="C217" s="1231" t="s">
        <v>1689</v>
      </c>
    </row>
    <row r="218" spans="1:6" x14ac:dyDescent="0.2">
      <c r="A218" s="1068" t="str">
        <f>Translations!$B$1062</f>
        <v>Medžiaga – Kitų rūšių žaliavos</v>
      </c>
      <c r="B218" s="371" t="b">
        <v>1</v>
      </c>
    </row>
    <row r="219" spans="1:6" x14ac:dyDescent="0.2">
      <c r="A219" s="1068" t="str">
        <f>Translations!$B$1063</f>
        <v>Medžiaga – Kitų rūšių produktai</v>
      </c>
      <c r="B219" s="371" t="b">
        <v>1</v>
      </c>
    </row>
    <row r="220" spans="1:6" x14ac:dyDescent="0.2">
      <c r="A220" s="1068" t="str">
        <f>Translations!$B$1064</f>
        <v>Medžiaga – Kitos medžiagos</v>
      </c>
      <c r="B220" s="371" t="b">
        <v>1</v>
      </c>
    </row>
    <row r="221" spans="1:6" x14ac:dyDescent="0.2">
      <c r="A221" s="1068" t="str">
        <f>Translations!$B$1065</f>
        <v>Medžiaga – Kalkakmenis</v>
      </c>
      <c r="B221" s="371" t="b">
        <v>0</v>
      </c>
    </row>
    <row r="222" spans="1:6" x14ac:dyDescent="0.2">
      <c r="A222" s="1068" t="str">
        <f>Translations!$B$1066</f>
        <v>Medžiaga – Dolomitas</v>
      </c>
      <c r="B222" s="371" t="b">
        <v>0</v>
      </c>
    </row>
    <row r="223" spans="1:6" x14ac:dyDescent="0.2">
      <c r="A223" s="1068" t="str">
        <f>Translations!$B$1067</f>
        <v>Medžiaga – Natrio vandenilio karbonatas</v>
      </c>
      <c r="B223" s="371" t="b">
        <v>0</v>
      </c>
    </row>
    <row r="224" spans="1:6" x14ac:dyDescent="0.2">
      <c r="A224" s="1068" t="str">
        <f>Translations!$B$1068</f>
        <v>Medžiaga – Natrio karbonatas</v>
      </c>
      <c r="B224" s="371" t="b">
        <v>0</v>
      </c>
    </row>
    <row r="225" spans="1:2" x14ac:dyDescent="0.2">
      <c r="A225" s="1068" t="str">
        <f>Translations!$B$1069</f>
        <v>Medžiaga – Kalio karbonatas (potašas)</v>
      </c>
      <c r="B225" s="371" t="b">
        <v>0</v>
      </c>
    </row>
    <row r="226" spans="1:2" x14ac:dyDescent="0.2">
      <c r="A226" s="1068" t="str">
        <f>Translations!$B$1070</f>
        <v>Medžiaga – CaCO3</v>
      </c>
      <c r="B226" s="371" t="b">
        <v>0</v>
      </c>
    </row>
    <row r="227" spans="1:2" x14ac:dyDescent="0.2">
      <c r="A227" s="1068" t="str">
        <f>Translations!$B$1071</f>
        <v>Medžiaga – MgCO3</v>
      </c>
      <c r="B227" s="371" t="b">
        <v>0</v>
      </c>
    </row>
    <row r="228" spans="1:2" x14ac:dyDescent="0.2">
      <c r="A228" s="1068" t="str">
        <f>Translations!$B$1072</f>
        <v>Medžiaga – Na2CO3</v>
      </c>
      <c r="B228" s="371" t="b">
        <v>0</v>
      </c>
    </row>
    <row r="229" spans="1:2" x14ac:dyDescent="0.2">
      <c r="A229" s="1068" t="str">
        <f>Translations!$B$1073</f>
        <v>Medžiaga – BaCO3</v>
      </c>
      <c r="B229" s="371" t="b">
        <v>0</v>
      </c>
    </row>
    <row r="230" spans="1:2" x14ac:dyDescent="0.2">
      <c r="A230" s="1068" t="str">
        <f>Translations!$B$1074</f>
        <v>Medžiaga – Li2CO3</v>
      </c>
      <c r="B230" s="371" t="b">
        <v>0</v>
      </c>
    </row>
    <row r="231" spans="1:2" x14ac:dyDescent="0.2">
      <c r="A231" s="1068" t="str">
        <f>Translations!$B$1075</f>
        <v>Medžiaga – K2CO3</v>
      </c>
      <c r="B231" s="371" t="b">
        <v>0</v>
      </c>
    </row>
    <row r="232" spans="1:2" x14ac:dyDescent="0.2">
      <c r="A232" s="1068" t="str">
        <f>Translations!$B$1076</f>
        <v>Medžiaga – SrCO3</v>
      </c>
      <c r="B232" s="371" t="b">
        <v>0</v>
      </c>
    </row>
    <row r="233" spans="1:2" x14ac:dyDescent="0.2">
      <c r="A233" s="1068" t="str">
        <f>Translations!$B$1077</f>
        <v>Medžiaga – NaHCO3</v>
      </c>
      <c r="B233" s="371" t="b">
        <v>0</v>
      </c>
    </row>
    <row r="234" spans="1:2" x14ac:dyDescent="0.2">
      <c r="A234" s="1068" t="str">
        <f>Translations!$B$1078</f>
        <v>Medžiaga – FeCO3</v>
      </c>
      <c r="B234" s="371" t="b">
        <v>0</v>
      </c>
    </row>
    <row r="235" spans="1:2" x14ac:dyDescent="0.2">
      <c r="A235" s="1068" t="str">
        <f>Translations!$B$1079</f>
        <v>Medžiaga – Kiti karbonatai</v>
      </c>
      <c r="B235" s="371" t="b">
        <v>0</v>
      </c>
    </row>
    <row r="236" spans="1:2" x14ac:dyDescent="0.2">
      <c r="A236" s="1068" t="str">
        <f>Translations!$B$1080</f>
        <v>Medžiaga – Gipsas</v>
      </c>
      <c r="B236" s="371" t="b">
        <v>0</v>
      </c>
    </row>
    <row r="237" spans="1:2" x14ac:dyDescent="0.2">
      <c r="A237" s="1068" t="str">
        <f>Translations!$B$1081</f>
        <v>Medžiaga – Proceso medžiaga</v>
      </c>
      <c r="B237" s="371" t="b">
        <v>0</v>
      </c>
    </row>
    <row r="238" spans="1:2" x14ac:dyDescent="0.2">
      <c r="A238" s="1068" t="str">
        <f>Translations!$B$1082</f>
        <v>Medžiaga – CaO</v>
      </c>
      <c r="B238" s="371" t="b">
        <v>0</v>
      </c>
    </row>
    <row r="239" spans="1:2" x14ac:dyDescent="0.2">
      <c r="A239" s="1068" t="str">
        <f>Translations!$B$1083</f>
        <v>Medžiaga – MgO</v>
      </c>
      <c r="B239" s="371" t="b">
        <v>0</v>
      </c>
    </row>
    <row r="240" spans="1:2" x14ac:dyDescent="0.2">
      <c r="A240" s="1068" t="str">
        <f>Translations!$B$1084</f>
        <v>Medžiaga – BaO</v>
      </c>
      <c r="B240" s="371" t="b">
        <v>0</v>
      </c>
    </row>
    <row r="241" spans="1:2" x14ac:dyDescent="0.2">
      <c r="A241" s="1068" t="str">
        <f>Translations!$B$1085</f>
        <v>Medžiaga – Kiti produktai</v>
      </c>
      <c r="B241" s="371" t="b">
        <v>1</v>
      </c>
    </row>
    <row r="242" spans="1:2" x14ac:dyDescent="0.2">
      <c r="A242" s="1068" t="str">
        <f>Translations!$B$1086</f>
        <v>Medžiaga – Rūdos</v>
      </c>
      <c r="B242" s="371" t="b">
        <v>0</v>
      </c>
    </row>
    <row r="243" spans="1:2" x14ac:dyDescent="0.2">
      <c r="A243" s="1068" t="str">
        <f>Translations!$B$1087</f>
        <v>Medžiaga – Priedai</v>
      </c>
      <c r="B243" s="371" t="b">
        <v>0</v>
      </c>
    </row>
    <row r="244" spans="1:2" x14ac:dyDescent="0.2">
      <c r="A244" s="1068" t="str">
        <f>Translations!$B$1088</f>
        <v>Medžiaga – Metalo laužas</v>
      </c>
      <c r="B244" s="371" t="b">
        <v>1</v>
      </c>
    </row>
    <row r="245" spans="1:2" x14ac:dyDescent="0.2">
      <c r="A245" s="1068" t="str">
        <f>Translations!$B$1089</f>
        <v>Medžiaga – Geležies rūdos</v>
      </c>
      <c r="B245" s="371" t="b">
        <v>0</v>
      </c>
    </row>
    <row r="246" spans="1:2" x14ac:dyDescent="0.2">
      <c r="A246" s="1068" t="str">
        <f>Translations!$B$1090</f>
        <v>Medžiaga – Aukštakrosnių šlakas</v>
      </c>
      <c r="B246" s="371" t="b">
        <v>1</v>
      </c>
    </row>
    <row r="247" spans="1:2" x14ac:dyDescent="0.2">
      <c r="A247" s="1068" t="str">
        <f>Translations!$B$1091</f>
        <v>Medžiaga – Kitų rūšių šlakas</v>
      </c>
      <c r="B247" s="371" t="b">
        <v>1</v>
      </c>
    </row>
    <row r="248" spans="1:2" x14ac:dyDescent="0.2">
      <c r="A248" s="1068" t="str">
        <f>Translations!$B$1092</f>
        <v>Medžiaga – Kitų rūšių reduktoriai</v>
      </c>
      <c r="B248" s="371" t="b">
        <v>1</v>
      </c>
    </row>
    <row r="249" spans="1:2" x14ac:dyDescent="0.2">
      <c r="A249" s="1068" t="str">
        <f>Translations!$B$1093</f>
        <v>Medžiaga – Tiesiogiai redukuojama geležis</v>
      </c>
      <c r="B249" s="371" t="b">
        <v>0</v>
      </c>
    </row>
    <row r="250" spans="1:2" x14ac:dyDescent="0.2">
      <c r="A250" s="1068" t="str">
        <f>Translations!$B$1094</f>
        <v>Medžiaga – EAF anglies elektrodai</v>
      </c>
      <c r="B250" s="371" t="b">
        <v>0</v>
      </c>
    </row>
    <row r="251" spans="1:2" x14ac:dyDescent="0.2">
      <c r="A251" s="1068" t="str">
        <f>Translations!$B$1095</f>
        <v>Medžiaga – EAF krūvio anglis</v>
      </c>
      <c r="B251" s="371" t="b">
        <v>0</v>
      </c>
    </row>
    <row r="252" spans="1:2" x14ac:dyDescent="0.2">
      <c r="A252" s="1068" t="str">
        <f>Translations!$B$1096</f>
        <v>Medžiaga – Karštojo briketavimo geležis</v>
      </c>
      <c r="B252" s="371" t="b">
        <v>0</v>
      </c>
    </row>
    <row r="253" spans="1:2" x14ac:dyDescent="0.2">
      <c r="A253" s="1068" t="str">
        <f>Translations!$B$1097</f>
        <v>Medžiaga – Perkama geležis luitais</v>
      </c>
      <c r="B253" s="371" t="b">
        <v>0</v>
      </c>
    </row>
    <row r="254" spans="1:2" x14ac:dyDescent="0.2">
      <c r="A254" s="1068" t="str">
        <f>Translations!$B$1098</f>
        <v>Medžiaga – Plienas</v>
      </c>
      <c r="B254" s="371" t="b">
        <v>0</v>
      </c>
    </row>
    <row r="255" spans="1:2" x14ac:dyDescent="0.2">
      <c r="A255" s="1068" t="str">
        <f>Translations!$B$1099</f>
        <v>Medžiaga – Plieno laužas</v>
      </c>
      <c r="B255" s="371" t="b">
        <v>1</v>
      </c>
    </row>
    <row r="256" spans="1:2" x14ac:dyDescent="0.2">
      <c r="A256" s="1068" t="str">
        <f>Translations!$B$1100</f>
        <v>Medžiaga – Išlydytas metalas</v>
      </c>
      <c r="B256" s="371" t="b">
        <v>0</v>
      </c>
    </row>
    <row r="257" spans="1:2" x14ac:dyDescent="0.2">
      <c r="A257" s="1068" t="str">
        <f>Translations!$B$1101</f>
        <v>Medžiaga – Lydžiosios sudedamosios dalys</v>
      </c>
      <c r="B257" s="371" t="b">
        <v>0</v>
      </c>
    </row>
    <row r="258" spans="1:2" x14ac:dyDescent="0.2">
      <c r="A258" s="1068" t="str">
        <f>Translations!$B$1102</f>
        <v>Medžiaga – Žaliavinis mišinys</v>
      </c>
      <c r="B258" s="371" t="b">
        <v>0</v>
      </c>
    </row>
    <row r="259" spans="1:2" x14ac:dyDescent="0.2">
      <c r="A259" s="1068" t="str">
        <f>Translations!$B$1103</f>
        <v>Medžiaga – Cemento klinkeris</v>
      </c>
      <c r="B259" s="371" t="b">
        <v>0</v>
      </c>
    </row>
    <row r="260" spans="1:2" x14ac:dyDescent="0.2">
      <c r="A260" s="1068" t="str">
        <f>Translations!$B$1104</f>
        <v>Medžiaga – Pašalinės dulkės</v>
      </c>
      <c r="B260" s="371" t="b">
        <v>1</v>
      </c>
    </row>
    <row r="261" spans="1:2" x14ac:dyDescent="0.2">
      <c r="A261" s="1068" t="str">
        <f>Translations!$B$1105</f>
        <v>Medžiaga – Pašaliniai miltai</v>
      </c>
      <c r="B261" s="371" t="b">
        <v>1</v>
      </c>
    </row>
    <row r="262" spans="1:2" x14ac:dyDescent="0.2">
      <c r="A262" s="1068" t="str">
        <f>Translations!$B$1106</f>
        <v>Medžiaga – Kitos pašalinės medžiagos</v>
      </c>
      <c r="B262" s="371" t="b">
        <v>1</v>
      </c>
    </row>
    <row r="263" spans="1:2" x14ac:dyDescent="0.2">
      <c r="A263" s="1068" t="str">
        <f>Translations!$B$1107</f>
        <v>Medžiaga – Lakieji pelenai</v>
      </c>
      <c r="B263" s="371" t="b">
        <v>1</v>
      </c>
    </row>
    <row r="264" spans="1:2" x14ac:dyDescent="0.2">
      <c r="A264" s="1068" t="str">
        <f>Translations!$B$1108</f>
        <v>Medžiaga – Kitos medžiagos, kurių sudėtyje yra anglies</v>
      </c>
      <c r="B264" s="371" t="b">
        <v>1</v>
      </c>
    </row>
    <row r="265" spans="1:2" x14ac:dyDescent="0.2">
      <c r="A265" s="1068" t="str">
        <f>Translations!$B$1109</f>
        <v>Medžiaga – Žaliavinis magnezitas</v>
      </c>
      <c r="B265" s="371" t="b">
        <v>0</v>
      </c>
    </row>
    <row r="266" spans="1:2" x14ac:dyDescent="0.2">
      <c r="A266" s="1068" t="str">
        <f>Translations!$B$1110</f>
        <v>Medžiaga – Kalkės</v>
      </c>
      <c r="B266" s="371" t="b">
        <v>0</v>
      </c>
    </row>
    <row r="267" spans="1:2" x14ac:dyDescent="0.2">
      <c r="A267" s="1068" t="str">
        <f>Translations!$B$1111</f>
        <v>Medžiaga – Magnio oksidas</v>
      </c>
      <c r="B267" s="371" t="b">
        <v>0</v>
      </c>
    </row>
    <row r="268" spans="1:2" x14ac:dyDescent="0.2">
      <c r="A268" s="1068" t="str">
        <f>Translations!$B$1112</f>
        <v>Medžiaga – Degimo krosnies dulkės</v>
      </c>
      <c r="B268" s="371" t="b">
        <v>1</v>
      </c>
    </row>
    <row r="269" spans="1:2" x14ac:dyDescent="0.2">
      <c r="A269" s="1068" t="str">
        <f>Translations!$B$1113</f>
        <v>Medžiaga – Molis</v>
      </c>
      <c r="B269" s="371" t="b">
        <v>0</v>
      </c>
    </row>
    <row r="270" spans="1:2" x14ac:dyDescent="0.2">
      <c r="A270" s="1068" t="str">
        <f>Translations!$B$1114</f>
        <v>Medžiaga – Plytos</v>
      </c>
      <c r="B270" s="371" t="b">
        <v>0</v>
      </c>
    </row>
    <row r="271" spans="1:2" x14ac:dyDescent="0.2">
      <c r="A271" s="1068" t="str">
        <f>Translations!$B$1115</f>
        <v>Medžiaga – Kitos cheminės medžiagos</v>
      </c>
      <c r="B271" s="371" t="b">
        <v>1</v>
      </c>
    </row>
    <row r="272" spans="1:2" x14ac:dyDescent="0.2">
      <c r="A272" s="1068" t="str">
        <f>Translations!$B$1116</f>
        <v>Medžiaga – Acetonitrilas</v>
      </c>
      <c r="B272" s="371" t="b">
        <v>0</v>
      </c>
    </row>
    <row r="273" spans="1:2" x14ac:dyDescent="0.2">
      <c r="A273" s="1068" t="str">
        <f>Translations!$B$1117</f>
        <v>Medžiaga – Akrilonitrilas</v>
      </c>
      <c r="B273" s="371" t="b">
        <v>0</v>
      </c>
    </row>
    <row r="274" spans="1:2" x14ac:dyDescent="0.2">
      <c r="A274" s="1068" t="str">
        <f>Translations!$B$1118</f>
        <v>Medžiaga – Butadienas</v>
      </c>
      <c r="B274" s="371" t="b">
        <v>0</v>
      </c>
    </row>
    <row r="275" spans="1:2" x14ac:dyDescent="0.2">
      <c r="A275" s="1068" t="str">
        <f>Translations!$B$1119</f>
        <v>Medžiaga – Suodžiai</v>
      </c>
      <c r="B275" s="371" t="b">
        <v>0</v>
      </c>
    </row>
    <row r="276" spans="1:2" x14ac:dyDescent="0.2">
      <c r="A276" s="1068" t="str">
        <f>Translations!$B$1120</f>
        <v>Medžiaga – Etilenas</v>
      </c>
      <c r="B276" s="371" t="b">
        <v>0</v>
      </c>
    </row>
    <row r="277" spans="1:2" x14ac:dyDescent="0.2">
      <c r="A277" s="1068" t="str">
        <f>Translations!$B$1121</f>
        <v>Medžiaga – Etileno dichloridas</v>
      </c>
      <c r="B277" s="371" t="b">
        <v>0</v>
      </c>
    </row>
    <row r="278" spans="1:2" x14ac:dyDescent="0.2">
      <c r="A278" s="1068" t="str">
        <f>Translations!$B$1122</f>
        <v>Medžiaga – Etilenglikolis</v>
      </c>
      <c r="B278" s="371" t="b">
        <v>0</v>
      </c>
    </row>
    <row r="279" spans="1:2" x14ac:dyDescent="0.2">
      <c r="A279" s="1068" t="str">
        <f>Translations!$B$1123</f>
        <v>Medžiaga – Oksiranas</v>
      </c>
      <c r="B279" s="371" t="b">
        <v>0</v>
      </c>
    </row>
    <row r="280" spans="1:2" x14ac:dyDescent="0.2">
      <c r="A280" s="1068" t="str">
        <f>Translations!$B$1124</f>
        <v>Medžiaga – Vandenilio cianidas</v>
      </c>
      <c r="B280" s="371" t="b">
        <v>0</v>
      </c>
    </row>
    <row r="281" spans="1:2" x14ac:dyDescent="0.2">
      <c r="A281" s="1068" t="str">
        <f>Translations!$B$1125</f>
        <v>Medžiaga – Metanolis</v>
      </c>
      <c r="B281" s="371" t="b">
        <v>0</v>
      </c>
    </row>
    <row r="282" spans="1:2" x14ac:dyDescent="0.2">
      <c r="A282" s="1068" t="str">
        <f>Translations!$B$1126</f>
        <v>Medžiaga – Propilenas</v>
      </c>
      <c r="B282" s="371" t="b">
        <v>0</v>
      </c>
    </row>
    <row r="283" spans="1:2" x14ac:dyDescent="0.2">
      <c r="A283" s="1068" t="str">
        <f>Translations!$B$1127</f>
        <v>Medžiaga – Vinilchlorido monomeras</v>
      </c>
      <c r="B283" s="371" t="b">
        <v>0</v>
      </c>
    </row>
    <row r="284" spans="1:2" x14ac:dyDescent="0.2">
      <c r="A284" s="1068" t="str">
        <f>Translations!$B$1128</f>
        <v>Medžiaga – Maleino rūgšties anhidridas</v>
      </c>
      <c r="B284" s="371" t="b">
        <v>0</v>
      </c>
    </row>
    <row r="285" spans="1:2" x14ac:dyDescent="0.2">
      <c r="A285" s="1068" t="str">
        <f>Translations!$B$1129</f>
        <v>Medžiaga – Ftalio rūgšties anhidridas</v>
      </c>
      <c r="B285" s="371" t="b">
        <v>0</v>
      </c>
    </row>
    <row r="286" spans="1:2" x14ac:dyDescent="0.2">
      <c r="A286" s="1068" t="str">
        <f>Translations!$B$1130</f>
        <v>Medžiaga – Aromatiniai angliavandeniliai</v>
      </c>
      <c r="B286" s="371" t="b">
        <v>0</v>
      </c>
    </row>
    <row r="287" spans="1:2" x14ac:dyDescent="0.2">
      <c r="A287" s="1068" t="str">
        <f>Translations!$B$1131</f>
        <v>Medžiaga – Tereftalio rūgštis</v>
      </c>
      <c r="B287" s="371" t="b">
        <v>0</v>
      </c>
    </row>
    <row r="288" spans="1:2" x14ac:dyDescent="0.2">
      <c r="A288" s="1068" t="str">
        <f>Translations!$B$1132</f>
        <v>Medžiaga – Fenolis</v>
      </c>
      <c r="B288" s="371" t="b">
        <v>0</v>
      </c>
    </row>
    <row r="289" spans="1:2" x14ac:dyDescent="0.2">
      <c r="A289" s="1068" t="str">
        <f>Translations!$B$1133</f>
        <v>Medžiaga – Acetonas</v>
      </c>
      <c r="B289" s="371" t="b">
        <v>0</v>
      </c>
    </row>
    <row r="290" spans="1:2" x14ac:dyDescent="0.2">
      <c r="A290" s="1068" t="str">
        <f>Translations!$B$1134</f>
        <v>Medžiaga – Kumenas</v>
      </c>
      <c r="B290" s="371" t="b">
        <v>0</v>
      </c>
    </row>
    <row r="291" spans="1:2" x14ac:dyDescent="0.2">
      <c r="A291" s="1068" t="str">
        <f>Translations!$B$1135</f>
        <v>Medžiaga – Skruzdžių rūgštis</v>
      </c>
      <c r="B291" s="371" t="b">
        <v>0</v>
      </c>
    </row>
    <row r="292" spans="1:2" x14ac:dyDescent="0.2">
      <c r="A292" s="1068" t="str">
        <f>Translations!$B$1136</f>
        <v>Medžiaga – Acto rūgštis</v>
      </c>
      <c r="B292" s="371" t="b">
        <v>0</v>
      </c>
    </row>
    <row r="293" spans="1:2" x14ac:dyDescent="0.2">
      <c r="A293" s="1068" t="str">
        <f>Translations!$B$1137</f>
        <v>Medžiaga – Formaldehidas</v>
      </c>
      <c r="B293" s="371" t="b">
        <v>0</v>
      </c>
    </row>
    <row r="294" spans="1:2" x14ac:dyDescent="0.2">
      <c r="A294" s="1068" t="str">
        <f>Translations!$B$1138</f>
        <v>Medžiaga – Acto anhidridas</v>
      </c>
      <c r="B294" s="371" t="b">
        <v>0</v>
      </c>
    </row>
    <row r="295" spans="1:2" x14ac:dyDescent="0.2">
      <c r="A295" s="1068" t="str">
        <f>Translations!$B$1139</f>
        <v>Medžiaga – Ftalio rūgštis</v>
      </c>
      <c r="B295" s="371" t="b">
        <v>0</v>
      </c>
    </row>
    <row r="296" spans="1:2" x14ac:dyDescent="0.2">
      <c r="A296" s="1068" t="str">
        <f>Translations!$B$1140</f>
        <v>Medžiaga – Akrilo rūgštis</v>
      </c>
      <c r="B296" s="371" t="b">
        <v>0</v>
      </c>
    </row>
    <row r="297" spans="1:2" x14ac:dyDescent="0.2">
      <c r="A297" s="1068" t="str">
        <f>Translations!$B$859</f>
        <v>Medžiaga – Tiekimas į vonių su termiškai apdorotais perforuotais anodais centrą (CWPB)</v>
      </c>
      <c r="B297" s="371" t="b">
        <v>0</v>
      </c>
    </row>
    <row r="298" spans="1:2" x14ac:dyDescent="0.2">
      <c r="A298" s="1068" t="str">
        <f>Translations!$B$860</f>
        <v>Medžiaga – Sioderbergo vonia su vertikaliais strypais (VSS)</v>
      </c>
      <c r="B298" s="371" t="b">
        <v>0</v>
      </c>
    </row>
    <row r="299" spans="1:2" x14ac:dyDescent="0.2">
      <c r="A299" s="1068" t="str">
        <f>Translations!$B$861</f>
        <v>Medžiaga – Tiekimas į vonių su termiškai apdorotais perforuotais anodais kraštą (SWPB)</v>
      </c>
      <c r="B299" s="371" t="b">
        <v>0</v>
      </c>
    </row>
    <row r="300" spans="1:2" x14ac:dyDescent="0.2">
      <c r="A300" s="1068" t="str">
        <f>Translations!$B$862</f>
        <v>Medžiaga – Sioderbergo vonia su horizontaliais strypais (HSS)</v>
      </c>
      <c r="B300" s="371" t="b">
        <v>0</v>
      </c>
    </row>
    <row r="301" spans="1:2" x14ac:dyDescent="0.2">
      <c r="A301" s="1068" t="str">
        <f>Translations!$B$1141</f>
        <v>Medžiaga – Kiti elektrodai</v>
      </c>
      <c r="B301" s="371" t="b">
        <v>0</v>
      </c>
    </row>
    <row r="302" spans="1:2" x14ac:dyDescent="0.2">
      <c r="A302" s="1068" t="str">
        <f>Translations!$B$1142</f>
        <v>Medžiaga – Kitos</v>
      </c>
      <c r="B302" s="371" t="b">
        <v>1</v>
      </c>
    </row>
    <row r="303" spans="1:2" x14ac:dyDescent="0.2">
      <c r="A303" s="1068" t="str">
        <f>Translations!$B$988</f>
        <v>Dujinis – Etanas</v>
      </c>
      <c r="B303" s="371" t="b">
        <v>0</v>
      </c>
    </row>
    <row r="304" spans="1:2" x14ac:dyDescent="0.2">
      <c r="A304" s="1068" t="str">
        <f>Translations!$B$989</f>
        <v>Dujinis – Propanas</v>
      </c>
      <c r="B304" s="371" t="b">
        <v>0</v>
      </c>
    </row>
    <row r="305" spans="1:2" x14ac:dyDescent="0.2">
      <c r="A305" s="1068" t="str">
        <f>Translations!$B$990</f>
        <v>Dujinis – Butanas</v>
      </c>
      <c r="B305" s="371" t="b">
        <v>0</v>
      </c>
    </row>
    <row r="306" spans="1:2" x14ac:dyDescent="0.2">
      <c r="A306" s="1068" t="str">
        <f>Translations!$B$999</f>
        <v>Dujinis – Gamtinės dujos</v>
      </c>
      <c r="B306" s="371" t="b">
        <v>0</v>
      </c>
    </row>
    <row r="307" spans="1:2" x14ac:dyDescent="0.2">
      <c r="A307" s="1068" t="str">
        <f>Translations!$B$1000</f>
        <v>Dujinis – Dujų gamyklos dujos</v>
      </c>
      <c r="B307" s="371" t="b">
        <v>0</v>
      </c>
    </row>
    <row r="308" spans="1:2" x14ac:dyDescent="0.2">
      <c r="A308" s="1068" t="str">
        <f>Translations!$B$1001</f>
        <v>Dujinis – Koksavimo dujos</v>
      </c>
      <c r="B308" s="371" t="b">
        <v>0</v>
      </c>
    </row>
    <row r="309" spans="1:2" x14ac:dyDescent="0.2">
      <c r="A309" s="1068" t="str">
        <f>Translations!$B$1002</f>
        <v>Dujinis – Aukštakrosnių dujos</v>
      </c>
      <c r="B309" s="371" t="b">
        <v>0</v>
      </c>
    </row>
    <row r="310" spans="1:2" x14ac:dyDescent="0.2">
      <c r="A310" s="1068" t="str">
        <f>Translations!$B$1003</f>
        <v>Dujinis – Deguoninių plieno aukštakrosnių dujos</v>
      </c>
      <c r="B310" s="371" t="b">
        <v>0</v>
      </c>
    </row>
    <row r="311" spans="1:2" x14ac:dyDescent="0.2">
      <c r="A311" s="1068" t="str">
        <f>Translations!$B$1004</f>
        <v>Dujinis – Biodujos</v>
      </c>
      <c r="B311" s="371" t="b">
        <v>0</v>
      </c>
    </row>
    <row r="312" spans="1:2" x14ac:dyDescent="0.2">
      <c r="A312" s="1068" t="str">
        <f>Translations!$B$1005</f>
        <v>Dujinis – Dumblo dujos</v>
      </c>
      <c r="B312" s="371" t="b">
        <v>0</v>
      </c>
    </row>
    <row r="313" spans="1:2" x14ac:dyDescent="0.2">
      <c r="A313" s="1068" t="str">
        <f>Translations!$B$1006</f>
        <v>Dujinis – Sąvartynų dujos</v>
      </c>
      <c r="B313" s="371" t="b">
        <v>0</v>
      </c>
    </row>
    <row r="314" spans="1:2" x14ac:dyDescent="0.2">
      <c r="A314" s="1068" t="str">
        <f>Translations!$B$1007</f>
        <v>Dujinis – Anglies monoksidas</v>
      </c>
      <c r="B314" s="371" t="b">
        <v>0</v>
      </c>
    </row>
    <row r="315" spans="1:2" x14ac:dyDescent="0.2">
      <c r="A315" s="1068" t="str">
        <f>Translations!$B$1008</f>
        <v>Dujinis – Metanas</v>
      </c>
      <c r="B315" s="371" t="b">
        <v>0</v>
      </c>
    </row>
    <row r="316" spans="1:2" x14ac:dyDescent="0.2">
      <c r="A316" s="1068" t="str">
        <f>Translations!$B$1009</f>
        <v>Dujinis – Kitų rūšių dujinis kuras</v>
      </c>
      <c r="B316" s="371" t="b">
        <v>0</v>
      </c>
    </row>
    <row r="317" spans="1:2" x14ac:dyDescent="0.2">
      <c r="A317" s="1068" t="str">
        <f>Translations!$B$1010</f>
        <v>Dujinis – Kitų rūšių dujinė biomasė</v>
      </c>
      <c r="B317" s="371" t="b">
        <v>0</v>
      </c>
    </row>
    <row r="318" spans="1:2" x14ac:dyDescent="0.2">
      <c r="A318" s="1068" t="str">
        <f>Translations!$B$991</f>
        <v>Skystasis – Dyzelinis krosnių kuras</v>
      </c>
      <c r="B318" s="371" t="b">
        <v>0</v>
      </c>
    </row>
    <row r="319" spans="1:2" x14ac:dyDescent="0.2">
      <c r="A319" s="1068" t="str">
        <f>Translations!$B$992</f>
        <v>Skystasis – Gazolis</v>
      </c>
      <c r="B319" s="371" t="b">
        <v>0</v>
      </c>
    </row>
    <row r="320" spans="1:2" x14ac:dyDescent="0.2">
      <c r="A320" s="1068" t="str">
        <f>Translations!$B$993</f>
        <v>Skystasis – Gazolinas</v>
      </c>
      <c r="B320" s="371" t="b">
        <v>0</v>
      </c>
    </row>
    <row r="321" spans="1:2" x14ac:dyDescent="0.2">
      <c r="A321" s="1068" t="str">
        <f>Translations!$B$994</f>
        <v>Skystasis – Valytas žibalas</v>
      </c>
      <c r="B321" s="371" t="b">
        <v>0</v>
      </c>
    </row>
    <row r="322" spans="1:2" x14ac:dyDescent="0.2">
      <c r="A322" s="1068" t="str">
        <f>Translations!$B$995</f>
        <v>Skystasis – Žibalas</v>
      </c>
      <c r="B322" s="371" t="b">
        <v>0</v>
      </c>
    </row>
    <row r="323" spans="1:2" x14ac:dyDescent="0.2">
      <c r="A323" s="1068" t="str">
        <f>Translations!$B$996</f>
        <v>Skystasis – Reaktyvinis žibalas (Jet A1 arba Jet A)</v>
      </c>
      <c r="B323" s="371" t="b">
        <v>0</v>
      </c>
    </row>
    <row r="324" spans="1:2" x14ac:dyDescent="0.2">
      <c r="A324" s="1068" t="str">
        <f>Translations!$B$997</f>
        <v>Skystasis – Reaktyvinis gazolinas (benzinas) (Jet B)</v>
      </c>
      <c r="B324" s="371" t="b">
        <v>0</v>
      </c>
    </row>
    <row r="325" spans="1:2" x14ac:dyDescent="0.2">
      <c r="A325" s="1068" t="str">
        <f>Translations!$B$998</f>
        <v>Skystasis – Aviacinis gazolinas (benzinas) (AvGas)</v>
      </c>
      <c r="B325" s="371" t="b">
        <v>0</v>
      </c>
    </row>
    <row r="326" spans="1:2" x14ac:dyDescent="0.2">
      <c r="A326" s="1068" t="str">
        <f>Translations!$B$1011</f>
        <v>Skystasis – Labai lengvos distiliacijos kuras</v>
      </c>
      <c r="B326" s="371" t="b">
        <v>0</v>
      </c>
    </row>
    <row r="327" spans="1:2" x14ac:dyDescent="0.2">
      <c r="A327" s="1068" t="str">
        <f>Translations!$B$1012</f>
        <v>Skystasis – Vidutinės distiliacijos kuras</v>
      </c>
      <c r="B327" s="371" t="b">
        <v>0</v>
      </c>
    </row>
    <row r="328" spans="1:2" x14ac:dyDescent="0.2">
      <c r="A328" s="1068" t="str">
        <f>Translations!$B$1013</f>
        <v>Skystasis – Sunkusis mazutas</v>
      </c>
      <c r="B328" s="371" t="b">
        <v>0</v>
      </c>
    </row>
    <row r="329" spans="1:2" x14ac:dyDescent="0.2">
      <c r="A329" s="1068" t="str">
        <f>Translations!$B$1014</f>
        <v>Skystasis – Suskystintosios naftos dujos</v>
      </c>
      <c r="B329" s="371" t="b">
        <v>0</v>
      </c>
    </row>
    <row r="330" spans="1:2" x14ac:dyDescent="0.2">
      <c r="A330" s="1068" t="str">
        <f>Translations!$B$1015</f>
        <v>Skystasis – Žalia nafta</v>
      </c>
      <c r="B330" s="371" t="b">
        <v>0</v>
      </c>
    </row>
    <row r="331" spans="1:2" x14ac:dyDescent="0.2">
      <c r="A331" s="1068" t="str">
        <f>Translations!$B$1016</f>
        <v>Skystasis – Orimulsija</v>
      </c>
      <c r="B331" s="371" t="b">
        <v>0</v>
      </c>
    </row>
    <row r="332" spans="1:2" x14ac:dyDescent="0.2">
      <c r="A332" s="1068" t="str">
        <f>Translations!$B$1017</f>
        <v>Skystasis – Gamtinių dujų kondensatai</v>
      </c>
      <c r="B332" s="371" t="b">
        <v>0</v>
      </c>
    </row>
    <row r="333" spans="1:2" x14ac:dyDescent="0.2">
      <c r="A333" s="1068" t="str">
        <f>Translations!$B$1018</f>
        <v>Skystasis – Automobilinis benzinas</v>
      </c>
      <c r="B333" s="371" t="b">
        <v>0</v>
      </c>
    </row>
    <row r="334" spans="1:2" x14ac:dyDescent="0.2">
      <c r="A334" s="1068" t="str">
        <f>Translations!$B$1019</f>
        <v>Skystasis – Skalūnų alyva</v>
      </c>
      <c r="B334" s="371" t="b">
        <v>0</v>
      </c>
    </row>
    <row r="335" spans="1:2" x14ac:dyDescent="0.2">
      <c r="A335" s="1068" t="str">
        <f>Translations!$B$1020</f>
        <v>Skystasis – Dujos ir (arba) dyzelinas</v>
      </c>
      <c r="B335" s="371" t="b">
        <v>0</v>
      </c>
    </row>
    <row r="336" spans="1:2" x14ac:dyDescent="0.2">
      <c r="A336" s="1068" t="str">
        <f>Translations!$B$1021</f>
        <v>Skystasis – Mazuto distiliavimo likutis</v>
      </c>
      <c r="B336" s="371" t="b">
        <v>0</v>
      </c>
    </row>
    <row r="337" spans="1:2" x14ac:dyDescent="0.2">
      <c r="A337" s="1068" t="str">
        <f>Translations!$B$1022</f>
        <v>Skystasis – Pirminis benzinas</v>
      </c>
      <c r="B337" s="371" t="b">
        <v>0</v>
      </c>
    </row>
    <row r="338" spans="1:2" x14ac:dyDescent="0.2">
      <c r="A338" s="1068" t="str">
        <f>Translations!$B$1023</f>
        <v>Skystasis – Tepalai</v>
      </c>
      <c r="B338" s="371" t="b">
        <v>0</v>
      </c>
    </row>
    <row r="339" spans="1:2" x14ac:dyDescent="0.2">
      <c r="A339" s="1068" t="str">
        <f>Translations!$B$1024</f>
        <v>Skystasis – Vaitspiritas ir SBP</v>
      </c>
      <c r="B339" s="371" t="b">
        <v>0</v>
      </c>
    </row>
    <row r="340" spans="1:2" x14ac:dyDescent="0.2">
      <c r="A340" s="1068" t="str">
        <f>Translations!$B$1025</f>
        <v>Skystasis – Skalūnų alyva ir gudoniniai smėliai</v>
      </c>
      <c r="B340" s="371" t="b">
        <v>0</v>
      </c>
    </row>
    <row r="341" spans="1:2" x14ac:dyDescent="0.2">
      <c r="A341" s="1068" t="str">
        <f>Translations!$B$1026</f>
        <v>Skystasis – Akmens anglių briketai</v>
      </c>
      <c r="B341" s="371" t="b">
        <v>0</v>
      </c>
    </row>
    <row r="342" spans="1:2" x14ac:dyDescent="0.2">
      <c r="A342" s="1068" t="str">
        <f>Translations!$B$1027</f>
        <v>Skystasis – Alyvų atliekos</v>
      </c>
      <c r="B342" s="371" t="b">
        <v>1</v>
      </c>
    </row>
    <row r="343" spans="1:2" x14ac:dyDescent="0.2">
      <c r="A343" s="1068" t="str">
        <f>Translations!$B$1028</f>
        <v>Skystasis – Biobenzinas</v>
      </c>
      <c r="B343" s="371" t="b">
        <v>0</v>
      </c>
    </row>
    <row r="344" spans="1:2" x14ac:dyDescent="0.2">
      <c r="A344" s="1068" t="str">
        <f>Translations!$B$1029</f>
        <v>Skystasi – Biodyzelinas</v>
      </c>
      <c r="B344" s="371" t="b">
        <v>0</v>
      </c>
    </row>
    <row r="345" spans="1:2" x14ac:dyDescent="0.2">
      <c r="A345" s="1068" t="str">
        <f>Translations!$B$1030</f>
        <v>Skystasis – Bitumas</v>
      </c>
      <c r="B345" s="371" t="b">
        <v>0</v>
      </c>
    </row>
    <row r="346" spans="1:2" x14ac:dyDescent="0.2">
      <c r="A346" s="1068" t="str">
        <f>Translations!$B$1031</f>
        <v>Skystasis – Organiniai tirpikliai</v>
      </c>
      <c r="B346" s="371" t="b">
        <v>1</v>
      </c>
    </row>
    <row r="347" spans="1:2" x14ac:dyDescent="0.2">
      <c r="A347" s="1068" t="str">
        <f>Translations!$B$1032</f>
        <v>Skystasis – Kitų rūšių skystasis kuras</v>
      </c>
      <c r="B347" s="371" t="b">
        <v>1</v>
      </c>
    </row>
    <row r="348" spans="1:2" x14ac:dyDescent="0.2">
      <c r="A348" s="1068" t="str">
        <f>Translations!$B$1033</f>
        <v>Skystasis – Kitų rūšių skystoji biomasė</v>
      </c>
      <c r="B348" s="371" t="b">
        <v>1</v>
      </c>
    </row>
    <row r="349" spans="1:2" x14ac:dyDescent="0.2">
      <c r="A349" s="1068" t="str">
        <f>Translations!$B$1040</f>
        <v>Kietasis – Koksas</v>
      </c>
      <c r="B349" s="371" t="b">
        <v>0</v>
      </c>
    </row>
    <row r="350" spans="1:2" x14ac:dyDescent="0.2">
      <c r="A350" s="1068" t="str">
        <f>Translations!$B$1041</f>
        <v>Kietasis – Naftos koksas</v>
      </c>
      <c r="B350" s="371" t="b">
        <v>1</v>
      </c>
    </row>
    <row r="351" spans="1:2" x14ac:dyDescent="0.2">
      <c r="A351" s="1068" t="str">
        <f>Translations!$B$1042</f>
        <v>Kietasis – Akmens anglys</v>
      </c>
      <c r="B351" s="371" t="b">
        <v>0</v>
      </c>
    </row>
    <row r="352" spans="1:2" x14ac:dyDescent="0.2">
      <c r="A352" s="1068" t="str">
        <f>Translations!$B$1043</f>
        <v>Kietasis – Lignitas</v>
      </c>
      <c r="B352" s="371" t="b">
        <v>0</v>
      </c>
    </row>
    <row r="353" spans="1:2" x14ac:dyDescent="0.2">
      <c r="A353" s="1068" t="str">
        <f>Translations!$B$1044</f>
        <v>Kietasis – Antracitas</v>
      </c>
      <c r="B353" s="371" t="b">
        <v>0</v>
      </c>
    </row>
    <row r="354" spans="1:2" x14ac:dyDescent="0.2">
      <c r="A354" s="1068" t="str">
        <f>Translations!$B$1045</f>
        <v>Kietasis – Koksinės anglys</v>
      </c>
      <c r="B354" s="371" t="b">
        <v>0</v>
      </c>
    </row>
    <row r="355" spans="1:2" x14ac:dyDescent="0.2">
      <c r="A355" s="1068" t="str">
        <f>Translations!$B$1046</f>
        <v>Kietasis – Subbituminės akmens anglys</v>
      </c>
      <c r="B355" s="371" t="b">
        <v>0</v>
      </c>
    </row>
    <row r="356" spans="1:2" x14ac:dyDescent="0.2">
      <c r="A356" s="1068" t="str">
        <f>Translations!$B$1047</f>
        <v>Kietasis – Kitos bituminės akmens anglys</v>
      </c>
      <c r="B356" s="371" t="b">
        <v>0</v>
      </c>
    </row>
    <row r="357" spans="1:2" x14ac:dyDescent="0.2">
      <c r="A357" s="1068" t="str">
        <f>Translations!$B$1048</f>
        <v>Kietasis – Dujinis koksas</v>
      </c>
      <c r="B357" s="371" t="b">
        <v>1</v>
      </c>
    </row>
    <row r="358" spans="1:2" x14ac:dyDescent="0.2">
      <c r="A358" s="1068" t="str">
        <f>Translations!$B$1049</f>
        <v>Kietasis – Parafinas</v>
      </c>
      <c r="B358" s="371" t="b">
        <v>0</v>
      </c>
    </row>
    <row r="359" spans="1:2" x14ac:dyDescent="0.2">
      <c r="A359" s="1068" t="str">
        <f>Translations!$B$1050</f>
        <v>Kietasis – Sulfatinės išviros</v>
      </c>
      <c r="B359" s="371" t="b">
        <v>0</v>
      </c>
    </row>
    <row r="360" spans="1:2" x14ac:dyDescent="0.2">
      <c r="A360" s="1068" t="str">
        <f>Translations!$B$1051</f>
        <v>Kietasis – Malkos</v>
      </c>
      <c r="B360" s="371" t="b">
        <v>0</v>
      </c>
    </row>
    <row r="361" spans="1:2" x14ac:dyDescent="0.2">
      <c r="A361" s="1068" t="str">
        <f>Translations!$B$1052</f>
        <v>Kietasis – Mediena (ne atliekos)</v>
      </c>
      <c r="B361" s="371" t="b">
        <v>0</v>
      </c>
    </row>
    <row r="362" spans="1:2" x14ac:dyDescent="0.2">
      <c r="A362" s="1068" t="str">
        <f>Translations!$B$1053</f>
        <v>Kietasis – Mediena (atliekos)</v>
      </c>
      <c r="B362" s="371" t="b">
        <v>1</v>
      </c>
    </row>
    <row r="363" spans="1:2" x14ac:dyDescent="0.2">
      <c r="A363" s="1068" t="str">
        <f>Translations!$B$1054</f>
        <v>Kietasis – Durpės</v>
      </c>
      <c r="B363" s="371" t="b">
        <v>0</v>
      </c>
    </row>
    <row r="364" spans="1:2" x14ac:dyDescent="0.2">
      <c r="A364" s="1068" t="str">
        <f>Translations!$B$1055</f>
        <v>Kietasis – Kanalizacijos dumblas</v>
      </c>
      <c r="B364" s="371" t="b">
        <v>1</v>
      </c>
    </row>
    <row r="365" spans="1:2" x14ac:dyDescent="0.2">
      <c r="A365" s="1068" t="str">
        <f>Translations!$B$1056</f>
        <v>Kietasis – Komunalinių nuotekų dumblas</v>
      </c>
      <c r="B365" s="371" t="b">
        <v>1</v>
      </c>
    </row>
    <row r="366" spans="1:2" x14ac:dyDescent="0.2">
      <c r="A366" s="1068" t="str">
        <f>Translations!$B$1057</f>
        <v>Kietasis – Akmens anglių degutas</v>
      </c>
      <c r="B366" s="371" t="b">
        <v>0</v>
      </c>
    </row>
    <row r="367" spans="1:2" x14ac:dyDescent="0.2">
      <c r="A367" s="1068" t="str">
        <f>Translations!$B$1058</f>
        <v>Kietasis – Medžio anglys</v>
      </c>
      <c r="B367" s="371" t="b">
        <v>0</v>
      </c>
    </row>
    <row r="368" spans="1:2" x14ac:dyDescent="0.2">
      <c r="A368" s="1068" t="str">
        <f>Translations!$B$1059</f>
        <v>Kietasis – Panaudos padangos</v>
      </c>
      <c r="B368" s="371" t="b">
        <v>1</v>
      </c>
    </row>
    <row r="369" spans="1:2" x14ac:dyDescent="0.2">
      <c r="A369" s="1068" t="str">
        <f>Translations!$B$1060</f>
        <v>Kietasis – Kitų rūšių kietasis kuras</v>
      </c>
      <c r="B369" s="371" t="b">
        <v>1</v>
      </c>
    </row>
    <row r="370" spans="1:2" x14ac:dyDescent="0.2">
      <c r="A370" s="1068" t="str">
        <f>Translations!$B$1061</f>
        <v>Kietasis – Kitų rūšių kietoji biomasė</v>
      </c>
      <c r="B370" s="371" t="b">
        <v>1</v>
      </c>
    </row>
    <row r="371" spans="1:2" x14ac:dyDescent="0.2">
      <c r="A371" s="1068" t="str">
        <f>Translations!$B$1034</f>
        <v>Atliekos – Komunalinės ir pramoninės atliekos</v>
      </c>
      <c r="B371" s="371" t="b">
        <v>1</v>
      </c>
    </row>
    <row r="372" spans="1:2" x14ac:dyDescent="0.2">
      <c r="A372" s="1068" t="str">
        <f>Translations!$B$1035</f>
        <v>Atliekos – Pramoninės atliekos</v>
      </c>
      <c r="B372" s="371" t="b">
        <v>1</v>
      </c>
    </row>
    <row r="373" spans="1:2" x14ac:dyDescent="0.2">
      <c r="A373" s="1068" t="str">
        <f>Translations!$B$1036</f>
        <v>Naftos perdirbimo įmonių žaliava – Naftos perdirbimo įmonių dujos</v>
      </c>
      <c r="B373" s="371" t="b">
        <v>0</v>
      </c>
    </row>
    <row r="374" spans="1:2" x14ac:dyDescent="0.2">
      <c r="A374" s="1068" t="str">
        <f>Translations!$B$1037</f>
        <v>Naftos perdirbimo įmonių žaliava – Liekanos</v>
      </c>
      <c r="B374" s="371" t="b">
        <v>1</v>
      </c>
    </row>
    <row r="375" spans="1:2" x14ac:dyDescent="0.2">
      <c r="A375" s="1068" t="str">
        <f>Translations!$B$1038</f>
        <v>Naftos perdirbimo įmonių žaliava – Kita naftos perdirbimo įmonių žaliava</v>
      </c>
      <c r="B375" s="371" t="b">
        <v>1</v>
      </c>
    </row>
    <row r="376" spans="1:2" x14ac:dyDescent="0.2">
      <c r="A376" s="1068" t="str">
        <f>Translations!$B$1039</f>
        <v>Naftos perdirbimo įmonių žaliava – Kiti naftos produktai</v>
      </c>
      <c r="B376" s="371"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enableFormatConditionsCalculation="0">
    <tabColor indexed="12"/>
  </sheetPr>
  <dimension ref="A1:C1223"/>
  <sheetViews>
    <sheetView zoomScaleNormal="100" workbookViewId="0">
      <selection activeCell="C2" sqref="C2"/>
    </sheetView>
  </sheetViews>
  <sheetFormatPr defaultColWidth="11.42578125" defaultRowHeight="12.75" x14ac:dyDescent="0.2"/>
  <cols>
    <col min="1" max="1" width="8.28515625" style="46" customWidth="1"/>
    <col min="2" max="2" width="112.42578125" style="1046" customWidth="1"/>
    <col min="3" max="3" width="12.7109375" style="46" customWidth="1"/>
    <col min="4" max="16384" width="11.42578125" style="46"/>
  </cols>
  <sheetData>
    <row r="1" spans="1:2" ht="15" x14ac:dyDescent="0.25">
      <c r="A1" s="44"/>
      <c r="B1" s="1069" t="s">
        <v>546</v>
      </c>
    </row>
    <row r="2" spans="1:2" x14ac:dyDescent="0.2">
      <c r="A2" s="329">
        <v>3</v>
      </c>
      <c r="B2" s="1070" t="s">
        <v>1258</v>
      </c>
    </row>
    <row r="3" spans="1:2" x14ac:dyDescent="0.2">
      <c r="A3" s="329">
        <v>4</v>
      </c>
      <c r="B3" s="1046" t="s">
        <v>1766</v>
      </c>
    </row>
    <row r="4" spans="1:2" x14ac:dyDescent="0.2">
      <c r="A4" s="329">
        <v>5</v>
      </c>
      <c r="B4" s="1046" t="s">
        <v>1767</v>
      </c>
    </row>
    <row r="5" spans="1:2" x14ac:dyDescent="0.2">
      <c r="A5" s="329">
        <v>9</v>
      </c>
      <c r="B5" s="299" t="s">
        <v>1259</v>
      </c>
    </row>
    <row r="6" spans="1:2" x14ac:dyDescent="0.2">
      <c r="A6" s="329">
        <v>11</v>
      </c>
      <c r="B6" s="299" t="s">
        <v>1260</v>
      </c>
    </row>
    <row r="7" spans="1:2" x14ac:dyDescent="0.2">
      <c r="A7" s="329">
        <v>14</v>
      </c>
      <c r="B7" s="299" t="s">
        <v>1261</v>
      </c>
    </row>
    <row r="8" spans="1:2" x14ac:dyDescent="0.2">
      <c r="A8" s="329">
        <v>28</v>
      </c>
      <c r="B8" s="299" t="s">
        <v>1262</v>
      </c>
    </row>
    <row r="9" spans="1:2" x14ac:dyDescent="0.2">
      <c r="A9" s="329">
        <v>39</v>
      </c>
      <c r="B9" s="299" t="s">
        <v>1263</v>
      </c>
    </row>
    <row r="10" spans="1:2" x14ac:dyDescent="0.2">
      <c r="A10" s="329">
        <v>40</v>
      </c>
      <c r="B10" s="299" t="s">
        <v>867</v>
      </c>
    </row>
    <row r="11" spans="1:2" x14ac:dyDescent="0.2">
      <c r="A11" s="329">
        <v>43</v>
      </c>
      <c r="B11" s="299" t="s">
        <v>1264</v>
      </c>
    </row>
    <row r="12" spans="1:2" x14ac:dyDescent="0.2">
      <c r="A12" s="329">
        <v>44</v>
      </c>
      <c r="B12" s="294" t="s">
        <v>1684</v>
      </c>
    </row>
    <row r="13" spans="1:2" x14ac:dyDescent="0.2">
      <c r="A13" s="329">
        <v>46</v>
      </c>
      <c r="B13" s="1071" t="s">
        <v>1265</v>
      </c>
    </row>
    <row r="14" spans="1:2" ht="13.5" thickBot="1" x14ac:dyDescent="0.25">
      <c r="A14" s="329">
        <v>47</v>
      </c>
      <c r="B14" s="1071" t="s">
        <v>1266</v>
      </c>
    </row>
    <row r="15" spans="1:2" ht="13.5" thickBot="1" x14ac:dyDescent="0.25">
      <c r="A15" s="329">
        <v>50</v>
      </c>
      <c r="B15" s="300" t="s">
        <v>1267</v>
      </c>
    </row>
    <row r="16" spans="1:2" x14ac:dyDescent="0.2">
      <c r="A16" s="329">
        <v>51</v>
      </c>
      <c r="B16" s="300" t="s">
        <v>1772</v>
      </c>
    </row>
    <row r="17" spans="1:2" ht="13.5" thickBot="1" x14ac:dyDescent="0.25">
      <c r="A17" s="329">
        <v>52</v>
      </c>
      <c r="B17" s="294" t="s">
        <v>1268</v>
      </c>
    </row>
    <row r="18" spans="1:2" x14ac:dyDescent="0.2">
      <c r="A18" s="329">
        <v>53</v>
      </c>
      <c r="B18" s="301" t="s">
        <v>1269</v>
      </c>
    </row>
    <row r="19" spans="1:2" x14ac:dyDescent="0.2">
      <c r="A19" s="329">
        <v>54</v>
      </c>
      <c r="B19" s="302" t="s">
        <v>1270</v>
      </c>
    </row>
    <row r="20" spans="1:2" x14ac:dyDescent="0.2">
      <c r="A20" s="329">
        <v>55</v>
      </c>
      <c r="B20" s="302" t="s">
        <v>1271</v>
      </c>
    </row>
    <row r="21" spans="1:2" ht="13.5" thickBot="1" x14ac:dyDescent="0.25">
      <c r="A21" s="329">
        <v>56</v>
      </c>
      <c r="B21" s="303" t="s">
        <v>1272</v>
      </c>
    </row>
    <row r="22" spans="1:2" ht="13.5" thickBot="1" x14ac:dyDescent="0.25">
      <c r="A22" s="329">
        <v>57</v>
      </c>
      <c r="B22" s="304" t="s">
        <v>1768</v>
      </c>
    </row>
    <row r="23" spans="1:2" ht="13.5" thickBot="1" x14ac:dyDescent="0.25">
      <c r="A23" s="329">
        <v>58</v>
      </c>
      <c r="B23" s="1072" t="s">
        <v>1273</v>
      </c>
    </row>
    <row r="24" spans="1:2" x14ac:dyDescent="0.2">
      <c r="A24" s="329">
        <v>59</v>
      </c>
      <c r="B24" s="1046" t="s">
        <v>1274</v>
      </c>
    </row>
    <row r="25" spans="1:2" x14ac:dyDescent="0.2">
      <c r="A25" s="329">
        <v>60</v>
      </c>
      <c r="B25" s="1046" t="s">
        <v>1275</v>
      </c>
    </row>
    <row r="26" spans="1:2" x14ac:dyDescent="0.2">
      <c r="A26" s="329">
        <v>61</v>
      </c>
      <c r="B26" s="1046" t="s">
        <v>1276</v>
      </c>
    </row>
    <row r="27" spans="1:2" x14ac:dyDescent="0.2">
      <c r="A27" s="329">
        <v>62</v>
      </c>
      <c r="B27" s="1046" t="s">
        <v>1277</v>
      </c>
    </row>
    <row r="28" spans="1:2" x14ac:dyDescent="0.2">
      <c r="A28" s="329">
        <v>63</v>
      </c>
      <c r="B28" s="1046" t="s">
        <v>1278</v>
      </c>
    </row>
    <row r="29" spans="1:2" ht="18" x14ac:dyDescent="0.2">
      <c r="A29" s="329">
        <v>64</v>
      </c>
      <c r="B29" s="305" t="s">
        <v>1279</v>
      </c>
    </row>
    <row r="30" spans="1:2" x14ac:dyDescent="0.2">
      <c r="A30" s="329">
        <v>66</v>
      </c>
      <c r="B30" s="306" t="s">
        <v>1280</v>
      </c>
    </row>
    <row r="31" spans="1:2" x14ac:dyDescent="0.2">
      <c r="A31" s="329">
        <v>67</v>
      </c>
      <c r="B31" s="1225" t="s">
        <v>1282</v>
      </c>
    </row>
    <row r="32" spans="1:2" ht="25.5" x14ac:dyDescent="0.2">
      <c r="A32" s="329">
        <v>68</v>
      </c>
      <c r="B32" s="306" t="s">
        <v>1281</v>
      </c>
    </row>
    <row r="33" spans="1:2" x14ac:dyDescent="0.2">
      <c r="A33" s="329">
        <v>69</v>
      </c>
      <c r="B33" s="1046" t="s">
        <v>1282</v>
      </c>
    </row>
    <row r="34" spans="1:2" x14ac:dyDescent="0.2">
      <c r="A34" s="329">
        <v>72</v>
      </c>
      <c r="B34" s="306" t="s">
        <v>1283</v>
      </c>
    </row>
    <row r="35" spans="1:2" ht="63.75" x14ac:dyDescent="0.2">
      <c r="A35" s="329">
        <v>73</v>
      </c>
      <c r="B35" s="1073" t="s">
        <v>1284</v>
      </c>
    </row>
    <row r="36" spans="1:2" x14ac:dyDescent="0.2">
      <c r="A36" s="329">
        <v>79</v>
      </c>
      <c r="B36" s="306" t="s">
        <v>1285</v>
      </c>
    </row>
    <row r="37" spans="1:2" x14ac:dyDescent="0.2">
      <c r="A37" s="329">
        <v>80</v>
      </c>
      <c r="B37" s="1046" t="s">
        <v>270</v>
      </c>
    </row>
    <row r="38" spans="1:2" x14ac:dyDescent="0.2">
      <c r="A38" s="329">
        <v>81</v>
      </c>
      <c r="B38" s="279" t="s">
        <v>1286</v>
      </c>
    </row>
    <row r="39" spans="1:2" x14ac:dyDescent="0.2">
      <c r="A39" s="329">
        <v>82</v>
      </c>
      <c r="B39" s="307" t="s">
        <v>1287</v>
      </c>
    </row>
    <row r="40" spans="1:2" ht="38.25" x14ac:dyDescent="0.2">
      <c r="A40" s="329">
        <v>83</v>
      </c>
      <c r="B40" s="306" t="s">
        <v>1288</v>
      </c>
    </row>
    <row r="41" spans="1:2" ht="25.5" x14ac:dyDescent="0.2">
      <c r="A41" s="329">
        <v>84</v>
      </c>
      <c r="B41" s="306" t="s">
        <v>1289</v>
      </c>
    </row>
    <row r="42" spans="1:2" ht="25.5" x14ac:dyDescent="0.2">
      <c r="A42" s="329">
        <v>85</v>
      </c>
      <c r="B42" s="306" t="s">
        <v>1290</v>
      </c>
    </row>
    <row r="43" spans="1:2" ht="38.25" x14ac:dyDescent="0.2">
      <c r="A43" s="329">
        <v>87</v>
      </c>
      <c r="B43" s="308" t="s">
        <v>1771</v>
      </c>
    </row>
    <row r="44" spans="1:2" ht="15" x14ac:dyDescent="0.2">
      <c r="A44" s="329">
        <v>93</v>
      </c>
      <c r="B44" s="278" t="s">
        <v>1291</v>
      </c>
    </row>
    <row r="45" spans="1:2" x14ac:dyDescent="0.2">
      <c r="A45" s="329">
        <v>94</v>
      </c>
      <c r="B45" s="1074" t="s">
        <v>1292</v>
      </c>
    </row>
    <row r="46" spans="1:2" x14ac:dyDescent="0.2">
      <c r="A46" s="329">
        <v>95</v>
      </c>
      <c r="B46" s="1075" t="s">
        <v>1293</v>
      </c>
    </row>
    <row r="47" spans="1:2" x14ac:dyDescent="0.2">
      <c r="A47" s="329">
        <v>96</v>
      </c>
      <c r="B47" s="1046" t="s">
        <v>1294</v>
      </c>
    </row>
    <row r="48" spans="1:2" x14ac:dyDescent="0.2">
      <c r="A48" s="329">
        <v>97</v>
      </c>
      <c r="B48" s="1075" t="s">
        <v>1295</v>
      </c>
    </row>
    <row r="49" spans="1:2" x14ac:dyDescent="0.2">
      <c r="A49" s="329">
        <v>98</v>
      </c>
      <c r="B49" s="1076" t="s">
        <v>43</v>
      </c>
    </row>
    <row r="50" spans="1:2" x14ac:dyDescent="0.2">
      <c r="A50" s="329">
        <v>99</v>
      </c>
      <c r="B50" s="1075" t="s">
        <v>1296</v>
      </c>
    </row>
    <row r="51" spans="1:2" x14ac:dyDescent="0.2">
      <c r="A51" s="329">
        <v>100</v>
      </c>
      <c r="B51" s="1074" t="s">
        <v>1297</v>
      </c>
    </row>
    <row r="52" spans="1:2" x14ac:dyDescent="0.2">
      <c r="A52" s="329">
        <v>101</v>
      </c>
      <c r="B52" s="1240" t="s">
        <v>1769</v>
      </c>
    </row>
    <row r="53" spans="1:2" x14ac:dyDescent="0.2">
      <c r="A53" s="329">
        <v>102</v>
      </c>
      <c r="B53" s="1074" t="s">
        <v>1298</v>
      </c>
    </row>
    <row r="54" spans="1:2" x14ac:dyDescent="0.2">
      <c r="A54" s="329">
        <v>103</v>
      </c>
      <c r="B54" s="309" t="s">
        <v>1770</v>
      </c>
    </row>
    <row r="55" spans="1:2" ht="15.75" x14ac:dyDescent="0.2">
      <c r="A55" s="329">
        <v>104</v>
      </c>
      <c r="B55" s="275" t="s">
        <v>1299</v>
      </c>
    </row>
    <row r="56" spans="1:2" ht="25.5" x14ac:dyDescent="0.2">
      <c r="A56" s="329">
        <v>106</v>
      </c>
      <c r="B56" s="306" t="s">
        <v>1300</v>
      </c>
    </row>
    <row r="57" spans="1:2" ht="51" x14ac:dyDescent="0.2">
      <c r="A57" s="329">
        <v>107</v>
      </c>
      <c r="B57" s="306" t="s">
        <v>1301</v>
      </c>
    </row>
    <row r="58" spans="1:2" x14ac:dyDescent="0.2">
      <c r="A58" s="329">
        <v>108</v>
      </c>
      <c r="B58" s="307" t="s">
        <v>1302</v>
      </c>
    </row>
    <row r="59" spans="1:2" x14ac:dyDescent="0.2">
      <c r="A59" s="329">
        <v>109</v>
      </c>
      <c r="B59" s="74" t="s">
        <v>1303</v>
      </c>
    </row>
    <row r="60" spans="1:2" x14ac:dyDescent="0.2">
      <c r="A60" s="329">
        <v>110</v>
      </c>
      <c r="B60" s="306" t="s">
        <v>1304</v>
      </c>
    </row>
    <row r="61" spans="1:2" x14ac:dyDescent="0.2">
      <c r="A61" s="329">
        <v>111</v>
      </c>
      <c r="B61" s="310" t="s">
        <v>1305</v>
      </c>
    </row>
    <row r="62" spans="1:2" x14ac:dyDescent="0.2">
      <c r="A62" s="329">
        <v>112</v>
      </c>
      <c r="B62" s="306" t="s">
        <v>1306</v>
      </c>
    </row>
    <row r="63" spans="1:2" x14ac:dyDescent="0.2">
      <c r="A63" s="329">
        <v>114</v>
      </c>
      <c r="B63" s="312" t="s">
        <v>1307</v>
      </c>
    </row>
    <row r="64" spans="1:2" x14ac:dyDescent="0.2">
      <c r="A64" s="329">
        <v>118</v>
      </c>
      <c r="B64" s="306" t="s">
        <v>1308</v>
      </c>
    </row>
    <row r="65" spans="1:2" ht="38.25" x14ac:dyDescent="0.2">
      <c r="A65" s="329">
        <v>120</v>
      </c>
      <c r="B65" s="277" t="s">
        <v>1309</v>
      </c>
    </row>
    <row r="66" spans="1:2" ht="51" x14ac:dyDescent="0.2">
      <c r="A66" s="329">
        <v>121</v>
      </c>
      <c r="B66" s="276" t="s">
        <v>1310</v>
      </c>
    </row>
    <row r="67" spans="1:2" ht="64.5" thickBot="1" x14ac:dyDescent="0.25">
      <c r="A67" s="329">
        <v>122</v>
      </c>
      <c r="B67" s="277" t="s">
        <v>1311</v>
      </c>
    </row>
    <row r="68" spans="1:2" ht="77.25" thickBot="1" x14ac:dyDescent="0.25">
      <c r="A68" s="329">
        <v>123</v>
      </c>
      <c r="B68" s="1077" t="s">
        <v>1312</v>
      </c>
    </row>
    <row r="69" spans="1:2" ht="39" thickBot="1" x14ac:dyDescent="0.25">
      <c r="A69" s="329">
        <v>126</v>
      </c>
      <c r="B69" s="313" t="s">
        <v>1313</v>
      </c>
    </row>
    <row r="70" spans="1:2" ht="15.75" x14ac:dyDescent="0.2">
      <c r="A70" s="329">
        <v>128</v>
      </c>
      <c r="B70" s="275" t="s">
        <v>1314</v>
      </c>
    </row>
    <row r="71" spans="1:2" x14ac:dyDescent="0.2">
      <c r="A71" s="329">
        <v>139</v>
      </c>
      <c r="B71" s="315" t="s">
        <v>1315</v>
      </c>
    </row>
    <row r="72" spans="1:2" x14ac:dyDescent="0.2">
      <c r="A72" s="329">
        <v>141</v>
      </c>
      <c r="B72" s="315" t="s">
        <v>1316</v>
      </c>
    </row>
    <row r="73" spans="1:2" x14ac:dyDescent="0.2">
      <c r="A73" s="329">
        <v>144</v>
      </c>
      <c r="B73" s="315" t="s">
        <v>1317</v>
      </c>
    </row>
    <row r="74" spans="1:2" x14ac:dyDescent="0.2">
      <c r="A74" s="329">
        <v>148</v>
      </c>
      <c r="B74" s="1046" t="s">
        <v>1318</v>
      </c>
    </row>
    <row r="75" spans="1:2" x14ac:dyDescent="0.2">
      <c r="A75" s="329">
        <v>149</v>
      </c>
      <c r="B75" s="1046" t="s">
        <v>1319</v>
      </c>
    </row>
    <row r="76" spans="1:2" x14ac:dyDescent="0.2">
      <c r="A76" s="329">
        <v>152</v>
      </c>
      <c r="B76" s="198" t="s">
        <v>1320</v>
      </c>
    </row>
    <row r="77" spans="1:2" x14ac:dyDescent="0.2">
      <c r="A77" s="329">
        <v>153</v>
      </c>
      <c r="B77" s="198" t="s">
        <v>1777</v>
      </c>
    </row>
    <row r="78" spans="1:2" x14ac:dyDescent="0.2">
      <c r="A78" s="329">
        <v>154</v>
      </c>
      <c r="B78" s="281" t="s">
        <v>1778</v>
      </c>
    </row>
    <row r="79" spans="1:2" x14ac:dyDescent="0.2">
      <c r="A79" s="329">
        <v>155</v>
      </c>
      <c r="B79" s="1078" t="s">
        <v>894</v>
      </c>
    </row>
    <row r="80" spans="1:2" x14ac:dyDescent="0.2">
      <c r="A80" s="329">
        <v>158</v>
      </c>
      <c r="B80" s="294" t="s">
        <v>1321</v>
      </c>
    </row>
    <row r="81" spans="1:2" x14ac:dyDescent="0.2">
      <c r="A81" s="329">
        <v>159</v>
      </c>
      <c r="B81" s="316" t="s">
        <v>1322</v>
      </c>
    </row>
    <row r="82" spans="1:2" x14ac:dyDescent="0.2">
      <c r="A82" s="329">
        <v>162</v>
      </c>
      <c r="B82" s="317" t="s">
        <v>1323</v>
      </c>
    </row>
    <row r="83" spans="1:2" x14ac:dyDescent="0.2">
      <c r="A83" s="329">
        <v>163</v>
      </c>
      <c r="B83" s="318" t="s">
        <v>1324</v>
      </c>
    </row>
    <row r="84" spans="1:2" x14ac:dyDescent="0.2">
      <c r="A84" s="329">
        <v>164</v>
      </c>
      <c r="B84" s="316" t="s">
        <v>1325</v>
      </c>
    </row>
    <row r="85" spans="1:2" x14ac:dyDescent="0.2">
      <c r="A85" s="329">
        <v>165</v>
      </c>
      <c r="B85" s="316" t="s">
        <v>1326</v>
      </c>
    </row>
    <row r="86" spans="1:2" x14ac:dyDescent="0.2">
      <c r="A86" s="329">
        <v>166</v>
      </c>
      <c r="B86" s="316" t="s">
        <v>1327</v>
      </c>
    </row>
    <row r="87" spans="1:2" x14ac:dyDescent="0.2">
      <c r="A87" s="329">
        <v>167</v>
      </c>
      <c r="B87" s="316" t="s">
        <v>1328</v>
      </c>
    </row>
    <row r="88" spans="1:2" x14ac:dyDescent="0.2">
      <c r="A88" s="329">
        <v>169</v>
      </c>
      <c r="B88" s="316" t="s">
        <v>1329</v>
      </c>
    </row>
    <row r="89" spans="1:2" x14ac:dyDescent="0.2">
      <c r="A89" s="329">
        <v>171</v>
      </c>
      <c r="B89" s="317" t="s">
        <v>1330</v>
      </c>
    </row>
    <row r="90" spans="1:2" x14ac:dyDescent="0.2">
      <c r="A90" s="329">
        <v>175</v>
      </c>
      <c r="B90" s="74" t="s">
        <v>1685</v>
      </c>
    </row>
    <row r="91" spans="1:2" x14ac:dyDescent="0.2">
      <c r="A91" s="329">
        <v>177</v>
      </c>
      <c r="B91" s="74" t="s">
        <v>1331</v>
      </c>
    </row>
    <row r="92" spans="1:2" x14ac:dyDescent="0.2">
      <c r="A92" s="329">
        <v>178</v>
      </c>
      <c r="B92" s="74" t="s">
        <v>1332</v>
      </c>
    </row>
    <row r="93" spans="1:2" x14ac:dyDescent="0.2">
      <c r="A93" s="329">
        <v>179</v>
      </c>
      <c r="B93" s="74" t="s">
        <v>1333</v>
      </c>
    </row>
    <row r="94" spans="1:2" x14ac:dyDescent="0.2">
      <c r="A94" s="329">
        <v>180</v>
      </c>
      <c r="B94" s="74" t="s">
        <v>1334</v>
      </c>
    </row>
    <row r="95" spans="1:2" x14ac:dyDescent="0.2">
      <c r="A95" s="329">
        <v>181</v>
      </c>
      <c r="B95" s="74" t="s">
        <v>1335</v>
      </c>
    </row>
    <row r="96" spans="1:2" x14ac:dyDescent="0.2">
      <c r="A96" s="329">
        <v>185</v>
      </c>
      <c r="B96" s="1046" t="s">
        <v>1336</v>
      </c>
    </row>
    <row r="97" spans="1:2" x14ac:dyDescent="0.2">
      <c r="A97" s="329">
        <v>187</v>
      </c>
      <c r="B97" s="1046" t="s">
        <v>1337</v>
      </c>
    </row>
    <row r="98" spans="1:2" x14ac:dyDescent="0.2">
      <c r="A98" s="329">
        <v>188</v>
      </c>
      <c r="B98" s="1046" t="s">
        <v>692</v>
      </c>
    </row>
    <row r="99" spans="1:2" x14ac:dyDescent="0.2">
      <c r="A99" s="329">
        <v>199</v>
      </c>
      <c r="B99" s="49" t="s">
        <v>1338</v>
      </c>
    </row>
    <row r="100" spans="1:2" x14ac:dyDescent="0.2">
      <c r="A100" s="329">
        <v>200</v>
      </c>
      <c r="B100" s="49" t="s">
        <v>1339</v>
      </c>
    </row>
    <row r="101" spans="1:2" x14ac:dyDescent="0.2">
      <c r="A101" s="329">
        <v>201</v>
      </c>
      <c r="B101" s="49" t="s">
        <v>1340</v>
      </c>
    </row>
    <row r="102" spans="1:2" ht="22.5" x14ac:dyDescent="0.2">
      <c r="A102" s="329">
        <v>202</v>
      </c>
      <c r="B102" s="49" t="s">
        <v>1341</v>
      </c>
    </row>
    <row r="103" spans="1:2" x14ac:dyDescent="0.2">
      <c r="A103" s="329">
        <v>203</v>
      </c>
      <c r="B103" s="49" t="s">
        <v>1342</v>
      </c>
    </row>
    <row r="104" spans="1:2" ht="22.5" x14ac:dyDescent="0.2">
      <c r="A104" s="329">
        <v>204</v>
      </c>
      <c r="B104" s="49" t="s">
        <v>1343</v>
      </c>
    </row>
    <row r="105" spans="1:2" x14ac:dyDescent="0.2">
      <c r="A105" s="329">
        <v>205</v>
      </c>
      <c r="B105" s="1046" t="s">
        <v>327</v>
      </c>
    </row>
    <row r="106" spans="1:2" x14ac:dyDescent="0.2">
      <c r="A106" s="329">
        <v>206</v>
      </c>
      <c r="B106" s="49" t="s">
        <v>1344</v>
      </c>
    </row>
    <row r="107" spans="1:2" x14ac:dyDescent="0.2">
      <c r="A107" s="329">
        <v>208</v>
      </c>
      <c r="B107" s="241" t="s">
        <v>1345</v>
      </c>
    </row>
    <row r="108" spans="1:2" x14ac:dyDescent="0.2">
      <c r="A108" s="329">
        <v>209</v>
      </c>
      <c r="B108" s="241" t="s">
        <v>1346</v>
      </c>
    </row>
    <row r="109" spans="1:2" x14ac:dyDescent="0.2">
      <c r="A109" s="329">
        <v>210</v>
      </c>
      <c r="B109" s="241" t="s">
        <v>1347</v>
      </c>
    </row>
    <row r="110" spans="1:2" x14ac:dyDescent="0.2">
      <c r="A110" s="329">
        <v>211</v>
      </c>
      <c r="B110" s="241" t="s">
        <v>1348</v>
      </c>
    </row>
    <row r="111" spans="1:2" x14ac:dyDescent="0.2">
      <c r="A111" s="329">
        <v>212</v>
      </c>
      <c r="B111" s="282" t="s">
        <v>1349</v>
      </c>
    </row>
    <row r="112" spans="1:2" x14ac:dyDescent="0.2">
      <c r="A112" s="329">
        <v>213</v>
      </c>
      <c r="B112" s="282" t="s">
        <v>1350</v>
      </c>
    </row>
    <row r="113" spans="1:2" x14ac:dyDescent="0.2">
      <c r="A113" s="329">
        <v>214</v>
      </c>
      <c r="B113" s="282" t="s">
        <v>1351</v>
      </c>
    </row>
    <row r="114" spans="1:2" x14ac:dyDescent="0.2">
      <c r="A114" s="329">
        <v>215</v>
      </c>
      <c r="B114" s="282" t="s">
        <v>1352</v>
      </c>
    </row>
    <row r="115" spans="1:2" ht="22.5" x14ac:dyDescent="0.2">
      <c r="A115" s="329">
        <v>233</v>
      </c>
      <c r="B115" s="284" t="s">
        <v>1353</v>
      </c>
    </row>
    <row r="116" spans="1:2" x14ac:dyDescent="0.2">
      <c r="A116" s="329">
        <v>236</v>
      </c>
      <c r="B116" s="1079" t="s">
        <v>1354</v>
      </c>
    </row>
    <row r="117" spans="1:2" x14ac:dyDescent="0.2">
      <c r="A117" s="329">
        <v>237</v>
      </c>
      <c r="B117" s="1079" t="s">
        <v>1355</v>
      </c>
    </row>
    <row r="118" spans="1:2" x14ac:dyDescent="0.2">
      <c r="A118" s="329">
        <v>238</v>
      </c>
      <c r="B118" s="1079" t="s">
        <v>1356</v>
      </c>
    </row>
    <row r="119" spans="1:2" x14ac:dyDescent="0.2">
      <c r="A119" s="329">
        <v>239</v>
      </c>
      <c r="B119" s="1079" t="s">
        <v>1357</v>
      </c>
    </row>
    <row r="120" spans="1:2" x14ac:dyDescent="0.2">
      <c r="A120" s="329">
        <v>240</v>
      </c>
      <c r="B120" s="1079" t="s">
        <v>1358</v>
      </c>
    </row>
    <row r="121" spans="1:2" x14ac:dyDescent="0.2">
      <c r="A121" s="329">
        <v>241</v>
      </c>
      <c r="B121" s="1079" t="s">
        <v>1359</v>
      </c>
    </row>
    <row r="122" spans="1:2" x14ac:dyDescent="0.2">
      <c r="A122" s="329">
        <v>264</v>
      </c>
      <c r="B122" s="74" t="s">
        <v>1360</v>
      </c>
    </row>
    <row r="123" spans="1:2" ht="22.5" x14ac:dyDescent="0.2">
      <c r="A123" s="329">
        <v>266</v>
      </c>
      <c r="B123" s="49" t="s">
        <v>1361</v>
      </c>
    </row>
    <row r="124" spans="1:2" x14ac:dyDescent="0.2">
      <c r="A124" s="329">
        <v>272</v>
      </c>
      <c r="B124" s="319" t="s">
        <v>1362</v>
      </c>
    </row>
    <row r="125" spans="1:2" x14ac:dyDescent="0.2">
      <c r="A125" s="329">
        <v>273</v>
      </c>
      <c r="B125" s="319" t="s">
        <v>1363</v>
      </c>
    </row>
    <row r="126" spans="1:2" x14ac:dyDescent="0.2">
      <c r="A126" s="329">
        <v>277</v>
      </c>
      <c r="B126" s="320" t="s">
        <v>1364</v>
      </c>
    </row>
    <row r="127" spans="1:2" x14ac:dyDescent="0.2">
      <c r="A127" s="329">
        <v>278</v>
      </c>
      <c r="B127" s="287" t="s">
        <v>1365</v>
      </c>
    </row>
    <row r="128" spans="1:2" x14ac:dyDescent="0.2">
      <c r="A128" s="329">
        <v>283</v>
      </c>
      <c r="B128" s="49" t="s">
        <v>1366</v>
      </c>
    </row>
    <row r="129" spans="1:2" x14ac:dyDescent="0.2">
      <c r="A129" s="329">
        <v>287</v>
      </c>
      <c r="B129" s="319" t="s">
        <v>1367</v>
      </c>
    </row>
    <row r="130" spans="1:2" x14ac:dyDescent="0.2">
      <c r="A130" s="329">
        <v>288</v>
      </c>
      <c r="B130" s="285" t="s">
        <v>1368</v>
      </c>
    </row>
    <row r="131" spans="1:2" x14ac:dyDescent="0.2">
      <c r="A131" s="329">
        <v>289</v>
      </c>
      <c r="B131" s="296" t="s">
        <v>1369</v>
      </c>
    </row>
    <row r="132" spans="1:2" x14ac:dyDescent="0.2">
      <c r="A132" s="329">
        <v>290</v>
      </c>
      <c r="B132" s="288" t="s">
        <v>1370</v>
      </c>
    </row>
    <row r="133" spans="1:2" x14ac:dyDescent="0.2">
      <c r="A133" s="329">
        <v>294</v>
      </c>
      <c r="B133" s="296" t="s">
        <v>1371</v>
      </c>
    </row>
    <row r="134" spans="1:2" x14ac:dyDescent="0.2">
      <c r="A134" s="329">
        <v>295</v>
      </c>
      <c r="B134" s="288" t="s">
        <v>1372</v>
      </c>
    </row>
    <row r="135" spans="1:2" x14ac:dyDescent="0.2">
      <c r="A135" s="329">
        <v>312</v>
      </c>
      <c r="B135" s="321" t="s">
        <v>1373</v>
      </c>
    </row>
    <row r="136" spans="1:2" x14ac:dyDescent="0.2">
      <c r="A136" s="329">
        <v>365</v>
      </c>
      <c r="B136" s="289" t="s">
        <v>1374</v>
      </c>
    </row>
    <row r="137" spans="1:2" x14ac:dyDescent="0.2">
      <c r="A137" s="329">
        <v>366</v>
      </c>
      <c r="B137" s="289" t="s">
        <v>1375</v>
      </c>
    </row>
    <row r="138" spans="1:2" x14ac:dyDescent="0.2">
      <c r="A138" s="329">
        <v>388</v>
      </c>
      <c r="B138" s="283" t="s">
        <v>1376</v>
      </c>
    </row>
    <row r="139" spans="1:2" x14ac:dyDescent="0.2">
      <c r="A139" s="329">
        <v>393</v>
      </c>
      <c r="B139" s="288" t="s">
        <v>1377</v>
      </c>
    </row>
    <row r="140" spans="1:2" x14ac:dyDescent="0.2">
      <c r="A140" s="329">
        <v>396</v>
      </c>
      <c r="B140" s="288" t="s">
        <v>1378</v>
      </c>
    </row>
    <row r="141" spans="1:2" x14ac:dyDescent="0.2">
      <c r="A141" s="329">
        <v>441</v>
      </c>
      <c r="B141" s="175" t="s">
        <v>1379</v>
      </c>
    </row>
    <row r="142" spans="1:2" x14ac:dyDescent="0.2">
      <c r="A142" s="329">
        <v>456</v>
      </c>
      <c r="B142" s="1080" t="s">
        <v>1380</v>
      </c>
    </row>
    <row r="143" spans="1:2" ht="22.5" x14ac:dyDescent="0.2">
      <c r="A143" s="329">
        <v>493</v>
      </c>
      <c r="B143" s="290" t="s">
        <v>1381</v>
      </c>
    </row>
    <row r="144" spans="1:2" ht="22.5" x14ac:dyDescent="0.2">
      <c r="A144" s="329">
        <v>497</v>
      </c>
      <c r="B144" s="292" t="s">
        <v>1382</v>
      </c>
    </row>
    <row r="145" spans="1:2" x14ac:dyDescent="0.2">
      <c r="A145" s="329">
        <v>498</v>
      </c>
      <c r="B145" s="49" t="s">
        <v>1383</v>
      </c>
    </row>
    <row r="146" spans="1:2" x14ac:dyDescent="0.2">
      <c r="A146" s="329">
        <v>499</v>
      </c>
      <c r="B146" s="291" t="s">
        <v>1384</v>
      </c>
    </row>
    <row r="147" spans="1:2" ht="22.5" x14ac:dyDescent="0.2">
      <c r="A147" s="329">
        <v>501</v>
      </c>
      <c r="B147" s="290" t="s">
        <v>1385</v>
      </c>
    </row>
    <row r="148" spans="1:2" x14ac:dyDescent="0.2">
      <c r="A148" s="329">
        <v>503</v>
      </c>
      <c r="B148" s="290" t="s">
        <v>1386</v>
      </c>
    </row>
    <row r="149" spans="1:2" x14ac:dyDescent="0.2">
      <c r="A149" s="329">
        <v>505</v>
      </c>
      <c r="B149" s="49" t="s">
        <v>1387</v>
      </c>
    </row>
    <row r="150" spans="1:2" x14ac:dyDescent="0.2">
      <c r="A150" s="329">
        <v>506</v>
      </c>
      <c r="B150" s="49" t="s">
        <v>1388</v>
      </c>
    </row>
    <row r="151" spans="1:2" ht="22.5" x14ac:dyDescent="0.2">
      <c r="A151" s="329">
        <v>507</v>
      </c>
      <c r="B151" s="49" t="s">
        <v>1389</v>
      </c>
    </row>
    <row r="152" spans="1:2" ht="22.5" x14ac:dyDescent="0.2">
      <c r="A152" s="329">
        <v>510</v>
      </c>
      <c r="B152" s="291" t="s">
        <v>1390</v>
      </c>
    </row>
    <row r="153" spans="1:2" x14ac:dyDescent="0.2">
      <c r="A153" s="329">
        <v>521</v>
      </c>
      <c r="B153" s="1081" t="s">
        <v>1391</v>
      </c>
    </row>
    <row r="154" spans="1:2" x14ac:dyDescent="0.2">
      <c r="A154" s="329">
        <v>522</v>
      </c>
      <c r="B154" s="1081" t="s">
        <v>1392</v>
      </c>
    </row>
    <row r="155" spans="1:2" x14ac:dyDescent="0.2">
      <c r="A155" s="329">
        <v>523</v>
      </c>
      <c r="B155" s="1081" t="s">
        <v>1393</v>
      </c>
    </row>
    <row r="156" spans="1:2" x14ac:dyDescent="0.2">
      <c r="A156" s="329">
        <v>526</v>
      </c>
      <c r="B156" s="1080" t="s">
        <v>1008</v>
      </c>
    </row>
    <row r="157" spans="1:2" x14ac:dyDescent="0.2">
      <c r="A157" s="329">
        <v>529</v>
      </c>
      <c r="B157" s="175" t="s">
        <v>1394</v>
      </c>
    </row>
    <row r="158" spans="1:2" x14ac:dyDescent="0.2">
      <c r="A158" s="329">
        <v>535</v>
      </c>
      <c r="B158" s="286" t="s">
        <v>1395</v>
      </c>
    </row>
    <row r="159" spans="1:2" x14ac:dyDescent="0.2">
      <c r="A159" s="329">
        <v>541</v>
      </c>
      <c r="B159" s="175" t="s">
        <v>1396</v>
      </c>
    </row>
    <row r="160" spans="1:2" x14ac:dyDescent="0.2">
      <c r="A160" s="329">
        <v>545</v>
      </c>
      <c r="B160" s="295" t="s">
        <v>1397</v>
      </c>
    </row>
    <row r="161" spans="1:2" x14ac:dyDescent="0.2">
      <c r="A161" s="329">
        <v>583</v>
      </c>
      <c r="B161" s="175" t="s">
        <v>1398</v>
      </c>
    </row>
    <row r="162" spans="1:2" x14ac:dyDescent="0.2">
      <c r="A162" s="329">
        <v>595</v>
      </c>
      <c r="B162" s="295" t="s">
        <v>1399</v>
      </c>
    </row>
    <row r="163" spans="1:2" x14ac:dyDescent="0.2">
      <c r="A163" s="329">
        <v>641</v>
      </c>
      <c r="B163" s="74" t="s">
        <v>1400</v>
      </c>
    </row>
    <row r="164" spans="1:2" x14ac:dyDescent="0.2">
      <c r="A164" s="329">
        <v>645</v>
      </c>
      <c r="B164" s="268" t="s">
        <v>1401</v>
      </c>
    </row>
    <row r="165" spans="1:2" x14ac:dyDescent="0.2">
      <c r="A165" s="329">
        <v>646</v>
      </c>
      <c r="B165" s="273" t="s">
        <v>1402</v>
      </c>
    </row>
    <row r="166" spans="1:2" ht="15" x14ac:dyDescent="0.2">
      <c r="A166" s="329">
        <v>651</v>
      </c>
      <c r="B166" s="174" t="s">
        <v>1403</v>
      </c>
    </row>
    <row r="167" spans="1:2" x14ac:dyDescent="0.2">
      <c r="A167" s="329">
        <v>667</v>
      </c>
      <c r="B167" s="1082" t="s">
        <v>1404</v>
      </c>
    </row>
    <row r="168" spans="1:2" x14ac:dyDescent="0.2">
      <c r="A168" s="329">
        <v>682</v>
      </c>
      <c r="B168" s="270" t="s">
        <v>1265</v>
      </c>
    </row>
    <row r="169" spans="1:2" x14ac:dyDescent="0.2">
      <c r="A169" s="329">
        <v>687</v>
      </c>
      <c r="B169" s="270" t="s">
        <v>1405</v>
      </c>
    </row>
    <row r="170" spans="1:2" x14ac:dyDescent="0.2">
      <c r="A170" s="329">
        <v>693</v>
      </c>
      <c r="B170" s="273" t="s">
        <v>1265</v>
      </c>
    </row>
    <row r="171" spans="1:2" x14ac:dyDescent="0.2">
      <c r="A171" s="329">
        <v>694</v>
      </c>
      <c r="B171" s="273" t="s">
        <v>1406</v>
      </c>
    </row>
    <row r="172" spans="1:2" x14ac:dyDescent="0.2">
      <c r="A172" s="329">
        <v>768</v>
      </c>
      <c r="B172" s="241" t="s">
        <v>1407</v>
      </c>
    </row>
    <row r="173" spans="1:2" x14ac:dyDescent="0.2">
      <c r="A173" s="329">
        <v>769</v>
      </c>
      <c r="B173" s="241" t="s">
        <v>1408</v>
      </c>
    </row>
    <row r="174" spans="1:2" x14ac:dyDescent="0.2">
      <c r="A174" s="329">
        <v>773</v>
      </c>
      <c r="B174" s="241" t="s">
        <v>1409</v>
      </c>
    </row>
    <row r="175" spans="1:2" x14ac:dyDescent="0.2">
      <c r="A175" s="329">
        <v>774</v>
      </c>
      <c r="B175" s="241" t="s">
        <v>1410</v>
      </c>
    </row>
    <row r="176" spans="1:2" x14ac:dyDescent="0.2">
      <c r="A176" s="329">
        <v>781</v>
      </c>
      <c r="B176" s="74" t="s">
        <v>1411</v>
      </c>
    </row>
    <row r="177" spans="1:2" x14ac:dyDescent="0.2">
      <c r="A177" s="329">
        <v>784</v>
      </c>
      <c r="B177" s="98" t="s">
        <v>1412</v>
      </c>
    </row>
    <row r="178" spans="1:2" x14ac:dyDescent="0.2">
      <c r="A178" s="329">
        <v>785</v>
      </c>
      <c r="B178" s="98" t="s">
        <v>1413</v>
      </c>
    </row>
    <row r="179" spans="1:2" x14ac:dyDescent="0.2">
      <c r="A179" s="329">
        <v>786</v>
      </c>
      <c r="B179" s="98" t="s">
        <v>1414</v>
      </c>
    </row>
    <row r="180" spans="1:2" x14ac:dyDescent="0.2">
      <c r="A180" s="329">
        <v>787</v>
      </c>
      <c r="B180" s="98" t="s">
        <v>1415</v>
      </c>
    </row>
    <row r="181" spans="1:2" x14ac:dyDescent="0.2">
      <c r="A181" s="329">
        <v>788</v>
      </c>
      <c r="B181" s="98" t="s">
        <v>1249</v>
      </c>
    </row>
    <row r="182" spans="1:2" x14ac:dyDescent="0.2">
      <c r="A182" s="329">
        <v>790</v>
      </c>
      <c r="B182" s="98" t="s">
        <v>1416</v>
      </c>
    </row>
    <row r="183" spans="1:2" x14ac:dyDescent="0.2">
      <c r="A183" s="329">
        <v>791</v>
      </c>
      <c r="B183" s="98" t="s">
        <v>1417</v>
      </c>
    </row>
    <row r="184" spans="1:2" x14ac:dyDescent="0.2">
      <c r="A184" s="329">
        <v>792</v>
      </c>
      <c r="B184" s="98" t="s">
        <v>1418</v>
      </c>
    </row>
    <row r="185" spans="1:2" x14ac:dyDescent="0.2">
      <c r="A185" s="329">
        <v>794</v>
      </c>
      <c r="B185" s="98" t="s">
        <v>1419</v>
      </c>
    </row>
    <row r="186" spans="1:2" x14ac:dyDescent="0.2">
      <c r="A186" s="329">
        <v>795</v>
      </c>
      <c r="B186" s="98" t="s">
        <v>1420</v>
      </c>
    </row>
    <row r="187" spans="1:2" x14ac:dyDescent="0.2">
      <c r="A187" s="329">
        <v>796</v>
      </c>
      <c r="B187" s="98" t="s">
        <v>1421</v>
      </c>
    </row>
    <row r="188" spans="1:2" x14ac:dyDescent="0.2">
      <c r="A188" s="329">
        <v>797</v>
      </c>
      <c r="B188" s="98" t="s">
        <v>1422</v>
      </c>
    </row>
    <row r="189" spans="1:2" x14ac:dyDescent="0.2">
      <c r="A189" s="329">
        <v>798</v>
      </c>
      <c r="B189" s="98" t="s">
        <v>1423</v>
      </c>
    </row>
    <row r="190" spans="1:2" x14ac:dyDescent="0.2">
      <c r="A190" s="329">
        <v>799</v>
      </c>
      <c r="B190" s="98" t="s">
        <v>1424</v>
      </c>
    </row>
    <row r="191" spans="1:2" x14ac:dyDescent="0.2">
      <c r="A191" s="329">
        <v>800</v>
      </c>
      <c r="B191" s="98" t="s">
        <v>1425</v>
      </c>
    </row>
    <row r="192" spans="1:2" x14ac:dyDescent="0.2">
      <c r="A192" s="329">
        <v>801</v>
      </c>
      <c r="B192" s="98" t="s">
        <v>1426</v>
      </c>
    </row>
    <row r="193" spans="1:2" x14ac:dyDescent="0.2">
      <c r="A193" s="329">
        <v>802</v>
      </c>
      <c r="B193" s="98" t="s">
        <v>1427</v>
      </c>
    </row>
    <row r="194" spans="1:2" x14ac:dyDescent="0.2">
      <c r="A194" s="329">
        <v>803</v>
      </c>
      <c r="B194" s="98" t="s">
        <v>1428</v>
      </c>
    </row>
    <row r="195" spans="1:2" x14ac:dyDescent="0.2">
      <c r="A195" s="329">
        <v>804</v>
      </c>
      <c r="B195" s="98" t="s">
        <v>1429</v>
      </c>
    </row>
    <row r="196" spans="1:2" x14ac:dyDescent="0.2">
      <c r="A196" s="329">
        <v>805</v>
      </c>
      <c r="B196" s="1083" t="s">
        <v>1250</v>
      </c>
    </row>
    <row r="197" spans="1:2" x14ac:dyDescent="0.2">
      <c r="A197" s="329">
        <v>806</v>
      </c>
      <c r="B197" s="1083" t="s">
        <v>1430</v>
      </c>
    </row>
    <row r="198" spans="1:2" x14ac:dyDescent="0.2">
      <c r="A198" s="329">
        <v>807</v>
      </c>
      <c r="B198" s="1084" t="s">
        <v>1431</v>
      </c>
    </row>
    <row r="199" spans="1:2" x14ac:dyDescent="0.2">
      <c r="A199" s="329">
        <v>808</v>
      </c>
      <c r="B199" s="1085" t="s">
        <v>1432</v>
      </c>
    </row>
    <row r="200" spans="1:2" x14ac:dyDescent="0.2">
      <c r="A200" s="329">
        <v>809</v>
      </c>
      <c r="B200" s="1084" t="s">
        <v>1433</v>
      </c>
    </row>
    <row r="201" spans="1:2" x14ac:dyDescent="0.2">
      <c r="A201" s="329">
        <v>810</v>
      </c>
      <c r="B201" s="1084" t="s">
        <v>1434</v>
      </c>
    </row>
    <row r="202" spans="1:2" x14ac:dyDescent="0.2">
      <c r="A202" s="329">
        <v>811</v>
      </c>
      <c r="B202" s="1084" t="s">
        <v>1435</v>
      </c>
    </row>
    <row r="203" spans="1:2" x14ac:dyDescent="0.2">
      <c r="A203" s="329">
        <v>812</v>
      </c>
      <c r="B203" s="1084" t="s">
        <v>1436</v>
      </c>
    </row>
    <row r="204" spans="1:2" x14ac:dyDescent="0.2">
      <c r="A204" s="329">
        <v>813</v>
      </c>
      <c r="B204" s="1084" t="s">
        <v>1437</v>
      </c>
    </row>
    <row r="205" spans="1:2" x14ac:dyDescent="0.2">
      <c r="A205" s="329">
        <v>814</v>
      </c>
      <c r="B205" s="1084" t="s">
        <v>1438</v>
      </c>
    </row>
    <row r="206" spans="1:2" x14ac:dyDescent="0.2">
      <c r="A206" s="329">
        <v>815</v>
      </c>
      <c r="B206" s="1084" t="s">
        <v>1439</v>
      </c>
    </row>
    <row r="207" spans="1:2" x14ac:dyDescent="0.2">
      <c r="A207" s="329">
        <v>816</v>
      </c>
      <c r="B207" s="1084" t="s">
        <v>1440</v>
      </c>
    </row>
    <row r="208" spans="1:2" x14ac:dyDescent="0.2">
      <c r="A208" s="329">
        <v>817</v>
      </c>
      <c r="B208" s="1084" t="s">
        <v>1441</v>
      </c>
    </row>
    <row r="209" spans="1:2" x14ac:dyDescent="0.2">
      <c r="A209" s="329">
        <v>818</v>
      </c>
      <c r="B209" s="1084" t="s">
        <v>1442</v>
      </c>
    </row>
    <row r="210" spans="1:2" x14ac:dyDescent="0.2">
      <c r="A210" s="329">
        <v>819</v>
      </c>
      <c r="B210" s="1084" t="s">
        <v>1443</v>
      </c>
    </row>
    <row r="211" spans="1:2" x14ac:dyDescent="0.2">
      <c r="A211" s="329">
        <v>820</v>
      </c>
      <c r="B211" s="1084" t="s">
        <v>1444</v>
      </c>
    </row>
    <row r="212" spans="1:2" x14ac:dyDescent="0.2">
      <c r="A212" s="329">
        <v>821</v>
      </c>
      <c r="B212" s="1084" t="s">
        <v>1251</v>
      </c>
    </row>
    <row r="213" spans="1:2" x14ac:dyDescent="0.2">
      <c r="A213" s="329">
        <v>822</v>
      </c>
      <c r="B213" s="1084" t="s">
        <v>1445</v>
      </c>
    </row>
    <row r="214" spans="1:2" x14ac:dyDescent="0.2">
      <c r="A214" s="329">
        <v>823</v>
      </c>
      <c r="B214" s="1084" t="s">
        <v>1252</v>
      </c>
    </row>
    <row r="215" spans="1:2" x14ac:dyDescent="0.2">
      <c r="A215" s="329">
        <v>824</v>
      </c>
      <c r="B215" s="1084" t="s">
        <v>1446</v>
      </c>
    </row>
    <row r="216" spans="1:2" x14ac:dyDescent="0.2">
      <c r="A216" s="329">
        <v>825</v>
      </c>
      <c r="B216" s="1084" t="s">
        <v>1447</v>
      </c>
    </row>
    <row r="217" spans="1:2" x14ac:dyDescent="0.2">
      <c r="A217" s="329">
        <v>826</v>
      </c>
      <c r="B217" s="1084" t="s">
        <v>1448</v>
      </c>
    </row>
    <row r="218" spans="1:2" x14ac:dyDescent="0.2">
      <c r="A218" s="329">
        <v>827</v>
      </c>
      <c r="B218" s="1084" t="s">
        <v>1449</v>
      </c>
    </row>
    <row r="219" spans="1:2" x14ac:dyDescent="0.2">
      <c r="A219" s="329">
        <v>828</v>
      </c>
      <c r="B219" s="1084" t="s">
        <v>1447</v>
      </c>
    </row>
    <row r="220" spans="1:2" x14ac:dyDescent="0.2">
      <c r="A220" s="329">
        <v>829</v>
      </c>
      <c r="B220" s="1084" t="s">
        <v>1450</v>
      </c>
    </row>
    <row r="221" spans="1:2" x14ac:dyDescent="0.2">
      <c r="A221" s="329">
        <v>830</v>
      </c>
      <c r="B221" s="1084" t="s">
        <v>1451</v>
      </c>
    </row>
    <row r="222" spans="1:2" x14ac:dyDescent="0.2">
      <c r="A222" s="329">
        <v>831</v>
      </c>
      <c r="B222" s="1084" t="s">
        <v>1452</v>
      </c>
    </row>
    <row r="223" spans="1:2" x14ac:dyDescent="0.2">
      <c r="A223" s="329">
        <v>832</v>
      </c>
      <c r="B223" s="1084" t="s">
        <v>1453</v>
      </c>
    </row>
    <row r="224" spans="1:2" x14ac:dyDescent="0.2">
      <c r="A224" s="329">
        <v>833</v>
      </c>
      <c r="B224" s="1084" t="s">
        <v>1454</v>
      </c>
    </row>
    <row r="225" spans="1:2" x14ac:dyDescent="0.2">
      <c r="A225" s="329">
        <v>834</v>
      </c>
      <c r="B225" s="1084" t="s">
        <v>1455</v>
      </c>
    </row>
    <row r="226" spans="1:2" x14ac:dyDescent="0.2">
      <c r="A226" s="329">
        <v>835</v>
      </c>
      <c r="B226" s="1084" t="s">
        <v>1456</v>
      </c>
    </row>
    <row r="227" spans="1:2" x14ac:dyDescent="0.2">
      <c r="A227" s="329">
        <v>836</v>
      </c>
      <c r="B227" s="1083" t="s">
        <v>1457</v>
      </c>
    </row>
    <row r="228" spans="1:2" x14ac:dyDescent="0.2">
      <c r="A228" s="329">
        <v>837</v>
      </c>
      <c r="B228" s="1083" t="s">
        <v>1458</v>
      </c>
    </row>
    <row r="229" spans="1:2" x14ac:dyDescent="0.2">
      <c r="A229" s="329">
        <v>844</v>
      </c>
      <c r="B229" s="1086" t="s">
        <v>1459</v>
      </c>
    </row>
    <row r="230" spans="1:2" x14ac:dyDescent="0.2">
      <c r="A230" s="329">
        <v>846</v>
      </c>
      <c r="B230" s="1087" t="s">
        <v>1460</v>
      </c>
    </row>
    <row r="231" spans="1:2" x14ac:dyDescent="0.2">
      <c r="A231" s="329">
        <v>847</v>
      </c>
      <c r="B231" s="1087" t="s">
        <v>1461</v>
      </c>
    </row>
    <row r="232" spans="1:2" x14ac:dyDescent="0.2">
      <c r="A232" s="329">
        <v>848</v>
      </c>
      <c r="B232" s="1087" t="s">
        <v>1462</v>
      </c>
    </row>
    <row r="233" spans="1:2" x14ac:dyDescent="0.2">
      <c r="A233" s="329">
        <v>849</v>
      </c>
      <c r="B233" s="1087" t="s">
        <v>1463</v>
      </c>
    </row>
    <row r="234" spans="1:2" x14ac:dyDescent="0.2">
      <c r="A234" s="329">
        <v>850</v>
      </c>
      <c r="B234" s="1087" t="s">
        <v>1464</v>
      </c>
    </row>
    <row r="235" spans="1:2" x14ac:dyDescent="0.2">
      <c r="A235" s="329">
        <v>851</v>
      </c>
      <c r="B235" s="1087" t="s">
        <v>1465</v>
      </c>
    </row>
    <row r="236" spans="1:2" x14ac:dyDescent="0.2">
      <c r="A236" s="329">
        <v>852</v>
      </c>
      <c r="B236" s="1087" t="s">
        <v>1466</v>
      </c>
    </row>
    <row r="237" spans="1:2" x14ac:dyDescent="0.2">
      <c r="A237" s="329">
        <v>853</v>
      </c>
      <c r="B237" s="1087" t="s">
        <v>1467</v>
      </c>
    </row>
    <row r="238" spans="1:2" x14ac:dyDescent="0.2">
      <c r="A238" s="329">
        <v>854</v>
      </c>
      <c r="B238" s="1086" t="s">
        <v>1468</v>
      </c>
    </row>
    <row r="239" spans="1:2" x14ac:dyDescent="0.2">
      <c r="A239" s="329">
        <v>855</v>
      </c>
      <c r="B239" s="1085" t="s">
        <v>1469</v>
      </c>
    </row>
    <row r="240" spans="1:2" x14ac:dyDescent="0.2">
      <c r="A240" s="329">
        <v>856</v>
      </c>
      <c r="B240" s="1088" t="s">
        <v>1345</v>
      </c>
    </row>
    <row r="241" spans="1:2" x14ac:dyDescent="0.2">
      <c r="A241" s="329">
        <v>857</v>
      </c>
      <c r="B241" s="1089" t="s">
        <v>1470</v>
      </c>
    </row>
    <row r="242" spans="1:2" x14ac:dyDescent="0.2">
      <c r="A242" s="329">
        <v>858</v>
      </c>
      <c r="B242" s="1089" t="s">
        <v>1471</v>
      </c>
    </row>
    <row r="243" spans="1:2" x14ac:dyDescent="0.2">
      <c r="A243" s="329">
        <v>859</v>
      </c>
      <c r="B243" s="1089" t="s">
        <v>1472</v>
      </c>
    </row>
    <row r="244" spans="1:2" x14ac:dyDescent="0.2">
      <c r="A244" s="329">
        <v>860</v>
      </c>
      <c r="B244" s="1089" t="s">
        <v>1473</v>
      </c>
    </row>
    <row r="245" spans="1:2" x14ac:dyDescent="0.2">
      <c r="A245" s="329">
        <v>861</v>
      </c>
      <c r="B245" s="1089" t="s">
        <v>1474</v>
      </c>
    </row>
    <row r="246" spans="1:2" x14ac:dyDescent="0.2">
      <c r="A246" s="329">
        <v>862</v>
      </c>
      <c r="B246" s="1089" t="s">
        <v>1475</v>
      </c>
    </row>
    <row r="247" spans="1:2" x14ac:dyDescent="0.2">
      <c r="A247" s="329">
        <v>863</v>
      </c>
      <c r="B247" s="1089" t="s">
        <v>1476</v>
      </c>
    </row>
    <row r="248" spans="1:2" x14ac:dyDescent="0.2">
      <c r="A248" s="329">
        <v>864</v>
      </c>
      <c r="B248" s="1089" t="s">
        <v>1477</v>
      </c>
    </row>
    <row r="249" spans="1:2" x14ac:dyDescent="0.2">
      <c r="A249" s="329">
        <v>865</v>
      </c>
      <c r="B249" s="1089" t="s">
        <v>1478</v>
      </c>
    </row>
    <row r="250" spans="1:2" x14ac:dyDescent="0.2">
      <c r="A250" s="329">
        <v>866</v>
      </c>
      <c r="B250" s="1089" t="s">
        <v>1479</v>
      </c>
    </row>
    <row r="251" spans="1:2" x14ac:dyDescent="0.2">
      <c r="A251" s="329">
        <v>867</v>
      </c>
      <c r="B251" s="1089" t="s">
        <v>1480</v>
      </c>
    </row>
    <row r="252" spans="1:2" x14ac:dyDescent="0.2">
      <c r="A252" s="329">
        <v>868</v>
      </c>
      <c r="B252" s="1089" t="s">
        <v>1481</v>
      </c>
    </row>
    <row r="253" spans="1:2" x14ac:dyDescent="0.2">
      <c r="A253" s="329">
        <v>869</v>
      </c>
      <c r="B253" s="1089" t="s">
        <v>1482</v>
      </c>
    </row>
    <row r="254" spans="1:2" x14ac:dyDescent="0.2">
      <c r="A254" s="329">
        <v>870</v>
      </c>
      <c r="B254" s="1089" t="s">
        <v>1483</v>
      </c>
    </row>
    <row r="255" spans="1:2" x14ac:dyDescent="0.2">
      <c r="A255" s="329">
        <v>871</v>
      </c>
      <c r="B255" s="1089" t="s">
        <v>1484</v>
      </c>
    </row>
    <row r="256" spans="1:2" x14ac:dyDescent="0.2">
      <c r="A256" s="329">
        <v>872</v>
      </c>
      <c r="B256" s="1089" t="s">
        <v>1485</v>
      </c>
    </row>
    <row r="257" spans="1:2" x14ac:dyDescent="0.2">
      <c r="A257" s="329">
        <v>873</v>
      </c>
      <c r="B257" s="1089" t="s">
        <v>1486</v>
      </c>
    </row>
    <row r="258" spans="1:2" x14ac:dyDescent="0.2">
      <c r="A258" s="329">
        <v>874</v>
      </c>
      <c r="B258" s="1089" t="s">
        <v>1487</v>
      </c>
    </row>
    <row r="259" spans="1:2" x14ac:dyDescent="0.2">
      <c r="A259" s="329">
        <v>875</v>
      </c>
      <c r="B259" s="1089" t="s">
        <v>1488</v>
      </c>
    </row>
    <row r="260" spans="1:2" x14ac:dyDescent="0.2">
      <c r="A260" s="329">
        <v>876</v>
      </c>
      <c r="B260" s="1089" t="s">
        <v>1489</v>
      </c>
    </row>
    <row r="261" spans="1:2" x14ac:dyDescent="0.2">
      <c r="A261" s="329">
        <v>877</v>
      </c>
      <c r="B261" s="98" t="s">
        <v>1490</v>
      </c>
    </row>
    <row r="262" spans="1:2" x14ac:dyDescent="0.2">
      <c r="A262" s="329">
        <v>878</v>
      </c>
      <c r="B262" s="1089" t="s">
        <v>1491</v>
      </c>
    </row>
    <row r="263" spans="1:2" x14ac:dyDescent="0.2">
      <c r="A263" s="329">
        <v>879</v>
      </c>
      <c r="B263" s="1089" t="s">
        <v>1492</v>
      </c>
    </row>
    <row r="264" spans="1:2" x14ac:dyDescent="0.2">
      <c r="A264" s="329">
        <v>880</v>
      </c>
      <c r="B264" s="1089" t="s">
        <v>1493</v>
      </c>
    </row>
    <row r="265" spans="1:2" x14ac:dyDescent="0.2">
      <c r="A265" s="329">
        <v>881</v>
      </c>
      <c r="B265" s="1089" t="s">
        <v>1494</v>
      </c>
    </row>
    <row r="266" spans="1:2" x14ac:dyDescent="0.2">
      <c r="A266" s="329">
        <v>882</v>
      </c>
      <c r="B266" s="1089" t="s">
        <v>1495</v>
      </c>
    </row>
    <row r="267" spans="1:2" x14ac:dyDescent="0.2">
      <c r="A267" s="329">
        <v>883</v>
      </c>
      <c r="B267" s="1090" t="s">
        <v>19</v>
      </c>
    </row>
    <row r="268" spans="1:2" x14ac:dyDescent="0.2">
      <c r="A268" s="329">
        <v>884</v>
      </c>
      <c r="B268" s="1089" t="s">
        <v>1253</v>
      </c>
    </row>
    <row r="269" spans="1:2" x14ac:dyDescent="0.2">
      <c r="A269" s="329">
        <v>885</v>
      </c>
      <c r="B269" s="1089" t="s">
        <v>1496</v>
      </c>
    </row>
    <row r="270" spans="1:2" x14ac:dyDescent="0.2">
      <c r="A270" s="329">
        <v>886</v>
      </c>
      <c r="B270" s="1089" t="s">
        <v>1497</v>
      </c>
    </row>
    <row r="271" spans="1:2" x14ac:dyDescent="0.2">
      <c r="A271" s="329">
        <v>887</v>
      </c>
      <c r="B271" s="1090" t="s">
        <v>330</v>
      </c>
    </row>
    <row r="272" spans="1:2" x14ac:dyDescent="0.2">
      <c r="A272" s="329">
        <v>888</v>
      </c>
      <c r="B272" s="1089" t="s">
        <v>1498</v>
      </c>
    </row>
    <row r="273" spans="1:2" x14ac:dyDescent="0.2">
      <c r="A273" s="329">
        <v>889</v>
      </c>
      <c r="B273" s="1089" t="s">
        <v>1499</v>
      </c>
    </row>
    <row r="274" spans="1:2" x14ac:dyDescent="0.2">
      <c r="A274" s="329">
        <v>890</v>
      </c>
      <c r="B274" s="1090" t="s">
        <v>132</v>
      </c>
    </row>
    <row r="275" spans="1:2" x14ac:dyDescent="0.2">
      <c r="A275" s="329">
        <v>891</v>
      </c>
      <c r="B275" s="1090" t="s">
        <v>267</v>
      </c>
    </row>
    <row r="276" spans="1:2" x14ac:dyDescent="0.2">
      <c r="A276" s="329">
        <v>892</v>
      </c>
      <c r="B276" s="1089" t="s">
        <v>1500</v>
      </c>
    </row>
    <row r="277" spans="1:2" x14ac:dyDescent="0.2">
      <c r="A277" s="329">
        <v>893</v>
      </c>
      <c r="B277" s="1089" t="s">
        <v>1501</v>
      </c>
    </row>
    <row r="278" spans="1:2" x14ac:dyDescent="0.2">
      <c r="A278" s="329">
        <v>894</v>
      </c>
      <c r="B278" s="1089" t="s">
        <v>1502</v>
      </c>
    </row>
    <row r="279" spans="1:2" x14ac:dyDescent="0.2">
      <c r="A279" s="329">
        <v>895</v>
      </c>
      <c r="B279" s="1089" t="s">
        <v>1503</v>
      </c>
    </row>
    <row r="280" spans="1:2" x14ac:dyDescent="0.2">
      <c r="A280" s="329">
        <v>896</v>
      </c>
      <c r="B280" s="1089" t="s">
        <v>1504</v>
      </c>
    </row>
    <row r="281" spans="1:2" x14ac:dyDescent="0.2">
      <c r="A281" s="329">
        <v>897</v>
      </c>
      <c r="B281" s="1089" t="s">
        <v>1505</v>
      </c>
    </row>
    <row r="282" spans="1:2" x14ac:dyDescent="0.2">
      <c r="A282" s="329">
        <v>898</v>
      </c>
      <c r="B282" s="1090" t="s">
        <v>238</v>
      </c>
    </row>
    <row r="283" spans="1:2" x14ac:dyDescent="0.2">
      <c r="A283" s="329">
        <v>899</v>
      </c>
      <c r="B283" s="1089" t="s">
        <v>1506</v>
      </c>
    </row>
    <row r="284" spans="1:2" x14ac:dyDescent="0.2">
      <c r="A284" s="329">
        <v>900</v>
      </c>
      <c r="B284" s="1089" t="s">
        <v>1507</v>
      </c>
    </row>
    <row r="285" spans="1:2" x14ac:dyDescent="0.2">
      <c r="A285" s="329">
        <v>901</v>
      </c>
      <c r="B285" s="1090" t="s">
        <v>268</v>
      </c>
    </row>
    <row r="286" spans="1:2" x14ac:dyDescent="0.2">
      <c r="A286" s="329">
        <v>902</v>
      </c>
      <c r="B286" s="1089" t="s">
        <v>1508</v>
      </c>
    </row>
    <row r="287" spans="1:2" x14ac:dyDescent="0.2">
      <c r="A287" s="329">
        <v>903</v>
      </c>
      <c r="B287" s="1089" t="s">
        <v>1509</v>
      </c>
    </row>
    <row r="288" spans="1:2" x14ac:dyDescent="0.2">
      <c r="A288" s="329">
        <v>904</v>
      </c>
      <c r="B288" s="1090" t="s">
        <v>22</v>
      </c>
    </row>
    <row r="289" spans="1:2" x14ac:dyDescent="0.2">
      <c r="A289" s="329">
        <v>909</v>
      </c>
      <c r="B289" s="1088" t="s">
        <v>78</v>
      </c>
    </row>
    <row r="290" spans="1:2" x14ac:dyDescent="0.2">
      <c r="A290" s="329">
        <v>910</v>
      </c>
      <c r="B290" s="1089" t="s">
        <v>1510</v>
      </c>
    </row>
    <row r="291" spans="1:2" x14ac:dyDescent="0.2">
      <c r="A291" s="329">
        <v>911</v>
      </c>
      <c r="B291" s="1089" t="s">
        <v>1511</v>
      </c>
    </row>
    <row r="292" spans="1:2" x14ac:dyDescent="0.2">
      <c r="A292" s="329">
        <v>912</v>
      </c>
      <c r="B292" s="1089" t="s">
        <v>1512</v>
      </c>
    </row>
    <row r="293" spans="1:2" x14ac:dyDescent="0.2">
      <c r="A293" s="329">
        <v>913</v>
      </c>
      <c r="B293" s="1089" t="s">
        <v>1513</v>
      </c>
    </row>
    <row r="294" spans="1:2" x14ac:dyDescent="0.2">
      <c r="A294" s="329">
        <v>914</v>
      </c>
      <c r="B294" s="1089" t="s">
        <v>1514</v>
      </c>
    </row>
    <row r="295" spans="1:2" x14ac:dyDescent="0.2">
      <c r="A295" s="329">
        <v>915</v>
      </c>
      <c r="B295" s="1089" t="s">
        <v>1515</v>
      </c>
    </row>
    <row r="296" spans="1:2" x14ac:dyDescent="0.2">
      <c r="A296" s="329">
        <v>916</v>
      </c>
      <c r="B296" s="1089" t="s">
        <v>1516</v>
      </c>
    </row>
    <row r="297" spans="1:2" x14ac:dyDescent="0.2">
      <c r="A297" s="329">
        <v>918</v>
      </c>
      <c r="B297" s="1089" t="s">
        <v>1517</v>
      </c>
    </row>
    <row r="298" spans="1:2" x14ac:dyDescent="0.2">
      <c r="A298" s="329">
        <v>919</v>
      </c>
      <c r="B298" s="1089" t="s">
        <v>1518</v>
      </c>
    </row>
    <row r="299" spans="1:2" x14ac:dyDescent="0.2">
      <c r="A299" s="329">
        <v>920</v>
      </c>
      <c r="B299" s="98" t="s">
        <v>1519</v>
      </c>
    </row>
    <row r="300" spans="1:2" x14ac:dyDescent="0.2">
      <c r="A300" s="329">
        <v>921</v>
      </c>
      <c r="B300" s="1090" t="s">
        <v>239</v>
      </c>
    </row>
    <row r="301" spans="1:2" x14ac:dyDescent="0.2">
      <c r="A301" s="329">
        <v>922</v>
      </c>
      <c r="B301" s="1090" t="s">
        <v>269</v>
      </c>
    </row>
    <row r="302" spans="1:2" x14ac:dyDescent="0.2">
      <c r="A302" s="329">
        <v>923</v>
      </c>
      <c r="B302" s="1090" t="s">
        <v>42</v>
      </c>
    </row>
    <row r="303" spans="1:2" x14ac:dyDescent="0.2">
      <c r="A303" s="329">
        <v>924</v>
      </c>
      <c r="B303" s="1090" t="s">
        <v>266</v>
      </c>
    </row>
    <row r="304" spans="1:2" x14ac:dyDescent="0.2">
      <c r="A304" s="329">
        <v>925</v>
      </c>
      <c r="B304" s="1090" t="s">
        <v>260</v>
      </c>
    </row>
    <row r="305" spans="1:2" x14ac:dyDescent="0.2">
      <c r="A305" s="329">
        <v>926</v>
      </c>
      <c r="B305" s="1090" t="s">
        <v>261</v>
      </c>
    </row>
    <row r="306" spans="1:2" x14ac:dyDescent="0.2">
      <c r="A306" s="329">
        <v>927</v>
      </c>
      <c r="B306" s="1089" t="s">
        <v>263</v>
      </c>
    </row>
    <row r="307" spans="1:2" x14ac:dyDescent="0.2">
      <c r="A307" s="329">
        <v>928</v>
      </c>
      <c r="B307" s="1090" t="s">
        <v>264</v>
      </c>
    </row>
    <row r="308" spans="1:2" x14ac:dyDescent="0.2">
      <c r="A308" s="329">
        <v>929</v>
      </c>
      <c r="B308" s="1090" t="s">
        <v>265</v>
      </c>
    </row>
    <row r="309" spans="1:2" x14ac:dyDescent="0.2">
      <c r="A309" s="329">
        <v>930</v>
      </c>
      <c r="B309" s="330" t="s">
        <v>254</v>
      </c>
    </row>
    <row r="310" spans="1:2" x14ac:dyDescent="0.2">
      <c r="A310" s="329">
        <v>931</v>
      </c>
      <c r="B310" s="330" t="s">
        <v>341</v>
      </c>
    </row>
    <row r="311" spans="1:2" ht="25.5" x14ac:dyDescent="0.2">
      <c r="A311" s="329">
        <v>932</v>
      </c>
      <c r="B311" s="1085" t="s">
        <v>1520</v>
      </c>
    </row>
    <row r="312" spans="1:2" x14ac:dyDescent="0.2">
      <c r="A312" s="329">
        <v>933</v>
      </c>
      <c r="B312" s="1085" t="s">
        <v>1521</v>
      </c>
    </row>
    <row r="313" spans="1:2" ht="25.5" x14ac:dyDescent="0.2">
      <c r="A313" s="329">
        <v>934</v>
      </c>
      <c r="B313" s="1085" t="s">
        <v>1522</v>
      </c>
    </row>
    <row r="314" spans="1:2" ht="38.25" x14ac:dyDescent="0.2">
      <c r="A314" s="329">
        <v>935</v>
      </c>
      <c r="B314" s="1085" t="s">
        <v>1523</v>
      </c>
    </row>
    <row r="315" spans="1:2" ht="25.5" x14ac:dyDescent="0.2">
      <c r="A315" s="329">
        <v>936</v>
      </c>
      <c r="B315" s="1085" t="s">
        <v>1524</v>
      </c>
    </row>
    <row r="316" spans="1:2" ht="25.5" x14ac:dyDescent="0.2">
      <c r="A316" s="329">
        <v>937</v>
      </c>
      <c r="B316" s="1085" t="s">
        <v>1525</v>
      </c>
    </row>
    <row r="317" spans="1:2" ht="25.5" x14ac:dyDescent="0.2">
      <c r="A317" s="329">
        <v>938</v>
      </c>
      <c r="B317" s="1085" t="s">
        <v>1526</v>
      </c>
    </row>
    <row r="318" spans="1:2" ht="25.5" x14ac:dyDescent="0.2">
      <c r="A318" s="329">
        <v>939</v>
      </c>
      <c r="B318" s="1085" t="s">
        <v>1527</v>
      </c>
    </row>
    <row r="319" spans="1:2" x14ac:dyDescent="0.2">
      <c r="A319" s="329">
        <v>940</v>
      </c>
      <c r="B319" s="1085" t="s">
        <v>1528</v>
      </c>
    </row>
    <row r="320" spans="1:2" ht="25.5" x14ac:dyDescent="0.2">
      <c r="A320" s="329">
        <v>941</v>
      </c>
      <c r="B320" s="1085" t="s">
        <v>1529</v>
      </c>
    </row>
    <row r="321" spans="1:2" x14ac:dyDescent="0.2">
      <c r="A321" s="329">
        <v>942</v>
      </c>
      <c r="B321" s="1085" t="s">
        <v>1530</v>
      </c>
    </row>
    <row r="322" spans="1:2" ht="25.5" x14ac:dyDescent="0.2">
      <c r="A322" s="329">
        <v>943</v>
      </c>
      <c r="B322" s="1085" t="s">
        <v>1531</v>
      </c>
    </row>
    <row r="323" spans="1:2" x14ac:dyDescent="0.2">
      <c r="A323" s="329">
        <v>944</v>
      </c>
      <c r="B323" s="1085" t="s">
        <v>1532</v>
      </c>
    </row>
    <row r="324" spans="1:2" x14ac:dyDescent="0.2">
      <c r="A324" s="329">
        <v>945</v>
      </c>
      <c r="B324" s="1085" t="s">
        <v>1533</v>
      </c>
    </row>
    <row r="325" spans="1:2" ht="25.5" x14ac:dyDescent="0.2">
      <c r="A325" s="329">
        <v>946</v>
      </c>
      <c r="B325" s="1085" t="s">
        <v>1534</v>
      </c>
    </row>
    <row r="326" spans="1:2" ht="25.5" x14ac:dyDescent="0.2">
      <c r="A326" s="329">
        <v>947</v>
      </c>
      <c r="B326" s="1085" t="s">
        <v>1535</v>
      </c>
    </row>
    <row r="327" spans="1:2" ht="25.5" x14ac:dyDescent="0.2">
      <c r="A327" s="329">
        <v>948</v>
      </c>
      <c r="B327" s="1085" t="s">
        <v>1536</v>
      </c>
    </row>
    <row r="328" spans="1:2" x14ac:dyDescent="0.2">
      <c r="A328" s="329">
        <v>949</v>
      </c>
      <c r="B328" s="1085" t="s">
        <v>1537</v>
      </c>
    </row>
    <row r="329" spans="1:2" ht="25.5" x14ac:dyDescent="0.2">
      <c r="A329" s="329">
        <v>950</v>
      </c>
      <c r="B329" s="1085" t="s">
        <v>1538</v>
      </c>
    </row>
    <row r="330" spans="1:2" x14ac:dyDescent="0.2">
      <c r="A330" s="329">
        <v>951</v>
      </c>
      <c r="B330" s="1085" t="s">
        <v>1539</v>
      </c>
    </row>
    <row r="331" spans="1:2" x14ac:dyDescent="0.2">
      <c r="A331" s="329">
        <v>952</v>
      </c>
      <c r="B331" s="1085" t="s">
        <v>1540</v>
      </c>
    </row>
    <row r="332" spans="1:2" x14ac:dyDescent="0.2">
      <c r="A332" s="329">
        <v>953</v>
      </c>
      <c r="B332" s="1091" t="s">
        <v>1403</v>
      </c>
    </row>
    <row r="333" spans="1:2" x14ac:dyDescent="0.2">
      <c r="A333" s="329">
        <v>954</v>
      </c>
      <c r="B333" s="1091" t="s">
        <v>1541</v>
      </c>
    </row>
    <row r="334" spans="1:2" x14ac:dyDescent="0.2">
      <c r="A334" s="329">
        <v>955</v>
      </c>
      <c r="B334" s="1091" t="s">
        <v>1542</v>
      </c>
    </row>
    <row r="335" spans="1:2" x14ac:dyDescent="0.2">
      <c r="A335" s="329">
        <v>956</v>
      </c>
      <c r="B335" s="1091" t="s">
        <v>1543</v>
      </c>
    </row>
    <row r="336" spans="1:2" x14ac:dyDescent="0.2">
      <c r="A336" s="329">
        <v>957</v>
      </c>
      <c r="B336" s="1091" t="s">
        <v>1544</v>
      </c>
    </row>
    <row r="337" spans="1:2" x14ac:dyDescent="0.2">
      <c r="A337" s="329">
        <v>958</v>
      </c>
      <c r="B337" s="1091" t="s">
        <v>1545</v>
      </c>
    </row>
    <row r="338" spans="1:2" x14ac:dyDescent="0.2">
      <c r="A338" s="329">
        <v>959</v>
      </c>
      <c r="B338" s="1091" t="s">
        <v>1546</v>
      </c>
    </row>
    <row r="339" spans="1:2" x14ac:dyDescent="0.2">
      <c r="A339" s="329">
        <v>960</v>
      </c>
      <c r="B339" s="1091" t="s">
        <v>1547</v>
      </c>
    </row>
    <row r="340" spans="1:2" x14ac:dyDescent="0.2">
      <c r="A340" s="329">
        <v>961</v>
      </c>
      <c r="B340" s="102" t="s">
        <v>1548</v>
      </c>
    </row>
    <row r="341" spans="1:2" x14ac:dyDescent="0.2">
      <c r="A341" s="329">
        <v>962</v>
      </c>
      <c r="B341" s="98" t="s">
        <v>1549</v>
      </c>
    </row>
    <row r="342" spans="1:2" x14ac:dyDescent="0.2">
      <c r="A342" s="329">
        <v>963</v>
      </c>
      <c r="B342" s="98" t="s">
        <v>1550</v>
      </c>
    </row>
    <row r="343" spans="1:2" x14ac:dyDescent="0.2">
      <c r="A343" s="329">
        <v>964</v>
      </c>
      <c r="B343" s="98" t="s">
        <v>1551</v>
      </c>
    </row>
    <row r="344" spans="1:2" x14ac:dyDescent="0.2">
      <c r="A344" s="329">
        <v>965</v>
      </c>
      <c r="B344" s="1092" t="s">
        <v>241</v>
      </c>
    </row>
    <row r="345" spans="1:2" x14ac:dyDescent="0.2">
      <c r="A345" s="329">
        <v>966</v>
      </c>
      <c r="B345" s="1092" t="s">
        <v>242</v>
      </c>
    </row>
    <row r="346" spans="1:2" x14ac:dyDescent="0.2">
      <c r="A346" s="329">
        <v>967</v>
      </c>
      <c r="B346" s="1092" t="s">
        <v>243</v>
      </c>
    </row>
    <row r="347" spans="1:2" x14ac:dyDescent="0.2">
      <c r="A347" s="329">
        <v>968</v>
      </c>
      <c r="B347" s="1092" t="s">
        <v>244</v>
      </c>
    </row>
    <row r="348" spans="1:2" x14ac:dyDescent="0.2">
      <c r="A348" s="329">
        <v>969</v>
      </c>
      <c r="B348" s="98" t="s">
        <v>1552</v>
      </c>
    </row>
    <row r="349" spans="1:2" x14ac:dyDescent="0.2">
      <c r="A349" s="329">
        <v>970</v>
      </c>
      <c r="B349" s="98" t="s">
        <v>1553</v>
      </c>
    </row>
    <row r="350" spans="1:2" x14ac:dyDescent="0.2">
      <c r="A350" s="329">
        <v>971</v>
      </c>
      <c r="B350" s="98" t="s">
        <v>1554</v>
      </c>
    </row>
    <row r="351" spans="1:2" x14ac:dyDescent="0.2">
      <c r="A351" s="329">
        <v>972</v>
      </c>
      <c r="B351" s="98" t="s">
        <v>1555</v>
      </c>
    </row>
    <row r="352" spans="1:2" x14ac:dyDescent="0.2">
      <c r="A352" s="329">
        <v>973</v>
      </c>
      <c r="B352" s="98" t="s">
        <v>1556</v>
      </c>
    </row>
    <row r="353" spans="1:2" x14ac:dyDescent="0.2">
      <c r="A353" s="329">
        <v>974</v>
      </c>
      <c r="B353" s="98" t="s">
        <v>1557</v>
      </c>
    </row>
    <row r="354" spans="1:2" x14ac:dyDescent="0.2">
      <c r="A354" s="329">
        <v>975</v>
      </c>
      <c r="B354" s="98" t="s">
        <v>1558</v>
      </c>
    </row>
    <row r="355" spans="1:2" x14ac:dyDescent="0.2">
      <c r="A355" s="329">
        <v>976</v>
      </c>
      <c r="B355" s="1092" t="s">
        <v>245</v>
      </c>
    </row>
    <row r="356" spans="1:2" x14ac:dyDescent="0.2">
      <c r="A356" s="329">
        <v>977</v>
      </c>
      <c r="B356" s="1092" t="s">
        <v>246</v>
      </c>
    </row>
    <row r="357" spans="1:2" x14ac:dyDescent="0.2">
      <c r="A357" s="329">
        <v>978</v>
      </c>
      <c r="B357" s="98" t="s">
        <v>1559</v>
      </c>
    </row>
    <row r="358" spans="1:2" x14ac:dyDescent="0.2">
      <c r="A358" s="329">
        <v>979</v>
      </c>
      <c r="B358" s="98" t="s">
        <v>1560</v>
      </c>
    </row>
    <row r="359" spans="1:2" x14ac:dyDescent="0.2">
      <c r="A359" s="329">
        <v>980</v>
      </c>
      <c r="B359" s="98" t="s">
        <v>1561</v>
      </c>
    </row>
    <row r="360" spans="1:2" x14ac:dyDescent="0.2">
      <c r="A360" s="329">
        <v>981</v>
      </c>
      <c r="B360" s="98" t="s">
        <v>1562</v>
      </c>
    </row>
    <row r="361" spans="1:2" x14ac:dyDescent="0.2">
      <c r="A361" s="329">
        <v>982</v>
      </c>
      <c r="B361" s="98" t="s">
        <v>1563</v>
      </c>
    </row>
    <row r="362" spans="1:2" x14ac:dyDescent="0.2">
      <c r="A362" s="329">
        <v>983</v>
      </c>
      <c r="B362" s="98" t="s">
        <v>1564</v>
      </c>
    </row>
    <row r="363" spans="1:2" x14ac:dyDescent="0.2">
      <c r="A363" s="329">
        <v>984</v>
      </c>
      <c r="B363" s="98" t="s">
        <v>1565</v>
      </c>
    </row>
    <row r="364" spans="1:2" x14ac:dyDescent="0.2">
      <c r="A364" s="329">
        <v>985</v>
      </c>
      <c r="B364" s="98" t="s">
        <v>1566</v>
      </c>
    </row>
    <row r="365" spans="1:2" x14ac:dyDescent="0.2">
      <c r="A365" s="329">
        <v>990</v>
      </c>
      <c r="B365" s="98" t="s">
        <v>1567</v>
      </c>
    </row>
    <row r="366" spans="1:2" x14ac:dyDescent="0.2">
      <c r="A366" s="329">
        <v>991</v>
      </c>
      <c r="B366" s="98" t="s">
        <v>1568</v>
      </c>
    </row>
    <row r="367" spans="1:2" x14ac:dyDescent="0.2">
      <c r="A367" s="329">
        <v>992</v>
      </c>
      <c r="B367" s="98" t="s">
        <v>1569</v>
      </c>
    </row>
    <row r="368" spans="1:2" x14ac:dyDescent="0.2">
      <c r="A368" s="329">
        <v>993</v>
      </c>
      <c r="B368" s="98" t="s">
        <v>1570</v>
      </c>
    </row>
    <row r="369" spans="1:2" x14ac:dyDescent="0.2">
      <c r="A369" s="329">
        <v>994</v>
      </c>
      <c r="B369" s="98" t="s">
        <v>1571</v>
      </c>
    </row>
    <row r="370" spans="1:2" x14ac:dyDescent="0.2">
      <c r="A370" s="329">
        <v>995</v>
      </c>
      <c r="B370" s="98" t="s">
        <v>1572</v>
      </c>
    </row>
    <row r="371" spans="1:2" x14ac:dyDescent="0.2">
      <c r="A371" s="329">
        <v>996</v>
      </c>
      <c r="B371" s="98" t="s">
        <v>1573</v>
      </c>
    </row>
    <row r="372" spans="1:2" x14ac:dyDescent="0.2">
      <c r="A372" s="329">
        <v>997</v>
      </c>
      <c r="B372" s="98" t="s">
        <v>1574</v>
      </c>
    </row>
    <row r="373" spans="1:2" x14ac:dyDescent="0.2">
      <c r="A373" s="329">
        <v>998</v>
      </c>
      <c r="B373" s="98" t="s">
        <v>1575</v>
      </c>
    </row>
    <row r="374" spans="1:2" x14ac:dyDescent="0.2">
      <c r="A374" s="329">
        <v>999</v>
      </c>
      <c r="B374" s="98" t="s">
        <v>1576</v>
      </c>
    </row>
    <row r="375" spans="1:2" x14ac:dyDescent="0.2">
      <c r="A375" s="329">
        <v>1000</v>
      </c>
      <c r="B375" s="98" t="s">
        <v>1577</v>
      </c>
    </row>
    <row r="376" spans="1:2" x14ac:dyDescent="0.2">
      <c r="A376" s="329">
        <v>1001</v>
      </c>
      <c r="B376" s="98" t="s">
        <v>1578</v>
      </c>
    </row>
    <row r="377" spans="1:2" x14ac:dyDescent="0.2">
      <c r="A377" s="329">
        <v>1002</v>
      </c>
      <c r="B377" s="98" t="s">
        <v>1579</v>
      </c>
    </row>
    <row r="378" spans="1:2" x14ac:dyDescent="0.2">
      <c r="A378" s="329">
        <v>1003</v>
      </c>
      <c r="B378" s="98" t="s">
        <v>1580</v>
      </c>
    </row>
    <row r="379" spans="1:2" x14ac:dyDescent="0.2">
      <c r="A379" s="329">
        <v>1004</v>
      </c>
      <c r="B379" s="98" t="s">
        <v>1581</v>
      </c>
    </row>
    <row r="380" spans="1:2" x14ac:dyDescent="0.2">
      <c r="A380" s="329">
        <v>1005</v>
      </c>
      <c r="B380" s="98" t="s">
        <v>1582</v>
      </c>
    </row>
    <row r="381" spans="1:2" x14ac:dyDescent="0.2">
      <c r="A381" s="329">
        <v>1006</v>
      </c>
      <c r="B381" s="98" t="s">
        <v>1583</v>
      </c>
    </row>
    <row r="382" spans="1:2" x14ac:dyDescent="0.2">
      <c r="A382" s="329">
        <v>1007</v>
      </c>
      <c r="B382" s="98" t="s">
        <v>1584</v>
      </c>
    </row>
    <row r="383" spans="1:2" x14ac:dyDescent="0.2">
      <c r="A383" s="329">
        <v>1008</v>
      </c>
      <c r="B383" s="98" t="s">
        <v>1585</v>
      </c>
    </row>
    <row r="384" spans="1:2" x14ac:dyDescent="0.2">
      <c r="A384" s="329">
        <v>1009</v>
      </c>
      <c r="B384" s="98" t="s">
        <v>1586</v>
      </c>
    </row>
    <row r="385" spans="1:2" x14ac:dyDescent="0.2">
      <c r="A385" s="329">
        <v>1010</v>
      </c>
      <c r="B385" s="98" t="s">
        <v>1587</v>
      </c>
    </row>
    <row r="386" spans="1:2" x14ac:dyDescent="0.2">
      <c r="A386" s="329">
        <v>1011</v>
      </c>
      <c r="B386" s="98" t="s">
        <v>1588</v>
      </c>
    </row>
    <row r="387" spans="1:2" x14ac:dyDescent="0.2">
      <c r="A387" s="329">
        <v>1012</v>
      </c>
      <c r="B387" s="98" t="s">
        <v>1589</v>
      </c>
    </row>
    <row r="388" spans="1:2" x14ac:dyDescent="0.2">
      <c r="A388" s="329">
        <v>1013</v>
      </c>
      <c r="B388" s="98" t="s">
        <v>1590</v>
      </c>
    </row>
    <row r="389" spans="1:2" x14ac:dyDescent="0.2">
      <c r="A389" s="329">
        <v>1014</v>
      </c>
      <c r="B389" s="1092" t="s">
        <v>247</v>
      </c>
    </row>
    <row r="390" spans="1:2" x14ac:dyDescent="0.2">
      <c r="A390" s="329">
        <v>1015</v>
      </c>
      <c r="B390" s="98" t="s">
        <v>1591</v>
      </c>
    </row>
    <row r="391" spans="1:2" x14ac:dyDescent="0.2">
      <c r="A391" s="329">
        <v>1016</v>
      </c>
      <c r="B391" s="98" t="s">
        <v>1592</v>
      </c>
    </row>
    <row r="392" spans="1:2" x14ac:dyDescent="0.2">
      <c r="A392" s="329">
        <v>1017</v>
      </c>
      <c r="B392" s="98" t="s">
        <v>1593</v>
      </c>
    </row>
    <row r="393" spans="1:2" x14ac:dyDescent="0.2">
      <c r="A393" s="329">
        <v>1018</v>
      </c>
      <c r="B393" s="98" t="s">
        <v>1594</v>
      </c>
    </row>
    <row r="394" spans="1:2" x14ac:dyDescent="0.2">
      <c r="A394" s="329">
        <v>1019</v>
      </c>
      <c r="B394" s="98" t="s">
        <v>1595</v>
      </c>
    </row>
    <row r="395" spans="1:2" x14ac:dyDescent="0.2">
      <c r="A395" s="329">
        <v>1020</v>
      </c>
      <c r="B395" s="98" t="s">
        <v>1596</v>
      </c>
    </row>
    <row r="396" spans="1:2" x14ac:dyDescent="0.2">
      <c r="A396" s="329">
        <v>1021</v>
      </c>
      <c r="B396" s="98" t="s">
        <v>1597</v>
      </c>
    </row>
    <row r="397" spans="1:2" x14ac:dyDescent="0.2">
      <c r="A397" s="329">
        <v>1022</v>
      </c>
      <c r="B397" s="98" t="s">
        <v>1598</v>
      </c>
    </row>
    <row r="398" spans="1:2" x14ac:dyDescent="0.2">
      <c r="A398" s="329">
        <v>1023</v>
      </c>
      <c r="B398" s="98" t="s">
        <v>1599</v>
      </c>
    </row>
    <row r="399" spans="1:2" x14ac:dyDescent="0.2">
      <c r="A399" s="329">
        <v>1024</v>
      </c>
      <c r="B399" s="98" t="s">
        <v>1600</v>
      </c>
    </row>
    <row r="400" spans="1:2" x14ac:dyDescent="0.2">
      <c r="A400" s="329">
        <v>1025</v>
      </c>
      <c r="B400" s="98" t="s">
        <v>1601</v>
      </c>
    </row>
    <row r="401" spans="1:2" x14ac:dyDescent="0.2">
      <c r="A401" s="329">
        <v>1026</v>
      </c>
      <c r="B401" s="98" t="s">
        <v>1602</v>
      </c>
    </row>
    <row r="402" spans="1:2" x14ac:dyDescent="0.2">
      <c r="A402" s="329">
        <v>1027</v>
      </c>
      <c r="B402" s="98" t="s">
        <v>1603</v>
      </c>
    </row>
    <row r="403" spans="1:2" x14ac:dyDescent="0.2">
      <c r="A403" s="329">
        <v>1028</v>
      </c>
      <c r="B403" s="98" t="s">
        <v>1604</v>
      </c>
    </row>
    <row r="404" spans="1:2" x14ac:dyDescent="0.2">
      <c r="A404" s="329">
        <v>1030</v>
      </c>
      <c r="B404" s="98" t="s">
        <v>1605</v>
      </c>
    </row>
    <row r="405" spans="1:2" x14ac:dyDescent="0.2">
      <c r="A405" s="329">
        <v>1031</v>
      </c>
      <c r="B405" s="98" t="s">
        <v>1606</v>
      </c>
    </row>
    <row r="406" spans="1:2" x14ac:dyDescent="0.2">
      <c r="A406" s="329">
        <v>1032</v>
      </c>
      <c r="B406" s="98" t="s">
        <v>1607</v>
      </c>
    </row>
    <row r="407" spans="1:2" x14ac:dyDescent="0.2">
      <c r="A407" s="329">
        <v>1033</v>
      </c>
      <c r="B407" s="98" t="s">
        <v>1608</v>
      </c>
    </row>
    <row r="408" spans="1:2" x14ac:dyDescent="0.2">
      <c r="A408" s="329">
        <v>1034</v>
      </c>
      <c r="B408" s="98" t="s">
        <v>1609</v>
      </c>
    </row>
    <row r="409" spans="1:2" x14ac:dyDescent="0.2">
      <c r="A409" s="329">
        <v>1035</v>
      </c>
      <c r="B409" s="98" t="s">
        <v>1610</v>
      </c>
    </row>
    <row r="410" spans="1:2" x14ac:dyDescent="0.2">
      <c r="A410" s="329">
        <v>1036</v>
      </c>
      <c r="B410" s="98" t="s">
        <v>1611</v>
      </c>
    </row>
    <row r="411" spans="1:2" x14ac:dyDescent="0.2">
      <c r="A411" s="329">
        <v>1037</v>
      </c>
      <c r="B411" s="98" t="s">
        <v>1612</v>
      </c>
    </row>
    <row r="412" spans="1:2" x14ac:dyDescent="0.2">
      <c r="A412" s="329">
        <v>1038</v>
      </c>
      <c r="B412" s="98" t="s">
        <v>1613</v>
      </c>
    </row>
    <row r="413" spans="1:2" x14ac:dyDescent="0.2">
      <c r="A413" s="329">
        <v>1039</v>
      </c>
      <c r="B413" s="98" t="s">
        <v>1614</v>
      </c>
    </row>
    <row r="414" spans="1:2" x14ac:dyDescent="0.2">
      <c r="A414" s="329">
        <v>1040</v>
      </c>
      <c r="B414" s="98" t="s">
        <v>1615</v>
      </c>
    </row>
    <row r="415" spans="1:2" x14ac:dyDescent="0.2">
      <c r="A415" s="329">
        <v>1041</v>
      </c>
      <c r="B415" s="98" t="s">
        <v>1616</v>
      </c>
    </row>
    <row r="416" spans="1:2" x14ac:dyDescent="0.2">
      <c r="A416" s="329">
        <v>1042</v>
      </c>
      <c r="B416" s="98" t="s">
        <v>1617</v>
      </c>
    </row>
    <row r="417" spans="1:2" x14ac:dyDescent="0.2">
      <c r="A417" s="329">
        <v>1043</v>
      </c>
      <c r="B417" s="98" t="s">
        <v>1618</v>
      </c>
    </row>
    <row r="418" spans="1:2" x14ac:dyDescent="0.2">
      <c r="A418" s="329">
        <v>1044</v>
      </c>
      <c r="B418" s="98" t="s">
        <v>1619</v>
      </c>
    </row>
    <row r="419" spans="1:2" x14ac:dyDescent="0.2">
      <c r="A419" s="329">
        <v>1045</v>
      </c>
      <c r="B419" s="98" t="s">
        <v>1620</v>
      </c>
    </row>
    <row r="420" spans="1:2" x14ac:dyDescent="0.2">
      <c r="A420" s="329">
        <v>1046</v>
      </c>
      <c r="B420" s="98" t="s">
        <v>1621</v>
      </c>
    </row>
    <row r="421" spans="1:2" x14ac:dyDescent="0.2">
      <c r="A421" s="329">
        <v>1047</v>
      </c>
      <c r="B421" s="98" t="s">
        <v>1622</v>
      </c>
    </row>
    <row r="422" spans="1:2" x14ac:dyDescent="0.2">
      <c r="A422" s="329">
        <v>1048</v>
      </c>
      <c r="B422" s="98" t="s">
        <v>937</v>
      </c>
    </row>
    <row r="423" spans="1:2" x14ac:dyDescent="0.2">
      <c r="A423" s="329">
        <v>1049</v>
      </c>
      <c r="B423" s="98" t="s">
        <v>1623</v>
      </c>
    </row>
    <row r="424" spans="1:2" x14ac:dyDescent="0.2">
      <c r="A424" s="329">
        <v>1050</v>
      </c>
      <c r="B424" s="98" t="s">
        <v>1624</v>
      </c>
    </row>
    <row r="425" spans="1:2" x14ac:dyDescent="0.2">
      <c r="A425" s="329">
        <v>1051</v>
      </c>
      <c r="B425" s="98" t="s">
        <v>1475</v>
      </c>
    </row>
    <row r="426" spans="1:2" x14ac:dyDescent="0.2">
      <c r="A426" s="329">
        <v>1052</v>
      </c>
      <c r="B426" s="98" t="s">
        <v>1625</v>
      </c>
    </row>
    <row r="427" spans="1:2" x14ac:dyDescent="0.2">
      <c r="A427" s="329">
        <v>1053</v>
      </c>
      <c r="B427" s="98" t="s">
        <v>1626</v>
      </c>
    </row>
    <row r="428" spans="1:2" x14ac:dyDescent="0.2">
      <c r="A428" s="329">
        <v>1054</v>
      </c>
      <c r="B428" s="98" t="s">
        <v>1627</v>
      </c>
    </row>
    <row r="429" spans="1:2" x14ac:dyDescent="0.2">
      <c r="A429" s="329">
        <v>1055</v>
      </c>
      <c r="B429" s="98" t="s">
        <v>1628</v>
      </c>
    </row>
    <row r="430" spans="1:2" x14ac:dyDescent="0.2">
      <c r="A430" s="329">
        <v>1056</v>
      </c>
      <c r="B430" s="98" t="s">
        <v>1629</v>
      </c>
    </row>
    <row r="431" spans="1:2" x14ac:dyDescent="0.2">
      <c r="A431" s="329">
        <v>1057</v>
      </c>
      <c r="B431" s="98" t="s">
        <v>1630</v>
      </c>
    </row>
    <row r="432" spans="1:2" x14ac:dyDescent="0.2">
      <c r="A432" s="329">
        <v>1058</v>
      </c>
      <c r="B432" s="1091" t="s">
        <v>1631</v>
      </c>
    </row>
    <row r="433" spans="1:2" x14ac:dyDescent="0.2">
      <c r="A433" s="329">
        <v>1059</v>
      </c>
      <c r="B433" s="1091" t="s">
        <v>1632</v>
      </c>
    </row>
    <row r="434" spans="1:2" ht="38.25" x14ac:dyDescent="0.2">
      <c r="A434" s="329">
        <v>1061</v>
      </c>
      <c r="B434" s="107" t="s">
        <v>1633</v>
      </c>
    </row>
    <row r="435" spans="1:2" ht="25.5" x14ac:dyDescent="0.2">
      <c r="A435" s="329">
        <v>1062</v>
      </c>
      <c r="B435" s="107" t="s">
        <v>1634</v>
      </c>
    </row>
    <row r="436" spans="1:2" ht="38.25" x14ac:dyDescent="0.2">
      <c r="A436" s="329">
        <v>1063</v>
      </c>
      <c r="B436" s="107" t="s">
        <v>1635</v>
      </c>
    </row>
    <row r="437" spans="1:2" ht="25.5" x14ac:dyDescent="0.2">
      <c r="A437" s="329">
        <v>1064</v>
      </c>
      <c r="B437" s="107" t="s">
        <v>1636</v>
      </c>
    </row>
    <row r="438" spans="1:2" x14ac:dyDescent="0.2">
      <c r="A438" s="329">
        <v>1065</v>
      </c>
      <c r="B438" s="107" t="s">
        <v>1254</v>
      </c>
    </row>
    <row r="439" spans="1:2" ht="25.5" x14ac:dyDescent="0.2">
      <c r="A439" s="329">
        <v>1067</v>
      </c>
      <c r="B439" s="107" t="s">
        <v>1637</v>
      </c>
    </row>
    <row r="440" spans="1:2" ht="51" x14ac:dyDescent="0.2">
      <c r="A440" s="329">
        <v>1068</v>
      </c>
      <c r="B440" s="107" t="s">
        <v>1638</v>
      </c>
    </row>
    <row r="441" spans="1:2" x14ac:dyDescent="0.2">
      <c r="A441" s="329">
        <v>1069</v>
      </c>
      <c r="B441" s="107" t="s">
        <v>1639</v>
      </c>
    </row>
    <row r="442" spans="1:2" ht="38.25" x14ac:dyDescent="0.2">
      <c r="A442" s="329">
        <v>1070</v>
      </c>
      <c r="B442" s="107" t="s">
        <v>1640</v>
      </c>
    </row>
    <row r="443" spans="1:2" x14ac:dyDescent="0.2">
      <c r="A443" s="329">
        <v>1072</v>
      </c>
      <c r="B443" s="107" t="s">
        <v>1641</v>
      </c>
    </row>
    <row r="444" spans="1:2" ht="25.5" x14ac:dyDescent="0.2">
      <c r="A444" s="329">
        <v>1074</v>
      </c>
      <c r="B444" s="107" t="s">
        <v>1642</v>
      </c>
    </row>
    <row r="445" spans="1:2" ht="25.5" x14ac:dyDescent="0.2">
      <c r="A445" s="329">
        <v>1075</v>
      </c>
      <c r="B445" s="107" t="s">
        <v>1643</v>
      </c>
    </row>
    <row r="446" spans="1:2" x14ac:dyDescent="0.2">
      <c r="A446" s="329">
        <v>1077</v>
      </c>
      <c r="B446" s="107" t="s">
        <v>1644</v>
      </c>
    </row>
    <row r="447" spans="1:2" x14ac:dyDescent="0.2">
      <c r="A447" s="329">
        <v>1078</v>
      </c>
      <c r="B447" s="107" t="s">
        <v>1645</v>
      </c>
    </row>
    <row r="448" spans="1:2" ht="51" x14ac:dyDescent="0.2">
      <c r="A448" s="329">
        <v>1079</v>
      </c>
      <c r="B448" s="107" t="s">
        <v>1646</v>
      </c>
    </row>
    <row r="449" spans="1:2" x14ac:dyDescent="0.2">
      <c r="A449" s="329">
        <v>1081</v>
      </c>
      <c r="B449" s="107" t="s">
        <v>1647</v>
      </c>
    </row>
    <row r="450" spans="1:2" x14ac:dyDescent="0.2">
      <c r="A450" s="329">
        <v>1082</v>
      </c>
      <c r="B450" s="107" t="s">
        <v>1648</v>
      </c>
    </row>
    <row r="451" spans="1:2" ht="25.5" x14ac:dyDescent="0.2">
      <c r="A451" s="329">
        <v>1083</v>
      </c>
      <c r="B451" s="107" t="s">
        <v>1649</v>
      </c>
    </row>
    <row r="452" spans="1:2" x14ac:dyDescent="0.2">
      <c r="A452" s="329">
        <v>1084</v>
      </c>
      <c r="B452" s="107" t="s">
        <v>1650</v>
      </c>
    </row>
    <row r="453" spans="1:2" ht="25.5" x14ac:dyDescent="0.2">
      <c r="A453" s="329">
        <v>1085</v>
      </c>
      <c r="B453" s="107" t="s">
        <v>1651</v>
      </c>
    </row>
    <row r="454" spans="1:2" ht="25.5" x14ac:dyDescent="0.2">
      <c r="A454" s="329">
        <v>1086</v>
      </c>
      <c r="B454" s="107" t="s">
        <v>1652</v>
      </c>
    </row>
    <row r="455" spans="1:2" ht="25.5" x14ac:dyDescent="0.2">
      <c r="A455" s="329">
        <v>1087</v>
      </c>
      <c r="B455" s="107" t="s">
        <v>1653</v>
      </c>
    </row>
    <row r="456" spans="1:2" x14ac:dyDescent="0.2">
      <c r="A456" s="329">
        <v>1088</v>
      </c>
      <c r="B456" s="107" t="s">
        <v>1654</v>
      </c>
    </row>
    <row r="457" spans="1:2" ht="25.5" x14ac:dyDescent="0.2">
      <c r="A457" s="329">
        <v>1089</v>
      </c>
      <c r="B457" s="107" t="s">
        <v>1655</v>
      </c>
    </row>
    <row r="458" spans="1:2" ht="25.5" x14ac:dyDescent="0.2">
      <c r="A458" s="329">
        <v>1090</v>
      </c>
      <c r="B458" s="107" t="s">
        <v>1656</v>
      </c>
    </row>
    <row r="459" spans="1:2" x14ac:dyDescent="0.2">
      <c r="A459" s="329">
        <v>1091</v>
      </c>
      <c r="B459" s="107" t="s">
        <v>1657</v>
      </c>
    </row>
    <row r="460" spans="1:2" ht="25.5" x14ac:dyDescent="0.2">
      <c r="A460" s="329">
        <v>1093</v>
      </c>
      <c r="B460" s="107" t="s">
        <v>1658</v>
      </c>
    </row>
    <row r="461" spans="1:2" ht="38.25" x14ac:dyDescent="0.2">
      <c r="A461" s="329">
        <v>1094</v>
      </c>
      <c r="B461" s="107" t="s">
        <v>1659</v>
      </c>
    </row>
    <row r="462" spans="1:2" ht="25.5" x14ac:dyDescent="0.2">
      <c r="A462" s="329">
        <v>1097</v>
      </c>
      <c r="B462" s="107" t="s">
        <v>1660</v>
      </c>
    </row>
    <row r="463" spans="1:2" ht="51" x14ac:dyDescent="0.2">
      <c r="A463" s="329">
        <v>1099</v>
      </c>
      <c r="B463" s="107" t="s">
        <v>1661</v>
      </c>
    </row>
    <row r="464" spans="1:2" ht="25.5" x14ac:dyDescent="0.2">
      <c r="A464" s="329">
        <v>1101</v>
      </c>
      <c r="B464" s="107" t="s">
        <v>1662</v>
      </c>
    </row>
    <row r="465" spans="1:2" ht="51" x14ac:dyDescent="0.2">
      <c r="A465" s="329">
        <v>1102</v>
      </c>
      <c r="B465" s="107" t="s">
        <v>1663</v>
      </c>
    </row>
    <row r="466" spans="1:2" ht="63.75" x14ac:dyDescent="0.2">
      <c r="A466" s="329">
        <v>1104</v>
      </c>
      <c r="B466" s="107" t="s">
        <v>1664</v>
      </c>
    </row>
    <row r="467" spans="1:2" ht="38.25" x14ac:dyDescent="0.2">
      <c r="A467" s="329">
        <v>1106</v>
      </c>
      <c r="B467" s="107" t="s">
        <v>1665</v>
      </c>
    </row>
    <row r="468" spans="1:2" x14ac:dyDescent="0.2">
      <c r="A468" s="329">
        <v>1107</v>
      </c>
      <c r="B468" s="1091" t="s">
        <v>1666</v>
      </c>
    </row>
    <row r="469" spans="1:2" ht="25.5" x14ac:dyDescent="0.2">
      <c r="A469" s="329">
        <v>1109</v>
      </c>
      <c r="B469" s="107" t="s">
        <v>1667</v>
      </c>
    </row>
    <row r="470" spans="1:2" ht="38.25" x14ac:dyDescent="0.2">
      <c r="A470" s="329">
        <v>1110</v>
      </c>
      <c r="B470" s="98" t="s">
        <v>1668</v>
      </c>
    </row>
    <row r="471" spans="1:2" x14ac:dyDescent="0.2">
      <c r="A471" s="329">
        <v>1111</v>
      </c>
      <c r="B471" s="107" t="s">
        <v>1669</v>
      </c>
    </row>
    <row r="472" spans="1:2" x14ac:dyDescent="0.2">
      <c r="A472" s="329">
        <v>1112</v>
      </c>
      <c r="B472" s="1091" t="s">
        <v>1393</v>
      </c>
    </row>
    <row r="473" spans="1:2" ht="51" x14ac:dyDescent="0.2">
      <c r="A473" s="329">
        <v>1113</v>
      </c>
      <c r="B473" s="107" t="s">
        <v>1670</v>
      </c>
    </row>
    <row r="474" spans="1:2" ht="25.5" x14ac:dyDescent="0.2">
      <c r="A474" s="329">
        <v>1114</v>
      </c>
      <c r="B474" s="107" t="s">
        <v>1671</v>
      </c>
    </row>
    <row r="475" spans="1:2" ht="76.5" x14ac:dyDescent="0.2">
      <c r="A475" s="329">
        <v>1115</v>
      </c>
      <c r="B475" s="98" t="s">
        <v>1672</v>
      </c>
    </row>
    <row r="476" spans="1:2" x14ac:dyDescent="0.2">
      <c r="A476" s="329">
        <v>1116</v>
      </c>
      <c r="B476" s="107" t="s">
        <v>1673</v>
      </c>
    </row>
    <row r="477" spans="1:2" x14ac:dyDescent="0.2">
      <c r="A477" s="329">
        <v>1117</v>
      </c>
      <c r="B477" s="1091" t="s">
        <v>1378</v>
      </c>
    </row>
    <row r="478" spans="1:2" ht="25.5" x14ac:dyDescent="0.2">
      <c r="A478" s="329">
        <v>1118</v>
      </c>
      <c r="B478" s="107" t="s">
        <v>1674</v>
      </c>
    </row>
    <row r="479" spans="1:2" x14ac:dyDescent="0.2">
      <c r="A479" s="329">
        <v>1119</v>
      </c>
      <c r="B479" s="107" t="s">
        <v>1675</v>
      </c>
    </row>
    <row r="480" spans="1:2" x14ac:dyDescent="0.2">
      <c r="A480" s="329">
        <v>1120</v>
      </c>
      <c r="B480" s="107" t="s">
        <v>1676</v>
      </c>
    </row>
    <row r="481" spans="1:3" ht="25.5" x14ac:dyDescent="0.2">
      <c r="A481" s="329">
        <v>1121</v>
      </c>
      <c r="B481" s="107" t="s">
        <v>1677</v>
      </c>
    </row>
    <row r="482" spans="1:3" ht="51" x14ac:dyDescent="0.2">
      <c r="A482" s="329">
        <v>1122</v>
      </c>
      <c r="B482" s="107" t="s">
        <v>1678</v>
      </c>
    </row>
    <row r="483" spans="1:3" x14ac:dyDescent="0.2">
      <c r="A483" s="329">
        <v>1124</v>
      </c>
      <c r="B483" s="107" t="s">
        <v>1679</v>
      </c>
    </row>
    <row r="484" spans="1:3" x14ac:dyDescent="0.2">
      <c r="A484" s="329">
        <v>1127</v>
      </c>
      <c r="B484" s="107" t="s">
        <v>1680</v>
      </c>
    </row>
    <row r="485" spans="1:3" ht="51" x14ac:dyDescent="0.2">
      <c r="A485" s="329">
        <v>1128</v>
      </c>
      <c r="B485" s="107" t="s">
        <v>1681</v>
      </c>
    </row>
    <row r="486" spans="1:3" ht="51" x14ac:dyDescent="0.2">
      <c r="A486" s="329">
        <v>1129</v>
      </c>
      <c r="B486" s="107" t="s">
        <v>1682</v>
      </c>
    </row>
    <row r="487" spans="1:3" x14ac:dyDescent="0.2">
      <c r="A487" s="329">
        <v>1130</v>
      </c>
      <c r="B487" s="1091" t="s">
        <v>1683</v>
      </c>
    </row>
    <row r="488" spans="1:3" x14ac:dyDescent="0.2">
      <c r="A488" s="329">
        <v>1131</v>
      </c>
      <c r="B488" s="1092" t="s">
        <v>292</v>
      </c>
    </row>
    <row r="489" spans="1:3" x14ac:dyDescent="0.2">
      <c r="A489" s="329">
        <v>1132</v>
      </c>
      <c r="B489" s="1093" t="s">
        <v>1541</v>
      </c>
    </row>
    <row r="490" spans="1:3" ht="26.25" x14ac:dyDescent="0.2">
      <c r="A490" s="329">
        <v>2000</v>
      </c>
      <c r="B490" s="1143" t="s">
        <v>1763</v>
      </c>
      <c r="C490" s="1144"/>
    </row>
    <row r="491" spans="1:3" x14ac:dyDescent="0.2">
      <c r="A491" s="329">
        <v>2001</v>
      </c>
      <c r="B491" t="s">
        <v>609</v>
      </c>
      <c r="C491" s="1144"/>
    </row>
    <row r="492" spans="1:3" x14ac:dyDescent="0.2">
      <c r="A492" s="329">
        <v>2002</v>
      </c>
      <c r="B492" t="s">
        <v>610</v>
      </c>
      <c r="C492" s="1144"/>
    </row>
    <row r="493" spans="1:3" x14ac:dyDescent="0.2">
      <c r="A493" s="329">
        <v>2003</v>
      </c>
      <c r="B493" t="s">
        <v>611</v>
      </c>
      <c r="C493" s="1144"/>
    </row>
    <row r="494" spans="1:3" x14ac:dyDescent="0.2">
      <c r="A494" s="329">
        <v>2004</v>
      </c>
      <c r="B494" t="s">
        <v>612</v>
      </c>
      <c r="C494" s="1144"/>
    </row>
    <row r="495" spans="1:3" x14ac:dyDescent="0.2">
      <c r="A495" s="329">
        <v>2005</v>
      </c>
      <c r="B495" t="s">
        <v>613</v>
      </c>
      <c r="C495" s="1144"/>
    </row>
    <row r="496" spans="1:3" x14ac:dyDescent="0.2">
      <c r="A496" s="329">
        <v>2006</v>
      </c>
      <c r="B496" t="s">
        <v>614</v>
      </c>
      <c r="C496" s="1144"/>
    </row>
    <row r="497" spans="1:3" x14ac:dyDescent="0.2">
      <c r="A497" s="329">
        <v>2007</v>
      </c>
      <c r="B497" t="s">
        <v>615</v>
      </c>
      <c r="C497" s="1144"/>
    </row>
    <row r="498" spans="1:3" x14ac:dyDescent="0.2">
      <c r="A498" s="329">
        <v>2008</v>
      </c>
      <c r="B498" t="s">
        <v>616</v>
      </c>
      <c r="C498" s="1144"/>
    </row>
    <row r="499" spans="1:3" x14ac:dyDescent="0.2">
      <c r="A499" s="329">
        <v>2009</v>
      </c>
      <c r="B499" t="s">
        <v>617</v>
      </c>
      <c r="C499" s="1144"/>
    </row>
    <row r="500" spans="1:3" x14ac:dyDescent="0.2">
      <c r="A500" s="329">
        <v>2010</v>
      </c>
      <c r="B500" t="s">
        <v>618</v>
      </c>
      <c r="C500" s="1144"/>
    </row>
    <row r="501" spans="1:3" x14ac:dyDescent="0.2">
      <c r="A501" s="329">
        <v>2011</v>
      </c>
      <c r="B501" t="s">
        <v>619</v>
      </c>
      <c r="C501" s="1144"/>
    </row>
    <row r="502" spans="1:3" x14ac:dyDescent="0.2">
      <c r="A502" s="329">
        <v>2012</v>
      </c>
      <c r="B502" t="s">
        <v>620</v>
      </c>
      <c r="C502" s="1144"/>
    </row>
    <row r="503" spans="1:3" x14ac:dyDescent="0.2">
      <c r="A503" s="329">
        <v>2013</v>
      </c>
      <c r="B503" t="s">
        <v>621</v>
      </c>
      <c r="C503" s="1144"/>
    </row>
    <row r="504" spans="1:3" x14ac:dyDescent="0.2">
      <c r="A504" s="329">
        <v>2014</v>
      </c>
      <c r="B504" t="s">
        <v>622</v>
      </c>
      <c r="C504" s="1144"/>
    </row>
    <row r="505" spans="1:3" x14ac:dyDescent="0.2">
      <c r="A505" s="329">
        <v>2015</v>
      </c>
      <c r="B505" t="s">
        <v>623</v>
      </c>
      <c r="C505" s="1144"/>
    </row>
    <row r="506" spans="1:3" x14ac:dyDescent="0.2">
      <c r="A506" s="329">
        <v>2016</v>
      </c>
      <c r="B506" t="s">
        <v>624</v>
      </c>
      <c r="C506" s="1144"/>
    </row>
    <row r="507" spans="1:3" x14ac:dyDescent="0.2">
      <c r="A507" s="329">
        <v>2017</v>
      </c>
      <c r="B507" t="s">
        <v>625</v>
      </c>
      <c r="C507" s="1144"/>
    </row>
    <row r="508" spans="1:3" x14ac:dyDescent="0.2">
      <c r="A508" s="329">
        <v>2018</v>
      </c>
      <c r="B508" s="1145" t="s">
        <v>626</v>
      </c>
      <c r="C508" s="1144"/>
    </row>
    <row r="509" spans="1:3" ht="25.5" x14ac:dyDescent="0.2">
      <c r="A509" s="329">
        <v>2019</v>
      </c>
      <c r="B509" s="1125" t="s">
        <v>627</v>
      </c>
      <c r="C509" s="1144"/>
    </row>
    <row r="510" spans="1:3" ht="51" x14ac:dyDescent="0.2">
      <c r="A510" s="329">
        <v>2020</v>
      </c>
      <c r="B510" s="306" t="s">
        <v>628</v>
      </c>
      <c r="C510" s="1144"/>
    </row>
    <row r="511" spans="1:3" x14ac:dyDescent="0.2">
      <c r="A511" s="329">
        <v>2021</v>
      </c>
      <c r="B511" s="306" t="s">
        <v>629</v>
      </c>
      <c r="C511" s="1144"/>
    </row>
    <row r="512" spans="1:3" ht="25.5" x14ac:dyDescent="0.2">
      <c r="A512" s="329">
        <v>2022</v>
      </c>
      <c r="B512" s="1126" t="s">
        <v>630</v>
      </c>
      <c r="C512" s="1144"/>
    </row>
    <row r="513" spans="1:3" x14ac:dyDescent="0.2">
      <c r="A513" s="329">
        <v>2023</v>
      </c>
      <c r="B513" s="306" t="s">
        <v>631</v>
      </c>
      <c r="C513" s="1144"/>
    </row>
    <row r="514" spans="1:3" ht="38.25" x14ac:dyDescent="0.2">
      <c r="A514" s="329">
        <v>2024</v>
      </c>
      <c r="B514" s="306" t="s">
        <v>632</v>
      </c>
      <c r="C514" s="1144"/>
    </row>
    <row r="515" spans="1:3" ht="25.5" x14ac:dyDescent="0.2">
      <c r="A515" s="329">
        <v>2025</v>
      </c>
      <c r="B515" s="279" t="s">
        <v>633</v>
      </c>
      <c r="C515" s="1144"/>
    </row>
    <row r="516" spans="1:3" x14ac:dyDescent="0.2">
      <c r="A516" s="329">
        <v>2026</v>
      </c>
      <c r="B516" s="306" t="s">
        <v>634</v>
      </c>
      <c r="C516" s="1144"/>
    </row>
    <row r="517" spans="1:3" x14ac:dyDescent="0.2">
      <c r="A517" s="329">
        <v>2027</v>
      </c>
      <c r="B517" s="279" t="s">
        <v>635</v>
      </c>
      <c r="C517" s="1144"/>
    </row>
    <row r="518" spans="1:3" x14ac:dyDescent="0.2">
      <c r="A518" s="329">
        <v>2028</v>
      </c>
      <c r="B518" s="279" t="s">
        <v>636</v>
      </c>
      <c r="C518" s="1144"/>
    </row>
    <row r="519" spans="1:3" ht="25.5" x14ac:dyDescent="0.2">
      <c r="A519" s="329">
        <v>2029</v>
      </c>
      <c r="B519" s="279" t="s">
        <v>637</v>
      </c>
      <c r="C519" s="1144"/>
    </row>
    <row r="520" spans="1:3" ht="36" x14ac:dyDescent="0.2">
      <c r="A520" s="329">
        <v>2030</v>
      </c>
      <c r="B520" s="1127" t="s">
        <v>1762</v>
      </c>
      <c r="C520" s="1144"/>
    </row>
    <row r="521" spans="1:3" x14ac:dyDescent="0.2">
      <c r="A521" s="329">
        <v>2031</v>
      </c>
      <c r="B521" t="s">
        <v>572</v>
      </c>
      <c r="C521" s="1144"/>
    </row>
    <row r="522" spans="1:3" x14ac:dyDescent="0.2">
      <c r="A522" s="329">
        <v>2032</v>
      </c>
      <c r="B522" s="306" t="s">
        <v>638</v>
      </c>
      <c r="C522" s="1144"/>
    </row>
    <row r="523" spans="1:3" ht="25.5" x14ac:dyDescent="0.2">
      <c r="A523" s="329">
        <v>2033</v>
      </c>
      <c r="B523" s="306" t="s">
        <v>639</v>
      </c>
      <c r="C523" s="1144"/>
    </row>
    <row r="524" spans="1:3" ht="76.5" x14ac:dyDescent="0.2">
      <c r="A524" s="329">
        <v>2034</v>
      </c>
      <c r="B524" s="279" t="s">
        <v>640</v>
      </c>
      <c r="C524" s="1144"/>
    </row>
    <row r="525" spans="1:3" ht="25.5" x14ac:dyDescent="0.2">
      <c r="A525" s="329">
        <v>2035</v>
      </c>
      <c r="B525" s="306" t="s">
        <v>641</v>
      </c>
      <c r="C525" s="1144"/>
    </row>
    <row r="526" spans="1:3" ht="38.25" x14ac:dyDescent="0.2">
      <c r="A526" s="329">
        <v>2036</v>
      </c>
      <c r="B526" s="311" t="s">
        <v>642</v>
      </c>
      <c r="C526" s="1144"/>
    </row>
    <row r="527" spans="1:3" ht="25.5" x14ac:dyDescent="0.2">
      <c r="A527" s="329">
        <v>2037</v>
      </c>
      <c r="B527" s="312" t="s">
        <v>643</v>
      </c>
      <c r="C527" s="1144"/>
    </row>
    <row r="528" spans="1:3" x14ac:dyDescent="0.2">
      <c r="A528" s="329">
        <v>2038</v>
      </c>
      <c r="B528" s="312" t="s">
        <v>644</v>
      </c>
      <c r="C528" s="1144"/>
    </row>
    <row r="529" spans="1:3" x14ac:dyDescent="0.2">
      <c r="A529" s="329">
        <v>2039</v>
      </c>
      <c r="B529" s="306" t="s">
        <v>645</v>
      </c>
      <c r="C529" s="1144"/>
    </row>
    <row r="530" spans="1:3" ht="38.25" x14ac:dyDescent="0.2">
      <c r="A530" s="329">
        <v>2040</v>
      </c>
      <c r="B530" s="277" t="s">
        <v>646</v>
      </c>
      <c r="C530" s="1144"/>
    </row>
    <row r="531" spans="1:3" ht="39" thickBot="1" x14ac:dyDescent="0.25">
      <c r="A531" s="329">
        <v>2041</v>
      </c>
      <c r="B531" s="1146" t="s">
        <v>647</v>
      </c>
      <c r="C531" s="1144"/>
    </row>
    <row r="532" spans="1:3" ht="25.5" x14ac:dyDescent="0.2">
      <c r="A532" s="329">
        <v>2042</v>
      </c>
      <c r="B532" s="314" t="s">
        <v>1208</v>
      </c>
      <c r="C532" s="1144"/>
    </row>
    <row r="533" spans="1:3" x14ac:dyDescent="0.2">
      <c r="A533" s="329">
        <v>2043</v>
      </c>
      <c r="B533" t="s">
        <v>648</v>
      </c>
      <c r="C533" s="1144"/>
    </row>
    <row r="534" spans="1:3" ht="18" x14ac:dyDescent="0.2">
      <c r="A534" s="329">
        <v>2044</v>
      </c>
      <c r="B534" s="743" t="s">
        <v>649</v>
      </c>
      <c r="C534" s="1144"/>
    </row>
    <row r="535" spans="1:3" ht="31.5" x14ac:dyDescent="0.2">
      <c r="A535" s="329">
        <v>2045</v>
      </c>
      <c r="B535" s="272" t="s">
        <v>650</v>
      </c>
      <c r="C535" s="1144"/>
    </row>
    <row r="536" spans="1:3" x14ac:dyDescent="0.2">
      <c r="A536" s="329">
        <v>2046</v>
      </c>
      <c r="B536" s="272" t="s">
        <v>651</v>
      </c>
      <c r="C536" s="1144"/>
    </row>
    <row r="537" spans="1:3" x14ac:dyDescent="0.2">
      <c r="A537" s="329">
        <v>2047</v>
      </c>
      <c r="B537" s="1134" t="s">
        <v>1774</v>
      </c>
      <c r="C537" s="1144"/>
    </row>
    <row r="538" spans="1:3" x14ac:dyDescent="0.2">
      <c r="A538" s="329">
        <v>2048</v>
      </c>
      <c r="B538" s="1128" t="s">
        <v>652</v>
      </c>
      <c r="C538" s="1144"/>
    </row>
    <row r="539" spans="1:3" x14ac:dyDescent="0.2">
      <c r="A539" s="329">
        <v>2049</v>
      </c>
      <c r="B539" s="179" t="s">
        <v>653</v>
      </c>
      <c r="C539" s="1144"/>
    </row>
    <row r="540" spans="1:3" ht="22.5" x14ac:dyDescent="0.2">
      <c r="A540" s="329">
        <v>2050</v>
      </c>
      <c r="B540" s="268" t="s">
        <v>654</v>
      </c>
      <c r="C540" s="1144"/>
    </row>
    <row r="541" spans="1:3" x14ac:dyDescent="0.2">
      <c r="A541" s="329">
        <v>2051</v>
      </c>
      <c r="B541" s="1129" t="s">
        <v>655</v>
      </c>
      <c r="C541" s="1144"/>
    </row>
    <row r="542" spans="1:3" x14ac:dyDescent="0.2">
      <c r="A542" s="329">
        <v>2052</v>
      </c>
      <c r="B542" s="1129" t="s">
        <v>656</v>
      </c>
      <c r="C542" s="1144"/>
    </row>
    <row r="543" spans="1:3" x14ac:dyDescent="0.2">
      <c r="A543" s="329">
        <v>2053</v>
      </c>
      <c r="B543" s="1129" t="s">
        <v>657</v>
      </c>
      <c r="C543" s="1144"/>
    </row>
    <row r="544" spans="1:3" x14ac:dyDescent="0.2">
      <c r="A544" s="329">
        <v>2054</v>
      </c>
      <c r="B544" s="1129" t="s">
        <v>658</v>
      </c>
      <c r="C544" s="1144"/>
    </row>
    <row r="545" spans="1:3" x14ac:dyDescent="0.2">
      <c r="A545" s="329">
        <v>2055</v>
      </c>
      <c r="B545" s="1129" t="s">
        <v>659</v>
      </c>
      <c r="C545" s="1144"/>
    </row>
    <row r="546" spans="1:3" x14ac:dyDescent="0.2">
      <c r="A546" s="329">
        <v>2056</v>
      </c>
      <c r="B546" s="1129" t="s">
        <v>660</v>
      </c>
      <c r="C546" s="1144"/>
    </row>
    <row r="547" spans="1:3" x14ac:dyDescent="0.2">
      <c r="A547" s="329">
        <v>2057</v>
      </c>
      <c r="B547" s="1128" t="s">
        <v>661</v>
      </c>
      <c r="C547" s="1144"/>
    </row>
    <row r="548" spans="1:3" ht="15.75" x14ac:dyDescent="0.25">
      <c r="A548" s="329">
        <v>2058</v>
      </c>
      <c r="B548" s="1130" t="s">
        <v>662</v>
      </c>
      <c r="C548" s="1144"/>
    </row>
    <row r="549" spans="1:3" x14ac:dyDescent="0.2">
      <c r="A549" s="329">
        <v>2059</v>
      </c>
      <c r="B549" s="1128" t="s">
        <v>663</v>
      </c>
      <c r="C549" s="1144"/>
    </row>
    <row r="550" spans="1:3" x14ac:dyDescent="0.2">
      <c r="A550" s="329">
        <v>2060</v>
      </c>
      <c r="B550" s="1128" t="s">
        <v>664</v>
      </c>
      <c r="C550" s="1144"/>
    </row>
    <row r="551" spans="1:3" x14ac:dyDescent="0.2">
      <c r="A551" s="329">
        <v>2061</v>
      </c>
      <c r="B551" s="1147" t="s">
        <v>665</v>
      </c>
      <c r="C551" s="1144"/>
    </row>
    <row r="552" spans="1:3" x14ac:dyDescent="0.2">
      <c r="A552" s="329">
        <v>2062</v>
      </c>
      <c r="B552" s="1128" t="s">
        <v>666</v>
      </c>
      <c r="C552" s="1144"/>
    </row>
    <row r="553" spans="1:3" x14ac:dyDescent="0.2">
      <c r="A553" s="329">
        <v>2063</v>
      </c>
      <c r="B553" s="1128" t="s">
        <v>667</v>
      </c>
      <c r="C553" s="1144"/>
    </row>
    <row r="554" spans="1:3" x14ac:dyDescent="0.2">
      <c r="A554" s="329">
        <v>2064</v>
      </c>
      <c r="B554" s="1129" t="s">
        <v>668</v>
      </c>
      <c r="C554" s="1144"/>
    </row>
    <row r="555" spans="1:3" x14ac:dyDescent="0.2">
      <c r="A555" s="329">
        <v>2065</v>
      </c>
      <c r="B555" s="1128" t="s">
        <v>669</v>
      </c>
      <c r="C555" s="1144"/>
    </row>
    <row r="556" spans="1:3" x14ac:dyDescent="0.2">
      <c r="A556" s="329">
        <v>2066</v>
      </c>
      <c r="B556" s="1128" t="s">
        <v>670</v>
      </c>
      <c r="C556" s="1144"/>
    </row>
    <row r="557" spans="1:3" x14ac:dyDescent="0.2">
      <c r="A557" s="329">
        <v>2067</v>
      </c>
      <c r="B557" s="1128" t="s">
        <v>671</v>
      </c>
      <c r="C557" s="1144"/>
    </row>
    <row r="558" spans="1:3" x14ac:dyDescent="0.2">
      <c r="A558" s="329">
        <v>2068</v>
      </c>
      <c r="B558" s="1128" t="s">
        <v>672</v>
      </c>
      <c r="C558" s="1144"/>
    </row>
    <row r="559" spans="1:3" ht="33.75" x14ac:dyDescent="0.2">
      <c r="A559" s="329">
        <v>2069</v>
      </c>
      <c r="B559" s="268" t="s">
        <v>673</v>
      </c>
      <c r="C559" s="1144"/>
    </row>
    <row r="560" spans="1:3" ht="21" x14ac:dyDescent="0.2">
      <c r="A560" s="329">
        <v>2070</v>
      </c>
      <c r="B560" s="272" t="s">
        <v>674</v>
      </c>
      <c r="C560" s="1144"/>
    </row>
    <row r="561" spans="1:3" ht="22.5" x14ac:dyDescent="0.2">
      <c r="A561" s="329">
        <v>2071</v>
      </c>
      <c r="B561" s="268" t="s">
        <v>675</v>
      </c>
      <c r="C561" s="1144"/>
    </row>
    <row r="562" spans="1:3" x14ac:dyDescent="0.2">
      <c r="A562" s="329">
        <v>2072</v>
      </c>
      <c r="B562" s="179" t="s">
        <v>676</v>
      </c>
      <c r="C562" s="1144"/>
    </row>
    <row r="563" spans="1:3" x14ac:dyDescent="0.2">
      <c r="A563" s="329">
        <v>2073</v>
      </c>
      <c r="B563" s="1024" t="s">
        <v>677</v>
      </c>
      <c r="C563" s="1144"/>
    </row>
    <row r="564" spans="1:3" x14ac:dyDescent="0.2">
      <c r="A564" s="329">
        <v>2074</v>
      </c>
      <c r="B564" s="179" t="s">
        <v>678</v>
      </c>
      <c r="C564" s="1144"/>
    </row>
    <row r="565" spans="1:3" ht="15.75" x14ac:dyDescent="0.25">
      <c r="A565" s="329">
        <v>2075</v>
      </c>
      <c r="B565" s="1130" t="s">
        <v>613</v>
      </c>
      <c r="C565" s="1144"/>
    </row>
    <row r="566" spans="1:3" x14ac:dyDescent="0.2">
      <c r="A566" s="329">
        <v>2076</v>
      </c>
      <c r="B566" s="295" t="s">
        <v>679</v>
      </c>
      <c r="C566" s="1144"/>
    </row>
    <row r="567" spans="1:3" x14ac:dyDescent="0.2">
      <c r="A567" s="329">
        <v>2077</v>
      </c>
      <c r="B567" s="1129" t="s">
        <v>680</v>
      </c>
      <c r="C567" s="1144"/>
    </row>
    <row r="568" spans="1:3" x14ac:dyDescent="0.2">
      <c r="A568" s="329">
        <v>2078</v>
      </c>
      <c r="B568" s="295" t="s">
        <v>681</v>
      </c>
      <c r="C568" s="1144"/>
    </row>
    <row r="569" spans="1:3" x14ac:dyDescent="0.2">
      <c r="A569" s="329">
        <v>2079</v>
      </c>
      <c r="B569" s="268" t="s">
        <v>682</v>
      </c>
      <c r="C569" s="1144"/>
    </row>
    <row r="570" spans="1:3" x14ac:dyDescent="0.2">
      <c r="A570" s="329">
        <v>2080</v>
      </c>
      <c r="B570" s="1129" t="s">
        <v>683</v>
      </c>
      <c r="C570" s="1144"/>
    </row>
    <row r="571" spans="1:3" x14ac:dyDescent="0.2">
      <c r="A571" s="329">
        <v>2081</v>
      </c>
      <c r="B571" s="295" t="s">
        <v>684</v>
      </c>
      <c r="C571" s="1144"/>
    </row>
    <row r="572" spans="1:3" ht="22.5" x14ac:dyDescent="0.2">
      <c r="A572" s="329">
        <v>2082</v>
      </c>
      <c r="B572" s="268" t="s">
        <v>685</v>
      </c>
      <c r="C572" s="1144"/>
    </row>
    <row r="573" spans="1:3" x14ac:dyDescent="0.2">
      <c r="A573" s="329">
        <v>2083</v>
      </c>
      <c r="B573" s="268" t="s">
        <v>686</v>
      </c>
      <c r="C573" s="1144"/>
    </row>
    <row r="574" spans="1:3" x14ac:dyDescent="0.2">
      <c r="A574" s="329">
        <v>2084</v>
      </c>
      <c r="B574" s="268" t="s">
        <v>687</v>
      </c>
      <c r="C574" s="1144"/>
    </row>
    <row r="575" spans="1:3" x14ac:dyDescent="0.2">
      <c r="A575" s="329">
        <v>2085</v>
      </c>
      <c r="B575" s="1129" t="s">
        <v>688</v>
      </c>
      <c r="C575" s="1144"/>
    </row>
    <row r="576" spans="1:3" ht="13.5" thickBot="1" x14ac:dyDescent="0.25">
      <c r="A576" s="329">
        <v>2086</v>
      </c>
      <c r="B576" s="1128" t="s">
        <v>689</v>
      </c>
      <c r="C576" s="1144"/>
    </row>
    <row r="577" spans="1:3" ht="25.5" x14ac:dyDescent="0.2">
      <c r="A577" s="329">
        <v>2087</v>
      </c>
      <c r="B577" s="314" t="s">
        <v>1209</v>
      </c>
      <c r="C577" s="1144"/>
    </row>
    <row r="578" spans="1:3" x14ac:dyDescent="0.2">
      <c r="A578" s="329">
        <v>2088</v>
      </c>
      <c r="B578" t="s">
        <v>690</v>
      </c>
      <c r="C578" s="1144"/>
    </row>
    <row r="579" spans="1:3" x14ac:dyDescent="0.2">
      <c r="A579" s="329">
        <v>2089</v>
      </c>
      <c r="B579" t="s">
        <v>691</v>
      </c>
      <c r="C579" s="1144"/>
    </row>
    <row r="580" spans="1:3" x14ac:dyDescent="0.2">
      <c r="A580" s="329">
        <v>2090</v>
      </c>
      <c r="B580" t="s">
        <v>692</v>
      </c>
      <c r="C580" s="1144"/>
    </row>
    <row r="581" spans="1:3" ht="15.75" x14ac:dyDescent="0.2">
      <c r="A581" s="329">
        <v>2091</v>
      </c>
      <c r="B581" s="35" t="s">
        <v>693</v>
      </c>
      <c r="C581" s="1144"/>
    </row>
    <row r="582" spans="1:3" ht="21" x14ac:dyDescent="0.2">
      <c r="A582" s="329">
        <v>2092</v>
      </c>
      <c r="B582" s="280" t="s">
        <v>694</v>
      </c>
      <c r="C582" s="1144"/>
    </row>
    <row r="583" spans="1:3" ht="21" x14ac:dyDescent="0.2">
      <c r="A583" s="329">
        <v>2093</v>
      </c>
      <c r="B583" s="280" t="s">
        <v>695</v>
      </c>
      <c r="C583" s="1144"/>
    </row>
    <row r="584" spans="1:3" x14ac:dyDescent="0.2">
      <c r="A584" s="329">
        <v>2094</v>
      </c>
      <c r="B584" s="241" t="s">
        <v>696</v>
      </c>
      <c r="C584" s="1144"/>
    </row>
    <row r="585" spans="1:3" x14ac:dyDescent="0.2">
      <c r="A585" s="329">
        <v>2095</v>
      </c>
      <c r="B585" s="241" t="s">
        <v>697</v>
      </c>
      <c r="C585" s="1144"/>
    </row>
    <row r="586" spans="1:3" x14ac:dyDescent="0.2">
      <c r="A586" s="329">
        <v>2096</v>
      </c>
      <c r="B586" s="241" t="s">
        <v>698</v>
      </c>
      <c r="C586" s="1144"/>
    </row>
    <row r="587" spans="1:3" x14ac:dyDescent="0.2">
      <c r="A587" s="329">
        <v>2097</v>
      </c>
      <c r="B587" s="1133" t="s">
        <v>699</v>
      </c>
      <c r="C587" s="1144"/>
    </row>
    <row r="588" spans="1:3" x14ac:dyDescent="0.2">
      <c r="A588" s="329">
        <v>2098</v>
      </c>
      <c r="B588" s="1133" t="s">
        <v>700</v>
      </c>
      <c r="C588" s="1144"/>
    </row>
    <row r="589" spans="1:3" x14ac:dyDescent="0.2">
      <c r="A589" s="329">
        <v>2099</v>
      </c>
      <c r="B589" s="1133" t="s">
        <v>701</v>
      </c>
      <c r="C589" s="1144"/>
    </row>
    <row r="590" spans="1:3" ht="15" x14ac:dyDescent="0.2">
      <c r="A590" s="329">
        <v>2100</v>
      </c>
      <c r="B590" s="781" t="s">
        <v>702</v>
      </c>
      <c r="C590" s="1144"/>
    </row>
    <row r="591" spans="1:3" x14ac:dyDescent="0.2">
      <c r="A591" s="329">
        <v>2101</v>
      </c>
      <c r="B591" s="284" t="s">
        <v>703</v>
      </c>
      <c r="C591" s="1144"/>
    </row>
    <row r="592" spans="1:3" ht="31.5" x14ac:dyDescent="0.2">
      <c r="A592" s="329">
        <v>2102</v>
      </c>
      <c r="B592" s="280" t="s">
        <v>704</v>
      </c>
      <c r="C592" s="1144"/>
    </row>
    <row r="593" spans="1:3" ht="21" x14ac:dyDescent="0.2">
      <c r="A593" s="329">
        <v>2103</v>
      </c>
      <c r="B593" s="280" t="s">
        <v>705</v>
      </c>
      <c r="C593" s="1144"/>
    </row>
    <row r="594" spans="1:3" x14ac:dyDescent="0.2">
      <c r="A594" s="329">
        <v>2104</v>
      </c>
      <c r="B594" s="280" t="s">
        <v>706</v>
      </c>
      <c r="C594" s="1144"/>
    </row>
    <row r="595" spans="1:3" ht="15" x14ac:dyDescent="0.2">
      <c r="A595" s="329">
        <v>2105</v>
      </c>
      <c r="B595" s="781" t="s">
        <v>707</v>
      </c>
      <c r="C595" s="1144"/>
    </row>
    <row r="596" spans="1:3" ht="22.5" x14ac:dyDescent="0.2">
      <c r="A596" s="329">
        <v>2106</v>
      </c>
      <c r="B596" s="49" t="s">
        <v>708</v>
      </c>
      <c r="C596" s="1144"/>
    </row>
    <row r="597" spans="1:3" x14ac:dyDescent="0.2">
      <c r="A597" s="329">
        <v>2107</v>
      </c>
      <c r="B597" s="49" t="s">
        <v>709</v>
      </c>
      <c r="C597" s="1144"/>
    </row>
    <row r="598" spans="1:3" x14ac:dyDescent="0.2">
      <c r="A598" s="329">
        <v>2108</v>
      </c>
      <c r="B598" s="49" t="s">
        <v>710</v>
      </c>
      <c r="C598" s="1144"/>
    </row>
    <row r="599" spans="1:3" x14ac:dyDescent="0.2">
      <c r="A599" s="329">
        <v>2109</v>
      </c>
      <c r="B599" s="49" t="s">
        <v>711</v>
      </c>
      <c r="C599" s="1144"/>
    </row>
    <row r="600" spans="1:3" ht="21" x14ac:dyDescent="0.2">
      <c r="A600" s="329">
        <v>2110</v>
      </c>
      <c r="B600" s="280" t="s">
        <v>712</v>
      </c>
      <c r="C600" s="1144"/>
    </row>
    <row r="601" spans="1:3" ht="21" x14ac:dyDescent="0.2">
      <c r="A601" s="329">
        <v>2111</v>
      </c>
      <c r="B601" s="280" t="s">
        <v>713</v>
      </c>
      <c r="C601" s="1144"/>
    </row>
    <row r="602" spans="1:3" x14ac:dyDescent="0.2">
      <c r="A602" s="329">
        <v>2112</v>
      </c>
      <c r="B602" s="49" t="s">
        <v>714</v>
      </c>
      <c r="C602" s="1144"/>
    </row>
    <row r="603" spans="1:3" ht="22.5" x14ac:dyDescent="0.2">
      <c r="A603" s="329">
        <v>2113</v>
      </c>
      <c r="B603" s="49" t="s">
        <v>715</v>
      </c>
      <c r="C603" s="1144"/>
    </row>
    <row r="604" spans="1:3" ht="31.5" x14ac:dyDescent="0.2">
      <c r="A604" s="329">
        <v>2114</v>
      </c>
      <c r="B604" s="280" t="s">
        <v>716</v>
      </c>
      <c r="C604" s="1144"/>
    </row>
    <row r="605" spans="1:3" x14ac:dyDescent="0.2">
      <c r="A605" s="329">
        <v>2115</v>
      </c>
      <c r="B605" s="49" t="s">
        <v>717</v>
      </c>
      <c r="C605" s="1144"/>
    </row>
    <row r="606" spans="1:3" ht="22.5" x14ac:dyDescent="0.2">
      <c r="A606" s="329">
        <v>2116</v>
      </c>
      <c r="B606" s="49" t="s">
        <v>718</v>
      </c>
      <c r="C606" s="1144"/>
    </row>
    <row r="607" spans="1:3" ht="21" x14ac:dyDescent="0.2">
      <c r="A607" s="329">
        <v>2117</v>
      </c>
      <c r="B607" s="280" t="s">
        <v>719</v>
      </c>
      <c r="C607" s="1144"/>
    </row>
    <row r="608" spans="1:3" x14ac:dyDescent="0.2">
      <c r="A608" s="329">
        <v>2118</v>
      </c>
      <c r="B608" s="241" t="s">
        <v>720</v>
      </c>
      <c r="C608" s="1144"/>
    </row>
    <row r="609" spans="1:3" x14ac:dyDescent="0.2">
      <c r="A609" s="329">
        <v>2119</v>
      </c>
      <c r="B609" s="319" t="s">
        <v>721</v>
      </c>
      <c r="C609" s="1144"/>
    </row>
    <row r="610" spans="1:3" x14ac:dyDescent="0.2">
      <c r="A610" s="329">
        <v>2120</v>
      </c>
      <c r="B610" s="283" t="s">
        <v>722</v>
      </c>
      <c r="C610" s="1144"/>
    </row>
    <row r="611" spans="1:3" x14ac:dyDescent="0.2">
      <c r="A611" s="329">
        <v>2121</v>
      </c>
      <c r="B611" s="288" t="s">
        <v>723</v>
      </c>
      <c r="C611" s="1144"/>
    </row>
    <row r="612" spans="1:3" x14ac:dyDescent="0.2">
      <c r="A612" s="329">
        <v>2122</v>
      </c>
      <c r="B612" s="1132" t="s">
        <v>724</v>
      </c>
      <c r="C612" s="1144"/>
    </row>
    <row r="613" spans="1:3" x14ac:dyDescent="0.2">
      <c r="A613" s="329">
        <v>2123</v>
      </c>
      <c r="B613" s="1131" t="s">
        <v>725</v>
      </c>
      <c r="C613" s="1144"/>
    </row>
    <row r="614" spans="1:3" x14ac:dyDescent="0.2">
      <c r="A614" s="329">
        <v>2124</v>
      </c>
      <c r="B614" s="288" t="s">
        <v>726</v>
      </c>
      <c r="C614" s="1144"/>
    </row>
    <row r="615" spans="1:3" x14ac:dyDescent="0.2">
      <c r="A615" s="329">
        <v>2125</v>
      </c>
      <c r="B615" s="49" t="s">
        <v>727</v>
      </c>
      <c r="C615" s="1144"/>
    </row>
    <row r="616" spans="1:3" ht="21" x14ac:dyDescent="0.2">
      <c r="A616" s="329">
        <v>2126</v>
      </c>
      <c r="B616" s="280" t="s">
        <v>728</v>
      </c>
      <c r="C616" s="1144"/>
    </row>
    <row r="617" spans="1:3" ht="13.5" thickBot="1" x14ac:dyDescent="0.25">
      <c r="A617" s="329">
        <v>2127</v>
      </c>
      <c r="B617" s="1148" t="s">
        <v>729</v>
      </c>
      <c r="C617" s="1144"/>
    </row>
    <row r="618" spans="1:3" ht="25.5" x14ac:dyDescent="0.2">
      <c r="A618" s="329">
        <v>2128</v>
      </c>
      <c r="B618" s="314" t="s">
        <v>1210</v>
      </c>
      <c r="C618" s="1144"/>
    </row>
    <row r="619" spans="1:3" ht="15.75" x14ac:dyDescent="0.2">
      <c r="A619" s="329">
        <v>2129</v>
      </c>
      <c r="B619" s="35" t="s">
        <v>730</v>
      </c>
      <c r="C619" s="1144"/>
    </row>
    <row r="620" spans="1:3" ht="24" x14ac:dyDescent="0.2">
      <c r="A620" s="329">
        <v>2130</v>
      </c>
      <c r="B620" s="1045" t="s">
        <v>731</v>
      </c>
      <c r="C620" s="1144"/>
    </row>
    <row r="621" spans="1:3" ht="15" x14ac:dyDescent="0.2">
      <c r="A621" s="329">
        <v>2131</v>
      </c>
      <c r="B621" s="1135" t="s">
        <v>732</v>
      </c>
      <c r="C621" s="1144"/>
    </row>
    <row r="622" spans="1:3" x14ac:dyDescent="0.2">
      <c r="A622" s="329">
        <v>2132</v>
      </c>
      <c r="B622" s="323" t="s">
        <v>733</v>
      </c>
      <c r="C622" s="1144"/>
    </row>
    <row r="623" spans="1:3" ht="22.5" x14ac:dyDescent="0.2">
      <c r="A623" s="329">
        <v>2133</v>
      </c>
      <c r="B623" s="292" t="s">
        <v>1255</v>
      </c>
      <c r="C623" s="1144"/>
    </row>
    <row r="624" spans="1:3" ht="22.5" x14ac:dyDescent="0.2">
      <c r="A624" s="329">
        <v>2134</v>
      </c>
      <c r="B624" s="49" t="s">
        <v>734</v>
      </c>
      <c r="C624" s="1144"/>
    </row>
    <row r="625" spans="1:3" ht="22.5" x14ac:dyDescent="0.2">
      <c r="A625" s="329">
        <v>2135</v>
      </c>
      <c r="B625" s="49" t="s">
        <v>735</v>
      </c>
      <c r="C625" s="1144"/>
    </row>
    <row r="626" spans="1:3" x14ac:dyDescent="0.2">
      <c r="A626" s="329">
        <v>2136</v>
      </c>
      <c r="B626" s="1149" t="s">
        <v>736</v>
      </c>
      <c r="C626" s="1144"/>
    </row>
    <row r="627" spans="1:3" x14ac:dyDescent="0.2">
      <c r="A627" s="329">
        <v>2137</v>
      </c>
      <c r="B627" s="49" t="s">
        <v>737</v>
      </c>
      <c r="C627" s="1144"/>
    </row>
    <row r="628" spans="1:3" x14ac:dyDescent="0.2">
      <c r="A628" s="329">
        <v>2138</v>
      </c>
      <c r="B628" s="1149" t="s">
        <v>738</v>
      </c>
      <c r="C628" s="1144"/>
    </row>
    <row r="629" spans="1:3" x14ac:dyDescent="0.2">
      <c r="A629" s="329">
        <v>2139</v>
      </c>
      <c r="B629" s="49" t="s">
        <v>739</v>
      </c>
      <c r="C629" s="1144"/>
    </row>
    <row r="630" spans="1:3" x14ac:dyDescent="0.2">
      <c r="A630" s="329">
        <v>2140</v>
      </c>
      <c r="B630" s="1149" t="s">
        <v>740</v>
      </c>
      <c r="C630" s="1144"/>
    </row>
    <row r="631" spans="1:3" x14ac:dyDescent="0.2">
      <c r="A631" s="329">
        <v>2141</v>
      </c>
      <c r="B631" s="49" t="s">
        <v>741</v>
      </c>
      <c r="C631" s="1144"/>
    </row>
    <row r="632" spans="1:3" x14ac:dyDescent="0.2">
      <c r="A632" s="329">
        <v>2142</v>
      </c>
      <c r="B632" s="1149" t="s">
        <v>742</v>
      </c>
      <c r="C632" s="1144"/>
    </row>
    <row r="633" spans="1:3" x14ac:dyDescent="0.2">
      <c r="A633" s="329">
        <v>2143</v>
      </c>
      <c r="B633" s="49" t="s">
        <v>743</v>
      </c>
      <c r="C633" s="1144"/>
    </row>
    <row r="634" spans="1:3" x14ac:dyDescent="0.2">
      <c r="A634" s="329">
        <v>2144</v>
      </c>
      <c r="B634" s="322" t="s">
        <v>744</v>
      </c>
      <c r="C634" s="1144"/>
    </row>
    <row r="635" spans="1:3" ht="33.75" x14ac:dyDescent="0.2">
      <c r="A635" s="329">
        <v>2145</v>
      </c>
      <c r="B635" s="290" t="s">
        <v>745</v>
      </c>
      <c r="C635" s="1144"/>
    </row>
    <row r="636" spans="1:3" x14ac:dyDescent="0.2">
      <c r="A636" s="329">
        <v>2146</v>
      </c>
      <c r="B636" s="323" t="s">
        <v>746</v>
      </c>
      <c r="C636" s="1144"/>
    </row>
    <row r="637" spans="1:3" ht="22.5" x14ac:dyDescent="0.2">
      <c r="A637" s="329">
        <v>2147</v>
      </c>
      <c r="B637" s="292" t="s">
        <v>747</v>
      </c>
      <c r="C637" s="1144"/>
    </row>
    <row r="638" spans="1:3" x14ac:dyDescent="0.2">
      <c r="A638" s="329">
        <v>2148</v>
      </c>
      <c r="B638" s="322" t="s">
        <v>1782</v>
      </c>
      <c r="C638" s="1144"/>
    </row>
    <row r="639" spans="1:3" x14ac:dyDescent="0.2">
      <c r="A639" s="329">
        <v>2149</v>
      </c>
      <c r="B639" s="322" t="s">
        <v>1783</v>
      </c>
      <c r="C639" s="1144"/>
    </row>
    <row r="640" spans="1:3" x14ac:dyDescent="0.2">
      <c r="A640" s="329">
        <v>2150</v>
      </c>
      <c r="B640" s="322" t="s">
        <v>1784</v>
      </c>
      <c r="C640" s="1144"/>
    </row>
    <row r="641" spans="1:3" x14ac:dyDescent="0.2">
      <c r="A641" s="329">
        <v>2151</v>
      </c>
      <c r="B641" s="324" t="s">
        <v>1780</v>
      </c>
      <c r="C641" s="1144"/>
    </row>
    <row r="642" spans="1:3" x14ac:dyDescent="0.2">
      <c r="A642" s="329">
        <v>2152</v>
      </c>
      <c r="B642" s="292" t="s">
        <v>748</v>
      </c>
      <c r="C642" s="1144"/>
    </row>
    <row r="643" spans="1:3" x14ac:dyDescent="0.2">
      <c r="A643" s="329">
        <v>2153</v>
      </c>
      <c r="B643" s="49" t="s">
        <v>749</v>
      </c>
      <c r="C643" s="1144"/>
    </row>
    <row r="644" spans="1:3" x14ac:dyDescent="0.2">
      <c r="A644" s="329">
        <v>2154</v>
      </c>
      <c r="B644" s="49" t="s">
        <v>750</v>
      </c>
      <c r="C644" s="1144"/>
    </row>
    <row r="645" spans="1:3" x14ac:dyDescent="0.2">
      <c r="A645" s="329">
        <v>2155</v>
      </c>
      <c r="B645" s="49" t="s">
        <v>751</v>
      </c>
      <c r="C645" s="1144"/>
    </row>
    <row r="646" spans="1:3" x14ac:dyDescent="0.2">
      <c r="A646" s="329">
        <v>2156</v>
      </c>
      <c r="B646" s="49" t="s">
        <v>752</v>
      </c>
      <c r="C646" s="1144"/>
    </row>
    <row r="647" spans="1:3" x14ac:dyDescent="0.2">
      <c r="A647" s="329">
        <v>2157</v>
      </c>
      <c r="B647" s="324" t="s">
        <v>1781</v>
      </c>
      <c r="C647" s="1144"/>
    </row>
    <row r="648" spans="1:3" ht="22.5" x14ac:dyDescent="0.2">
      <c r="A648" s="329">
        <v>2158</v>
      </c>
      <c r="B648" s="292" t="s">
        <v>753</v>
      </c>
      <c r="C648" s="1144"/>
    </row>
    <row r="649" spans="1:3" x14ac:dyDescent="0.2">
      <c r="A649" s="329">
        <v>2159</v>
      </c>
      <c r="B649" s="49" t="s">
        <v>754</v>
      </c>
      <c r="C649" s="1144"/>
    </row>
    <row r="650" spans="1:3" ht="15" x14ac:dyDescent="0.2">
      <c r="A650" s="329">
        <v>2160</v>
      </c>
      <c r="B650" s="781" t="s">
        <v>755</v>
      </c>
      <c r="C650" s="1144"/>
    </row>
    <row r="651" spans="1:3" ht="22.5" x14ac:dyDescent="0.2">
      <c r="A651" s="329">
        <v>2161</v>
      </c>
      <c r="B651" s="49" t="s">
        <v>756</v>
      </c>
      <c r="C651" s="1144"/>
    </row>
    <row r="652" spans="1:3" x14ac:dyDescent="0.2">
      <c r="A652" s="329">
        <v>2162</v>
      </c>
      <c r="B652" s="49" t="s">
        <v>757</v>
      </c>
      <c r="C652" s="1144"/>
    </row>
    <row r="653" spans="1:3" x14ac:dyDescent="0.2">
      <c r="A653" s="329">
        <v>2163</v>
      </c>
      <c r="B653" s="322" t="s">
        <v>758</v>
      </c>
      <c r="C653" s="1144"/>
    </row>
    <row r="654" spans="1:3" x14ac:dyDescent="0.2">
      <c r="A654" s="329">
        <v>2164</v>
      </c>
      <c r="B654" s="323" t="s">
        <v>759</v>
      </c>
      <c r="C654" s="1144"/>
    </row>
    <row r="655" spans="1:3" ht="33.75" x14ac:dyDescent="0.2">
      <c r="A655" s="329">
        <v>2165</v>
      </c>
      <c r="B655" s="292" t="s">
        <v>760</v>
      </c>
      <c r="C655" s="1144"/>
    </row>
    <row r="656" spans="1:3" ht="33.75" x14ac:dyDescent="0.2">
      <c r="A656" s="329">
        <v>2166</v>
      </c>
      <c r="B656" s="291" t="s">
        <v>761</v>
      </c>
      <c r="C656" s="1144"/>
    </row>
    <row r="657" spans="1:3" x14ac:dyDescent="0.2">
      <c r="A657" s="329">
        <v>2167</v>
      </c>
      <c r="B657" s="323" t="s">
        <v>762</v>
      </c>
      <c r="C657" s="1144"/>
    </row>
    <row r="658" spans="1:3" x14ac:dyDescent="0.2">
      <c r="A658" s="329">
        <v>2168</v>
      </c>
      <c r="B658" s="322" t="s">
        <v>763</v>
      </c>
      <c r="C658" s="1144"/>
    </row>
    <row r="659" spans="1:3" x14ac:dyDescent="0.2">
      <c r="A659" s="329">
        <v>2169</v>
      </c>
      <c r="B659" s="324" t="s">
        <v>764</v>
      </c>
      <c r="C659" s="1144"/>
    </row>
    <row r="660" spans="1:3" ht="22.5" x14ac:dyDescent="0.2">
      <c r="A660" s="329">
        <v>2170</v>
      </c>
      <c r="B660" s="291" t="s">
        <v>1686</v>
      </c>
      <c r="C660" s="1144"/>
    </row>
    <row r="661" spans="1:3" x14ac:dyDescent="0.2">
      <c r="A661" s="329">
        <v>2171</v>
      </c>
      <c r="B661" s="325" t="s">
        <v>765</v>
      </c>
      <c r="C661" s="1144"/>
    </row>
    <row r="662" spans="1:3" ht="15" x14ac:dyDescent="0.2">
      <c r="A662" s="329">
        <v>2172</v>
      </c>
      <c r="B662" s="1135" t="s">
        <v>766</v>
      </c>
      <c r="C662" s="1144"/>
    </row>
    <row r="663" spans="1:3" x14ac:dyDescent="0.2">
      <c r="A663" s="329">
        <v>2173</v>
      </c>
      <c r="B663" s="290" t="s">
        <v>767</v>
      </c>
      <c r="C663" s="1144"/>
    </row>
    <row r="664" spans="1:3" ht="22.5" x14ac:dyDescent="0.2">
      <c r="A664" s="329">
        <v>2174</v>
      </c>
      <c r="B664" s="290" t="s">
        <v>768</v>
      </c>
      <c r="C664" s="1144"/>
    </row>
    <row r="665" spans="1:3" x14ac:dyDescent="0.2">
      <c r="A665" s="329">
        <v>2175</v>
      </c>
      <c r="B665" s="1150" t="s">
        <v>769</v>
      </c>
      <c r="C665" s="1144"/>
    </row>
    <row r="666" spans="1:3" x14ac:dyDescent="0.2">
      <c r="A666" s="329">
        <v>2176</v>
      </c>
      <c r="B666" s="1151" t="s">
        <v>770</v>
      </c>
      <c r="C666" s="1144"/>
    </row>
    <row r="667" spans="1:3" x14ac:dyDescent="0.2">
      <c r="A667" s="329">
        <v>2177</v>
      </c>
      <c r="B667" s="1152" t="s">
        <v>771</v>
      </c>
      <c r="C667" s="1144"/>
    </row>
    <row r="668" spans="1:3" x14ac:dyDescent="0.2">
      <c r="A668" s="329">
        <v>2178</v>
      </c>
      <c r="B668" s="637" t="s">
        <v>772</v>
      </c>
      <c r="C668" s="1144"/>
    </row>
    <row r="669" spans="1:3" x14ac:dyDescent="0.2">
      <c r="A669" s="329">
        <v>2179</v>
      </c>
      <c r="B669" s="503" t="s">
        <v>773</v>
      </c>
      <c r="C669" s="1144"/>
    </row>
    <row r="670" spans="1:3" x14ac:dyDescent="0.2">
      <c r="A670" s="329">
        <v>2180</v>
      </c>
      <c r="B670" s="503" t="s">
        <v>774</v>
      </c>
      <c r="C670" s="1144"/>
    </row>
    <row r="671" spans="1:3" x14ac:dyDescent="0.2">
      <c r="A671" s="329">
        <v>2181</v>
      </c>
      <c r="B671" s="503" t="s">
        <v>775</v>
      </c>
      <c r="C671" s="1144"/>
    </row>
    <row r="672" spans="1:3" x14ac:dyDescent="0.2">
      <c r="A672" s="329">
        <v>2182</v>
      </c>
      <c r="B672" s="1153" t="s">
        <v>776</v>
      </c>
      <c r="C672" s="1144"/>
    </row>
    <row r="673" spans="1:3" ht="13.5" thickBot="1" x14ac:dyDescent="0.25">
      <c r="A673" s="329">
        <v>2183</v>
      </c>
      <c r="B673" s="1154" t="s">
        <v>777</v>
      </c>
      <c r="C673" s="1144"/>
    </row>
    <row r="674" spans="1:3" x14ac:dyDescent="0.2">
      <c r="A674" s="329">
        <v>2184</v>
      </c>
      <c r="B674" s="1155" t="s">
        <v>778</v>
      </c>
      <c r="C674" s="1144"/>
    </row>
    <row r="675" spans="1:3" x14ac:dyDescent="0.2">
      <c r="A675" s="329">
        <v>2185</v>
      </c>
      <c r="B675" s="1155" t="s">
        <v>779</v>
      </c>
      <c r="C675" s="1144"/>
    </row>
    <row r="676" spans="1:3" x14ac:dyDescent="0.2">
      <c r="A676" s="329">
        <v>2186</v>
      </c>
      <c r="B676" s="1156" t="s">
        <v>780</v>
      </c>
      <c r="C676" s="1144"/>
    </row>
    <row r="677" spans="1:3" ht="13.5" thickBot="1" x14ac:dyDescent="0.25">
      <c r="A677" s="329">
        <v>2187</v>
      </c>
      <c r="B677" s="1155" t="s">
        <v>781</v>
      </c>
      <c r="C677" s="1144"/>
    </row>
    <row r="678" spans="1:3" ht="25.5" x14ac:dyDescent="0.2">
      <c r="A678" s="329">
        <v>2188</v>
      </c>
      <c r="B678" s="314" t="s">
        <v>1211</v>
      </c>
      <c r="C678" s="1144"/>
    </row>
    <row r="679" spans="1:3" ht="15.75" x14ac:dyDescent="0.2">
      <c r="A679" s="329">
        <v>2189</v>
      </c>
      <c r="B679" s="35" t="s">
        <v>782</v>
      </c>
      <c r="C679" s="1144"/>
    </row>
    <row r="680" spans="1:3" x14ac:dyDescent="0.2">
      <c r="A680" s="329">
        <v>2190</v>
      </c>
      <c r="B680" s="271" t="s">
        <v>783</v>
      </c>
      <c r="C680" s="1144"/>
    </row>
    <row r="681" spans="1:3" x14ac:dyDescent="0.2">
      <c r="A681" s="329">
        <v>2191</v>
      </c>
      <c r="B681" s="292" t="s">
        <v>1256</v>
      </c>
      <c r="C681" s="1144"/>
    </row>
    <row r="682" spans="1:3" x14ac:dyDescent="0.2">
      <c r="A682" s="329">
        <v>2192</v>
      </c>
      <c r="B682" s="271" t="s">
        <v>784</v>
      </c>
      <c r="C682" s="1144"/>
    </row>
    <row r="683" spans="1:3" x14ac:dyDescent="0.2">
      <c r="A683" s="329">
        <v>2193</v>
      </c>
      <c r="B683" s="323" t="s">
        <v>785</v>
      </c>
      <c r="C683" s="1144"/>
    </row>
    <row r="684" spans="1:3" x14ac:dyDescent="0.2">
      <c r="A684" s="329">
        <v>2194</v>
      </c>
      <c r="B684" s="270" t="s">
        <v>786</v>
      </c>
      <c r="C684" s="1144"/>
    </row>
    <row r="685" spans="1:3" x14ac:dyDescent="0.2">
      <c r="A685" s="329">
        <v>2195</v>
      </c>
      <c r="B685" s="290" t="s">
        <v>787</v>
      </c>
      <c r="C685" s="1144"/>
    </row>
    <row r="686" spans="1:3" x14ac:dyDescent="0.2">
      <c r="A686" s="329">
        <v>2196</v>
      </c>
      <c r="B686" s="1157" t="s">
        <v>788</v>
      </c>
      <c r="C686" s="1144"/>
    </row>
    <row r="687" spans="1:3" x14ac:dyDescent="0.2">
      <c r="A687" s="329">
        <v>2197</v>
      </c>
      <c r="B687" s="1151" t="s">
        <v>789</v>
      </c>
      <c r="C687" s="1144"/>
    </row>
    <row r="688" spans="1:3" x14ac:dyDescent="0.2">
      <c r="A688" s="329">
        <v>2198</v>
      </c>
      <c r="B688" s="1150" t="s">
        <v>790</v>
      </c>
      <c r="C688" s="1144"/>
    </row>
    <row r="689" spans="1:3" x14ac:dyDescent="0.2">
      <c r="A689" s="329">
        <v>2199</v>
      </c>
      <c r="B689" s="1151" t="s">
        <v>791</v>
      </c>
      <c r="C689" s="1144"/>
    </row>
    <row r="690" spans="1:3" x14ac:dyDescent="0.2">
      <c r="A690" s="329">
        <v>2200</v>
      </c>
      <c r="B690" s="179" t="s">
        <v>792</v>
      </c>
      <c r="C690" s="1144"/>
    </row>
    <row r="691" spans="1:3" x14ac:dyDescent="0.2">
      <c r="A691" s="329">
        <v>2201</v>
      </c>
      <c r="B691" s="1158" t="s">
        <v>793</v>
      </c>
      <c r="C691" s="1144"/>
    </row>
    <row r="692" spans="1:3" x14ac:dyDescent="0.2">
      <c r="A692" s="329">
        <v>2202</v>
      </c>
      <c r="B692" s="1159" t="s">
        <v>794</v>
      </c>
      <c r="C692" s="1144"/>
    </row>
    <row r="693" spans="1:3" x14ac:dyDescent="0.2">
      <c r="A693" s="329">
        <v>2203</v>
      </c>
      <c r="B693" s="1159" t="s">
        <v>795</v>
      </c>
      <c r="C693" s="1144"/>
    </row>
    <row r="694" spans="1:3" x14ac:dyDescent="0.2">
      <c r="A694" s="329">
        <v>2204</v>
      </c>
      <c r="B694" s="1160" t="s">
        <v>796</v>
      </c>
      <c r="C694" s="1144"/>
    </row>
    <row r="695" spans="1:3" x14ac:dyDescent="0.2">
      <c r="A695" s="329">
        <v>2205</v>
      </c>
      <c r="B695" s="1161" t="s">
        <v>797</v>
      </c>
      <c r="C695" s="1144"/>
    </row>
    <row r="696" spans="1:3" x14ac:dyDescent="0.2">
      <c r="A696" s="329">
        <v>2206</v>
      </c>
      <c r="B696" s="1159" t="s">
        <v>798</v>
      </c>
      <c r="C696" s="1144"/>
    </row>
    <row r="697" spans="1:3" x14ac:dyDescent="0.2">
      <c r="A697" s="329">
        <v>2207</v>
      </c>
      <c r="B697" s="1162" t="s">
        <v>799</v>
      </c>
      <c r="C697" s="1144"/>
    </row>
    <row r="698" spans="1:3" x14ac:dyDescent="0.2">
      <c r="A698" s="329">
        <v>2208</v>
      </c>
      <c r="B698" s="1160" t="s">
        <v>800</v>
      </c>
      <c r="C698" s="1144"/>
    </row>
    <row r="699" spans="1:3" x14ac:dyDescent="0.2">
      <c r="A699" s="329">
        <v>2209</v>
      </c>
      <c r="B699" s="1160" t="s">
        <v>801</v>
      </c>
      <c r="C699" s="1144"/>
    </row>
    <row r="700" spans="1:3" x14ac:dyDescent="0.2">
      <c r="A700" s="329">
        <v>2210</v>
      </c>
      <c r="B700" s="179" t="s">
        <v>802</v>
      </c>
      <c r="C700" s="1144"/>
    </row>
    <row r="701" spans="1:3" ht="13.5" thickBot="1" x14ac:dyDescent="0.25">
      <c r="A701" s="329">
        <v>2211</v>
      </c>
      <c r="B701" s="1136" t="s">
        <v>803</v>
      </c>
      <c r="C701" s="1144"/>
    </row>
    <row r="702" spans="1:3" x14ac:dyDescent="0.2">
      <c r="A702" s="329">
        <v>2212</v>
      </c>
      <c r="B702" s="314" t="s">
        <v>804</v>
      </c>
      <c r="C702" s="1144"/>
    </row>
    <row r="703" spans="1:3" ht="18" x14ac:dyDescent="0.2">
      <c r="A703" s="329">
        <v>2213</v>
      </c>
      <c r="B703" s="743" t="s">
        <v>805</v>
      </c>
      <c r="C703" s="1144"/>
    </row>
    <row r="704" spans="1:3" ht="15.75" x14ac:dyDescent="0.2">
      <c r="A704" s="329">
        <v>2214</v>
      </c>
      <c r="B704" s="35" t="s">
        <v>806</v>
      </c>
      <c r="C704" s="1144"/>
    </row>
    <row r="705" spans="1:3" x14ac:dyDescent="0.2">
      <c r="A705" s="329">
        <v>2215</v>
      </c>
      <c r="B705" s="292" t="s">
        <v>807</v>
      </c>
      <c r="C705" s="1144"/>
    </row>
    <row r="706" spans="1:3" ht="22.5" x14ac:dyDescent="0.2">
      <c r="A706" s="329">
        <v>2216</v>
      </c>
      <c r="B706" s="49" t="s">
        <v>808</v>
      </c>
      <c r="C706" s="1144"/>
    </row>
    <row r="707" spans="1:3" x14ac:dyDescent="0.2">
      <c r="A707" s="329">
        <v>2217</v>
      </c>
      <c r="B707" s="49" t="s">
        <v>809</v>
      </c>
      <c r="C707" s="1144"/>
    </row>
    <row r="708" spans="1:3" x14ac:dyDescent="0.2">
      <c r="A708" s="329">
        <v>2218</v>
      </c>
      <c r="B708" s="290" t="s">
        <v>810</v>
      </c>
      <c r="C708" s="1144"/>
    </row>
    <row r="709" spans="1:3" ht="22.5" x14ac:dyDescent="0.2">
      <c r="A709" s="329">
        <v>2219</v>
      </c>
      <c r="B709" s="290" t="s">
        <v>811</v>
      </c>
      <c r="C709" s="1144"/>
    </row>
    <row r="710" spans="1:3" x14ac:dyDescent="0.2">
      <c r="A710" s="329">
        <v>2220</v>
      </c>
      <c r="B710" s="322" t="s">
        <v>812</v>
      </c>
      <c r="C710" s="1144"/>
    </row>
    <row r="711" spans="1:3" x14ac:dyDescent="0.2">
      <c r="A711" s="329">
        <v>2221</v>
      </c>
      <c r="B711" s="1163" t="s">
        <v>813</v>
      </c>
      <c r="C711" s="1144"/>
    </row>
    <row r="712" spans="1:3" x14ac:dyDescent="0.2">
      <c r="A712" s="329">
        <v>2222</v>
      </c>
      <c r="B712" s="1164" t="s">
        <v>814</v>
      </c>
      <c r="C712" s="1144"/>
    </row>
    <row r="713" spans="1:3" ht="31.5" x14ac:dyDescent="0.2">
      <c r="A713" s="329">
        <v>2223</v>
      </c>
      <c r="B713" s="272" t="s">
        <v>815</v>
      </c>
      <c r="C713" s="1144"/>
    </row>
    <row r="714" spans="1:3" x14ac:dyDescent="0.2">
      <c r="A714" s="329">
        <v>2224</v>
      </c>
      <c r="B714" s="268" t="s">
        <v>816</v>
      </c>
      <c r="C714" s="1144"/>
    </row>
    <row r="715" spans="1:3" ht="13.5" thickBot="1" x14ac:dyDescent="0.25">
      <c r="A715" s="329">
        <v>2225</v>
      </c>
      <c r="B715" s="1164" t="s">
        <v>817</v>
      </c>
      <c r="C715" s="1144"/>
    </row>
    <row r="716" spans="1:3" x14ac:dyDescent="0.2">
      <c r="A716" s="329">
        <v>2226</v>
      </c>
      <c r="B716" s="314" t="s">
        <v>818</v>
      </c>
      <c r="C716" s="1144"/>
    </row>
    <row r="717" spans="1:3" ht="22.5" x14ac:dyDescent="0.2">
      <c r="A717" s="329">
        <v>2227</v>
      </c>
      <c r="B717" s="268" t="s">
        <v>819</v>
      </c>
      <c r="C717" s="1144"/>
    </row>
    <row r="718" spans="1:3" ht="22.5" x14ac:dyDescent="0.2">
      <c r="A718" s="329">
        <v>2228</v>
      </c>
      <c r="B718" s="268" t="s">
        <v>820</v>
      </c>
      <c r="C718" s="1144"/>
    </row>
    <row r="719" spans="1:3" ht="22.5" x14ac:dyDescent="0.2">
      <c r="A719" s="329">
        <v>2229</v>
      </c>
      <c r="B719" s="268" t="s">
        <v>821</v>
      </c>
      <c r="C719" s="1144"/>
    </row>
    <row r="720" spans="1:3" ht="15.75" x14ac:dyDescent="0.2">
      <c r="A720" s="329">
        <v>2230</v>
      </c>
      <c r="B720" s="35" t="s">
        <v>822</v>
      </c>
      <c r="C720" s="1144"/>
    </row>
    <row r="721" spans="1:3" x14ac:dyDescent="0.2">
      <c r="A721" s="329">
        <v>2231</v>
      </c>
      <c r="B721" s="290" t="s">
        <v>823</v>
      </c>
      <c r="C721" s="1144"/>
    </row>
    <row r="722" spans="1:3" x14ac:dyDescent="0.2">
      <c r="A722" s="329">
        <v>2232</v>
      </c>
      <c r="B722" s="322" t="s">
        <v>824</v>
      </c>
      <c r="C722" s="1144"/>
    </row>
    <row r="723" spans="1:3" x14ac:dyDescent="0.2">
      <c r="A723" s="329">
        <v>2233</v>
      </c>
      <c r="B723" s="290" t="s">
        <v>825</v>
      </c>
      <c r="C723" s="1144"/>
    </row>
    <row r="724" spans="1:3" x14ac:dyDescent="0.2">
      <c r="A724" s="329">
        <v>2234</v>
      </c>
      <c r="B724" s="323" t="s">
        <v>826</v>
      </c>
      <c r="C724" s="1144"/>
    </row>
    <row r="725" spans="1:3" x14ac:dyDescent="0.2">
      <c r="A725" s="329">
        <v>2235</v>
      </c>
      <c r="B725" s="290" t="s">
        <v>827</v>
      </c>
      <c r="C725" s="1144"/>
    </row>
    <row r="726" spans="1:3" x14ac:dyDescent="0.2">
      <c r="A726" s="329">
        <v>2236</v>
      </c>
      <c r="B726" s="323" t="s">
        <v>828</v>
      </c>
      <c r="C726" s="1144"/>
    </row>
    <row r="727" spans="1:3" x14ac:dyDescent="0.2">
      <c r="A727" s="329">
        <v>2237</v>
      </c>
      <c r="B727" s="290" t="s">
        <v>829</v>
      </c>
      <c r="C727" s="1144"/>
    </row>
    <row r="728" spans="1:3" x14ac:dyDescent="0.2">
      <c r="A728" s="329">
        <v>2238</v>
      </c>
      <c r="B728" s="323" t="s">
        <v>830</v>
      </c>
      <c r="C728" s="1144"/>
    </row>
    <row r="729" spans="1:3" x14ac:dyDescent="0.2">
      <c r="A729" s="329">
        <v>2239</v>
      </c>
      <c r="B729" s="290" t="s">
        <v>831</v>
      </c>
      <c r="C729" s="1144"/>
    </row>
    <row r="730" spans="1:3" x14ac:dyDescent="0.2">
      <c r="A730" s="329">
        <v>2240</v>
      </c>
      <c r="B730" s="323" t="s">
        <v>832</v>
      </c>
      <c r="C730" s="1144"/>
    </row>
    <row r="731" spans="1:3" x14ac:dyDescent="0.2">
      <c r="A731" s="329">
        <v>2241</v>
      </c>
      <c r="B731" s="290" t="s">
        <v>833</v>
      </c>
      <c r="C731" s="1144"/>
    </row>
    <row r="732" spans="1:3" x14ac:dyDescent="0.2">
      <c r="A732" s="329">
        <v>2242</v>
      </c>
      <c r="B732" s="323" t="s">
        <v>834</v>
      </c>
      <c r="C732" s="1144"/>
    </row>
    <row r="733" spans="1:3" x14ac:dyDescent="0.2">
      <c r="A733" s="329">
        <v>2243</v>
      </c>
      <c r="B733" s="290" t="s">
        <v>835</v>
      </c>
      <c r="C733" s="1144"/>
    </row>
    <row r="734" spans="1:3" x14ac:dyDescent="0.2">
      <c r="A734" s="329">
        <v>2244</v>
      </c>
      <c r="B734" s="322" t="s">
        <v>446</v>
      </c>
      <c r="C734" s="1144"/>
    </row>
    <row r="735" spans="1:3" x14ac:dyDescent="0.2">
      <c r="A735" s="329">
        <v>2245</v>
      </c>
      <c r="B735" s="290" t="s">
        <v>836</v>
      </c>
      <c r="C735" s="1144"/>
    </row>
    <row r="736" spans="1:3" x14ac:dyDescent="0.2">
      <c r="A736" s="329">
        <v>2246</v>
      </c>
      <c r="B736" s="322" t="s">
        <v>837</v>
      </c>
      <c r="C736" s="1144"/>
    </row>
    <row r="737" spans="1:3" x14ac:dyDescent="0.2">
      <c r="A737" s="329">
        <v>2247</v>
      </c>
      <c r="B737" s="290" t="s">
        <v>838</v>
      </c>
      <c r="C737" s="1144"/>
    </row>
    <row r="738" spans="1:3" x14ac:dyDescent="0.2">
      <c r="A738" s="329">
        <v>2248</v>
      </c>
      <c r="B738" s="322" t="s">
        <v>839</v>
      </c>
      <c r="C738" s="1144"/>
    </row>
    <row r="739" spans="1:3" x14ac:dyDescent="0.2">
      <c r="A739" s="329">
        <v>2249</v>
      </c>
      <c r="B739" s="290" t="s">
        <v>840</v>
      </c>
      <c r="C739" s="1144"/>
    </row>
    <row r="740" spans="1:3" x14ac:dyDescent="0.2">
      <c r="A740" s="329">
        <v>2250</v>
      </c>
      <c r="B740" s="322" t="s">
        <v>841</v>
      </c>
      <c r="C740" s="1144"/>
    </row>
    <row r="741" spans="1:3" x14ac:dyDescent="0.2">
      <c r="A741" s="329">
        <v>2251</v>
      </c>
      <c r="B741" s="290" t="s">
        <v>842</v>
      </c>
      <c r="C741" s="1144"/>
    </row>
    <row r="742" spans="1:3" x14ac:dyDescent="0.2">
      <c r="A742" s="329">
        <v>2252</v>
      </c>
      <c r="B742" s="322" t="s">
        <v>843</v>
      </c>
      <c r="C742" s="1144"/>
    </row>
    <row r="743" spans="1:3" x14ac:dyDescent="0.2">
      <c r="A743" s="329">
        <v>2253</v>
      </c>
      <c r="B743" s="290" t="s">
        <v>844</v>
      </c>
      <c r="C743" s="1144"/>
    </row>
    <row r="744" spans="1:3" x14ac:dyDescent="0.2">
      <c r="A744" s="329">
        <v>2254</v>
      </c>
      <c r="B744" s="322" t="s">
        <v>845</v>
      </c>
      <c r="C744" s="1144"/>
    </row>
    <row r="745" spans="1:3" ht="22.5" x14ac:dyDescent="0.2">
      <c r="A745" s="329">
        <v>2255</v>
      </c>
      <c r="B745" s="290" t="s">
        <v>846</v>
      </c>
      <c r="C745" s="1144"/>
    </row>
    <row r="746" spans="1:3" ht="22.5" x14ac:dyDescent="0.2">
      <c r="A746" s="329">
        <v>2256</v>
      </c>
      <c r="B746" s="290" t="s">
        <v>847</v>
      </c>
      <c r="C746" s="1144"/>
    </row>
    <row r="747" spans="1:3" x14ac:dyDescent="0.2">
      <c r="A747" s="329">
        <v>2257</v>
      </c>
      <c r="B747" s="1150" t="s">
        <v>848</v>
      </c>
      <c r="C747" s="1144"/>
    </row>
    <row r="748" spans="1:3" x14ac:dyDescent="0.2">
      <c r="A748" s="329">
        <v>2258</v>
      </c>
      <c r="B748" s="637" t="s">
        <v>849</v>
      </c>
      <c r="C748" s="1144"/>
    </row>
    <row r="749" spans="1:3" ht="13.5" thickBot="1" x14ac:dyDescent="0.25">
      <c r="A749" s="329">
        <v>2259</v>
      </c>
      <c r="B749" s="637" t="s">
        <v>850</v>
      </c>
      <c r="C749" s="1144"/>
    </row>
    <row r="750" spans="1:3" x14ac:dyDescent="0.2">
      <c r="A750" s="329">
        <v>2260</v>
      </c>
      <c r="B750" s="314" t="s">
        <v>851</v>
      </c>
      <c r="C750" s="1144"/>
    </row>
    <row r="751" spans="1:3" ht="15.75" x14ac:dyDescent="0.2">
      <c r="A751" s="329">
        <v>2261</v>
      </c>
      <c r="B751" s="35" t="s">
        <v>852</v>
      </c>
      <c r="C751" s="1144"/>
    </row>
    <row r="752" spans="1:3" x14ac:dyDescent="0.2">
      <c r="A752" s="329">
        <v>2262</v>
      </c>
      <c r="B752" s="322" t="s">
        <v>853</v>
      </c>
      <c r="C752" s="1144"/>
    </row>
    <row r="753" spans="1:3" ht="22.5" x14ac:dyDescent="0.2">
      <c r="A753" s="329">
        <v>2263</v>
      </c>
      <c r="B753" s="290" t="s">
        <v>854</v>
      </c>
      <c r="C753" s="1144"/>
    </row>
    <row r="754" spans="1:3" x14ac:dyDescent="0.2">
      <c r="A754" s="329">
        <v>2264</v>
      </c>
      <c r="B754" s="322" t="s">
        <v>855</v>
      </c>
      <c r="C754" s="1144"/>
    </row>
    <row r="755" spans="1:3" ht="22.5" x14ac:dyDescent="0.2">
      <c r="A755" s="329">
        <v>2265</v>
      </c>
      <c r="B755" s="290" t="s">
        <v>856</v>
      </c>
      <c r="C755" s="1144"/>
    </row>
    <row r="756" spans="1:3" x14ac:dyDescent="0.2">
      <c r="A756" s="329">
        <v>2266</v>
      </c>
      <c r="B756" s="322" t="s">
        <v>857</v>
      </c>
      <c r="C756" s="1144"/>
    </row>
    <row r="757" spans="1:3" x14ac:dyDescent="0.2">
      <c r="A757" s="329">
        <v>2267</v>
      </c>
      <c r="B757" s="290" t="s">
        <v>858</v>
      </c>
      <c r="C757" s="1144"/>
    </row>
    <row r="758" spans="1:3" x14ac:dyDescent="0.2">
      <c r="A758" s="329">
        <v>2268</v>
      </c>
      <c r="B758" s="323" t="s">
        <v>859</v>
      </c>
      <c r="C758" s="1144"/>
    </row>
    <row r="759" spans="1:3" ht="33.75" x14ac:dyDescent="0.2">
      <c r="A759" s="329">
        <v>2269</v>
      </c>
      <c r="B759" s="292" t="s">
        <v>860</v>
      </c>
      <c r="C759" s="1144"/>
    </row>
    <row r="760" spans="1:3" ht="22.5" x14ac:dyDescent="0.2">
      <c r="A760" s="329">
        <v>2270</v>
      </c>
      <c r="B760" s="291" t="s">
        <v>861</v>
      </c>
      <c r="C760" s="1144"/>
    </row>
    <row r="761" spans="1:3" x14ac:dyDescent="0.2">
      <c r="A761" s="329">
        <v>2271</v>
      </c>
      <c r="B761" s="323" t="s">
        <v>862</v>
      </c>
      <c r="C761" s="1144"/>
    </row>
    <row r="762" spans="1:3" ht="33.75" x14ac:dyDescent="0.2">
      <c r="A762" s="329">
        <v>2272</v>
      </c>
      <c r="B762" s="292" t="s">
        <v>863</v>
      </c>
      <c r="C762" s="1144"/>
    </row>
    <row r="763" spans="1:3" ht="56.25" x14ac:dyDescent="0.2">
      <c r="A763" s="329">
        <v>2273</v>
      </c>
      <c r="B763" s="291" t="s">
        <v>864</v>
      </c>
      <c r="C763" s="1144"/>
    </row>
    <row r="764" spans="1:3" x14ac:dyDescent="0.2">
      <c r="A764" s="329">
        <v>2274</v>
      </c>
      <c r="B764" s="1137" t="s">
        <v>865</v>
      </c>
      <c r="C764" s="1144"/>
    </row>
    <row r="765" spans="1:3" x14ac:dyDescent="0.2">
      <c r="A765" s="329">
        <v>2275</v>
      </c>
      <c r="B765" s="1137" t="s">
        <v>866</v>
      </c>
      <c r="C765" s="1144"/>
    </row>
    <row r="766" spans="1:3" ht="25.5" x14ac:dyDescent="0.2">
      <c r="A766" s="329">
        <v>2276</v>
      </c>
      <c r="B766" s="1147" t="s">
        <v>1212</v>
      </c>
      <c r="C766" s="1144"/>
    </row>
    <row r="767" spans="1:3" x14ac:dyDescent="0.2">
      <c r="A767" s="329">
        <v>2277</v>
      </c>
      <c r="B767" t="s">
        <v>622</v>
      </c>
      <c r="C767" s="1144"/>
    </row>
    <row r="768" spans="1:3" x14ac:dyDescent="0.2">
      <c r="A768" s="329">
        <v>2278</v>
      </c>
      <c r="B768" s="1193" t="s">
        <v>867</v>
      </c>
      <c r="C768" s="1144"/>
    </row>
    <row r="769" spans="1:3" ht="18" x14ac:dyDescent="0.2">
      <c r="A769" s="329">
        <v>2279</v>
      </c>
      <c r="B769" s="1165" t="s">
        <v>868</v>
      </c>
      <c r="C769" s="1144"/>
    </row>
    <row r="770" spans="1:3" x14ac:dyDescent="0.2">
      <c r="A770" s="329">
        <v>2280</v>
      </c>
      <c r="B770" s="280" t="s">
        <v>869</v>
      </c>
      <c r="C770" s="1144"/>
    </row>
    <row r="771" spans="1:3" x14ac:dyDescent="0.2">
      <c r="A771" s="329">
        <v>2281</v>
      </c>
      <c r="B771" s="1134" t="s">
        <v>870</v>
      </c>
      <c r="C771" s="1144"/>
    </row>
    <row r="772" spans="1:3" x14ac:dyDescent="0.2">
      <c r="A772" s="329">
        <v>2282</v>
      </c>
      <c r="B772" s="241" t="s">
        <v>871</v>
      </c>
      <c r="C772" s="1144"/>
    </row>
    <row r="773" spans="1:3" x14ac:dyDescent="0.2">
      <c r="A773" s="329">
        <v>2283</v>
      </c>
      <c r="B773" s="241" t="s">
        <v>872</v>
      </c>
      <c r="C773" s="1144"/>
    </row>
    <row r="774" spans="1:3" x14ac:dyDescent="0.2">
      <c r="A774" s="329">
        <v>2284</v>
      </c>
      <c r="B774" s="241" t="s">
        <v>873</v>
      </c>
      <c r="C774" s="1144"/>
    </row>
    <row r="775" spans="1:3" ht="25.5" x14ac:dyDescent="0.2">
      <c r="A775" s="329">
        <v>2285</v>
      </c>
      <c r="B775" s="179" t="s">
        <v>874</v>
      </c>
      <c r="C775" s="1144"/>
    </row>
    <row r="776" spans="1:3" ht="38.25" x14ac:dyDescent="0.2">
      <c r="A776" s="329">
        <v>2286</v>
      </c>
      <c r="B776" s="179" t="s">
        <v>875</v>
      </c>
      <c r="C776" s="1144"/>
    </row>
    <row r="777" spans="1:3" ht="36" x14ac:dyDescent="0.2">
      <c r="A777" s="329">
        <v>2287</v>
      </c>
      <c r="B777" s="293" t="s">
        <v>876</v>
      </c>
      <c r="C777" s="1144"/>
    </row>
    <row r="778" spans="1:3" ht="18" x14ac:dyDescent="0.2">
      <c r="A778" s="329">
        <v>2288</v>
      </c>
      <c r="B778" s="1165" t="s">
        <v>877</v>
      </c>
      <c r="C778" s="1144"/>
    </row>
    <row r="779" spans="1:3" ht="15.75" x14ac:dyDescent="0.2">
      <c r="A779" s="329">
        <v>2289</v>
      </c>
      <c r="B779" s="35" t="s">
        <v>878</v>
      </c>
      <c r="C779" s="1144"/>
    </row>
    <row r="780" spans="1:3" ht="15.75" x14ac:dyDescent="0.2">
      <c r="A780" s="329">
        <v>2290</v>
      </c>
      <c r="B780" s="1166" t="s">
        <v>879</v>
      </c>
      <c r="C780" s="1144"/>
    </row>
    <row r="781" spans="1:3" x14ac:dyDescent="0.2">
      <c r="A781" s="329">
        <v>2291</v>
      </c>
      <c r="B781" s="1167" t="s">
        <v>880</v>
      </c>
      <c r="C781" s="1144"/>
    </row>
    <row r="782" spans="1:3" x14ac:dyDescent="0.2">
      <c r="A782" s="329">
        <v>2292</v>
      </c>
      <c r="B782" s="1147" t="s">
        <v>881</v>
      </c>
      <c r="C782" s="1144"/>
    </row>
    <row r="783" spans="1:3" x14ac:dyDescent="0.2">
      <c r="A783" s="329">
        <v>2293</v>
      </c>
      <c r="B783" s="1147" t="s">
        <v>882</v>
      </c>
      <c r="C783" s="1144"/>
    </row>
    <row r="784" spans="1:3" x14ac:dyDescent="0.2">
      <c r="A784" s="329">
        <v>2294</v>
      </c>
      <c r="B784" s="1168" t="s">
        <v>883</v>
      </c>
      <c r="C784" s="1144"/>
    </row>
    <row r="785" spans="1:3" x14ac:dyDescent="0.2">
      <c r="A785" s="329">
        <v>2295</v>
      </c>
      <c r="B785" s="1169" t="s">
        <v>884</v>
      </c>
      <c r="C785" s="1144"/>
    </row>
    <row r="786" spans="1:3" ht="13.5" thickBot="1" x14ac:dyDescent="0.25">
      <c r="A786" s="329">
        <v>2296</v>
      </c>
      <c r="B786" s="1169" t="s">
        <v>885</v>
      </c>
      <c r="C786" s="1144"/>
    </row>
    <row r="787" spans="1:3" ht="13.5" thickBot="1" x14ac:dyDescent="0.25">
      <c r="A787" s="329">
        <v>2297</v>
      </c>
      <c r="B787" s="1170" t="s">
        <v>886</v>
      </c>
      <c r="C787" s="1144"/>
    </row>
    <row r="788" spans="1:3" ht="18" x14ac:dyDescent="0.2">
      <c r="A788" s="329">
        <v>2298</v>
      </c>
      <c r="B788" s="1171" t="s">
        <v>887</v>
      </c>
      <c r="C788" s="1144"/>
    </row>
    <row r="789" spans="1:3" x14ac:dyDescent="0.2">
      <c r="A789" s="329">
        <v>2299</v>
      </c>
      <c r="B789" s="1172" t="s">
        <v>888</v>
      </c>
      <c r="C789" s="1144"/>
    </row>
    <row r="790" spans="1:3" ht="15" x14ac:dyDescent="0.2">
      <c r="A790" s="329">
        <v>2300</v>
      </c>
      <c r="B790" s="1173" t="s">
        <v>889</v>
      </c>
      <c r="C790" s="1144"/>
    </row>
    <row r="791" spans="1:3" ht="15" x14ac:dyDescent="0.2">
      <c r="A791" s="329">
        <v>2301</v>
      </c>
      <c r="B791" s="1173" t="s">
        <v>890</v>
      </c>
      <c r="C791" s="1144"/>
    </row>
    <row r="792" spans="1:3" ht="15" x14ac:dyDescent="0.2">
      <c r="A792" s="329">
        <v>2302</v>
      </c>
      <c r="B792" s="1173" t="s">
        <v>891</v>
      </c>
      <c r="C792" s="1144"/>
    </row>
    <row r="793" spans="1:3" x14ac:dyDescent="0.2">
      <c r="A793" s="329">
        <v>2303</v>
      </c>
      <c r="B793" s="1174" t="s">
        <v>892</v>
      </c>
      <c r="C793" s="1144"/>
    </row>
    <row r="794" spans="1:3" x14ac:dyDescent="0.2">
      <c r="A794" s="329">
        <v>2304</v>
      </c>
      <c r="B794" s="1175" t="s">
        <v>893</v>
      </c>
      <c r="C794" s="1144"/>
    </row>
    <row r="795" spans="1:3" x14ac:dyDescent="0.2">
      <c r="A795" s="329">
        <v>2305</v>
      </c>
      <c r="B795" s="1175" t="s">
        <v>894</v>
      </c>
      <c r="C795" s="1144"/>
    </row>
    <row r="796" spans="1:3" x14ac:dyDescent="0.2">
      <c r="A796" s="329">
        <v>2306</v>
      </c>
      <c r="B796" s="1174" t="s">
        <v>895</v>
      </c>
      <c r="C796" s="1144"/>
    </row>
    <row r="797" spans="1:3" ht="27" thickBot="1" x14ac:dyDescent="0.45">
      <c r="A797" s="329">
        <v>2307</v>
      </c>
      <c r="B797" s="848" t="s">
        <v>896</v>
      </c>
      <c r="C797" s="1144"/>
    </row>
    <row r="798" spans="1:3" ht="13.5" thickBot="1" x14ac:dyDescent="0.25">
      <c r="A798" s="329">
        <v>2308</v>
      </c>
      <c r="B798" s="1176" t="s">
        <v>897</v>
      </c>
      <c r="C798" s="1144"/>
    </row>
    <row r="799" spans="1:3" ht="13.5" thickBot="1" x14ac:dyDescent="0.25">
      <c r="A799" s="329">
        <v>2309</v>
      </c>
      <c r="B799" s="1177" t="s">
        <v>898</v>
      </c>
      <c r="C799" s="1144"/>
    </row>
    <row r="800" spans="1:3" ht="13.5" thickBot="1" x14ac:dyDescent="0.25">
      <c r="A800" s="329">
        <v>2310</v>
      </c>
      <c r="B800" s="1178" t="s">
        <v>899</v>
      </c>
      <c r="C800" s="1144"/>
    </row>
    <row r="801" spans="1:3" ht="13.5" thickBot="1" x14ac:dyDescent="0.25">
      <c r="A801" s="329">
        <v>2311</v>
      </c>
      <c r="B801" s="1178" t="s">
        <v>900</v>
      </c>
      <c r="C801" s="1144"/>
    </row>
    <row r="802" spans="1:3" ht="13.5" thickBot="1" x14ac:dyDescent="0.25">
      <c r="A802" s="329">
        <v>2312</v>
      </c>
      <c r="B802" s="1178" t="s">
        <v>901</v>
      </c>
      <c r="C802" s="1144"/>
    </row>
    <row r="803" spans="1:3" ht="13.5" thickBot="1" x14ac:dyDescent="0.25">
      <c r="A803" s="329">
        <v>2313</v>
      </c>
      <c r="B803" s="1178" t="s">
        <v>902</v>
      </c>
      <c r="C803" s="1144"/>
    </row>
    <row r="804" spans="1:3" ht="13.5" thickBot="1" x14ac:dyDescent="0.25">
      <c r="A804" s="329">
        <v>2314</v>
      </c>
      <c r="B804" s="1178" t="s">
        <v>903</v>
      </c>
      <c r="C804" s="1144"/>
    </row>
    <row r="805" spans="1:3" ht="13.5" thickBot="1" x14ac:dyDescent="0.25">
      <c r="A805" s="329">
        <v>2315</v>
      </c>
      <c r="B805" s="1178" t="s">
        <v>904</v>
      </c>
      <c r="C805" s="1144"/>
    </row>
    <row r="806" spans="1:3" ht="13.5" thickBot="1" x14ac:dyDescent="0.25">
      <c r="A806" s="329">
        <v>2316</v>
      </c>
      <c r="B806" s="1178" t="s">
        <v>905</v>
      </c>
      <c r="C806" s="1144"/>
    </row>
    <row r="807" spans="1:3" ht="13.5" thickBot="1" x14ac:dyDescent="0.25">
      <c r="A807" s="329">
        <v>2317</v>
      </c>
      <c r="B807" s="1178" t="s">
        <v>906</v>
      </c>
      <c r="C807" s="1144"/>
    </row>
    <row r="808" spans="1:3" ht="13.5" thickBot="1" x14ac:dyDescent="0.25">
      <c r="A808" s="329">
        <v>2318</v>
      </c>
      <c r="B808" s="1178" t="s">
        <v>907</v>
      </c>
      <c r="C808" s="1144"/>
    </row>
    <row r="809" spans="1:3" ht="13.5" thickBot="1" x14ac:dyDescent="0.25">
      <c r="A809" s="329">
        <v>2319</v>
      </c>
      <c r="B809" s="1178" t="s">
        <v>908</v>
      </c>
      <c r="C809" s="1144"/>
    </row>
    <row r="810" spans="1:3" ht="13.5" thickBot="1" x14ac:dyDescent="0.25">
      <c r="A810" s="329">
        <v>2320</v>
      </c>
      <c r="B810" s="1178" t="s">
        <v>909</v>
      </c>
      <c r="C810" s="1144"/>
    </row>
    <row r="811" spans="1:3" ht="13.5" thickBot="1" x14ac:dyDescent="0.25">
      <c r="A811" s="329">
        <v>2321</v>
      </c>
      <c r="B811" s="1178" t="s">
        <v>910</v>
      </c>
      <c r="C811" s="1144"/>
    </row>
    <row r="812" spans="1:3" ht="13.5" thickBot="1" x14ac:dyDescent="0.25">
      <c r="A812" s="329">
        <v>2322</v>
      </c>
      <c r="B812" s="1178" t="s">
        <v>911</v>
      </c>
      <c r="C812" s="1144"/>
    </row>
    <row r="813" spans="1:3" ht="13.5" thickBot="1" x14ac:dyDescent="0.25">
      <c r="A813" s="329">
        <v>2323</v>
      </c>
      <c r="B813" s="1178" t="s">
        <v>912</v>
      </c>
      <c r="C813" s="1144"/>
    </row>
    <row r="814" spans="1:3" ht="13.5" thickBot="1" x14ac:dyDescent="0.25">
      <c r="A814" s="329">
        <v>2324</v>
      </c>
      <c r="B814" s="1178" t="s">
        <v>913</v>
      </c>
      <c r="C814" s="1144"/>
    </row>
    <row r="815" spans="1:3" ht="13.5" thickBot="1" x14ac:dyDescent="0.25">
      <c r="A815" s="329">
        <v>2325</v>
      </c>
      <c r="B815" s="1178" t="s">
        <v>914</v>
      </c>
      <c r="C815" s="1144"/>
    </row>
    <row r="816" spans="1:3" ht="13.5" thickBot="1" x14ac:dyDescent="0.25">
      <c r="A816" s="329">
        <v>2326</v>
      </c>
      <c r="B816" s="1178" t="s">
        <v>915</v>
      </c>
      <c r="C816" s="1144"/>
    </row>
    <row r="817" spans="1:3" ht="13.5" thickBot="1" x14ac:dyDescent="0.25">
      <c r="A817" s="329">
        <v>2327</v>
      </c>
      <c r="B817" s="1178" t="s">
        <v>916</v>
      </c>
      <c r="C817" s="1144"/>
    </row>
    <row r="818" spans="1:3" ht="13.5" thickBot="1" x14ac:dyDescent="0.25">
      <c r="A818" s="329">
        <v>2328</v>
      </c>
      <c r="B818" s="1178" t="s">
        <v>917</v>
      </c>
      <c r="C818" s="1144"/>
    </row>
    <row r="819" spans="1:3" ht="13.5" thickBot="1" x14ac:dyDescent="0.25">
      <c r="A819" s="329">
        <v>2329</v>
      </c>
      <c r="B819" s="1178" t="s">
        <v>918</v>
      </c>
      <c r="C819" s="1144"/>
    </row>
    <row r="820" spans="1:3" ht="13.5" thickBot="1" x14ac:dyDescent="0.25">
      <c r="A820" s="329">
        <v>2330</v>
      </c>
      <c r="B820" s="1178" t="s">
        <v>919</v>
      </c>
      <c r="C820" s="1144"/>
    </row>
    <row r="821" spans="1:3" ht="13.5" thickBot="1" x14ac:dyDescent="0.25">
      <c r="A821" s="329">
        <v>2331</v>
      </c>
      <c r="B821" s="1178" t="s">
        <v>920</v>
      </c>
      <c r="C821" s="1144"/>
    </row>
    <row r="822" spans="1:3" ht="13.5" thickBot="1" x14ac:dyDescent="0.25">
      <c r="A822" s="329">
        <v>2332</v>
      </c>
      <c r="B822" s="1179" t="s">
        <v>921</v>
      </c>
      <c r="C822" s="1144"/>
    </row>
    <row r="823" spans="1:3" ht="13.5" thickBot="1" x14ac:dyDescent="0.25">
      <c r="A823" s="329">
        <v>2333</v>
      </c>
      <c r="B823" s="1178" t="s">
        <v>922</v>
      </c>
      <c r="C823" s="1144"/>
    </row>
    <row r="824" spans="1:3" ht="13.5" thickBot="1" x14ac:dyDescent="0.25">
      <c r="A824" s="329">
        <v>2334</v>
      </c>
      <c r="B824" s="1178" t="s">
        <v>923</v>
      </c>
      <c r="C824" s="1144"/>
    </row>
    <row r="825" spans="1:3" ht="13.5" thickBot="1" x14ac:dyDescent="0.25">
      <c r="A825" s="329">
        <v>2335</v>
      </c>
      <c r="B825" s="1179" t="s">
        <v>924</v>
      </c>
      <c r="C825" s="1144"/>
    </row>
    <row r="826" spans="1:3" ht="13.5" thickBot="1" x14ac:dyDescent="0.25">
      <c r="A826" s="329">
        <v>2336</v>
      </c>
      <c r="B826" s="1179" t="s">
        <v>925</v>
      </c>
      <c r="C826" s="1144"/>
    </row>
    <row r="827" spans="1:3" ht="13.5" thickBot="1" x14ac:dyDescent="0.25">
      <c r="A827" s="329">
        <v>2337</v>
      </c>
      <c r="B827" s="1179" t="s">
        <v>926</v>
      </c>
      <c r="C827" s="1144"/>
    </row>
    <row r="828" spans="1:3" ht="13.5" thickBot="1" x14ac:dyDescent="0.25">
      <c r="A828" s="329">
        <v>2338</v>
      </c>
      <c r="B828" s="1179" t="s">
        <v>927</v>
      </c>
      <c r="C828" s="1144"/>
    </row>
    <row r="829" spans="1:3" ht="13.5" thickBot="1" x14ac:dyDescent="0.25">
      <c r="A829" s="329">
        <v>2339</v>
      </c>
      <c r="B829" s="1178" t="s">
        <v>928</v>
      </c>
      <c r="C829" s="1144"/>
    </row>
    <row r="830" spans="1:3" ht="13.5" thickBot="1" x14ac:dyDescent="0.25">
      <c r="A830" s="329">
        <v>2340</v>
      </c>
      <c r="B830" s="1178" t="s">
        <v>929</v>
      </c>
      <c r="C830" s="1144"/>
    </row>
    <row r="831" spans="1:3" ht="13.5" thickBot="1" x14ac:dyDescent="0.25">
      <c r="A831" s="329">
        <v>2341</v>
      </c>
      <c r="B831" s="1178" t="s">
        <v>930</v>
      </c>
      <c r="C831" s="1144"/>
    </row>
    <row r="832" spans="1:3" ht="13.5" thickBot="1" x14ac:dyDescent="0.25">
      <c r="A832" s="329">
        <v>2342</v>
      </c>
      <c r="B832" s="1178" t="s">
        <v>931</v>
      </c>
      <c r="C832" s="1144"/>
    </row>
    <row r="833" spans="1:3" ht="13.5" thickBot="1" x14ac:dyDescent="0.25">
      <c r="A833" s="329">
        <v>2343</v>
      </c>
      <c r="B833" s="1178" t="s">
        <v>932</v>
      </c>
      <c r="C833" s="1144"/>
    </row>
    <row r="834" spans="1:3" ht="13.5" thickBot="1" x14ac:dyDescent="0.25">
      <c r="A834" s="329">
        <v>2344</v>
      </c>
      <c r="B834" s="1180" t="s">
        <v>933</v>
      </c>
      <c r="C834" s="1144"/>
    </row>
    <row r="835" spans="1:3" ht="26.25" x14ac:dyDescent="0.4">
      <c r="A835" s="329">
        <v>2345</v>
      </c>
      <c r="B835" s="848" t="s">
        <v>934</v>
      </c>
      <c r="C835" s="1144"/>
    </row>
    <row r="836" spans="1:3" ht="26.25" x14ac:dyDescent="0.4">
      <c r="A836" s="329">
        <v>2346</v>
      </c>
      <c r="B836" s="848" t="s">
        <v>935</v>
      </c>
      <c r="C836" s="1144"/>
    </row>
    <row r="837" spans="1:3" ht="26.25" x14ac:dyDescent="0.4">
      <c r="A837" s="329">
        <v>2347</v>
      </c>
      <c r="B837" s="848" t="s">
        <v>936</v>
      </c>
      <c r="C837" s="1144"/>
    </row>
    <row r="838" spans="1:3" x14ac:dyDescent="0.2">
      <c r="A838" s="329">
        <v>2348</v>
      </c>
      <c r="B838" s="63" t="s">
        <v>937</v>
      </c>
      <c r="C838" s="1144"/>
    </row>
    <row r="839" spans="1:3" x14ac:dyDescent="0.2">
      <c r="A839" s="329">
        <v>2349</v>
      </c>
      <c r="B839" s="1181" t="s">
        <v>938</v>
      </c>
      <c r="C839" s="1144"/>
    </row>
    <row r="840" spans="1:3" x14ac:dyDescent="0.2">
      <c r="A840" s="329">
        <v>2350</v>
      </c>
      <c r="B840" s="1181" t="s">
        <v>939</v>
      </c>
      <c r="C840" s="1144"/>
    </row>
    <row r="841" spans="1:3" x14ac:dyDescent="0.2">
      <c r="A841" s="329">
        <v>2351</v>
      </c>
      <c r="B841" s="1181" t="s">
        <v>940</v>
      </c>
      <c r="C841" s="1144"/>
    </row>
    <row r="842" spans="1:3" x14ac:dyDescent="0.2">
      <c r="A842" s="329">
        <v>2352</v>
      </c>
      <c r="B842" s="1181" t="s">
        <v>941</v>
      </c>
      <c r="C842" s="1144"/>
    </row>
    <row r="843" spans="1:3" x14ac:dyDescent="0.2">
      <c r="A843" s="329">
        <v>2353</v>
      </c>
      <c r="B843" s="1181" t="s">
        <v>942</v>
      </c>
      <c r="C843" s="1144"/>
    </row>
    <row r="844" spans="1:3" x14ac:dyDescent="0.2">
      <c r="A844" s="329">
        <v>2354</v>
      </c>
      <c r="B844" s="327" t="s">
        <v>943</v>
      </c>
      <c r="C844" s="1144"/>
    </row>
    <row r="845" spans="1:3" x14ac:dyDescent="0.2">
      <c r="A845" s="329">
        <v>2355</v>
      </c>
      <c r="B845" s="327" t="s">
        <v>944</v>
      </c>
      <c r="C845" s="1144"/>
    </row>
    <row r="846" spans="1:3" x14ac:dyDescent="0.2">
      <c r="A846" s="329">
        <v>2356</v>
      </c>
      <c r="B846" s="327" t="s">
        <v>320</v>
      </c>
      <c r="C846" s="1144"/>
    </row>
    <row r="847" spans="1:3" x14ac:dyDescent="0.2">
      <c r="A847" s="329">
        <v>2357</v>
      </c>
      <c r="B847" s="327" t="s">
        <v>945</v>
      </c>
      <c r="C847" s="1144"/>
    </row>
    <row r="848" spans="1:3" x14ac:dyDescent="0.2">
      <c r="A848" s="329">
        <v>2358</v>
      </c>
      <c r="B848" s="63" t="s">
        <v>946</v>
      </c>
      <c r="C848" s="1144"/>
    </row>
    <row r="849" spans="1:3" x14ac:dyDescent="0.2">
      <c r="A849" s="329">
        <v>2359</v>
      </c>
      <c r="B849" s="63" t="s">
        <v>947</v>
      </c>
      <c r="C849" s="1144"/>
    </row>
    <row r="850" spans="1:3" x14ac:dyDescent="0.2">
      <c r="A850" s="329">
        <v>2360</v>
      </c>
      <c r="B850" s="63" t="s">
        <v>948</v>
      </c>
      <c r="C850" s="1144"/>
    </row>
    <row r="851" spans="1:3" x14ac:dyDescent="0.2">
      <c r="A851" s="329">
        <v>2361</v>
      </c>
      <c r="B851" s="63" t="s">
        <v>949</v>
      </c>
      <c r="C851" s="1144"/>
    </row>
    <row r="852" spans="1:3" x14ac:dyDescent="0.2">
      <c r="A852" s="329">
        <v>2362</v>
      </c>
      <c r="B852" s="63" t="s">
        <v>950</v>
      </c>
      <c r="C852" s="1144"/>
    </row>
    <row r="853" spans="1:3" x14ac:dyDescent="0.2">
      <c r="A853" s="329">
        <v>2363</v>
      </c>
      <c r="B853" s="63" t="s">
        <v>951</v>
      </c>
      <c r="C853" s="1144"/>
    </row>
    <row r="854" spans="1:3" x14ac:dyDescent="0.2">
      <c r="A854" s="329">
        <v>2364</v>
      </c>
      <c r="B854" s="63" t="s">
        <v>952</v>
      </c>
      <c r="C854" s="1144"/>
    </row>
    <row r="855" spans="1:3" x14ac:dyDescent="0.2">
      <c r="A855" s="329">
        <v>2365</v>
      </c>
      <c r="B855" s="63" t="s">
        <v>953</v>
      </c>
      <c r="C855" s="1144"/>
    </row>
    <row r="856" spans="1:3" x14ac:dyDescent="0.2">
      <c r="A856" s="329">
        <v>2366</v>
      </c>
      <c r="B856" s="63" t="s">
        <v>954</v>
      </c>
      <c r="C856" s="1144"/>
    </row>
    <row r="857" spans="1:3" x14ac:dyDescent="0.2">
      <c r="A857" s="329">
        <v>2367</v>
      </c>
      <c r="B857" s="63" t="s">
        <v>955</v>
      </c>
      <c r="C857" s="1144"/>
    </row>
    <row r="858" spans="1:3" x14ac:dyDescent="0.2">
      <c r="A858" s="329">
        <v>2368</v>
      </c>
      <c r="B858" s="1182" t="s">
        <v>956</v>
      </c>
      <c r="C858" s="1144"/>
    </row>
    <row r="859" spans="1:3" x14ac:dyDescent="0.2">
      <c r="A859" s="329">
        <v>2369</v>
      </c>
      <c r="B859" s="83" t="s">
        <v>957</v>
      </c>
      <c r="C859" s="1144"/>
    </row>
    <row r="860" spans="1:3" x14ac:dyDescent="0.2">
      <c r="A860" s="329">
        <v>2370</v>
      </c>
      <c r="B860" s="83" t="s">
        <v>958</v>
      </c>
      <c r="C860" s="1144"/>
    </row>
    <row r="861" spans="1:3" x14ac:dyDescent="0.2">
      <c r="A861" s="329">
        <v>2371</v>
      </c>
      <c r="B861" s="83" t="s">
        <v>959</v>
      </c>
      <c r="C861" s="1144"/>
    </row>
    <row r="862" spans="1:3" x14ac:dyDescent="0.2">
      <c r="A862" s="329">
        <v>2372</v>
      </c>
      <c r="B862" s="83" t="s">
        <v>960</v>
      </c>
      <c r="C862" s="1144"/>
    </row>
    <row r="863" spans="1:3" x14ac:dyDescent="0.2">
      <c r="A863" s="329">
        <v>2373</v>
      </c>
      <c r="B863" s="63" t="s">
        <v>961</v>
      </c>
      <c r="C863" s="1144"/>
    </row>
    <row r="864" spans="1:3" x14ac:dyDescent="0.2">
      <c r="A864" s="329">
        <v>2374</v>
      </c>
      <c r="B864" s="63" t="s">
        <v>962</v>
      </c>
      <c r="C864" s="1144"/>
    </row>
    <row r="865" spans="1:3" x14ac:dyDescent="0.2">
      <c r="A865" s="329">
        <v>2375</v>
      </c>
      <c r="B865" s="63" t="s">
        <v>963</v>
      </c>
      <c r="C865" s="1144"/>
    </row>
    <row r="866" spans="1:3" x14ac:dyDescent="0.2">
      <c r="A866" s="329">
        <v>2376</v>
      </c>
      <c r="B866" s="63" t="s">
        <v>964</v>
      </c>
      <c r="C866" s="1144"/>
    </row>
    <row r="867" spans="1:3" x14ac:dyDescent="0.2">
      <c r="A867" s="329">
        <v>2377</v>
      </c>
      <c r="B867" s="63" t="s">
        <v>965</v>
      </c>
      <c r="C867" s="1144"/>
    </row>
    <row r="868" spans="1:3" x14ac:dyDescent="0.2">
      <c r="A868" s="329">
        <v>2378</v>
      </c>
      <c r="B868" s="57" t="s">
        <v>966</v>
      </c>
      <c r="C868" s="1144"/>
    </row>
    <row r="869" spans="1:3" x14ac:dyDescent="0.2">
      <c r="A869" s="329">
        <v>2379</v>
      </c>
      <c r="B869" s="1183" t="s">
        <v>967</v>
      </c>
      <c r="C869" s="1144"/>
    </row>
    <row r="870" spans="1:3" x14ac:dyDescent="0.2">
      <c r="A870" s="329">
        <v>2380</v>
      </c>
      <c r="B870" s="1183" t="s">
        <v>968</v>
      </c>
      <c r="C870" s="1144"/>
    </row>
    <row r="871" spans="1:3" x14ac:dyDescent="0.2">
      <c r="A871" s="329">
        <v>2381</v>
      </c>
      <c r="B871" s="1183" t="s">
        <v>969</v>
      </c>
      <c r="C871" s="1144"/>
    </row>
    <row r="872" spans="1:3" x14ac:dyDescent="0.2">
      <c r="A872" s="329">
        <v>2382</v>
      </c>
      <c r="B872" s="1183" t="s">
        <v>970</v>
      </c>
      <c r="C872" s="1144"/>
    </row>
    <row r="873" spans="1:3" x14ac:dyDescent="0.2">
      <c r="A873" s="329">
        <v>2383</v>
      </c>
      <c r="B873" s="1183" t="s">
        <v>971</v>
      </c>
      <c r="C873" s="1144"/>
    </row>
    <row r="874" spans="1:3" x14ac:dyDescent="0.2">
      <c r="A874" s="329">
        <v>2384</v>
      </c>
      <c r="B874" s="1183" t="s">
        <v>972</v>
      </c>
      <c r="C874" s="1144"/>
    </row>
    <row r="875" spans="1:3" x14ac:dyDescent="0.2">
      <c r="A875" s="329">
        <v>2385</v>
      </c>
      <c r="B875" s="1183" t="s">
        <v>973</v>
      </c>
      <c r="C875" s="1144"/>
    </row>
    <row r="876" spans="1:3" x14ac:dyDescent="0.2">
      <c r="A876" s="329">
        <v>2386</v>
      </c>
      <c r="B876" s="1183" t="s">
        <v>974</v>
      </c>
      <c r="C876" s="1144"/>
    </row>
    <row r="877" spans="1:3" x14ac:dyDescent="0.2">
      <c r="A877" s="329">
        <v>2387</v>
      </c>
      <c r="B877" s="1183" t="s">
        <v>975</v>
      </c>
      <c r="C877" s="1144"/>
    </row>
    <row r="878" spans="1:3" x14ac:dyDescent="0.2">
      <c r="A878" s="329">
        <v>2388</v>
      </c>
      <c r="B878" s="1183" t="s">
        <v>976</v>
      </c>
      <c r="C878" s="1144"/>
    </row>
    <row r="879" spans="1:3" x14ac:dyDescent="0.2">
      <c r="A879" s="329">
        <v>2389</v>
      </c>
      <c r="B879" s="1183" t="s">
        <v>977</v>
      </c>
      <c r="C879" s="1144"/>
    </row>
    <row r="880" spans="1:3" x14ac:dyDescent="0.2">
      <c r="A880" s="329">
        <v>2390</v>
      </c>
      <c r="B880" s="1183" t="s">
        <v>978</v>
      </c>
      <c r="C880" s="1144"/>
    </row>
    <row r="881" spans="1:3" x14ac:dyDescent="0.2">
      <c r="A881" s="329">
        <v>2391</v>
      </c>
      <c r="B881" s="1183" t="s">
        <v>979</v>
      </c>
      <c r="C881" s="1144"/>
    </row>
    <row r="882" spans="1:3" x14ac:dyDescent="0.2">
      <c r="A882" s="329">
        <v>2392</v>
      </c>
      <c r="B882" s="1183" t="s">
        <v>980</v>
      </c>
      <c r="C882" s="1144"/>
    </row>
    <row r="883" spans="1:3" x14ac:dyDescent="0.2">
      <c r="A883" s="329">
        <v>2393</v>
      </c>
      <c r="B883" s="1183" t="s">
        <v>981</v>
      </c>
      <c r="C883" s="1144"/>
    </row>
    <row r="884" spans="1:3" x14ac:dyDescent="0.2">
      <c r="A884" s="329">
        <v>2394</v>
      </c>
      <c r="B884" s="1183" t="s">
        <v>982</v>
      </c>
      <c r="C884" s="1144"/>
    </row>
    <row r="885" spans="1:3" x14ac:dyDescent="0.2">
      <c r="A885" s="329">
        <v>2395</v>
      </c>
      <c r="B885" s="1183" t="s">
        <v>983</v>
      </c>
      <c r="C885" s="1144"/>
    </row>
    <row r="886" spans="1:3" x14ac:dyDescent="0.2">
      <c r="A886" s="329">
        <v>2396</v>
      </c>
      <c r="B886" s="1183" t="s">
        <v>984</v>
      </c>
      <c r="C886" s="1144"/>
    </row>
    <row r="887" spans="1:3" x14ac:dyDescent="0.2">
      <c r="A887" s="329">
        <v>2397</v>
      </c>
      <c r="B887" s="1183" t="s">
        <v>985</v>
      </c>
      <c r="C887" s="1144"/>
    </row>
    <row r="888" spans="1:3" x14ac:dyDescent="0.2">
      <c r="A888" s="329">
        <v>2398</v>
      </c>
      <c r="B888" s="1183" t="s">
        <v>986</v>
      </c>
      <c r="C888" s="1144"/>
    </row>
    <row r="889" spans="1:3" x14ac:dyDescent="0.2">
      <c r="A889" s="329">
        <v>2399</v>
      </c>
      <c r="B889" s="1183" t="s">
        <v>987</v>
      </c>
      <c r="C889" s="1144"/>
    </row>
    <row r="890" spans="1:3" x14ac:dyDescent="0.2">
      <c r="A890" s="329">
        <v>2400</v>
      </c>
      <c r="B890" s="1183" t="s">
        <v>988</v>
      </c>
      <c r="C890" s="1144"/>
    </row>
    <row r="891" spans="1:3" x14ac:dyDescent="0.2">
      <c r="A891" s="329">
        <v>2401</v>
      </c>
      <c r="B891" s="1183" t="s">
        <v>989</v>
      </c>
      <c r="C891" s="1144"/>
    </row>
    <row r="892" spans="1:3" x14ac:dyDescent="0.2">
      <c r="A892" s="329">
        <v>2402</v>
      </c>
      <c r="B892" s="1183" t="s">
        <v>990</v>
      </c>
      <c r="C892" s="1144"/>
    </row>
    <row r="893" spans="1:3" x14ac:dyDescent="0.2">
      <c r="A893" s="329">
        <v>2403</v>
      </c>
      <c r="B893" s="1183" t="s">
        <v>991</v>
      </c>
      <c r="C893" s="1144"/>
    </row>
    <row r="894" spans="1:3" x14ac:dyDescent="0.2">
      <c r="A894" s="329">
        <v>2404</v>
      </c>
      <c r="B894" s="1183" t="s">
        <v>992</v>
      </c>
      <c r="C894" s="1144"/>
    </row>
    <row r="895" spans="1:3" x14ac:dyDescent="0.2">
      <c r="A895" s="329">
        <v>2405</v>
      </c>
      <c r="B895" s="1183" t="s">
        <v>993</v>
      </c>
      <c r="C895" s="1144"/>
    </row>
    <row r="896" spans="1:3" x14ac:dyDescent="0.2">
      <c r="A896" s="329">
        <v>2406</v>
      </c>
      <c r="B896" s="1183" t="s">
        <v>994</v>
      </c>
      <c r="C896" s="1144"/>
    </row>
    <row r="897" spans="1:3" x14ac:dyDescent="0.2">
      <c r="A897" s="329">
        <v>2407</v>
      </c>
      <c r="B897" s="1183" t="s">
        <v>995</v>
      </c>
      <c r="C897" s="1144"/>
    </row>
    <row r="898" spans="1:3" x14ac:dyDescent="0.2">
      <c r="A898" s="329">
        <v>2408</v>
      </c>
      <c r="B898" s="1183" t="s">
        <v>996</v>
      </c>
      <c r="C898" s="1144"/>
    </row>
    <row r="899" spans="1:3" x14ac:dyDescent="0.2">
      <c r="A899" s="329">
        <v>2409</v>
      </c>
      <c r="B899" s="1183" t="s">
        <v>997</v>
      </c>
      <c r="C899" s="1144"/>
    </row>
    <row r="900" spans="1:3" x14ac:dyDescent="0.2">
      <c r="A900" s="329">
        <v>2410</v>
      </c>
      <c r="B900" s="1183" t="s">
        <v>998</v>
      </c>
      <c r="C900" s="1144"/>
    </row>
    <row r="901" spans="1:3" x14ac:dyDescent="0.2">
      <c r="A901" s="329">
        <v>2411</v>
      </c>
      <c r="B901" s="1183" t="s">
        <v>999</v>
      </c>
      <c r="C901" s="1144"/>
    </row>
    <row r="902" spans="1:3" x14ac:dyDescent="0.2">
      <c r="A902" s="329">
        <v>2412</v>
      </c>
      <c r="B902" s="1183" t="s">
        <v>1000</v>
      </c>
      <c r="C902" s="1144"/>
    </row>
    <row r="903" spans="1:3" x14ac:dyDescent="0.2">
      <c r="A903" s="329">
        <v>2413</v>
      </c>
      <c r="B903" s="1183" t="s">
        <v>1001</v>
      </c>
      <c r="C903" s="1144"/>
    </row>
    <row r="904" spans="1:3" ht="13.5" thickBot="1" x14ac:dyDescent="0.25">
      <c r="A904" s="329">
        <v>2414</v>
      </c>
      <c r="B904" s="1184" t="s">
        <v>1002</v>
      </c>
      <c r="C904" s="1144"/>
    </row>
    <row r="905" spans="1:3" x14ac:dyDescent="0.2">
      <c r="A905" s="329">
        <v>2415</v>
      </c>
      <c r="B905" s="1183" t="s">
        <v>1003</v>
      </c>
      <c r="C905" s="1144"/>
    </row>
    <row r="906" spans="1:3" ht="13.5" thickBot="1" x14ac:dyDescent="0.25">
      <c r="A906" s="329">
        <v>2416</v>
      </c>
      <c r="B906" s="1184" t="s">
        <v>1004</v>
      </c>
      <c r="C906" s="1144"/>
    </row>
    <row r="907" spans="1:3" x14ac:dyDescent="0.2">
      <c r="A907" s="329">
        <v>2417</v>
      </c>
      <c r="B907" s="1185" t="s">
        <v>1005</v>
      </c>
      <c r="C907" s="1144"/>
    </row>
    <row r="908" spans="1:3" x14ac:dyDescent="0.2">
      <c r="A908" s="329">
        <v>2418</v>
      </c>
      <c r="B908" s="1185" t="s">
        <v>1006</v>
      </c>
      <c r="C908" s="1144"/>
    </row>
    <row r="909" spans="1:3" x14ac:dyDescent="0.2">
      <c r="A909" s="329">
        <v>2419</v>
      </c>
      <c r="B909" s="1185" t="s">
        <v>1257</v>
      </c>
      <c r="C909" s="1144"/>
    </row>
    <row r="910" spans="1:3" ht="13.5" thickBot="1" x14ac:dyDescent="0.25">
      <c r="A910" s="329">
        <v>2420</v>
      </c>
      <c r="B910" s="1185" t="s">
        <v>1007</v>
      </c>
      <c r="C910" s="1144"/>
    </row>
    <row r="911" spans="1:3" ht="13.5" thickBot="1" x14ac:dyDescent="0.25">
      <c r="A911" s="329">
        <v>2421</v>
      </c>
      <c r="B911" s="1186" t="s">
        <v>762</v>
      </c>
      <c r="C911" s="1144"/>
    </row>
    <row r="912" spans="1:3" x14ac:dyDescent="0.2">
      <c r="A912" s="329">
        <v>2422</v>
      </c>
      <c r="B912" s="1186" t="s">
        <v>1008</v>
      </c>
      <c r="C912" s="1144"/>
    </row>
    <row r="913" spans="1:3" x14ac:dyDescent="0.2">
      <c r="A913" s="329">
        <v>2423</v>
      </c>
      <c r="B913" s="1187" t="s">
        <v>1009</v>
      </c>
      <c r="C913" s="1144"/>
    </row>
    <row r="914" spans="1:3" x14ac:dyDescent="0.2">
      <c r="A914" s="329">
        <v>2424</v>
      </c>
      <c r="B914" s="1187" t="s">
        <v>1010</v>
      </c>
      <c r="C914" s="1144"/>
    </row>
    <row r="915" spans="1:3" x14ac:dyDescent="0.2">
      <c r="A915" s="329">
        <v>2425</v>
      </c>
      <c r="B915" s="1187" t="s">
        <v>1011</v>
      </c>
      <c r="C915" s="1144"/>
    </row>
    <row r="916" spans="1:3" x14ac:dyDescent="0.2">
      <c r="A916" s="329">
        <v>2426</v>
      </c>
      <c r="B916" s="1187" t="s">
        <v>1012</v>
      </c>
      <c r="C916" s="1144"/>
    </row>
    <row r="917" spans="1:3" x14ac:dyDescent="0.2">
      <c r="A917" s="329">
        <v>2427</v>
      </c>
      <c r="B917" s="1187" t="s">
        <v>1013</v>
      </c>
      <c r="C917" s="1144"/>
    </row>
    <row r="918" spans="1:3" x14ac:dyDescent="0.2">
      <c r="A918" s="329">
        <v>2428</v>
      </c>
      <c r="B918" s="1187" t="s">
        <v>1014</v>
      </c>
      <c r="C918" s="1144"/>
    </row>
    <row r="919" spans="1:3" x14ac:dyDescent="0.2">
      <c r="A919" s="329">
        <v>2429</v>
      </c>
      <c r="B919" s="106" t="s">
        <v>1015</v>
      </c>
      <c r="C919" s="1144"/>
    </row>
    <row r="920" spans="1:3" ht="13.5" thickBot="1" x14ac:dyDescent="0.25">
      <c r="A920" s="329">
        <v>2430</v>
      </c>
      <c r="B920" s="107" t="s">
        <v>1016</v>
      </c>
      <c r="C920" s="1144"/>
    </row>
    <row r="921" spans="1:3" x14ac:dyDescent="0.2">
      <c r="A921" s="329">
        <v>2431</v>
      </c>
      <c r="B921" s="1186" t="s">
        <v>1017</v>
      </c>
      <c r="C921" s="1144"/>
    </row>
    <row r="922" spans="1:3" ht="13.5" thickBot="1" x14ac:dyDescent="0.25">
      <c r="A922" s="329">
        <v>2432</v>
      </c>
      <c r="B922" s="106" t="s">
        <v>1018</v>
      </c>
      <c r="C922" s="1144"/>
    </row>
    <row r="923" spans="1:3" x14ac:dyDescent="0.2">
      <c r="A923" s="329">
        <v>2433</v>
      </c>
      <c r="B923" s="1188" t="s">
        <v>1019</v>
      </c>
      <c r="C923" s="1144"/>
    </row>
    <row r="924" spans="1:3" x14ac:dyDescent="0.2">
      <c r="A924" s="329">
        <v>2434</v>
      </c>
      <c r="B924" s="1189" t="s">
        <v>1020</v>
      </c>
      <c r="C924" s="1144"/>
    </row>
    <row r="925" spans="1:3" x14ac:dyDescent="0.2">
      <c r="A925" s="329">
        <v>2435</v>
      </c>
      <c r="B925" s="1189" t="s">
        <v>1021</v>
      </c>
      <c r="C925" s="1144"/>
    </row>
    <row r="926" spans="1:3" x14ac:dyDescent="0.2">
      <c r="A926" s="329">
        <v>2436</v>
      </c>
      <c r="B926" s="1189" t="s">
        <v>1022</v>
      </c>
      <c r="C926" s="1144"/>
    </row>
    <row r="927" spans="1:3" x14ac:dyDescent="0.2">
      <c r="A927" s="329">
        <v>2437</v>
      </c>
      <c r="B927" s="1189" t="s">
        <v>1023</v>
      </c>
      <c r="C927" s="1144"/>
    </row>
    <row r="928" spans="1:3" x14ac:dyDescent="0.2">
      <c r="A928" s="329">
        <v>2438</v>
      </c>
      <c r="B928" s="1189" t="s">
        <v>1213</v>
      </c>
      <c r="C928" s="1144"/>
    </row>
    <row r="929" spans="1:3" x14ac:dyDescent="0.2">
      <c r="A929" s="329">
        <v>2439</v>
      </c>
      <c r="B929" s="1189" t="s">
        <v>1024</v>
      </c>
      <c r="C929" s="1144"/>
    </row>
    <row r="930" spans="1:3" x14ac:dyDescent="0.2">
      <c r="A930" s="329">
        <v>2440</v>
      </c>
      <c r="B930" s="1189" t="s">
        <v>1214</v>
      </c>
      <c r="C930" s="1144"/>
    </row>
    <row r="931" spans="1:3" x14ac:dyDescent="0.2">
      <c r="A931" s="329">
        <v>2441</v>
      </c>
      <c r="B931" s="1189" t="s">
        <v>1025</v>
      </c>
      <c r="C931" s="1144"/>
    </row>
    <row r="932" spans="1:3" x14ac:dyDescent="0.2">
      <c r="A932" s="329">
        <v>2442</v>
      </c>
      <c r="B932" s="1189" t="s">
        <v>1026</v>
      </c>
      <c r="C932" s="1144"/>
    </row>
    <row r="933" spans="1:3" x14ac:dyDescent="0.2">
      <c r="A933" s="329">
        <v>2443</v>
      </c>
      <c r="B933" s="1189" t="s">
        <v>1027</v>
      </c>
      <c r="C933" s="1144"/>
    </row>
    <row r="934" spans="1:3" x14ac:dyDescent="0.2">
      <c r="A934" s="329">
        <v>2444</v>
      </c>
      <c r="B934" s="1189" t="s">
        <v>1028</v>
      </c>
      <c r="C934" s="1144"/>
    </row>
    <row r="935" spans="1:3" x14ac:dyDescent="0.2">
      <c r="A935" s="329">
        <v>2445</v>
      </c>
      <c r="B935" s="1189" t="s">
        <v>1215</v>
      </c>
      <c r="C935" s="1144"/>
    </row>
    <row r="936" spans="1:3" x14ac:dyDescent="0.2">
      <c r="A936" s="329">
        <v>2446</v>
      </c>
      <c r="B936" s="1189" t="s">
        <v>1216</v>
      </c>
      <c r="C936" s="1144"/>
    </row>
    <row r="937" spans="1:3" x14ac:dyDescent="0.2">
      <c r="A937" s="329">
        <v>2447</v>
      </c>
      <c r="B937" s="1189" t="s">
        <v>1217</v>
      </c>
      <c r="C937" s="1144"/>
    </row>
    <row r="938" spans="1:3" x14ac:dyDescent="0.2">
      <c r="A938" s="329">
        <v>2448</v>
      </c>
      <c r="B938" s="1189" t="s">
        <v>1029</v>
      </c>
      <c r="C938" s="1144"/>
    </row>
    <row r="939" spans="1:3" x14ac:dyDescent="0.2">
      <c r="A939" s="329">
        <v>2449</v>
      </c>
      <c r="B939" s="1189" t="s">
        <v>1030</v>
      </c>
      <c r="C939" s="1144"/>
    </row>
    <row r="940" spans="1:3" x14ac:dyDescent="0.2">
      <c r="A940" s="329">
        <v>2450</v>
      </c>
      <c r="B940" s="1189" t="s">
        <v>1031</v>
      </c>
      <c r="C940" s="1144"/>
    </row>
    <row r="941" spans="1:3" x14ac:dyDescent="0.2">
      <c r="A941" s="329">
        <v>2451</v>
      </c>
      <c r="B941" s="1189" t="s">
        <v>1032</v>
      </c>
      <c r="C941" s="1144"/>
    </row>
    <row r="942" spans="1:3" x14ac:dyDescent="0.2">
      <c r="A942" s="329">
        <v>2452</v>
      </c>
      <c r="B942" s="1189" t="s">
        <v>1033</v>
      </c>
      <c r="C942" s="1144"/>
    </row>
    <row r="943" spans="1:3" x14ac:dyDescent="0.2">
      <c r="A943" s="329">
        <v>2453</v>
      </c>
      <c r="B943" s="1189" t="s">
        <v>1034</v>
      </c>
      <c r="C943" s="1144"/>
    </row>
    <row r="944" spans="1:3" x14ac:dyDescent="0.2">
      <c r="A944" s="329">
        <v>2454</v>
      </c>
      <c r="B944" s="1189" t="s">
        <v>1035</v>
      </c>
      <c r="C944" s="1144"/>
    </row>
    <row r="945" spans="1:3" x14ac:dyDescent="0.2">
      <c r="A945" s="329">
        <v>2455</v>
      </c>
      <c r="B945" s="1189" t="s">
        <v>1036</v>
      </c>
      <c r="C945" s="1144"/>
    </row>
    <row r="946" spans="1:3" x14ac:dyDescent="0.2">
      <c r="A946" s="329">
        <v>2456</v>
      </c>
      <c r="B946" s="1189" t="s">
        <v>1218</v>
      </c>
      <c r="C946" s="1144"/>
    </row>
    <row r="947" spans="1:3" x14ac:dyDescent="0.2">
      <c r="A947" s="329">
        <v>2457</v>
      </c>
      <c r="B947" s="1189" t="s">
        <v>1219</v>
      </c>
      <c r="C947" s="1144"/>
    </row>
    <row r="948" spans="1:3" x14ac:dyDescent="0.2">
      <c r="A948" s="329">
        <v>2458</v>
      </c>
      <c r="B948" s="1189" t="s">
        <v>1220</v>
      </c>
      <c r="C948" s="1144"/>
    </row>
    <row r="949" spans="1:3" x14ac:dyDescent="0.2">
      <c r="A949" s="329">
        <v>2459</v>
      </c>
      <c r="B949" s="1189" t="s">
        <v>1221</v>
      </c>
      <c r="C949" s="1144"/>
    </row>
    <row r="950" spans="1:3" x14ac:dyDescent="0.2">
      <c r="A950" s="329">
        <v>2460</v>
      </c>
      <c r="B950" s="1189" t="s">
        <v>1222</v>
      </c>
      <c r="C950" s="1144"/>
    </row>
    <row r="951" spans="1:3" x14ac:dyDescent="0.2">
      <c r="A951" s="329">
        <v>2461</v>
      </c>
      <c r="B951" s="1189" t="s">
        <v>1223</v>
      </c>
      <c r="C951" s="1144"/>
    </row>
    <row r="952" spans="1:3" x14ac:dyDescent="0.2">
      <c r="A952" s="329">
        <v>2462</v>
      </c>
      <c r="B952" s="1189" t="s">
        <v>1224</v>
      </c>
      <c r="C952" s="1144"/>
    </row>
    <row r="953" spans="1:3" x14ac:dyDescent="0.2">
      <c r="A953" s="329">
        <v>2463</v>
      </c>
      <c r="B953" s="1189" t="s">
        <v>1225</v>
      </c>
      <c r="C953" s="1144"/>
    </row>
    <row r="954" spans="1:3" x14ac:dyDescent="0.2">
      <c r="A954" s="329">
        <v>2464</v>
      </c>
      <c r="B954" s="1189" t="s">
        <v>1226</v>
      </c>
      <c r="C954" s="1144"/>
    </row>
    <row r="955" spans="1:3" x14ac:dyDescent="0.2">
      <c r="A955" s="329">
        <v>2465</v>
      </c>
      <c r="B955" s="1189" t="s">
        <v>1227</v>
      </c>
      <c r="C955" s="1144"/>
    </row>
    <row r="956" spans="1:3" x14ac:dyDescent="0.2">
      <c r="A956" s="329">
        <v>2466</v>
      </c>
      <c r="B956" s="1189" t="s">
        <v>1228</v>
      </c>
      <c r="C956" s="1144"/>
    </row>
    <row r="957" spans="1:3" x14ac:dyDescent="0.2">
      <c r="A957" s="329">
        <v>2467</v>
      </c>
      <c r="B957" s="1189" t="s">
        <v>1229</v>
      </c>
      <c r="C957" s="1144"/>
    </row>
    <row r="958" spans="1:3" x14ac:dyDescent="0.2">
      <c r="A958" s="329">
        <v>2468</v>
      </c>
      <c r="B958" s="1189" t="s">
        <v>1230</v>
      </c>
      <c r="C958" s="1144"/>
    </row>
    <row r="959" spans="1:3" x14ac:dyDescent="0.2">
      <c r="A959" s="329">
        <v>2469</v>
      </c>
      <c r="B959" s="1189" t="s">
        <v>1231</v>
      </c>
      <c r="C959" s="1144"/>
    </row>
    <row r="960" spans="1:3" x14ac:dyDescent="0.2">
      <c r="A960" s="329">
        <v>2470</v>
      </c>
      <c r="B960" s="1189" t="s">
        <v>1232</v>
      </c>
      <c r="C960" s="1144"/>
    </row>
    <row r="961" spans="1:3" x14ac:dyDescent="0.2">
      <c r="A961" s="329">
        <v>2471</v>
      </c>
      <c r="B961" s="1189" t="s">
        <v>1233</v>
      </c>
      <c r="C961" s="1144"/>
    </row>
    <row r="962" spans="1:3" x14ac:dyDescent="0.2">
      <c r="A962" s="329">
        <v>2472</v>
      </c>
      <c r="B962" s="1189" t="s">
        <v>1234</v>
      </c>
      <c r="C962" s="1144"/>
    </row>
    <row r="963" spans="1:3" x14ac:dyDescent="0.2">
      <c r="A963" s="329">
        <v>2473</v>
      </c>
      <c r="B963" s="1189" t="s">
        <v>1235</v>
      </c>
      <c r="C963" s="1144"/>
    </row>
    <row r="964" spans="1:3" x14ac:dyDescent="0.2">
      <c r="A964" s="329">
        <v>2474</v>
      </c>
      <c r="B964" s="1189" t="s">
        <v>1236</v>
      </c>
      <c r="C964" s="1144"/>
    </row>
    <row r="965" spans="1:3" x14ac:dyDescent="0.2">
      <c r="A965" s="329">
        <v>2475</v>
      </c>
      <c r="B965" s="1189" t="s">
        <v>1237</v>
      </c>
      <c r="C965" s="1144"/>
    </row>
    <row r="966" spans="1:3" x14ac:dyDescent="0.2">
      <c r="A966" s="329">
        <v>2476</v>
      </c>
      <c r="B966" s="1189" t="s">
        <v>1238</v>
      </c>
      <c r="C966" s="1144"/>
    </row>
    <row r="967" spans="1:3" x14ac:dyDescent="0.2">
      <c r="A967" s="329">
        <v>2477</v>
      </c>
      <c r="B967" s="1189" t="s">
        <v>1037</v>
      </c>
      <c r="C967" s="1144"/>
    </row>
    <row r="968" spans="1:3" x14ac:dyDescent="0.2">
      <c r="A968" s="329">
        <v>2478</v>
      </c>
      <c r="B968" s="1189" t="s">
        <v>1239</v>
      </c>
      <c r="C968" s="1144"/>
    </row>
    <row r="969" spans="1:3" x14ac:dyDescent="0.2">
      <c r="A969" s="329">
        <v>2479</v>
      </c>
      <c r="B969" s="1189" t="s">
        <v>1038</v>
      </c>
      <c r="C969" s="1144"/>
    </row>
    <row r="970" spans="1:3" x14ac:dyDescent="0.2">
      <c r="A970" s="329">
        <v>2480</v>
      </c>
      <c r="B970" s="1189" t="s">
        <v>1240</v>
      </c>
      <c r="C970" s="1144"/>
    </row>
    <row r="971" spans="1:3" x14ac:dyDescent="0.2">
      <c r="A971" s="329">
        <v>2481</v>
      </c>
      <c r="B971" s="1189" t="s">
        <v>1039</v>
      </c>
      <c r="C971" s="1144"/>
    </row>
    <row r="972" spans="1:3" x14ac:dyDescent="0.2">
      <c r="A972" s="329">
        <v>2482</v>
      </c>
      <c r="B972" s="1189" t="s">
        <v>1040</v>
      </c>
      <c r="C972" s="1144"/>
    </row>
    <row r="973" spans="1:3" x14ac:dyDescent="0.2">
      <c r="A973" s="329">
        <v>2483</v>
      </c>
      <c r="B973" s="1189" t="s">
        <v>1041</v>
      </c>
      <c r="C973" s="1144"/>
    </row>
    <row r="974" spans="1:3" x14ac:dyDescent="0.2">
      <c r="A974" s="329">
        <v>2484</v>
      </c>
      <c r="B974" s="1189" t="s">
        <v>1241</v>
      </c>
      <c r="C974" s="1144"/>
    </row>
    <row r="975" spans="1:3" x14ac:dyDescent="0.2">
      <c r="A975" s="329">
        <v>2485</v>
      </c>
      <c r="B975" s="1189" t="s">
        <v>1242</v>
      </c>
      <c r="C975" s="1144"/>
    </row>
    <row r="976" spans="1:3" x14ac:dyDescent="0.2">
      <c r="A976" s="329">
        <v>2486</v>
      </c>
      <c r="B976" s="1189" t="s">
        <v>1243</v>
      </c>
      <c r="C976" s="1144"/>
    </row>
    <row r="977" spans="1:3" x14ac:dyDescent="0.2">
      <c r="A977" s="329">
        <v>2487</v>
      </c>
      <c r="B977" s="1189" t="s">
        <v>1042</v>
      </c>
      <c r="C977" s="1144"/>
    </row>
    <row r="978" spans="1:3" x14ac:dyDescent="0.2">
      <c r="A978" s="329">
        <v>2488</v>
      </c>
      <c r="B978" s="1189" t="s">
        <v>1043</v>
      </c>
      <c r="C978" s="1144"/>
    </row>
    <row r="979" spans="1:3" x14ac:dyDescent="0.2">
      <c r="A979" s="329">
        <v>2489</v>
      </c>
      <c r="B979" s="1189" t="s">
        <v>1044</v>
      </c>
      <c r="C979" s="1144"/>
    </row>
    <row r="980" spans="1:3" x14ac:dyDescent="0.2">
      <c r="A980" s="329">
        <v>2490</v>
      </c>
      <c r="B980" s="1190" t="s">
        <v>1244</v>
      </c>
      <c r="C980" s="1144"/>
    </row>
    <row r="981" spans="1:3" x14ac:dyDescent="0.2">
      <c r="A981" s="329">
        <v>2491</v>
      </c>
      <c r="B981" s="1190" t="s">
        <v>1245</v>
      </c>
      <c r="C981" s="1144"/>
    </row>
    <row r="982" spans="1:3" x14ac:dyDescent="0.2">
      <c r="A982" s="329">
        <v>2492</v>
      </c>
      <c r="B982" s="1189" t="s">
        <v>1045</v>
      </c>
      <c r="C982" s="1144"/>
    </row>
    <row r="983" spans="1:3" x14ac:dyDescent="0.2">
      <c r="A983" s="329">
        <v>2493</v>
      </c>
      <c r="B983" s="1189" t="s">
        <v>1246</v>
      </c>
      <c r="C983" s="1144"/>
    </row>
    <row r="984" spans="1:3" x14ac:dyDescent="0.2">
      <c r="A984" s="329">
        <v>2494</v>
      </c>
      <c r="B984" s="1189" t="s">
        <v>1046</v>
      </c>
      <c r="C984" s="1144"/>
    </row>
    <row r="985" spans="1:3" x14ac:dyDescent="0.2">
      <c r="A985" s="329">
        <v>2495</v>
      </c>
      <c r="B985" s="1189" t="s">
        <v>1247</v>
      </c>
      <c r="C985" s="1144"/>
    </row>
    <row r="986" spans="1:3" x14ac:dyDescent="0.2">
      <c r="A986" s="329">
        <v>2496</v>
      </c>
      <c r="B986" s="1189" t="s">
        <v>1248</v>
      </c>
      <c r="C986" s="1144"/>
    </row>
    <row r="987" spans="1:3" ht="13.5" thickBot="1" x14ac:dyDescent="0.25">
      <c r="A987" s="329">
        <v>2497</v>
      </c>
      <c r="B987" s="1191" t="s">
        <v>1047</v>
      </c>
      <c r="C987" s="1144"/>
    </row>
    <row r="988" spans="1:3" ht="13.5" thickBot="1" x14ac:dyDescent="0.25">
      <c r="A988" s="329">
        <v>2498</v>
      </c>
      <c r="B988" s="981" t="s">
        <v>1048</v>
      </c>
      <c r="C988" s="1144"/>
    </row>
    <row r="989" spans="1:3" ht="13.5" thickBot="1" x14ac:dyDescent="0.25">
      <c r="A989" s="329">
        <v>2499</v>
      </c>
      <c r="B989" s="979" t="s">
        <v>1049</v>
      </c>
      <c r="C989" s="1144"/>
    </row>
    <row r="990" spans="1:3" ht="13.5" thickBot="1" x14ac:dyDescent="0.25">
      <c r="A990" s="329">
        <v>2500</v>
      </c>
      <c r="B990" s="979" t="s">
        <v>1050</v>
      </c>
      <c r="C990" s="1144"/>
    </row>
    <row r="991" spans="1:3" ht="13.5" thickBot="1" x14ac:dyDescent="0.25">
      <c r="A991" s="329">
        <v>2501</v>
      </c>
      <c r="B991" s="979" t="s">
        <v>1051</v>
      </c>
      <c r="C991" s="1144"/>
    </row>
    <row r="992" spans="1:3" ht="13.5" thickBot="1" x14ac:dyDescent="0.25">
      <c r="A992" s="329">
        <v>2502</v>
      </c>
      <c r="B992" s="979" t="s">
        <v>1052</v>
      </c>
      <c r="C992" s="1144"/>
    </row>
    <row r="993" spans="1:3" ht="13.5" thickBot="1" x14ac:dyDescent="0.25">
      <c r="A993" s="329">
        <v>2503</v>
      </c>
      <c r="B993" s="979" t="s">
        <v>1053</v>
      </c>
      <c r="C993" s="1144"/>
    </row>
    <row r="994" spans="1:3" ht="13.5" thickBot="1" x14ac:dyDescent="0.25">
      <c r="A994" s="329">
        <v>2504</v>
      </c>
      <c r="B994" s="979" t="s">
        <v>1054</v>
      </c>
      <c r="C994" s="1144"/>
    </row>
    <row r="995" spans="1:3" ht="13.5" thickBot="1" x14ac:dyDescent="0.25">
      <c r="A995" s="329">
        <v>2505</v>
      </c>
      <c r="B995" s="979" t="s">
        <v>1055</v>
      </c>
      <c r="C995" s="1144"/>
    </row>
    <row r="996" spans="1:3" ht="13.5" thickBot="1" x14ac:dyDescent="0.25">
      <c r="A996" s="329">
        <v>2506</v>
      </c>
      <c r="B996" s="979" t="s">
        <v>1056</v>
      </c>
      <c r="C996" s="1144"/>
    </row>
    <row r="997" spans="1:3" ht="13.5" thickBot="1" x14ac:dyDescent="0.25">
      <c r="A997" s="329">
        <v>2507</v>
      </c>
      <c r="B997" s="979" t="s">
        <v>1057</v>
      </c>
      <c r="C997" s="1144"/>
    </row>
    <row r="998" spans="1:3" ht="13.5" thickBot="1" x14ac:dyDescent="0.25">
      <c r="A998" s="329">
        <v>2508</v>
      </c>
      <c r="B998" s="979" t="s">
        <v>1058</v>
      </c>
      <c r="C998" s="1144"/>
    </row>
    <row r="999" spans="1:3" ht="13.5" thickBot="1" x14ac:dyDescent="0.25">
      <c r="A999" s="329">
        <v>2509</v>
      </c>
      <c r="B999" s="981" t="s">
        <v>1059</v>
      </c>
      <c r="C999" s="1144"/>
    </row>
    <row r="1000" spans="1:3" ht="13.5" thickBot="1" x14ac:dyDescent="0.25">
      <c r="A1000" s="329">
        <v>2510</v>
      </c>
      <c r="B1000" s="979" t="s">
        <v>1060</v>
      </c>
      <c r="C1000" s="1144"/>
    </row>
    <row r="1001" spans="1:3" ht="13.5" thickBot="1" x14ac:dyDescent="0.25">
      <c r="A1001" s="329">
        <v>2511</v>
      </c>
      <c r="B1001" s="979" t="s">
        <v>1061</v>
      </c>
      <c r="C1001" s="1144"/>
    </row>
    <row r="1002" spans="1:3" ht="13.5" thickBot="1" x14ac:dyDescent="0.25">
      <c r="A1002" s="329">
        <v>2512</v>
      </c>
      <c r="B1002" s="979" t="s">
        <v>1062</v>
      </c>
      <c r="C1002" s="1144"/>
    </row>
    <row r="1003" spans="1:3" ht="13.5" thickBot="1" x14ac:dyDescent="0.25">
      <c r="A1003" s="329">
        <v>2513</v>
      </c>
      <c r="B1003" s="979" t="s">
        <v>1063</v>
      </c>
      <c r="C1003" s="1144"/>
    </row>
    <row r="1004" spans="1:3" ht="13.5" thickBot="1" x14ac:dyDescent="0.25">
      <c r="A1004" s="329">
        <v>2514</v>
      </c>
      <c r="B1004" s="979" t="s">
        <v>1064</v>
      </c>
      <c r="C1004" s="1144"/>
    </row>
    <row r="1005" spans="1:3" ht="13.5" thickBot="1" x14ac:dyDescent="0.25">
      <c r="A1005" s="329">
        <v>2515</v>
      </c>
      <c r="B1005" s="979" t="s">
        <v>1065</v>
      </c>
      <c r="C1005" s="1144"/>
    </row>
    <row r="1006" spans="1:3" ht="13.5" thickBot="1" x14ac:dyDescent="0.25">
      <c r="A1006" s="329">
        <v>2516</v>
      </c>
      <c r="B1006" s="979" t="s">
        <v>1066</v>
      </c>
      <c r="C1006" s="1144"/>
    </row>
    <row r="1007" spans="1:3" ht="13.5" thickBot="1" x14ac:dyDescent="0.25">
      <c r="A1007" s="329">
        <v>2517</v>
      </c>
      <c r="B1007" s="979" t="s">
        <v>1067</v>
      </c>
      <c r="C1007" s="1144"/>
    </row>
    <row r="1008" spans="1:3" ht="13.5" thickBot="1" x14ac:dyDescent="0.25">
      <c r="A1008" s="329">
        <v>2518</v>
      </c>
      <c r="B1008" s="979" t="s">
        <v>1068</v>
      </c>
      <c r="C1008" s="1144"/>
    </row>
    <row r="1009" spans="1:3" ht="13.5" thickBot="1" x14ac:dyDescent="0.25">
      <c r="A1009" s="329">
        <v>2519</v>
      </c>
      <c r="B1009" s="979" t="s">
        <v>1069</v>
      </c>
      <c r="C1009" s="1144"/>
    </row>
    <row r="1010" spans="1:3" ht="13.5" thickBot="1" x14ac:dyDescent="0.25">
      <c r="A1010" s="329">
        <v>2520</v>
      </c>
      <c r="B1010" s="979" t="s">
        <v>1070</v>
      </c>
      <c r="C1010" s="1144"/>
    </row>
    <row r="1011" spans="1:3" ht="13.5" thickBot="1" x14ac:dyDescent="0.25">
      <c r="A1011" s="329">
        <v>2521</v>
      </c>
      <c r="B1011" s="979" t="s">
        <v>1071</v>
      </c>
      <c r="C1011" s="1144"/>
    </row>
    <row r="1012" spans="1:3" ht="13.5" thickBot="1" x14ac:dyDescent="0.25">
      <c r="A1012" s="329">
        <v>2522</v>
      </c>
      <c r="B1012" s="979" t="s">
        <v>1072</v>
      </c>
      <c r="C1012" s="1144"/>
    </row>
    <row r="1013" spans="1:3" ht="13.5" thickBot="1" x14ac:dyDescent="0.25">
      <c r="A1013" s="329">
        <v>2523</v>
      </c>
      <c r="B1013" s="979" t="s">
        <v>1073</v>
      </c>
      <c r="C1013" s="1144"/>
    </row>
    <row r="1014" spans="1:3" ht="13.5" thickBot="1" x14ac:dyDescent="0.25">
      <c r="A1014" s="329">
        <v>2524</v>
      </c>
      <c r="B1014" s="979" t="s">
        <v>1074</v>
      </c>
      <c r="C1014" s="1144"/>
    </row>
    <row r="1015" spans="1:3" ht="13.5" thickBot="1" x14ac:dyDescent="0.25">
      <c r="A1015" s="329">
        <v>2525</v>
      </c>
      <c r="B1015" s="979" t="s">
        <v>1075</v>
      </c>
      <c r="C1015" s="1144"/>
    </row>
    <row r="1016" spans="1:3" ht="13.5" thickBot="1" x14ac:dyDescent="0.25">
      <c r="A1016" s="329">
        <v>2526</v>
      </c>
      <c r="B1016" s="979" t="s">
        <v>1076</v>
      </c>
      <c r="C1016" s="1144"/>
    </row>
    <row r="1017" spans="1:3" ht="13.5" thickBot="1" x14ac:dyDescent="0.25">
      <c r="A1017" s="329">
        <v>2527</v>
      </c>
      <c r="B1017" s="979" t="s">
        <v>1077</v>
      </c>
      <c r="C1017" s="1144"/>
    </row>
    <row r="1018" spans="1:3" ht="13.5" thickBot="1" x14ac:dyDescent="0.25">
      <c r="A1018" s="329">
        <v>2528</v>
      </c>
      <c r="B1018" s="979" t="s">
        <v>1078</v>
      </c>
      <c r="C1018" s="1144"/>
    </row>
    <row r="1019" spans="1:3" ht="13.5" thickBot="1" x14ac:dyDescent="0.25">
      <c r="A1019" s="329">
        <v>2529</v>
      </c>
      <c r="B1019" s="979" t="s">
        <v>1079</v>
      </c>
      <c r="C1019" s="1144"/>
    </row>
    <row r="1020" spans="1:3" ht="13.5" thickBot="1" x14ac:dyDescent="0.25">
      <c r="A1020" s="329">
        <v>2530</v>
      </c>
      <c r="B1020" s="979" t="s">
        <v>1080</v>
      </c>
      <c r="C1020" s="1144"/>
    </row>
    <row r="1021" spans="1:3" ht="13.5" thickBot="1" x14ac:dyDescent="0.25">
      <c r="A1021" s="329">
        <v>2531</v>
      </c>
      <c r="B1021" s="979" t="s">
        <v>1081</v>
      </c>
      <c r="C1021" s="1144"/>
    </row>
    <row r="1022" spans="1:3" ht="13.5" thickBot="1" x14ac:dyDescent="0.25">
      <c r="A1022" s="329">
        <v>2532</v>
      </c>
      <c r="B1022" s="979" t="s">
        <v>1082</v>
      </c>
      <c r="C1022" s="1144"/>
    </row>
    <row r="1023" spans="1:3" ht="13.5" thickBot="1" x14ac:dyDescent="0.25">
      <c r="A1023" s="329">
        <v>2533</v>
      </c>
      <c r="B1023" s="979" t="s">
        <v>1083</v>
      </c>
      <c r="C1023" s="1144"/>
    </row>
    <row r="1024" spans="1:3" ht="13.5" thickBot="1" x14ac:dyDescent="0.25">
      <c r="A1024" s="329">
        <v>2534</v>
      </c>
      <c r="B1024" s="979" t="s">
        <v>1084</v>
      </c>
      <c r="C1024" s="1144"/>
    </row>
    <row r="1025" spans="1:3" ht="13.5" thickBot="1" x14ac:dyDescent="0.25">
      <c r="A1025" s="329">
        <v>2535</v>
      </c>
      <c r="B1025" s="979" t="s">
        <v>1085</v>
      </c>
      <c r="C1025" s="1144"/>
    </row>
    <row r="1026" spans="1:3" ht="13.5" thickBot="1" x14ac:dyDescent="0.25">
      <c r="A1026" s="329">
        <v>2536</v>
      </c>
      <c r="B1026" s="979" t="s">
        <v>1086</v>
      </c>
      <c r="C1026" s="1144"/>
    </row>
    <row r="1027" spans="1:3" ht="13.5" thickBot="1" x14ac:dyDescent="0.25">
      <c r="A1027" s="329">
        <v>2537</v>
      </c>
      <c r="B1027" s="979" t="s">
        <v>1087</v>
      </c>
      <c r="C1027" s="1144"/>
    </row>
    <row r="1028" spans="1:3" ht="13.5" thickBot="1" x14ac:dyDescent="0.25">
      <c r="A1028" s="329">
        <v>2538</v>
      </c>
      <c r="B1028" s="979" t="s">
        <v>1088</v>
      </c>
      <c r="C1028" s="1144"/>
    </row>
    <row r="1029" spans="1:3" ht="13.5" thickBot="1" x14ac:dyDescent="0.25">
      <c r="A1029" s="329">
        <v>2539</v>
      </c>
      <c r="B1029" s="979" t="s">
        <v>1089</v>
      </c>
      <c r="C1029" s="1144"/>
    </row>
    <row r="1030" spans="1:3" ht="13.5" thickBot="1" x14ac:dyDescent="0.25">
      <c r="A1030" s="329">
        <v>2540</v>
      </c>
      <c r="B1030" s="979" t="s">
        <v>1090</v>
      </c>
      <c r="C1030" s="1144"/>
    </row>
    <row r="1031" spans="1:3" ht="13.5" thickBot="1" x14ac:dyDescent="0.25">
      <c r="A1031" s="329">
        <v>2541</v>
      </c>
      <c r="B1031" s="979" t="s">
        <v>1091</v>
      </c>
      <c r="C1031" s="1144"/>
    </row>
    <row r="1032" spans="1:3" ht="13.5" thickBot="1" x14ac:dyDescent="0.25">
      <c r="A1032" s="329">
        <v>2542</v>
      </c>
      <c r="B1032" s="979" t="s">
        <v>1092</v>
      </c>
      <c r="C1032" s="1144"/>
    </row>
    <row r="1033" spans="1:3" ht="13.5" thickBot="1" x14ac:dyDescent="0.25">
      <c r="A1033" s="329">
        <v>2543</v>
      </c>
      <c r="B1033" s="979" t="s">
        <v>1093</v>
      </c>
      <c r="C1033" s="1144"/>
    </row>
    <row r="1034" spans="1:3" ht="13.5" thickBot="1" x14ac:dyDescent="0.25">
      <c r="A1034" s="329">
        <v>2544</v>
      </c>
      <c r="B1034" s="979" t="s">
        <v>1094</v>
      </c>
      <c r="C1034" s="1144"/>
    </row>
    <row r="1035" spans="1:3" ht="13.5" thickBot="1" x14ac:dyDescent="0.25">
      <c r="A1035" s="329">
        <v>2545</v>
      </c>
      <c r="B1035" s="979" t="s">
        <v>1095</v>
      </c>
      <c r="C1035" s="1144"/>
    </row>
    <row r="1036" spans="1:3" ht="13.5" thickBot="1" x14ac:dyDescent="0.25">
      <c r="A1036" s="329">
        <v>2546</v>
      </c>
      <c r="B1036" s="979" t="s">
        <v>1096</v>
      </c>
      <c r="C1036" s="1144"/>
    </row>
    <row r="1037" spans="1:3" ht="13.5" thickBot="1" x14ac:dyDescent="0.25">
      <c r="A1037" s="329">
        <v>2547</v>
      </c>
      <c r="B1037" s="979" t="s">
        <v>1097</v>
      </c>
      <c r="C1037" s="1144"/>
    </row>
    <row r="1038" spans="1:3" ht="13.5" thickBot="1" x14ac:dyDescent="0.25">
      <c r="A1038" s="329">
        <v>2548</v>
      </c>
      <c r="B1038" s="979" t="s">
        <v>1098</v>
      </c>
      <c r="C1038" s="1144"/>
    </row>
    <row r="1039" spans="1:3" ht="13.5" thickBot="1" x14ac:dyDescent="0.25">
      <c r="A1039" s="329">
        <v>2549</v>
      </c>
      <c r="B1039" s="979" t="s">
        <v>1099</v>
      </c>
      <c r="C1039" s="1144"/>
    </row>
    <row r="1040" spans="1:3" ht="13.5" thickBot="1" x14ac:dyDescent="0.25">
      <c r="A1040" s="329">
        <v>2550</v>
      </c>
      <c r="B1040" s="981" t="s">
        <v>1100</v>
      </c>
      <c r="C1040" s="1144"/>
    </row>
    <row r="1041" spans="1:3" ht="13.5" thickBot="1" x14ac:dyDescent="0.25">
      <c r="A1041" s="329">
        <v>2551</v>
      </c>
      <c r="B1041" s="979" t="s">
        <v>1101</v>
      </c>
      <c r="C1041" s="1144"/>
    </row>
    <row r="1042" spans="1:3" ht="13.5" thickBot="1" x14ac:dyDescent="0.25">
      <c r="A1042" s="329">
        <v>2552</v>
      </c>
      <c r="B1042" s="979" t="s">
        <v>1102</v>
      </c>
      <c r="C1042" s="1144"/>
    </row>
    <row r="1043" spans="1:3" ht="13.5" thickBot="1" x14ac:dyDescent="0.25">
      <c r="A1043" s="329">
        <v>2553</v>
      </c>
      <c r="B1043" s="979" t="s">
        <v>1103</v>
      </c>
      <c r="C1043" s="1144"/>
    </row>
    <row r="1044" spans="1:3" ht="13.5" thickBot="1" x14ac:dyDescent="0.25">
      <c r="A1044" s="329">
        <v>2554</v>
      </c>
      <c r="B1044" s="979" t="s">
        <v>1104</v>
      </c>
      <c r="C1044" s="1144"/>
    </row>
    <row r="1045" spans="1:3" ht="13.5" thickBot="1" x14ac:dyDescent="0.25">
      <c r="A1045" s="329">
        <v>2555</v>
      </c>
      <c r="B1045" s="979" t="s">
        <v>1105</v>
      </c>
      <c r="C1045" s="1144"/>
    </row>
    <row r="1046" spans="1:3" ht="13.5" thickBot="1" x14ac:dyDescent="0.25">
      <c r="A1046" s="329">
        <v>2556</v>
      </c>
      <c r="B1046" s="979" t="s">
        <v>1106</v>
      </c>
      <c r="C1046" s="1144"/>
    </row>
    <row r="1047" spans="1:3" ht="13.5" thickBot="1" x14ac:dyDescent="0.25">
      <c r="A1047" s="329">
        <v>2557</v>
      </c>
      <c r="B1047" s="979" t="s">
        <v>1107</v>
      </c>
      <c r="C1047" s="1144"/>
    </row>
    <row r="1048" spans="1:3" ht="13.5" thickBot="1" x14ac:dyDescent="0.25">
      <c r="A1048" s="329">
        <v>2558</v>
      </c>
      <c r="B1048" s="979" t="s">
        <v>1108</v>
      </c>
      <c r="C1048" s="1144"/>
    </row>
    <row r="1049" spans="1:3" ht="13.5" thickBot="1" x14ac:dyDescent="0.25">
      <c r="A1049" s="329">
        <v>2559</v>
      </c>
      <c r="B1049" s="979" t="s">
        <v>1109</v>
      </c>
      <c r="C1049" s="1144"/>
    </row>
    <row r="1050" spans="1:3" ht="13.5" thickBot="1" x14ac:dyDescent="0.25">
      <c r="A1050" s="329">
        <v>2560</v>
      </c>
      <c r="B1050" s="979" t="s">
        <v>1110</v>
      </c>
      <c r="C1050" s="1144"/>
    </row>
    <row r="1051" spans="1:3" ht="13.5" thickBot="1" x14ac:dyDescent="0.25">
      <c r="A1051" s="329">
        <v>2561</v>
      </c>
      <c r="B1051" s="979" t="s">
        <v>1111</v>
      </c>
      <c r="C1051" s="1144"/>
    </row>
    <row r="1052" spans="1:3" ht="13.5" thickBot="1" x14ac:dyDescent="0.25">
      <c r="A1052" s="329">
        <v>2562</v>
      </c>
      <c r="B1052" s="979" t="s">
        <v>1112</v>
      </c>
      <c r="C1052" s="1144"/>
    </row>
    <row r="1053" spans="1:3" ht="13.5" thickBot="1" x14ac:dyDescent="0.25">
      <c r="A1053" s="329">
        <v>2563</v>
      </c>
      <c r="B1053" s="979" t="s">
        <v>1113</v>
      </c>
      <c r="C1053" s="1144"/>
    </row>
    <row r="1054" spans="1:3" ht="13.5" thickBot="1" x14ac:dyDescent="0.25">
      <c r="A1054" s="329">
        <v>2564</v>
      </c>
      <c r="B1054" s="979" t="s">
        <v>1114</v>
      </c>
      <c r="C1054" s="1144"/>
    </row>
    <row r="1055" spans="1:3" ht="13.5" thickBot="1" x14ac:dyDescent="0.25">
      <c r="A1055" s="329">
        <v>2565</v>
      </c>
      <c r="B1055" s="979" t="s">
        <v>1115</v>
      </c>
      <c r="C1055" s="1144"/>
    </row>
    <row r="1056" spans="1:3" ht="13.5" thickBot="1" x14ac:dyDescent="0.25">
      <c r="A1056" s="329">
        <v>2566</v>
      </c>
      <c r="B1056" s="979" t="s">
        <v>1116</v>
      </c>
      <c r="C1056" s="1144"/>
    </row>
    <row r="1057" spans="1:3" ht="13.5" thickBot="1" x14ac:dyDescent="0.25">
      <c r="A1057" s="329">
        <v>2567</v>
      </c>
      <c r="B1057" s="979" t="s">
        <v>1117</v>
      </c>
      <c r="C1057" s="1144"/>
    </row>
    <row r="1058" spans="1:3" ht="13.5" thickBot="1" x14ac:dyDescent="0.25">
      <c r="A1058" s="329">
        <v>2568</v>
      </c>
      <c r="B1058" s="979" t="s">
        <v>1118</v>
      </c>
      <c r="C1058" s="1144"/>
    </row>
    <row r="1059" spans="1:3" ht="13.5" thickBot="1" x14ac:dyDescent="0.25">
      <c r="A1059" s="329">
        <v>2569</v>
      </c>
      <c r="B1059" s="979" t="s">
        <v>1119</v>
      </c>
      <c r="C1059" s="1144"/>
    </row>
    <row r="1060" spans="1:3" ht="13.5" thickBot="1" x14ac:dyDescent="0.25">
      <c r="A1060" s="329">
        <v>2570</v>
      </c>
      <c r="B1060" s="979" t="s">
        <v>1120</v>
      </c>
      <c r="C1060" s="1144"/>
    </row>
    <row r="1061" spans="1:3" ht="13.5" thickBot="1" x14ac:dyDescent="0.25">
      <c r="A1061" s="329">
        <v>2571</v>
      </c>
      <c r="B1061" s="979" t="s">
        <v>1121</v>
      </c>
      <c r="C1061" s="1144"/>
    </row>
    <row r="1062" spans="1:3" ht="13.5" thickBot="1" x14ac:dyDescent="0.25">
      <c r="A1062" s="329">
        <v>2572</v>
      </c>
      <c r="B1062" s="981" t="s">
        <v>1122</v>
      </c>
      <c r="C1062" s="1144"/>
    </row>
    <row r="1063" spans="1:3" ht="13.5" thickBot="1" x14ac:dyDescent="0.25">
      <c r="A1063" s="329">
        <v>2573</v>
      </c>
      <c r="B1063" s="979" t="s">
        <v>1123</v>
      </c>
      <c r="C1063" s="1144"/>
    </row>
    <row r="1064" spans="1:3" ht="13.5" thickBot="1" x14ac:dyDescent="0.25">
      <c r="A1064" s="329">
        <v>2574</v>
      </c>
      <c r="B1064" s="979" t="s">
        <v>1124</v>
      </c>
      <c r="C1064" s="1144"/>
    </row>
    <row r="1065" spans="1:3" ht="13.5" thickBot="1" x14ac:dyDescent="0.25">
      <c r="A1065" s="329">
        <v>2575</v>
      </c>
      <c r="B1065" s="981" t="s">
        <v>1125</v>
      </c>
      <c r="C1065" s="1144"/>
    </row>
    <row r="1066" spans="1:3" ht="13.5" thickBot="1" x14ac:dyDescent="0.25">
      <c r="A1066" s="329">
        <v>2576</v>
      </c>
      <c r="B1066" s="979" t="s">
        <v>1126</v>
      </c>
      <c r="C1066" s="1144"/>
    </row>
    <row r="1067" spans="1:3" ht="13.5" thickBot="1" x14ac:dyDescent="0.25">
      <c r="A1067" s="329">
        <v>2577</v>
      </c>
      <c r="B1067" s="979" t="s">
        <v>1127</v>
      </c>
      <c r="C1067" s="1144"/>
    </row>
    <row r="1068" spans="1:3" ht="13.5" thickBot="1" x14ac:dyDescent="0.25">
      <c r="A1068" s="329">
        <v>2578</v>
      </c>
      <c r="B1068" s="979" t="s">
        <v>1128</v>
      </c>
      <c r="C1068" s="1144"/>
    </row>
    <row r="1069" spans="1:3" ht="13.5" thickBot="1" x14ac:dyDescent="0.25">
      <c r="A1069" s="329">
        <v>2579</v>
      </c>
      <c r="B1069" s="979" t="s">
        <v>1129</v>
      </c>
      <c r="C1069" s="1144"/>
    </row>
    <row r="1070" spans="1:3" ht="13.5" thickBot="1" x14ac:dyDescent="0.25">
      <c r="A1070" s="329">
        <v>2580</v>
      </c>
      <c r="B1070" s="979" t="s">
        <v>1130</v>
      </c>
      <c r="C1070" s="1144"/>
    </row>
    <row r="1071" spans="1:3" ht="13.5" thickBot="1" x14ac:dyDescent="0.25">
      <c r="A1071" s="329">
        <v>2581</v>
      </c>
      <c r="B1071" s="979" t="s">
        <v>1131</v>
      </c>
      <c r="C1071" s="1144"/>
    </row>
    <row r="1072" spans="1:3" ht="13.5" thickBot="1" x14ac:dyDescent="0.25">
      <c r="A1072" s="329">
        <v>2582</v>
      </c>
      <c r="B1072" s="979" t="s">
        <v>1132</v>
      </c>
      <c r="C1072" s="1144"/>
    </row>
    <row r="1073" spans="1:3" ht="13.5" thickBot="1" x14ac:dyDescent="0.25">
      <c r="A1073" s="329">
        <v>2583</v>
      </c>
      <c r="B1073" s="979" t="s">
        <v>1133</v>
      </c>
      <c r="C1073" s="1144"/>
    </row>
    <row r="1074" spans="1:3" ht="13.5" thickBot="1" x14ac:dyDescent="0.25">
      <c r="A1074" s="329">
        <v>2584</v>
      </c>
      <c r="B1074" s="979" t="s">
        <v>1134</v>
      </c>
      <c r="C1074" s="1144"/>
    </row>
    <row r="1075" spans="1:3" ht="13.5" thickBot="1" x14ac:dyDescent="0.25">
      <c r="A1075" s="329">
        <v>2585</v>
      </c>
      <c r="B1075" s="979" t="s">
        <v>1135</v>
      </c>
      <c r="C1075" s="1144"/>
    </row>
    <row r="1076" spans="1:3" ht="13.5" thickBot="1" x14ac:dyDescent="0.25">
      <c r="A1076" s="329">
        <v>2586</v>
      </c>
      <c r="B1076" s="979" t="s">
        <v>1136</v>
      </c>
      <c r="C1076" s="1144"/>
    </row>
    <row r="1077" spans="1:3" ht="13.5" thickBot="1" x14ac:dyDescent="0.25">
      <c r="A1077" s="329">
        <v>2587</v>
      </c>
      <c r="B1077" s="979" t="s">
        <v>1137</v>
      </c>
      <c r="C1077" s="1144"/>
    </row>
    <row r="1078" spans="1:3" ht="13.5" thickBot="1" x14ac:dyDescent="0.25">
      <c r="A1078" s="329">
        <v>2588</v>
      </c>
      <c r="B1078" s="979" t="s">
        <v>1138</v>
      </c>
      <c r="C1078" s="1144"/>
    </row>
    <row r="1079" spans="1:3" ht="13.5" thickBot="1" x14ac:dyDescent="0.25">
      <c r="A1079" s="329">
        <v>2589</v>
      </c>
      <c r="B1079" s="979" t="s">
        <v>1139</v>
      </c>
      <c r="C1079" s="1144"/>
    </row>
    <row r="1080" spans="1:3" ht="13.5" thickBot="1" x14ac:dyDescent="0.25">
      <c r="A1080" s="329">
        <v>2590</v>
      </c>
      <c r="B1080" s="981" t="s">
        <v>1140</v>
      </c>
      <c r="C1080" s="1144"/>
    </row>
    <row r="1081" spans="1:3" ht="13.5" thickBot="1" x14ac:dyDescent="0.25">
      <c r="A1081" s="329">
        <v>2591</v>
      </c>
      <c r="B1081" s="981" t="s">
        <v>1141</v>
      </c>
      <c r="C1081" s="1144"/>
    </row>
    <row r="1082" spans="1:3" ht="13.5" thickBot="1" x14ac:dyDescent="0.25">
      <c r="A1082" s="329">
        <v>2592</v>
      </c>
      <c r="B1082" s="981" t="s">
        <v>1142</v>
      </c>
      <c r="C1082" s="1144"/>
    </row>
    <row r="1083" spans="1:3" ht="13.5" thickBot="1" x14ac:dyDescent="0.25">
      <c r="A1083" s="329">
        <v>2593</v>
      </c>
      <c r="B1083" s="979" t="s">
        <v>1143</v>
      </c>
      <c r="C1083" s="1144"/>
    </row>
    <row r="1084" spans="1:3" ht="13.5" thickBot="1" x14ac:dyDescent="0.25">
      <c r="A1084" s="329">
        <v>2594</v>
      </c>
      <c r="B1084" s="979" t="s">
        <v>1144</v>
      </c>
      <c r="C1084" s="1144"/>
    </row>
    <row r="1085" spans="1:3" ht="13.5" thickBot="1" x14ac:dyDescent="0.25">
      <c r="A1085" s="329">
        <v>2595</v>
      </c>
      <c r="B1085" s="979" t="s">
        <v>1145</v>
      </c>
      <c r="C1085" s="1144"/>
    </row>
    <row r="1086" spans="1:3" ht="13.5" thickBot="1" x14ac:dyDescent="0.25">
      <c r="A1086" s="329">
        <v>2596</v>
      </c>
      <c r="B1086" s="981" t="s">
        <v>1146</v>
      </c>
      <c r="C1086" s="1144"/>
    </row>
    <row r="1087" spans="1:3" ht="13.5" thickBot="1" x14ac:dyDescent="0.25">
      <c r="A1087" s="329">
        <v>2597</v>
      </c>
      <c r="B1087" s="979" t="s">
        <v>1147</v>
      </c>
      <c r="C1087" s="1144"/>
    </row>
    <row r="1088" spans="1:3" ht="13.5" thickBot="1" x14ac:dyDescent="0.25">
      <c r="A1088" s="329">
        <v>2598</v>
      </c>
      <c r="B1088" s="979" t="s">
        <v>1148</v>
      </c>
      <c r="C1088" s="1144"/>
    </row>
    <row r="1089" spans="1:3" ht="13.5" thickBot="1" x14ac:dyDescent="0.25">
      <c r="A1089" s="329">
        <v>2599</v>
      </c>
      <c r="B1089" s="979" t="s">
        <v>1149</v>
      </c>
      <c r="C1089" s="1144"/>
    </row>
    <row r="1090" spans="1:3" ht="13.5" thickBot="1" x14ac:dyDescent="0.25">
      <c r="A1090" s="329">
        <v>2600</v>
      </c>
      <c r="B1090" s="979" t="s">
        <v>1150</v>
      </c>
      <c r="C1090" s="1144"/>
    </row>
    <row r="1091" spans="1:3" ht="13.5" thickBot="1" x14ac:dyDescent="0.25">
      <c r="A1091" s="329">
        <v>2601</v>
      </c>
      <c r="B1091" s="979" t="s">
        <v>1151</v>
      </c>
      <c r="C1091" s="1144"/>
    </row>
    <row r="1092" spans="1:3" ht="13.5" thickBot="1" x14ac:dyDescent="0.25">
      <c r="A1092" s="329">
        <v>2602</v>
      </c>
      <c r="B1092" s="979" t="s">
        <v>1152</v>
      </c>
      <c r="C1092" s="1144"/>
    </row>
    <row r="1093" spans="1:3" ht="13.5" thickBot="1" x14ac:dyDescent="0.25">
      <c r="A1093" s="329">
        <v>2603</v>
      </c>
      <c r="B1093" s="979" t="s">
        <v>1153</v>
      </c>
      <c r="C1093" s="1144"/>
    </row>
    <row r="1094" spans="1:3" ht="13.5" thickBot="1" x14ac:dyDescent="0.25">
      <c r="A1094" s="329">
        <v>2604</v>
      </c>
      <c r="B1094" s="979" t="s">
        <v>1154</v>
      </c>
      <c r="C1094" s="1144"/>
    </row>
    <row r="1095" spans="1:3" ht="13.5" thickBot="1" x14ac:dyDescent="0.25">
      <c r="A1095" s="329">
        <v>2605</v>
      </c>
      <c r="B1095" s="979" t="s">
        <v>1155</v>
      </c>
      <c r="C1095" s="1144"/>
    </row>
    <row r="1096" spans="1:3" ht="13.5" thickBot="1" x14ac:dyDescent="0.25">
      <c r="A1096" s="329">
        <v>2606</v>
      </c>
      <c r="B1096" s="979" t="s">
        <v>1156</v>
      </c>
      <c r="C1096" s="1144"/>
    </row>
    <row r="1097" spans="1:3" ht="13.5" thickBot="1" x14ac:dyDescent="0.25">
      <c r="A1097" s="329">
        <v>2607</v>
      </c>
      <c r="B1097" s="979" t="s">
        <v>1157</v>
      </c>
      <c r="C1097" s="1144"/>
    </row>
    <row r="1098" spans="1:3" ht="13.5" thickBot="1" x14ac:dyDescent="0.25">
      <c r="A1098" s="329">
        <v>2608</v>
      </c>
      <c r="B1098" s="979" t="s">
        <v>1158</v>
      </c>
      <c r="C1098" s="1144"/>
    </row>
    <row r="1099" spans="1:3" ht="13.5" thickBot="1" x14ac:dyDescent="0.25">
      <c r="A1099" s="329">
        <v>2609</v>
      </c>
      <c r="B1099" s="979" t="s">
        <v>1159</v>
      </c>
      <c r="C1099" s="1144"/>
    </row>
    <row r="1100" spans="1:3" ht="13.5" thickBot="1" x14ac:dyDescent="0.25">
      <c r="A1100" s="329">
        <v>2610</v>
      </c>
      <c r="B1100" s="979" t="s">
        <v>1160</v>
      </c>
      <c r="C1100" s="1144"/>
    </row>
    <row r="1101" spans="1:3" ht="13.5" thickBot="1" x14ac:dyDescent="0.25">
      <c r="A1101" s="329">
        <v>2611</v>
      </c>
      <c r="B1101" s="979" t="s">
        <v>1161</v>
      </c>
      <c r="C1101" s="1144"/>
    </row>
    <row r="1102" spans="1:3" ht="13.5" thickBot="1" x14ac:dyDescent="0.25">
      <c r="A1102" s="329">
        <v>2612</v>
      </c>
      <c r="B1102" s="981" t="s">
        <v>1162</v>
      </c>
      <c r="C1102" s="1144"/>
    </row>
    <row r="1103" spans="1:3" ht="13.5" thickBot="1" x14ac:dyDescent="0.25">
      <c r="A1103" s="329">
        <v>2613</v>
      </c>
      <c r="B1103" s="981" t="s">
        <v>1163</v>
      </c>
      <c r="C1103" s="1144"/>
    </row>
    <row r="1104" spans="1:3" ht="13.5" thickBot="1" x14ac:dyDescent="0.25">
      <c r="A1104" s="329">
        <v>2614</v>
      </c>
      <c r="B1104" s="981" t="s">
        <v>1164</v>
      </c>
      <c r="C1104" s="1144"/>
    </row>
    <row r="1105" spans="1:3" ht="13.5" thickBot="1" x14ac:dyDescent="0.25">
      <c r="A1105" s="329">
        <v>2615</v>
      </c>
      <c r="B1105" s="979" t="s">
        <v>1165</v>
      </c>
      <c r="C1105" s="1144"/>
    </row>
    <row r="1106" spans="1:3" ht="13.5" thickBot="1" x14ac:dyDescent="0.25">
      <c r="A1106" s="329">
        <v>2616</v>
      </c>
      <c r="B1106" s="979" t="s">
        <v>1166</v>
      </c>
      <c r="C1106" s="1144"/>
    </row>
    <row r="1107" spans="1:3" ht="13.5" thickBot="1" x14ac:dyDescent="0.25">
      <c r="A1107" s="329">
        <v>2617</v>
      </c>
      <c r="B1107" s="981" t="s">
        <v>1167</v>
      </c>
      <c r="C1107" s="1144"/>
    </row>
    <row r="1108" spans="1:3" ht="13.5" thickBot="1" x14ac:dyDescent="0.25">
      <c r="A1108" s="329">
        <v>2618</v>
      </c>
      <c r="B1108" s="979" t="s">
        <v>1168</v>
      </c>
      <c r="C1108" s="1144"/>
    </row>
    <row r="1109" spans="1:3" ht="13.5" thickBot="1" x14ac:dyDescent="0.25">
      <c r="A1109" s="329">
        <v>2619</v>
      </c>
      <c r="B1109" s="979" t="s">
        <v>1169</v>
      </c>
      <c r="C1109" s="1144"/>
    </row>
    <row r="1110" spans="1:3" ht="13.5" thickBot="1" x14ac:dyDescent="0.25">
      <c r="A1110" s="329">
        <v>2620</v>
      </c>
      <c r="B1110" s="981" t="s">
        <v>1170</v>
      </c>
      <c r="C1110" s="1144"/>
    </row>
    <row r="1111" spans="1:3" ht="13.5" thickBot="1" x14ac:dyDescent="0.25">
      <c r="A1111" s="329">
        <v>2621</v>
      </c>
      <c r="B1111" s="979" t="s">
        <v>1171</v>
      </c>
      <c r="C1111" s="1144"/>
    </row>
    <row r="1112" spans="1:3" ht="13.5" thickBot="1" x14ac:dyDescent="0.25">
      <c r="A1112" s="329">
        <v>2622</v>
      </c>
      <c r="B1112" s="981" t="s">
        <v>1172</v>
      </c>
      <c r="C1112" s="1144"/>
    </row>
    <row r="1113" spans="1:3" ht="13.5" thickBot="1" x14ac:dyDescent="0.25">
      <c r="A1113" s="329">
        <v>2623</v>
      </c>
      <c r="B1113" s="981" t="s">
        <v>1173</v>
      </c>
      <c r="C1113" s="1144"/>
    </row>
    <row r="1114" spans="1:3" ht="13.5" thickBot="1" x14ac:dyDescent="0.25">
      <c r="A1114" s="329">
        <v>2624</v>
      </c>
      <c r="B1114" s="979" t="s">
        <v>1174</v>
      </c>
      <c r="C1114" s="1144"/>
    </row>
    <row r="1115" spans="1:3" ht="13.5" thickBot="1" x14ac:dyDescent="0.25">
      <c r="A1115" s="329">
        <v>2625</v>
      </c>
      <c r="B1115" s="979" t="s">
        <v>1175</v>
      </c>
      <c r="C1115" s="1144"/>
    </row>
    <row r="1116" spans="1:3" ht="13.5" thickBot="1" x14ac:dyDescent="0.25">
      <c r="A1116" s="329">
        <v>2626</v>
      </c>
      <c r="B1116" s="981" t="s">
        <v>1176</v>
      </c>
      <c r="C1116" s="1144"/>
    </row>
    <row r="1117" spans="1:3" ht="13.5" thickBot="1" x14ac:dyDescent="0.25">
      <c r="A1117" s="329">
        <v>2627</v>
      </c>
      <c r="B1117" s="979" t="s">
        <v>1177</v>
      </c>
      <c r="C1117" s="1144"/>
    </row>
    <row r="1118" spans="1:3" ht="13.5" thickBot="1" x14ac:dyDescent="0.25">
      <c r="A1118" s="329">
        <v>2628</v>
      </c>
      <c r="B1118" s="979" t="s">
        <v>1178</v>
      </c>
      <c r="C1118" s="1144"/>
    </row>
    <row r="1119" spans="1:3" ht="13.5" thickBot="1" x14ac:dyDescent="0.25">
      <c r="A1119" s="329">
        <v>2629</v>
      </c>
      <c r="B1119" s="979" t="s">
        <v>1179</v>
      </c>
      <c r="C1119" s="1144"/>
    </row>
    <row r="1120" spans="1:3" ht="13.5" thickBot="1" x14ac:dyDescent="0.25">
      <c r="A1120" s="329">
        <v>2630</v>
      </c>
      <c r="B1120" s="979" t="s">
        <v>1180</v>
      </c>
      <c r="C1120" s="1144"/>
    </row>
    <row r="1121" spans="1:3" ht="13.5" thickBot="1" x14ac:dyDescent="0.25">
      <c r="A1121" s="329">
        <v>2631</v>
      </c>
      <c r="B1121" s="979" t="s">
        <v>1181</v>
      </c>
      <c r="C1121" s="1144"/>
    </row>
    <row r="1122" spans="1:3" ht="13.5" thickBot="1" x14ac:dyDescent="0.25">
      <c r="A1122" s="329">
        <v>2632</v>
      </c>
      <c r="B1122" s="979" t="s">
        <v>1182</v>
      </c>
      <c r="C1122" s="1144"/>
    </row>
    <row r="1123" spans="1:3" ht="13.5" thickBot="1" x14ac:dyDescent="0.25">
      <c r="A1123" s="329">
        <v>2633</v>
      </c>
      <c r="B1123" s="979" t="s">
        <v>1183</v>
      </c>
      <c r="C1123" s="1144"/>
    </row>
    <row r="1124" spans="1:3" ht="13.5" thickBot="1" x14ac:dyDescent="0.25">
      <c r="A1124" s="329">
        <v>2634</v>
      </c>
      <c r="B1124" s="979" t="s">
        <v>1184</v>
      </c>
      <c r="C1124" s="1144"/>
    </row>
    <row r="1125" spans="1:3" ht="13.5" thickBot="1" x14ac:dyDescent="0.25">
      <c r="A1125" s="329">
        <v>2635</v>
      </c>
      <c r="B1125" s="979" t="s">
        <v>1185</v>
      </c>
      <c r="C1125" s="1144"/>
    </row>
    <row r="1126" spans="1:3" ht="13.5" thickBot="1" x14ac:dyDescent="0.25">
      <c r="A1126" s="329">
        <v>2636</v>
      </c>
      <c r="B1126" s="979" t="s">
        <v>1186</v>
      </c>
      <c r="C1126" s="1144"/>
    </row>
    <row r="1127" spans="1:3" ht="13.5" thickBot="1" x14ac:dyDescent="0.25">
      <c r="A1127" s="329">
        <v>2637</v>
      </c>
      <c r="B1127" s="979" t="s">
        <v>1187</v>
      </c>
      <c r="C1127" s="1144"/>
    </row>
    <row r="1128" spans="1:3" ht="13.5" thickBot="1" x14ac:dyDescent="0.25">
      <c r="A1128" s="329">
        <v>2638</v>
      </c>
      <c r="B1128" s="979" t="s">
        <v>1188</v>
      </c>
      <c r="C1128" s="1144"/>
    </row>
    <row r="1129" spans="1:3" ht="13.5" thickBot="1" x14ac:dyDescent="0.25">
      <c r="A1129" s="329">
        <v>2639</v>
      </c>
      <c r="B1129" s="979" t="s">
        <v>1189</v>
      </c>
      <c r="C1129" s="1144"/>
    </row>
    <row r="1130" spans="1:3" ht="13.5" thickBot="1" x14ac:dyDescent="0.25">
      <c r="A1130" s="329">
        <v>2640</v>
      </c>
      <c r="B1130" s="979" t="s">
        <v>1190</v>
      </c>
      <c r="C1130" s="1144"/>
    </row>
    <row r="1131" spans="1:3" ht="13.5" thickBot="1" x14ac:dyDescent="0.25">
      <c r="A1131" s="329">
        <v>2641</v>
      </c>
      <c r="B1131" s="979" t="s">
        <v>1191</v>
      </c>
      <c r="C1131" s="1144"/>
    </row>
    <row r="1132" spans="1:3" ht="13.5" thickBot="1" x14ac:dyDescent="0.25">
      <c r="A1132" s="329">
        <v>2642</v>
      </c>
      <c r="B1132" s="979" t="s">
        <v>1192</v>
      </c>
      <c r="C1132" s="1144"/>
    </row>
    <row r="1133" spans="1:3" ht="13.5" thickBot="1" x14ac:dyDescent="0.25">
      <c r="A1133" s="329">
        <v>2643</v>
      </c>
      <c r="B1133" s="979" t="s">
        <v>1193</v>
      </c>
      <c r="C1133" s="1144"/>
    </row>
    <row r="1134" spans="1:3" ht="13.5" thickBot="1" x14ac:dyDescent="0.25">
      <c r="A1134" s="329">
        <v>2644</v>
      </c>
      <c r="B1134" s="979" t="s">
        <v>1194</v>
      </c>
      <c r="C1134" s="1144"/>
    </row>
    <row r="1135" spans="1:3" ht="13.5" thickBot="1" x14ac:dyDescent="0.25">
      <c r="A1135" s="329">
        <v>2645</v>
      </c>
      <c r="B1135" s="979" t="s">
        <v>1195</v>
      </c>
      <c r="C1135" s="1144"/>
    </row>
    <row r="1136" spans="1:3" ht="13.5" thickBot="1" x14ac:dyDescent="0.25">
      <c r="A1136" s="329">
        <v>2646</v>
      </c>
      <c r="B1136" s="979" t="s">
        <v>1196</v>
      </c>
      <c r="C1136" s="1144"/>
    </row>
    <row r="1137" spans="1:3" ht="13.5" thickBot="1" x14ac:dyDescent="0.25">
      <c r="A1137" s="329">
        <v>2647</v>
      </c>
      <c r="B1137" s="979" t="s">
        <v>1197</v>
      </c>
      <c r="C1137" s="1144"/>
    </row>
    <row r="1138" spans="1:3" ht="13.5" thickBot="1" x14ac:dyDescent="0.25">
      <c r="A1138" s="329">
        <v>2648</v>
      </c>
      <c r="B1138" s="979" t="s">
        <v>1198</v>
      </c>
      <c r="C1138" s="1144"/>
    </row>
    <row r="1139" spans="1:3" ht="13.5" thickBot="1" x14ac:dyDescent="0.25">
      <c r="A1139" s="329">
        <v>2649</v>
      </c>
      <c r="B1139" s="979" t="s">
        <v>1199</v>
      </c>
      <c r="C1139" s="1144"/>
    </row>
    <row r="1140" spans="1:3" ht="13.5" thickBot="1" x14ac:dyDescent="0.25">
      <c r="A1140" s="329">
        <v>2650</v>
      </c>
      <c r="B1140" s="979" t="s">
        <v>1200</v>
      </c>
      <c r="C1140" s="1144"/>
    </row>
    <row r="1141" spans="1:3" ht="13.5" thickBot="1" x14ac:dyDescent="0.25">
      <c r="A1141" s="329">
        <v>2651</v>
      </c>
      <c r="B1141" s="979" t="s">
        <v>1201</v>
      </c>
      <c r="C1141" s="1144"/>
    </row>
    <row r="1142" spans="1:3" ht="13.5" thickBot="1" x14ac:dyDescent="0.25">
      <c r="A1142" s="329">
        <v>2652</v>
      </c>
      <c r="B1142" s="979" t="s">
        <v>1202</v>
      </c>
      <c r="C1142" s="1144"/>
    </row>
    <row r="1143" spans="1:3" x14ac:dyDescent="0.2">
      <c r="A1143" s="329">
        <v>2653</v>
      </c>
      <c r="B1143" s="470" t="s">
        <v>1098</v>
      </c>
      <c r="C1143" s="1144"/>
    </row>
    <row r="1144" spans="1:3" x14ac:dyDescent="0.2">
      <c r="A1144" s="329">
        <v>2654</v>
      </c>
      <c r="B1144" s="470" t="s">
        <v>1203</v>
      </c>
      <c r="C1144" s="1144"/>
    </row>
    <row r="1145" spans="1:3" x14ac:dyDescent="0.2">
      <c r="A1145" s="329">
        <v>2655</v>
      </c>
      <c r="B1145" s="470" t="s">
        <v>1121</v>
      </c>
      <c r="C1145" s="1144"/>
    </row>
    <row r="1146" spans="1:3" x14ac:dyDescent="0.2">
      <c r="A1146" s="329">
        <v>2656</v>
      </c>
      <c r="B1146" s="470" t="s">
        <v>1093</v>
      </c>
      <c r="C1146" s="1144"/>
    </row>
    <row r="1147" spans="1:3" ht="13.5" thickBot="1" x14ac:dyDescent="0.25">
      <c r="A1147" s="329">
        <v>2657</v>
      </c>
      <c r="B1147" s="470" t="s">
        <v>1070</v>
      </c>
      <c r="C1147" s="1144"/>
    </row>
    <row r="1148" spans="1:3" ht="13.5" thickBot="1" x14ac:dyDescent="0.25">
      <c r="A1148" s="329">
        <v>2658</v>
      </c>
      <c r="B1148" s="903" t="s">
        <v>1204</v>
      </c>
      <c r="C1148" s="1144"/>
    </row>
    <row r="1149" spans="1:3" x14ac:dyDescent="0.2">
      <c r="A1149" s="329">
        <v>2659</v>
      </c>
      <c r="B1149" s="1192" t="s">
        <v>1205</v>
      </c>
      <c r="C1149" s="1144"/>
    </row>
    <row r="1150" spans="1:3" x14ac:dyDescent="0.2">
      <c r="A1150" s="329">
        <v>2660</v>
      </c>
      <c r="B1150" s="1192" t="s">
        <v>1206</v>
      </c>
      <c r="C1150" s="1144"/>
    </row>
    <row r="1151" spans="1:3" x14ac:dyDescent="0.2">
      <c r="A1151" s="329">
        <v>2661</v>
      </c>
      <c r="B1151" s="654" t="s">
        <v>1207</v>
      </c>
      <c r="C1151" s="1144"/>
    </row>
    <row r="1152" spans="1:3" x14ac:dyDescent="0.2">
      <c r="A1152" s="1226">
        <v>2770</v>
      </c>
      <c r="B1152" s="1046" t="s">
        <v>1735</v>
      </c>
    </row>
    <row r="1153" spans="1:2" x14ac:dyDescent="0.2">
      <c r="A1153" s="1226">
        <v>2771</v>
      </c>
      <c r="B1153" s="1046" t="s">
        <v>1736</v>
      </c>
    </row>
    <row r="1154" spans="1:2" x14ac:dyDescent="0.2">
      <c r="A1154" s="1226">
        <v>2772</v>
      </c>
      <c r="B1154" s="1046" t="s">
        <v>1737</v>
      </c>
    </row>
    <row r="1155" spans="1:2" x14ac:dyDescent="0.2">
      <c r="A1155" s="1226">
        <v>2773</v>
      </c>
      <c r="B1155" s="1046" t="s">
        <v>1738</v>
      </c>
    </row>
    <row r="1156" spans="1:2" x14ac:dyDescent="0.2">
      <c r="A1156" s="1226">
        <v>2774</v>
      </c>
      <c r="B1156" s="1046" t="s">
        <v>1739</v>
      </c>
    </row>
    <row r="1157" spans="1:2" x14ac:dyDescent="0.2">
      <c r="A1157" s="1226">
        <v>2775</v>
      </c>
      <c r="B1157" s="1046" t="s">
        <v>1740</v>
      </c>
    </row>
    <row r="1158" spans="1:2" x14ac:dyDescent="0.2">
      <c r="A1158" s="1226">
        <v>2776</v>
      </c>
      <c r="B1158" s="1046" t="s">
        <v>1741</v>
      </c>
    </row>
    <row r="1159" spans="1:2" x14ac:dyDescent="0.2">
      <c r="A1159" s="1226">
        <v>2777</v>
      </c>
      <c r="B1159" s="1046" t="s">
        <v>1742</v>
      </c>
    </row>
    <row r="1160" spans="1:2" x14ac:dyDescent="0.2">
      <c r="A1160" s="1226">
        <v>2778</v>
      </c>
      <c r="B1160" s="1046" t="s">
        <v>1743</v>
      </c>
    </row>
    <row r="1161" spans="1:2" x14ac:dyDescent="0.2">
      <c r="A1161" s="1226">
        <v>2779</v>
      </c>
      <c r="B1161" s="1046" t="s">
        <v>1744</v>
      </c>
    </row>
    <row r="1162" spans="1:2" x14ac:dyDescent="0.2">
      <c r="A1162" s="1226">
        <v>2780</v>
      </c>
      <c r="B1162" s="1046" t="s">
        <v>1745</v>
      </c>
    </row>
    <row r="1163" spans="1:2" x14ac:dyDescent="0.2">
      <c r="A1163" s="1226">
        <v>2781</v>
      </c>
      <c r="B1163" s="1046" t="s">
        <v>1746</v>
      </c>
    </row>
    <row r="1164" spans="1:2" x14ac:dyDescent="0.2">
      <c r="A1164" s="1226">
        <v>2782</v>
      </c>
      <c r="B1164" s="1046" t="s">
        <v>1747</v>
      </c>
    </row>
    <row r="1165" spans="1:2" x14ac:dyDescent="0.2">
      <c r="A1165" s="1226">
        <v>2783</v>
      </c>
      <c r="B1165" s="1046" t="s">
        <v>1748</v>
      </c>
    </row>
    <row r="1166" spans="1:2" x14ac:dyDescent="0.2">
      <c r="A1166" s="1226">
        <v>2784</v>
      </c>
      <c r="B1166" s="1046" t="s">
        <v>1749</v>
      </c>
    </row>
    <row r="1167" spans="1:2" x14ac:dyDescent="0.2">
      <c r="A1167" s="1226">
        <v>2785</v>
      </c>
      <c r="B1167" s="1046" t="s">
        <v>1750</v>
      </c>
    </row>
    <row r="1168" spans="1:2" x14ac:dyDescent="0.2">
      <c r="A1168" s="1226">
        <v>2786</v>
      </c>
      <c r="B1168" s="1046" t="s">
        <v>1751</v>
      </c>
    </row>
    <row r="1169" spans="1:2" x14ac:dyDescent="0.2">
      <c r="A1169" s="1226">
        <v>2787</v>
      </c>
      <c r="B1169" s="1046" t="s">
        <v>1752</v>
      </c>
    </row>
    <row r="1170" spans="1:2" x14ac:dyDescent="0.2">
      <c r="A1170" s="1226">
        <v>2788</v>
      </c>
      <c r="B1170" s="1046" t="s">
        <v>1753</v>
      </c>
    </row>
    <row r="1171" spans="1:2" x14ac:dyDescent="0.2">
      <c r="A1171" s="1226">
        <v>2789</v>
      </c>
      <c r="B1171" s="1046" t="s">
        <v>1754</v>
      </c>
    </row>
    <row r="1172" spans="1:2" x14ac:dyDescent="0.2">
      <c r="A1172" s="1226">
        <v>2790</v>
      </c>
      <c r="B1172" s="1046" t="s">
        <v>1755</v>
      </c>
    </row>
    <row r="1173" spans="1:2" x14ac:dyDescent="0.2">
      <c r="A1173" s="1226">
        <v>2791</v>
      </c>
      <c r="B1173" s="1046" t="s">
        <v>1756</v>
      </c>
    </row>
    <row r="1174" spans="1:2" x14ac:dyDescent="0.2">
      <c r="A1174" s="1226">
        <v>2792</v>
      </c>
      <c r="B1174" s="1046" t="s">
        <v>1757</v>
      </c>
    </row>
    <row r="1175" spans="1:2" x14ac:dyDescent="0.2">
      <c r="A1175" s="1226">
        <v>2793</v>
      </c>
      <c r="B1175" s="1046" t="s">
        <v>1758</v>
      </c>
    </row>
    <row r="1176" spans="1:2" x14ac:dyDescent="0.2">
      <c r="A1176" s="1226">
        <v>2794</v>
      </c>
      <c r="B1176" s="1046" t="s">
        <v>1759</v>
      </c>
    </row>
    <row r="1177" spans="1:2" x14ac:dyDescent="0.2">
      <c r="A1177" s="1226">
        <v>2795</v>
      </c>
      <c r="B1177" s="1046" t="s">
        <v>1760</v>
      </c>
    </row>
    <row r="1178" spans="1:2" x14ac:dyDescent="0.2">
      <c r="A1178" s="1226">
        <v>2796</v>
      </c>
      <c r="B1178" s="1046" t="s">
        <v>1761</v>
      </c>
    </row>
    <row r="1179" spans="1:2" x14ac:dyDescent="0.2">
      <c r="A1179" s="1226">
        <v>2797</v>
      </c>
      <c r="B1179" s="1046" t="s">
        <v>1690</v>
      </c>
    </row>
    <row r="1180" spans="1:2" x14ac:dyDescent="0.2">
      <c r="A1180" s="1226">
        <v>2798</v>
      </c>
      <c r="B1180" s="1046" t="s">
        <v>1691</v>
      </c>
    </row>
    <row r="1181" spans="1:2" x14ac:dyDescent="0.2">
      <c r="A1181" s="1226">
        <v>2799</v>
      </c>
      <c r="B1181" s="1227" t="s">
        <v>1692</v>
      </c>
    </row>
    <row r="1182" spans="1:2" x14ac:dyDescent="0.2">
      <c r="A1182" s="1226">
        <v>2800</v>
      </c>
      <c r="B1182" s="1046" t="s">
        <v>1693</v>
      </c>
    </row>
    <row r="1183" spans="1:2" x14ac:dyDescent="0.2">
      <c r="A1183" s="1226">
        <v>2801</v>
      </c>
      <c r="B1183" s="1046" t="s">
        <v>1694</v>
      </c>
    </row>
    <row r="1184" spans="1:2" x14ac:dyDescent="0.2">
      <c r="A1184" s="1226">
        <v>2802</v>
      </c>
      <c r="B1184" s="1046" t="s">
        <v>1695</v>
      </c>
    </row>
    <row r="1185" spans="1:2" x14ac:dyDescent="0.2">
      <c r="A1185" s="1226">
        <v>2803</v>
      </c>
      <c r="B1185" s="1046" t="s">
        <v>1704</v>
      </c>
    </row>
    <row r="1186" spans="1:2" x14ac:dyDescent="0.2">
      <c r="A1186" s="1226">
        <v>2804</v>
      </c>
      <c r="B1186" s="1046" t="s">
        <v>1696</v>
      </c>
    </row>
    <row r="1187" spans="1:2" x14ac:dyDescent="0.2">
      <c r="A1187" s="1226">
        <v>2805</v>
      </c>
      <c r="B1187" s="1046" t="s">
        <v>1697</v>
      </c>
    </row>
    <row r="1188" spans="1:2" x14ac:dyDescent="0.2">
      <c r="A1188" s="1226">
        <v>2806</v>
      </c>
      <c r="B1188" s="1046" t="s">
        <v>1698</v>
      </c>
    </row>
    <row r="1189" spans="1:2" x14ac:dyDescent="0.2">
      <c r="A1189" s="1226">
        <v>2807</v>
      </c>
      <c r="B1189" s="1046" t="s">
        <v>1699</v>
      </c>
    </row>
    <row r="1190" spans="1:2" x14ac:dyDescent="0.2">
      <c r="A1190" s="1226">
        <v>2808</v>
      </c>
      <c r="B1190" s="1046" t="s">
        <v>1700</v>
      </c>
    </row>
    <row r="1191" spans="1:2" x14ac:dyDescent="0.2">
      <c r="A1191" s="1226">
        <v>2809</v>
      </c>
      <c r="B1191" s="1046" t="s">
        <v>1701</v>
      </c>
    </row>
    <row r="1192" spans="1:2" x14ac:dyDescent="0.2">
      <c r="A1192" s="1226">
        <v>2810</v>
      </c>
      <c r="B1192" s="1046" t="s">
        <v>1702</v>
      </c>
    </row>
    <row r="1193" spans="1:2" x14ac:dyDescent="0.2">
      <c r="A1193" s="1226">
        <v>2811</v>
      </c>
      <c r="B1193" s="1046" t="s">
        <v>1703</v>
      </c>
    </row>
    <row r="1194" spans="1:2" x14ac:dyDescent="0.2">
      <c r="A1194" s="1226">
        <v>2812</v>
      </c>
      <c r="B1194" s="1046" t="s">
        <v>1716</v>
      </c>
    </row>
    <row r="1195" spans="1:2" x14ac:dyDescent="0.2">
      <c r="A1195" s="1226">
        <v>2813</v>
      </c>
      <c r="B1195" s="1046" t="s">
        <v>1717</v>
      </c>
    </row>
    <row r="1196" spans="1:2" x14ac:dyDescent="0.2">
      <c r="A1196" s="1226">
        <v>2814</v>
      </c>
      <c r="B1196" s="1046" t="s">
        <v>1718</v>
      </c>
    </row>
    <row r="1197" spans="1:2" x14ac:dyDescent="0.2">
      <c r="A1197" s="1226">
        <v>2815</v>
      </c>
      <c r="B1197" s="1046" t="s">
        <v>1719</v>
      </c>
    </row>
    <row r="1198" spans="1:2" x14ac:dyDescent="0.2">
      <c r="A1198" s="1226">
        <v>2816</v>
      </c>
      <c r="B1198" s="1046" t="s">
        <v>1720</v>
      </c>
    </row>
    <row r="1199" spans="1:2" x14ac:dyDescent="0.2">
      <c r="A1199" s="1226">
        <v>2817</v>
      </c>
      <c r="B1199" s="1046" t="s">
        <v>1721</v>
      </c>
    </row>
    <row r="1200" spans="1:2" x14ac:dyDescent="0.2">
      <c r="A1200" s="1226">
        <v>2818</v>
      </c>
      <c r="B1200" s="1046" t="s">
        <v>1722</v>
      </c>
    </row>
    <row r="1201" spans="1:2" x14ac:dyDescent="0.2">
      <c r="A1201" s="1226">
        <v>2819</v>
      </c>
      <c r="B1201" s="1046" t="s">
        <v>1723</v>
      </c>
    </row>
    <row r="1202" spans="1:2" x14ac:dyDescent="0.2">
      <c r="A1202" s="1226">
        <v>2820</v>
      </c>
      <c r="B1202" s="1046" t="s">
        <v>1724</v>
      </c>
    </row>
    <row r="1203" spans="1:2" x14ac:dyDescent="0.2">
      <c r="A1203" s="1226">
        <v>2821</v>
      </c>
      <c r="B1203" s="1046" t="s">
        <v>1725</v>
      </c>
    </row>
    <row r="1204" spans="1:2" x14ac:dyDescent="0.2">
      <c r="A1204" s="1226">
        <v>2822</v>
      </c>
      <c r="B1204" s="1046" t="s">
        <v>1726</v>
      </c>
    </row>
    <row r="1205" spans="1:2" x14ac:dyDescent="0.2">
      <c r="A1205" s="1226">
        <v>2823</v>
      </c>
      <c r="B1205" s="1046" t="s">
        <v>1727</v>
      </c>
    </row>
    <row r="1206" spans="1:2" x14ac:dyDescent="0.2">
      <c r="A1206" s="1226">
        <v>2824</v>
      </c>
      <c r="B1206" s="1046" t="s">
        <v>1705</v>
      </c>
    </row>
    <row r="1207" spans="1:2" x14ac:dyDescent="0.2">
      <c r="A1207" s="1226">
        <v>2825</v>
      </c>
      <c r="B1207" s="1046" t="s">
        <v>1706</v>
      </c>
    </row>
    <row r="1208" spans="1:2" x14ac:dyDescent="0.2">
      <c r="A1208" s="1226">
        <v>2826</v>
      </c>
      <c r="B1208" s="1046" t="s">
        <v>1707</v>
      </c>
    </row>
    <row r="1209" spans="1:2" x14ac:dyDescent="0.2">
      <c r="A1209" s="1226">
        <v>2827</v>
      </c>
      <c r="B1209" s="1046" t="s">
        <v>1708</v>
      </c>
    </row>
    <row r="1210" spans="1:2" x14ac:dyDescent="0.2">
      <c r="A1210" s="1226">
        <v>2828</v>
      </c>
      <c r="B1210" s="1046" t="s">
        <v>1709</v>
      </c>
    </row>
    <row r="1211" spans="1:2" x14ac:dyDescent="0.2">
      <c r="A1211" s="1226">
        <v>2829</v>
      </c>
      <c r="B1211" s="1046" t="s">
        <v>1713</v>
      </c>
    </row>
    <row r="1212" spans="1:2" x14ac:dyDescent="0.2">
      <c r="A1212" s="1226">
        <v>2830</v>
      </c>
      <c r="B1212" s="1046" t="s">
        <v>1712</v>
      </c>
    </row>
    <row r="1213" spans="1:2" x14ac:dyDescent="0.2">
      <c r="A1213" s="1226">
        <v>2831</v>
      </c>
      <c r="B1213" s="1046" t="s">
        <v>1714</v>
      </c>
    </row>
    <row r="1214" spans="1:2" x14ac:dyDescent="0.2">
      <c r="A1214" s="1226">
        <v>2832</v>
      </c>
      <c r="B1214" s="1046" t="s">
        <v>1710</v>
      </c>
    </row>
    <row r="1215" spans="1:2" x14ac:dyDescent="0.2">
      <c r="A1215" s="1226">
        <v>2833</v>
      </c>
      <c r="B1215" s="1046" t="s">
        <v>1711</v>
      </c>
    </row>
    <row r="1216" spans="1:2" x14ac:dyDescent="0.2">
      <c r="A1216" s="1226">
        <v>2834</v>
      </c>
      <c r="B1216" s="1046" t="s">
        <v>1715</v>
      </c>
    </row>
    <row r="1217" spans="1:2" x14ac:dyDescent="0.2">
      <c r="A1217" s="1226">
        <v>2835</v>
      </c>
      <c r="B1217" s="1046" t="s">
        <v>1728</v>
      </c>
    </row>
    <row r="1218" spans="1:2" x14ac:dyDescent="0.2">
      <c r="A1218" s="1226">
        <v>2836</v>
      </c>
      <c r="B1218" s="1046" t="s">
        <v>1729</v>
      </c>
    </row>
    <row r="1219" spans="1:2" x14ac:dyDescent="0.2">
      <c r="A1219" s="1226">
        <v>2837</v>
      </c>
      <c r="B1219" s="1046" t="s">
        <v>1730</v>
      </c>
    </row>
    <row r="1220" spans="1:2" x14ac:dyDescent="0.2">
      <c r="A1220" s="1226">
        <v>2838</v>
      </c>
      <c r="B1220" s="1046" t="s">
        <v>1731</v>
      </c>
    </row>
    <row r="1221" spans="1:2" x14ac:dyDescent="0.2">
      <c r="A1221" s="1226">
        <v>2839</v>
      </c>
      <c r="B1221" s="1046" t="s">
        <v>1732</v>
      </c>
    </row>
    <row r="1222" spans="1:2" x14ac:dyDescent="0.2">
      <c r="A1222" s="1226">
        <v>2840</v>
      </c>
      <c r="B1222" s="1046" t="s">
        <v>1733</v>
      </c>
    </row>
    <row r="1223" spans="1:2" x14ac:dyDescent="0.2">
      <c r="A1223" s="1226">
        <v>2841</v>
      </c>
      <c r="B1223" s="1046" t="s">
        <v>1734</v>
      </c>
    </row>
  </sheetData>
  <sheetProtection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 ref="B52" r:id="rId2"/>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enableFormatConditionsCalculation="0">
    <tabColor indexed="17"/>
    <pageSetUpPr fitToPage="1"/>
  </sheetPr>
  <dimension ref="A1:E90"/>
  <sheetViews>
    <sheetView workbookViewId="0">
      <selection activeCell="C6" sqref="C6"/>
    </sheetView>
  </sheetViews>
  <sheetFormatPr defaultColWidth="11.42578125" defaultRowHeight="12.75" x14ac:dyDescent="0.2"/>
  <cols>
    <col min="1" max="1" width="17.140625" style="46" customWidth="1"/>
    <col min="2" max="2" width="34.7109375" style="46" customWidth="1"/>
    <col min="3" max="3" width="15.140625" style="46" customWidth="1"/>
    <col min="4" max="16384" width="11.42578125" style="46"/>
  </cols>
  <sheetData>
    <row r="1" spans="1:5" ht="13.5" thickBot="1" x14ac:dyDescent="0.25">
      <c r="A1" s="52" t="s">
        <v>251</v>
      </c>
    </row>
    <row r="2" spans="1:5" ht="13.5" thickBot="1" x14ac:dyDescent="0.25">
      <c r="A2" s="117" t="s">
        <v>252</v>
      </c>
      <c r="B2" s="692" t="s">
        <v>566</v>
      </c>
    </row>
    <row r="3" spans="1:5" ht="13.5" thickBot="1" x14ac:dyDescent="0.25">
      <c r="A3" s="118" t="s">
        <v>250</v>
      </c>
      <c r="B3" s="119">
        <v>42356</v>
      </c>
      <c r="C3" s="120" t="str">
        <f>IF(ISNUMBER(MATCH(B3,A20:A28,0)),VLOOKUP(B3,A20:B28,2,FALSE),"---")</f>
        <v>P3 Inst AER_LT_lt_181215.xls</v>
      </c>
      <c r="D3" s="121"/>
      <c r="E3" s="122"/>
    </row>
    <row r="4" spans="1:5" x14ac:dyDescent="0.2">
      <c r="A4" s="123" t="s">
        <v>353</v>
      </c>
      <c r="B4" s="124" t="s">
        <v>153</v>
      </c>
    </row>
    <row r="5" spans="1:5" ht="13.5" thickBot="1" x14ac:dyDescent="0.25">
      <c r="A5" s="125" t="s">
        <v>346</v>
      </c>
      <c r="B5" s="126" t="s">
        <v>377</v>
      </c>
    </row>
    <row r="7" spans="1:5" x14ac:dyDescent="0.2">
      <c r="A7" s="127" t="s">
        <v>253</v>
      </c>
    </row>
    <row r="8" spans="1:5" x14ac:dyDescent="0.2">
      <c r="A8" s="190" t="s">
        <v>350</v>
      </c>
      <c r="B8" s="190"/>
      <c r="C8" s="191" t="s">
        <v>347</v>
      </c>
    </row>
    <row r="9" spans="1:5" x14ac:dyDescent="0.2">
      <c r="A9" s="190" t="s">
        <v>351</v>
      </c>
      <c r="B9" s="190"/>
      <c r="C9" s="191" t="s">
        <v>348</v>
      </c>
    </row>
    <row r="10" spans="1:5" x14ac:dyDescent="0.2">
      <c r="A10" s="190" t="s">
        <v>352</v>
      </c>
      <c r="B10" s="190"/>
      <c r="C10" s="191" t="s">
        <v>349</v>
      </c>
    </row>
    <row r="11" spans="1:5" x14ac:dyDescent="0.2">
      <c r="A11" s="693" t="s">
        <v>442</v>
      </c>
      <c r="B11" s="190"/>
      <c r="C11" s="987" t="s">
        <v>41</v>
      </c>
    </row>
    <row r="12" spans="1:5" x14ac:dyDescent="0.2">
      <c r="A12" s="190" t="s">
        <v>111</v>
      </c>
      <c r="B12" s="190"/>
      <c r="C12" s="191" t="s">
        <v>112</v>
      </c>
    </row>
    <row r="13" spans="1:5" x14ac:dyDescent="0.2">
      <c r="A13" s="190" t="s">
        <v>547</v>
      </c>
      <c r="B13" s="190"/>
      <c r="C13" s="191" t="s">
        <v>549</v>
      </c>
    </row>
    <row r="14" spans="1:5" x14ac:dyDescent="0.2">
      <c r="A14" s="190" t="s">
        <v>548</v>
      </c>
      <c r="B14" s="190"/>
      <c r="C14" s="191" t="s">
        <v>550</v>
      </c>
    </row>
    <row r="15" spans="1:5" x14ac:dyDescent="0.2">
      <c r="A15" s="693" t="s">
        <v>566</v>
      </c>
      <c r="B15" s="190"/>
      <c r="C15" s="987" t="s">
        <v>569</v>
      </c>
    </row>
    <row r="16" spans="1:5" x14ac:dyDescent="0.2">
      <c r="A16" s="693" t="s">
        <v>567</v>
      </c>
      <c r="B16" s="190"/>
      <c r="C16" s="987" t="s">
        <v>570</v>
      </c>
    </row>
    <row r="17" spans="1:4" x14ac:dyDescent="0.2">
      <c r="A17" s="693" t="s">
        <v>568</v>
      </c>
      <c r="B17" s="190"/>
      <c r="C17" s="987" t="s">
        <v>571</v>
      </c>
    </row>
    <row r="18" spans="1:4" x14ac:dyDescent="0.2">
      <c r="A18" s="53"/>
    </row>
    <row r="19" spans="1:4" x14ac:dyDescent="0.2">
      <c r="A19" s="128" t="s">
        <v>290</v>
      </c>
      <c r="B19" s="129" t="s">
        <v>172</v>
      </c>
      <c r="C19" s="129" t="s">
        <v>136</v>
      </c>
      <c r="D19" s="130"/>
    </row>
    <row r="20" spans="1:4" x14ac:dyDescent="0.2">
      <c r="A20" s="1040">
        <v>41213</v>
      </c>
      <c r="B20" s="131" t="str">
        <f t="shared" ref="B20:B28" si="0">IF(ISBLANK($A20),"---", VLOOKUP($B$2,$A$8:$C$17,3,0) &amp; "_" &amp; VLOOKUP($B$4,$A$31:$B$63,2,0)&amp;"_"&amp;VLOOKUP($B$5,$A$66:$B$90,2,0)&amp;"_"&amp; TEXT(DAY($A20),"0#")&amp; TEXT(MONTH($A20),"0#")&amp; TEXT(YEAR($A20)-2000,"0#")&amp;".xls")</f>
        <v>P3 Inst AER_LT_lt_311012.xls</v>
      </c>
      <c r="C20" s="394" t="s">
        <v>321</v>
      </c>
      <c r="D20" s="132"/>
    </row>
    <row r="21" spans="1:4" x14ac:dyDescent="0.2">
      <c r="A21" s="133">
        <v>41234</v>
      </c>
      <c r="B21" s="134" t="str">
        <f t="shared" si="0"/>
        <v>P3 Inst AER_LT_lt_211112.xls</v>
      </c>
      <c r="C21" s="1016" t="s">
        <v>565</v>
      </c>
      <c r="D21" s="135"/>
    </row>
    <row r="22" spans="1:4" x14ac:dyDescent="0.2">
      <c r="A22" s="133">
        <v>41299</v>
      </c>
      <c r="B22" s="134" t="str">
        <f t="shared" si="0"/>
        <v>P3 Inst AER_LT_lt_250113.xls</v>
      </c>
      <c r="C22" s="1016" t="s">
        <v>576</v>
      </c>
      <c r="D22" s="135"/>
    </row>
    <row r="23" spans="1:4" x14ac:dyDescent="0.2">
      <c r="A23" s="133">
        <v>41344</v>
      </c>
      <c r="B23" s="134" t="str">
        <f t="shared" si="0"/>
        <v>P3 Inst AER_LT_lt_110313.xls</v>
      </c>
      <c r="C23" s="1016" t="s">
        <v>596</v>
      </c>
      <c r="D23" s="135"/>
    </row>
    <row r="24" spans="1:4" x14ac:dyDescent="0.2">
      <c r="A24" s="133">
        <v>41355</v>
      </c>
      <c r="B24" s="134" t="str">
        <f t="shared" si="0"/>
        <v>P3 Inst AER_LT_lt_220313.xls</v>
      </c>
      <c r="C24" s="1016" t="s">
        <v>604</v>
      </c>
      <c r="D24" s="135"/>
    </row>
    <row r="25" spans="1:4" x14ac:dyDescent="0.2">
      <c r="A25" s="133">
        <v>41390</v>
      </c>
      <c r="B25" s="134" t="str">
        <f t="shared" si="0"/>
        <v>P3 Inst AER_LT_lt_260413.xls</v>
      </c>
      <c r="C25" s="134" t="s">
        <v>605</v>
      </c>
      <c r="D25" s="135"/>
    </row>
    <row r="26" spans="1:4" x14ac:dyDescent="0.2">
      <c r="A26" s="133">
        <v>41450</v>
      </c>
      <c r="B26" s="134" t="str">
        <f t="shared" si="0"/>
        <v>P3 Inst AER_LT_lt_250613.xls</v>
      </c>
      <c r="C26" s="1016" t="s">
        <v>606</v>
      </c>
      <c r="D26" s="135"/>
    </row>
    <row r="27" spans="1:4" x14ac:dyDescent="0.2">
      <c r="A27" s="133">
        <v>41556</v>
      </c>
      <c r="B27" s="134" t="str">
        <f t="shared" si="0"/>
        <v>P3 Inst AER_LT_lt_091013.xls</v>
      </c>
      <c r="C27" s="1016" t="s">
        <v>608</v>
      </c>
      <c r="D27" s="135"/>
    </row>
    <row r="28" spans="1:4" x14ac:dyDescent="0.2">
      <c r="A28" s="332">
        <v>42356</v>
      </c>
      <c r="B28" s="136" t="str">
        <f t="shared" si="0"/>
        <v>P3 Inst AER_LT_lt_181215.xls</v>
      </c>
      <c r="C28" s="136" t="s">
        <v>1687</v>
      </c>
      <c r="D28" s="137"/>
    </row>
    <row r="30" spans="1:4" x14ac:dyDescent="0.2">
      <c r="A30" s="52" t="s">
        <v>353</v>
      </c>
    </row>
    <row r="31" spans="1:4" x14ac:dyDescent="0.2">
      <c r="A31" s="115" t="s">
        <v>354</v>
      </c>
      <c r="B31" s="115" t="s">
        <v>173</v>
      </c>
    </row>
    <row r="32" spans="1:4" x14ac:dyDescent="0.2">
      <c r="A32" s="115" t="s">
        <v>113</v>
      </c>
      <c r="B32" s="115" t="s">
        <v>114</v>
      </c>
    </row>
    <row r="33" spans="1:2" x14ac:dyDescent="0.2">
      <c r="A33" s="115" t="s">
        <v>138</v>
      </c>
      <c r="B33" s="115" t="s">
        <v>174</v>
      </c>
    </row>
    <row r="34" spans="1:2" x14ac:dyDescent="0.2">
      <c r="A34" s="115" t="s">
        <v>139</v>
      </c>
      <c r="B34" s="115" t="s">
        <v>175</v>
      </c>
    </row>
    <row r="35" spans="1:2" x14ac:dyDescent="0.2">
      <c r="A35" s="115" t="s">
        <v>140</v>
      </c>
      <c r="B35" s="115" t="s">
        <v>176</v>
      </c>
    </row>
    <row r="36" spans="1:2" x14ac:dyDescent="0.2">
      <c r="A36" s="115" t="s">
        <v>115</v>
      </c>
      <c r="B36" s="115" t="s">
        <v>116</v>
      </c>
    </row>
    <row r="37" spans="1:2" x14ac:dyDescent="0.2">
      <c r="A37" s="115" t="s">
        <v>141</v>
      </c>
      <c r="B37" s="115" t="s">
        <v>177</v>
      </c>
    </row>
    <row r="38" spans="1:2" x14ac:dyDescent="0.2">
      <c r="A38" s="115" t="s">
        <v>142</v>
      </c>
      <c r="B38" s="115" t="s">
        <v>178</v>
      </c>
    </row>
    <row r="39" spans="1:2" x14ac:dyDescent="0.2">
      <c r="A39" s="115" t="s">
        <v>143</v>
      </c>
      <c r="B39" s="115" t="s">
        <v>179</v>
      </c>
    </row>
    <row r="40" spans="1:2" x14ac:dyDescent="0.2">
      <c r="A40" s="115" t="s">
        <v>144</v>
      </c>
      <c r="B40" s="115" t="s">
        <v>180</v>
      </c>
    </row>
    <row r="41" spans="1:2" x14ac:dyDescent="0.2">
      <c r="A41" s="115" t="s">
        <v>145</v>
      </c>
      <c r="B41" s="115" t="s">
        <v>181</v>
      </c>
    </row>
    <row r="42" spans="1:2" x14ac:dyDescent="0.2">
      <c r="A42" s="115" t="s">
        <v>146</v>
      </c>
      <c r="B42" s="115" t="s">
        <v>182</v>
      </c>
    </row>
    <row r="43" spans="1:2" x14ac:dyDescent="0.2">
      <c r="A43" s="115" t="s">
        <v>147</v>
      </c>
      <c r="B43" s="115" t="s">
        <v>183</v>
      </c>
    </row>
    <row r="44" spans="1:2" x14ac:dyDescent="0.2">
      <c r="A44" s="115" t="s">
        <v>148</v>
      </c>
      <c r="B44" s="115" t="s">
        <v>184</v>
      </c>
    </row>
    <row r="45" spans="1:2" x14ac:dyDescent="0.2">
      <c r="A45" s="115" t="s">
        <v>149</v>
      </c>
      <c r="B45" s="115" t="s">
        <v>185</v>
      </c>
    </row>
    <row r="46" spans="1:2" x14ac:dyDescent="0.2">
      <c r="A46" s="115" t="s">
        <v>117</v>
      </c>
      <c r="B46" s="115" t="s">
        <v>118</v>
      </c>
    </row>
    <row r="47" spans="1:2" x14ac:dyDescent="0.2">
      <c r="A47" s="115" t="s">
        <v>150</v>
      </c>
      <c r="B47" s="115" t="s">
        <v>186</v>
      </c>
    </row>
    <row r="48" spans="1:2" x14ac:dyDescent="0.2">
      <c r="A48" s="115" t="s">
        <v>151</v>
      </c>
      <c r="B48" s="115" t="s">
        <v>187</v>
      </c>
    </row>
    <row r="49" spans="1:2" x14ac:dyDescent="0.2">
      <c r="A49" s="115" t="s">
        <v>152</v>
      </c>
      <c r="B49" s="115" t="s">
        <v>188</v>
      </c>
    </row>
    <row r="50" spans="1:2" x14ac:dyDescent="0.2">
      <c r="A50" s="115" t="s">
        <v>119</v>
      </c>
      <c r="B50" s="115" t="s">
        <v>120</v>
      </c>
    </row>
    <row r="51" spans="1:2" x14ac:dyDescent="0.2">
      <c r="A51" s="115" t="s">
        <v>153</v>
      </c>
      <c r="B51" s="115" t="s">
        <v>53</v>
      </c>
    </row>
    <row r="52" spans="1:2" x14ac:dyDescent="0.2">
      <c r="A52" s="115" t="s">
        <v>154</v>
      </c>
      <c r="B52" s="115" t="s">
        <v>54</v>
      </c>
    </row>
    <row r="53" spans="1:2" x14ac:dyDescent="0.2">
      <c r="A53" s="115" t="s">
        <v>155</v>
      </c>
      <c r="B53" s="115" t="s">
        <v>55</v>
      </c>
    </row>
    <row r="54" spans="1:2" x14ac:dyDescent="0.2">
      <c r="A54" s="115" t="s">
        <v>553</v>
      </c>
      <c r="B54" s="115" t="s">
        <v>56</v>
      </c>
    </row>
    <row r="55" spans="1:2" x14ac:dyDescent="0.2">
      <c r="A55" s="115" t="s">
        <v>121</v>
      </c>
      <c r="B55" s="115" t="s">
        <v>65</v>
      </c>
    </row>
    <row r="56" spans="1:2" x14ac:dyDescent="0.2">
      <c r="A56" s="115" t="s">
        <v>554</v>
      </c>
      <c r="B56" s="115" t="s">
        <v>57</v>
      </c>
    </row>
    <row r="57" spans="1:2" x14ac:dyDescent="0.2">
      <c r="A57" s="115" t="s">
        <v>555</v>
      </c>
      <c r="B57" s="115" t="s">
        <v>58</v>
      </c>
    </row>
    <row r="58" spans="1:2" x14ac:dyDescent="0.2">
      <c r="A58" s="115" t="s">
        <v>556</v>
      </c>
      <c r="B58" s="115" t="s">
        <v>59</v>
      </c>
    </row>
    <row r="59" spans="1:2" x14ac:dyDescent="0.2">
      <c r="A59" s="115" t="s">
        <v>557</v>
      </c>
      <c r="B59" s="115" t="s">
        <v>60</v>
      </c>
    </row>
    <row r="60" spans="1:2" x14ac:dyDescent="0.2">
      <c r="A60" s="115" t="s">
        <v>558</v>
      </c>
      <c r="B60" s="115" t="s">
        <v>61</v>
      </c>
    </row>
    <row r="61" spans="1:2" x14ac:dyDescent="0.2">
      <c r="A61" s="115" t="s">
        <v>69</v>
      </c>
      <c r="B61" s="115" t="s">
        <v>62</v>
      </c>
    </row>
    <row r="62" spans="1:2" x14ac:dyDescent="0.2">
      <c r="A62" s="115" t="s">
        <v>70</v>
      </c>
      <c r="B62" s="115" t="s">
        <v>63</v>
      </c>
    </row>
    <row r="63" spans="1:2" x14ac:dyDescent="0.2">
      <c r="A63" s="115" t="s">
        <v>71</v>
      </c>
      <c r="B63" s="115" t="s">
        <v>64</v>
      </c>
    </row>
    <row r="65" spans="1:2" x14ac:dyDescent="0.2">
      <c r="A65" s="54" t="s">
        <v>291</v>
      </c>
    </row>
    <row r="66" spans="1:2" x14ac:dyDescent="0.2">
      <c r="A66" s="116" t="s">
        <v>355</v>
      </c>
      <c r="B66" s="116" t="s">
        <v>356</v>
      </c>
    </row>
    <row r="67" spans="1:2" x14ac:dyDescent="0.2">
      <c r="A67" s="116" t="s">
        <v>357</v>
      </c>
      <c r="B67" s="116" t="s">
        <v>358</v>
      </c>
    </row>
    <row r="68" spans="1:2" x14ac:dyDescent="0.2">
      <c r="A68" s="116" t="s">
        <v>122</v>
      </c>
      <c r="B68" s="116" t="s">
        <v>123</v>
      </c>
    </row>
    <row r="69" spans="1:2" x14ac:dyDescent="0.2">
      <c r="A69" s="116" t="s">
        <v>359</v>
      </c>
      <c r="B69" s="116" t="s">
        <v>360</v>
      </c>
    </row>
    <row r="70" spans="1:2" x14ac:dyDescent="0.2">
      <c r="A70" s="116" t="s">
        <v>361</v>
      </c>
      <c r="B70" s="116" t="s">
        <v>362</v>
      </c>
    </row>
    <row r="71" spans="1:2" x14ac:dyDescent="0.2">
      <c r="A71" s="116" t="s">
        <v>363</v>
      </c>
      <c r="B71" s="116" t="s">
        <v>364</v>
      </c>
    </row>
    <row r="72" spans="1:2" x14ac:dyDescent="0.2">
      <c r="A72" s="116" t="s">
        <v>365</v>
      </c>
      <c r="B72" s="116" t="s">
        <v>366</v>
      </c>
    </row>
    <row r="73" spans="1:2" x14ac:dyDescent="0.2">
      <c r="A73" s="116" t="s">
        <v>367</v>
      </c>
      <c r="B73" s="116" t="s">
        <v>368</v>
      </c>
    </row>
    <row r="74" spans="1:2" x14ac:dyDescent="0.2">
      <c r="A74" s="116" t="s">
        <v>369</v>
      </c>
      <c r="B74" s="116" t="s">
        <v>370</v>
      </c>
    </row>
    <row r="75" spans="1:2" x14ac:dyDescent="0.2">
      <c r="A75" s="116" t="s">
        <v>371</v>
      </c>
      <c r="B75" s="116" t="s">
        <v>372</v>
      </c>
    </row>
    <row r="76" spans="1:2" x14ac:dyDescent="0.2">
      <c r="A76" s="116" t="s">
        <v>124</v>
      </c>
      <c r="B76" s="116" t="s">
        <v>125</v>
      </c>
    </row>
    <row r="77" spans="1:2" x14ac:dyDescent="0.2">
      <c r="A77" s="116" t="s">
        <v>373</v>
      </c>
      <c r="B77" s="116" t="s">
        <v>374</v>
      </c>
    </row>
    <row r="78" spans="1:2" x14ac:dyDescent="0.2">
      <c r="A78" s="116" t="s">
        <v>375</v>
      </c>
      <c r="B78" s="116" t="s">
        <v>376</v>
      </c>
    </row>
    <row r="79" spans="1:2" x14ac:dyDescent="0.2">
      <c r="A79" s="116" t="s">
        <v>377</v>
      </c>
      <c r="B79" s="116" t="s">
        <v>378</v>
      </c>
    </row>
    <row r="80" spans="1:2" x14ac:dyDescent="0.2">
      <c r="A80" s="116" t="s">
        <v>379</v>
      </c>
      <c r="B80" s="116" t="s">
        <v>380</v>
      </c>
    </row>
    <row r="81" spans="1:2" x14ac:dyDescent="0.2">
      <c r="A81" s="116" t="s">
        <v>381</v>
      </c>
      <c r="B81" s="116" t="s">
        <v>382</v>
      </c>
    </row>
    <row r="82" spans="1:2" x14ac:dyDescent="0.2">
      <c r="A82" s="116" t="s">
        <v>126</v>
      </c>
      <c r="B82" s="116" t="s">
        <v>127</v>
      </c>
    </row>
    <row r="83" spans="1:2" x14ac:dyDescent="0.2">
      <c r="A83" s="116" t="s">
        <v>156</v>
      </c>
      <c r="B83" s="116" t="s">
        <v>157</v>
      </c>
    </row>
    <row r="84" spans="1:2" x14ac:dyDescent="0.2">
      <c r="A84" s="116" t="s">
        <v>158</v>
      </c>
      <c r="B84" s="116" t="s">
        <v>159</v>
      </c>
    </row>
    <row r="85" spans="1:2" x14ac:dyDescent="0.2">
      <c r="A85" s="116" t="s">
        <v>160</v>
      </c>
      <c r="B85" s="116" t="s">
        <v>161</v>
      </c>
    </row>
    <row r="86" spans="1:2" x14ac:dyDescent="0.2">
      <c r="A86" s="116" t="s">
        <v>162</v>
      </c>
      <c r="B86" s="116" t="s">
        <v>163</v>
      </c>
    </row>
    <row r="87" spans="1:2" x14ac:dyDescent="0.2">
      <c r="A87" s="116" t="s">
        <v>164</v>
      </c>
      <c r="B87" s="116" t="s">
        <v>165</v>
      </c>
    </row>
    <row r="88" spans="1:2" x14ac:dyDescent="0.2">
      <c r="A88" s="116" t="s">
        <v>166</v>
      </c>
      <c r="B88" s="116" t="s">
        <v>167</v>
      </c>
    </row>
    <row r="89" spans="1:2" x14ac:dyDescent="0.2">
      <c r="A89" s="116" t="s">
        <v>168</v>
      </c>
      <c r="B89" s="116" t="s">
        <v>169</v>
      </c>
    </row>
    <row r="90" spans="1:2" x14ac:dyDescent="0.2">
      <c r="A90" s="116" t="s">
        <v>170</v>
      </c>
      <c r="B90" s="116" t="s">
        <v>171</v>
      </c>
    </row>
  </sheetData>
  <sheetProtection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enableFormatConditionsCalculation="0">
    <tabColor indexed="9"/>
    <pageSetUpPr fitToPage="1"/>
  </sheetPr>
  <dimension ref="A1:M113"/>
  <sheetViews>
    <sheetView zoomScaleNormal="100" workbookViewId="0">
      <pane ySplit="3" topLeftCell="A85" activePane="bottomLeft" state="frozen"/>
      <selection pane="bottomLeft" activeCell="A76" sqref="A76"/>
    </sheetView>
  </sheetViews>
  <sheetFormatPr defaultColWidth="11.42578125" defaultRowHeight="12.75" x14ac:dyDescent="0.2"/>
  <cols>
    <col min="1" max="2" width="5.7109375" style="7" customWidth="1"/>
    <col min="3" max="12" width="12.7109375" style="7" customWidth="1"/>
    <col min="13" max="13" width="4.7109375" style="7" customWidth="1"/>
    <col min="14" max="16384" width="11.42578125" style="7"/>
  </cols>
  <sheetData>
    <row r="1" spans="1:13" s="1" customFormat="1" ht="24.95" customHeight="1" thickBot="1" x14ac:dyDescent="0.25">
      <c r="A1" s="1434" t="str">
        <f>Translations!$B$22</f>
        <v>b. Gairės</v>
      </c>
      <c r="B1" s="1435"/>
      <c r="C1" s="1443" t="str">
        <f>Translations!$B$23</f>
        <v>Naršymo laukas</v>
      </c>
      <c r="D1" s="1444"/>
      <c r="E1" s="1426" t="str">
        <f>Translations!$B$24</f>
        <v>Turinys</v>
      </c>
      <c r="F1" s="1427"/>
      <c r="G1" s="1426" t="str">
        <f>Translations!$B$25</f>
        <v>Ankstesnis lapas</v>
      </c>
      <c r="H1" s="1427"/>
      <c r="I1" s="1426" t="str">
        <f>Translations!$B$26</f>
        <v>Kitas lapas</v>
      </c>
      <c r="J1" s="1427"/>
      <c r="K1" s="1428"/>
      <c r="L1" s="1429"/>
      <c r="M1" s="3"/>
    </row>
    <row r="2" spans="1:13" s="1" customFormat="1" ht="24.95" customHeight="1" x14ac:dyDescent="0.2">
      <c r="A2" s="1436"/>
      <c r="B2" s="1437"/>
      <c r="C2" s="1430" t="str">
        <f>Translations!$B$27</f>
        <v>Lapo viršus</v>
      </c>
      <c r="D2" s="1431"/>
      <c r="E2" s="1431"/>
      <c r="F2" s="1431"/>
      <c r="G2" s="1431"/>
      <c r="H2" s="1431"/>
      <c r="I2" s="1431"/>
      <c r="J2" s="1431"/>
      <c r="K2" s="1440"/>
      <c r="L2" s="1441"/>
      <c r="M2" s="3"/>
    </row>
    <row r="3" spans="1:13" s="1" customFormat="1" ht="24.95" customHeight="1" thickBot="1" x14ac:dyDescent="0.25">
      <c r="A3" s="1438"/>
      <c r="B3" s="1437"/>
      <c r="C3" s="1442" t="str">
        <f>Translations!$B$28</f>
        <v>Lapo galas</v>
      </c>
      <c r="D3" s="1439"/>
      <c r="E3" s="1439"/>
      <c r="F3" s="1439"/>
      <c r="G3" s="1439"/>
      <c r="H3" s="1439"/>
      <c r="I3" s="1439"/>
      <c r="J3" s="1439"/>
      <c r="K3" s="1440"/>
      <c r="L3" s="1441"/>
      <c r="M3" s="3"/>
    </row>
    <row r="4" spans="1:13" s="28" customFormat="1" ht="15.75" customHeight="1" x14ac:dyDescent="0.2">
      <c r="B4" s="1287"/>
      <c r="C4" s="1288"/>
      <c r="D4" s="1289"/>
      <c r="E4" s="1289"/>
      <c r="F4" s="1289"/>
      <c r="G4" s="1289"/>
      <c r="H4" s="1289"/>
      <c r="I4" s="1289"/>
      <c r="J4" s="1289"/>
      <c r="K4" s="1289"/>
      <c r="L4" s="1289"/>
      <c r="M4" s="1290"/>
    </row>
    <row r="5" spans="1:13" ht="18" x14ac:dyDescent="0.2">
      <c r="B5" s="1432" t="str">
        <f>Translations!$B$29</f>
        <v>GAIRĖS IR SĄLYGOS</v>
      </c>
      <c r="C5" s="1433"/>
      <c r="D5" s="1433"/>
      <c r="E5" s="1433"/>
      <c r="F5" s="1433"/>
      <c r="G5" s="1433"/>
      <c r="H5" s="1433"/>
      <c r="I5" s="1433"/>
      <c r="J5" s="1433"/>
      <c r="M5" s="1255"/>
    </row>
    <row r="6" spans="1:13" x14ac:dyDescent="0.2">
      <c r="B6" s="1445"/>
      <c r="C6" s="1446"/>
      <c r="D6" s="1446"/>
      <c r="E6" s="1446"/>
      <c r="F6" s="1446"/>
      <c r="G6" s="1446"/>
      <c r="H6" s="1446"/>
      <c r="I6" s="1446"/>
      <c r="J6" s="1446"/>
      <c r="K6" s="1446"/>
      <c r="L6" s="1446"/>
      <c r="M6" s="1255"/>
    </row>
    <row r="7" spans="1:13" x14ac:dyDescent="0.2">
      <c r="A7" s="186">
        <v>1</v>
      </c>
      <c r="B7" s="1419" t="str">
        <f>Translations!$B$38</f>
        <v>Prieš pradėdami naudotis šiuo failu, atlikite tokius veiksmus:</v>
      </c>
      <c r="C7" s="1388"/>
      <c r="D7" s="1388"/>
      <c r="E7" s="1388"/>
      <c r="F7" s="1388"/>
      <c r="G7" s="1388"/>
      <c r="H7" s="1388"/>
      <c r="I7" s="1388"/>
      <c r="J7" s="1388"/>
      <c r="K7" s="1388"/>
      <c r="L7" s="1388"/>
      <c r="M7" s="1255"/>
    </row>
    <row r="8" spans="1:13" x14ac:dyDescent="0.2">
      <c r="A8" s="186"/>
      <c r="B8" s="1291" t="s">
        <v>1</v>
      </c>
      <c r="C8" s="1385" t="str">
        <f>Translations!$B$39</f>
        <v>Atidžiai perskaitykite šablono pildymo instrukcijas.</v>
      </c>
      <c r="D8" s="1385"/>
      <c r="E8" s="1385"/>
      <c r="F8" s="1385"/>
      <c r="G8" s="1385"/>
      <c r="H8" s="1385"/>
      <c r="I8" s="1385"/>
      <c r="J8" s="1385"/>
      <c r="K8" s="1385"/>
      <c r="L8" s="1385"/>
      <c r="M8" s="1255"/>
    </row>
    <row r="9" spans="1:13" ht="29.25" customHeight="1" x14ac:dyDescent="0.2">
      <c r="A9" s="186"/>
      <c r="B9" s="1291" t="s">
        <v>2</v>
      </c>
      <c r="C9" s="1383"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83"/>
      <c r="E9" s="1383"/>
      <c r="F9" s="1383"/>
      <c r="G9" s="1383"/>
      <c r="H9" s="1383"/>
      <c r="I9" s="1383"/>
      <c r="J9" s="1383"/>
      <c r="K9" s="1383"/>
      <c r="L9" s="1383"/>
      <c r="M9" s="1255"/>
    </row>
    <row r="10" spans="1:13" ht="30.75" customHeight="1" x14ac:dyDescent="0.2">
      <c r="A10" s="186"/>
      <c r="B10" s="1291" t="s">
        <v>44</v>
      </c>
      <c r="C10" s="1383" t="str">
        <f>Translations!$B$41</f>
        <v>Patikrinkite KI tinklalapyje arba tiesiogiai susisiekite su KI ir sužinokite, ar turite reikiamą šablono versiją. Šablono versija (ypač failo pavadinimas) yra aiškiai nurodyta šio failo tituliniame puslapyje.</v>
      </c>
      <c r="D10" s="1383"/>
      <c r="E10" s="1383"/>
      <c r="F10" s="1383"/>
      <c r="G10" s="1383"/>
      <c r="H10" s="1383"/>
      <c r="I10" s="1383"/>
      <c r="J10" s="1383"/>
      <c r="K10" s="1383"/>
      <c r="L10" s="1383"/>
      <c r="M10" s="1255"/>
    </row>
    <row r="11" spans="1:13" ht="29.25" customHeight="1" x14ac:dyDescent="0.2">
      <c r="A11" s="186"/>
      <c r="B11" s="1291" t="s">
        <v>3</v>
      </c>
      <c r="C11" s="1383"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83"/>
      <c r="E11" s="1383"/>
      <c r="F11" s="1383"/>
      <c r="G11" s="1383"/>
      <c r="H11" s="1383"/>
      <c r="I11" s="1383"/>
      <c r="J11" s="1383"/>
      <c r="K11" s="1383"/>
      <c r="L11" s="1383"/>
      <c r="M11" s="1255"/>
    </row>
    <row r="12" spans="1:13" ht="42" customHeight="1" x14ac:dyDescent="0.2">
      <c r="A12" s="186">
        <v>2</v>
      </c>
      <c r="B12" s="1398"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83"/>
      <c r="D12" s="1383"/>
      <c r="E12" s="1383"/>
      <c r="F12" s="1383"/>
      <c r="G12" s="1383"/>
      <c r="H12" s="1383"/>
      <c r="I12" s="1383"/>
      <c r="J12" s="1383"/>
      <c r="K12" s="1383"/>
      <c r="L12" s="1383"/>
      <c r="M12" s="1278"/>
    </row>
    <row r="13" spans="1:13" ht="12.75" customHeight="1" x14ac:dyDescent="0.2">
      <c r="A13" s="186"/>
      <c r="B13" s="1398" t="str">
        <f>Translations!$B$30</f>
        <v>Direktyvos tekstą galima atsisiųsti iš</v>
      </c>
      <c r="C13" s="1383"/>
      <c r="D13" s="1383"/>
      <c r="E13" s="1383"/>
      <c r="F13" s="1383"/>
      <c r="G13" s="1383"/>
      <c r="H13" s="1383"/>
      <c r="I13" s="1383"/>
      <c r="J13" s="1383"/>
      <c r="K13" s="1383"/>
      <c r="L13" s="1383"/>
      <c r="M13" s="1255"/>
    </row>
    <row r="14" spans="1:13" x14ac:dyDescent="0.2">
      <c r="A14" s="187"/>
      <c r="B14" s="1447" t="s">
        <v>1282</v>
      </c>
      <c r="C14" s="1417"/>
      <c r="D14" s="1417"/>
      <c r="E14" s="1417"/>
      <c r="F14" s="1417"/>
      <c r="G14" s="1417"/>
      <c r="H14" s="1417"/>
      <c r="I14" s="1417"/>
      <c r="J14" s="1417"/>
      <c r="K14" s="1417"/>
      <c r="L14" s="1418"/>
      <c r="M14" s="1255"/>
    </row>
    <row r="15" spans="1:13" ht="5.0999999999999996" customHeight="1" x14ac:dyDescent="0.2">
      <c r="A15" s="187"/>
      <c r="B15" s="1294"/>
      <c r="C15" s="1292"/>
      <c r="D15" s="1292"/>
      <c r="E15" s="1292"/>
      <c r="F15" s="1292"/>
      <c r="G15" s="1292"/>
      <c r="H15" s="1292"/>
      <c r="I15" s="1292"/>
      <c r="J15" s="1292"/>
      <c r="K15" s="1292"/>
      <c r="L15" s="1293"/>
      <c r="M15" s="1255"/>
    </row>
    <row r="16" spans="1:13" ht="26.25" customHeight="1" x14ac:dyDescent="0.2">
      <c r="A16" s="186">
        <v>3</v>
      </c>
      <c r="B16" s="1398" t="str">
        <f>Translations!$B$32</f>
        <v>Stebėsenos ir ataskaitų reglamente (2012 m. birželio 21 d. Komisijos reglamentas (ES) Nr. 601/2012) (toliau – „SAR“) išsamiau nustatyti stebėsenos ir atskaitų teikimo reikalavimai. SAR tekstą galima atsisiųsti iš</v>
      </c>
      <c r="C16" s="1383"/>
      <c r="D16" s="1383"/>
      <c r="E16" s="1383"/>
      <c r="F16" s="1383"/>
      <c r="G16" s="1383"/>
      <c r="H16" s="1383"/>
      <c r="I16" s="1383"/>
      <c r="J16" s="1383"/>
      <c r="K16" s="1383"/>
      <c r="L16" s="1383"/>
      <c r="M16" s="1255"/>
    </row>
    <row r="17" spans="1:13" ht="12.75" customHeight="1" x14ac:dyDescent="0.2">
      <c r="A17" s="186"/>
      <c r="B17" s="1447" t="s">
        <v>1282</v>
      </c>
      <c r="C17" s="1417"/>
      <c r="D17" s="1417"/>
      <c r="E17" s="1417"/>
      <c r="F17" s="1417"/>
      <c r="G17" s="1417"/>
      <c r="H17" s="1417"/>
      <c r="I17" s="1417"/>
      <c r="J17" s="1417"/>
      <c r="K17" s="1417"/>
      <c r="L17" s="1418"/>
      <c r="M17" s="1255"/>
    </row>
    <row r="18" spans="1:13" x14ac:dyDescent="0.2">
      <c r="A18" s="186"/>
      <c r="B18" s="1398" t="str">
        <f>Translations!$B$511</f>
        <v>Stebėsenos ir ataskaitų reglamento (SAR) 67 straipsnio 3 dalyje reikalaujama:</v>
      </c>
      <c r="C18" s="1383"/>
      <c r="D18" s="1383"/>
      <c r="E18" s="1383"/>
      <c r="F18" s="1383"/>
      <c r="G18" s="1383"/>
      <c r="H18" s="1383"/>
      <c r="I18" s="1383"/>
      <c r="J18" s="1383"/>
      <c r="K18" s="1383"/>
      <c r="L18" s="1383"/>
      <c r="M18" s="1255"/>
    </row>
    <row r="19" spans="1:13" ht="12.75" customHeight="1" x14ac:dyDescent="0.2">
      <c r="A19" s="186"/>
      <c r="B19" s="1420" t="str">
        <f>Translations!$B$512</f>
        <v>„Metinėse išmetamųjų ŠESD kiekio ataskaitose ir tonkilometrių duomenų ataskaitose pateikiama bent X priede nurodyta informacija.“</v>
      </c>
      <c r="C19" s="1421"/>
      <c r="D19" s="1421"/>
      <c r="E19" s="1421"/>
      <c r="F19" s="1421"/>
      <c r="G19" s="1421"/>
      <c r="H19" s="1421"/>
      <c r="I19" s="1421"/>
      <c r="J19" s="1421"/>
      <c r="K19" s="1421"/>
      <c r="L19" s="1421"/>
      <c r="M19" s="1255"/>
    </row>
    <row r="20" spans="1:13" ht="12.75" customHeight="1" x14ac:dyDescent="0.2">
      <c r="A20" s="186"/>
      <c r="B20" s="1398" t="str">
        <f>Translations!$B$513</f>
        <v>X priede nustatytas būtinasis metinių išmetamųjų ŠESD kiekio ataskaitų turinys.</v>
      </c>
      <c r="C20" s="1383"/>
      <c r="D20" s="1383"/>
      <c r="E20" s="1383"/>
      <c r="F20" s="1383"/>
      <c r="G20" s="1383"/>
      <c r="H20" s="1383"/>
      <c r="I20" s="1383"/>
      <c r="J20" s="1383"/>
      <c r="K20" s="1383"/>
      <c r="L20" s="1383"/>
      <c r="M20" s="1255"/>
    </row>
    <row r="21" spans="1:13" x14ac:dyDescent="0.2">
      <c r="A21" s="186"/>
      <c r="B21" s="1398" t="str">
        <f>Translations!$B$34</f>
        <v>Be to, 74 str. 1 dalyje teigiama:</v>
      </c>
      <c r="C21" s="1383"/>
      <c r="D21" s="1383"/>
      <c r="E21" s="1383"/>
      <c r="F21" s="1383"/>
      <c r="G21" s="1383"/>
      <c r="H21" s="1383"/>
      <c r="I21" s="1383"/>
      <c r="J21" s="1383"/>
      <c r="K21" s="1383"/>
      <c r="L21" s="1383"/>
      <c r="M21" s="1255"/>
    </row>
    <row r="22" spans="1:13" ht="69.95" customHeight="1" x14ac:dyDescent="0.2">
      <c r="A22" s="186"/>
      <c r="B22" s="1420"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421"/>
      <c r="D22" s="1421"/>
      <c r="E22" s="1421"/>
      <c r="F22" s="1421"/>
      <c r="G22" s="1421"/>
      <c r="H22" s="1421"/>
      <c r="I22" s="1421"/>
      <c r="J22" s="1421"/>
      <c r="K22" s="1421"/>
      <c r="L22" s="1421"/>
      <c r="M22" s="1255"/>
    </row>
    <row r="23" spans="1:13" ht="42" customHeight="1" x14ac:dyDescent="0.2">
      <c r="A23" s="186">
        <v>4</v>
      </c>
      <c r="B23" s="1398"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83"/>
      <c r="D23" s="1383"/>
      <c r="E23" s="1383"/>
      <c r="F23" s="1383"/>
      <c r="G23" s="1383"/>
      <c r="H23" s="1383"/>
      <c r="I23" s="1383"/>
      <c r="J23" s="1383"/>
      <c r="K23" s="1383"/>
      <c r="L23" s="1383"/>
      <c r="M23" s="1255"/>
    </row>
    <row r="24" spans="1:13" ht="12.75" customHeight="1" x14ac:dyDescent="0.2">
      <c r="A24" s="186"/>
      <c r="B24" s="1419" t="str">
        <f>Translations!$B$515</f>
        <v>Ataskaitos šablonas turi būti parengtas neperžengiant SAR reikalavimų. Todėl reikėtų atsižvelgti ir į toliau pateiktame šablone naudojamą spalvinį žymėjimą.</v>
      </c>
      <c r="C24" s="1388"/>
      <c r="D24" s="1388"/>
      <c r="E24" s="1388"/>
      <c r="F24" s="1388"/>
      <c r="G24" s="1388"/>
      <c r="H24" s="1388"/>
      <c r="I24" s="1388"/>
      <c r="J24" s="1388"/>
      <c r="K24" s="1388"/>
      <c r="L24" s="1388"/>
      <c r="M24" s="1278"/>
    </row>
    <row r="25" spans="1:13" ht="15.95" customHeight="1" x14ac:dyDescent="0.2">
      <c r="A25" s="186"/>
      <c r="B25" s="1398" t="str">
        <f>Translations!$B$516</f>
        <v xml:space="preserve">Šis ataskaitos šablonas parengtas atsižvelgiant į Komisijos tarnybų nuomonę, išreikštą paskelbimo metu. </v>
      </c>
      <c r="C25" s="1383"/>
      <c r="D25" s="1383"/>
      <c r="E25" s="1383"/>
      <c r="F25" s="1383"/>
      <c r="G25" s="1383"/>
      <c r="H25" s="1383"/>
      <c r="I25" s="1383"/>
      <c r="J25" s="1383"/>
      <c r="K25" s="1383"/>
      <c r="L25" s="1383"/>
      <c r="M25" s="1255"/>
    </row>
    <row r="26" spans="1:13" ht="12.75" customHeight="1" x14ac:dyDescent="0.2">
      <c r="A26" s="186"/>
      <c r="B26" s="1398"/>
      <c r="C26" s="1383"/>
      <c r="D26" s="1383"/>
      <c r="E26" s="1383"/>
      <c r="F26" s="1383"/>
      <c r="G26" s="1383"/>
      <c r="H26" s="1383"/>
      <c r="I26" s="1383"/>
      <c r="J26" s="1383"/>
      <c r="K26" s="1383"/>
      <c r="L26" s="1383"/>
      <c r="M26" s="1255"/>
    </row>
    <row r="27" spans="1:13" ht="12.75" customHeight="1" x14ac:dyDescent="0.2">
      <c r="A27" s="186">
        <v>5</v>
      </c>
      <c r="B27" s="1419" t="str">
        <f>Translations!$B$517</f>
        <v>Užpildžius metinės išmetamųjų ŠESD kiekio ataskaitos šabloną, būtina atlikti šiuos veiksmus:</v>
      </c>
      <c r="C27" s="1388"/>
      <c r="D27" s="1388"/>
      <c r="E27" s="1388"/>
      <c r="F27" s="1388"/>
      <c r="G27" s="1388"/>
      <c r="H27" s="1388"/>
      <c r="I27" s="1388"/>
      <c r="J27" s="1388"/>
      <c r="K27" s="1388"/>
      <c r="L27" s="1388"/>
      <c r="M27" s="1278"/>
    </row>
    <row r="28" spans="1:13" ht="12.75" customHeight="1" x14ac:dyDescent="0.2">
      <c r="A28" s="186"/>
      <c r="B28" s="1295" t="s">
        <v>1</v>
      </c>
      <c r="C28" s="1388" t="str">
        <f>Translations!$B$518</f>
        <v>perduoti šabloną vertintojui, kad šis jį patikrintų pagal SAR 67 straipsnio 1 dalį;</v>
      </c>
      <c r="D28" s="1388"/>
      <c r="E28" s="1388"/>
      <c r="F28" s="1388"/>
      <c r="G28" s="1388"/>
      <c r="H28" s="1388"/>
      <c r="I28" s="1388"/>
      <c r="J28" s="1388"/>
      <c r="K28" s="1388"/>
      <c r="L28" s="1388"/>
      <c r="M28" s="1278"/>
    </row>
    <row r="29" spans="1:13" ht="25.5" customHeight="1" x14ac:dyDescent="0.2">
      <c r="A29" s="186"/>
      <c r="B29" s="1295" t="s">
        <v>2</v>
      </c>
      <c r="C29" s="1388" t="str">
        <f>Translations!$B$519</f>
        <v>vertintojo pagal Reglamentą (ES) Nr. 600/2012 patikrinta versija pateikiama kompetentingai institucijai iki kiekvienų metų kovo 31 d., jeigu ta institucija nepareikalauja pateikti patikrintą išmetamųjų ŠESD kiekio ataskaitą anksčiau.</v>
      </c>
      <c r="D29" s="1388"/>
      <c r="E29" s="1388"/>
      <c r="F29" s="1388"/>
      <c r="G29" s="1388"/>
      <c r="H29" s="1388"/>
      <c r="I29" s="1388"/>
      <c r="J29" s="1388"/>
      <c r="K29" s="1388"/>
      <c r="L29" s="1388"/>
      <c r="M29" s="1278"/>
    </row>
    <row r="30" spans="1:13" ht="12.75" customHeight="1" x14ac:dyDescent="0.2">
      <c r="A30" s="186"/>
      <c r="B30" s="1295"/>
      <c r="C30" s="1234"/>
      <c r="D30" s="1234"/>
      <c r="E30" s="1234"/>
      <c r="F30" s="1234"/>
      <c r="G30" s="1234"/>
      <c r="H30" s="1234"/>
      <c r="I30" s="1234"/>
      <c r="J30" s="1234"/>
      <c r="K30" s="1234"/>
      <c r="L30" s="1234"/>
      <c r="M30" s="1278"/>
    </row>
    <row r="31" spans="1:13" ht="38.25" customHeight="1" x14ac:dyDescent="0.2">
      <c r="A31" s="186"/>
      <c r="B31" s="1422" t="str">
        <f>Translations!$B$520</f>
        <v>Tai galutinė įrenginiams skirto išmetamųjų ŠESD kiekio ataskaitos šablono versija, Klimato kaitos komiteto patvirtinta 2015 m. gruodžio 18 d. posėdyje.</v>
      </c>
      <c r="C31" s="1423"/>
      <c r="D31" s="1423"/>
      <c r="E31" s="1423"/>
      <c r="F31" s="1423"/>
      <c r="G31" s="1423"/>
      <c r="H31" s="1423"/>
      <c r="I31" s="1423"/>
      <c r="J31" s="1423"/>
      <c r="K31" s="1423"/>
      <c r="L31" s="1424"/>
      <c r="M31" s="1255"/>
    </row>
    <row r="32" spans="1:13" ht="12.75" customHeight="1" x14ac:dyDescent="0.2">
      <c r="A32" s="186"/>
      <c r="B32" s="1398"/>
      <c r="C32" s="1383"/>
      <c r="D32" s="1383"/>
      <c r="E32" s="1383"/>
      <c r="F32" s="1383"/>
      <c r="G32" s="1383"/>
      <c r="H32" s="1383"/>
      <c r="I32" s="1383"/>
      <c r="J32" s="1383"/>
      <c r="K32" s="1383"/>
      <c r="L32" s="1383"/>
      <c r="M32" s="1255"/>
    </row>
    <row r="33" spans="1:13" ht="12.75" customHeight="1" x14ac:dyDescent="0.2">
      <c r="A33" s="186">
        <v>6</v>
      </c>
      <c r="B33" s="1398" t="str">
        <f>Translations!$B$36</f>
        <v>Visi Komisijos rekomendaciniai dokumentai dėl SAR pateikiami</v>
      </c>
      <c r="C33" s="1383"/>
      <c r="D33" s="1383"/>
      <c r="E33" s="1383"/>
      <c r="F33" s="1383"/>
      <c r="G33" s="1383"/>
      <c r="H33" s="1383"/>
      <c r="I33" s="1383"/>
      <c r="J33" s="1383"/>
      <c r="K33" s="1383"/>
      <c r="L33" s="1383"/>
      <c r="M33" s="1255"/>
    </row>
    <row r="34" spans="1:13" ht="12.75" customHeight="1" x14ac:dyDescent="0.2">
      <c r="A34" s="186"/>
      <c r="B34" s="1416" t="str">
        <f>Translations!$B$521</f>
        <v>http://ec.europa.eu/clima/policies/ets/monitoring/documentation_en.htm</v>
      </c>
      <c r="C34" s="1417"/>
      <c r="D34" s="1417"/>
      <c r="E34" s="1417"/>
      <c r="F34" s="1417"/>
      <c r="G34" s="1417"/>
      <c r="H34" s="1417"/>
      <c r="I34" s="1417"/>
      <c r="J34" s="1417"/>
      <c r="K34" s="1417"/>
      <c r="L34" s="1418"/>
      <c r="M34" s="1255"/>
    </row>
    <row r="35" spans="1:13" x14ac:dyDescent="0.2">
      <c r="A35" s="186"/>
      <c r="B35" s="1296"/>
      <c r="C35" s="188"/>
      <c r="D35" s="188"/>
      <c r="E35" s="188"/>
      <c r="F35" s="188"/>
      <c r="G35" s="188"/>
      <c r="H35" s="188"/>
      <c r="I35" s="188"/>
      <c r="J35" s="188"/>
      <c r="K35" s="188"/>
      <c r="L35" s="188"/>
      <c r="M35" s="1255"/>
    </row>
    <row r="36" spans="1:13" ht="15" customHeight="1" x14ac:dyDescent="0.2">
      <c r="A36" s="186">
        <v>7</v>
      </c>
      <c r="B36" s="1398" t="str">
        <f>Translations!$B$522</f>
        <v>Šis ataskaitos šablonas turi būti pateiktas Jūsų kompetentingai institucijai šiuo adresu:</v>
      </c>
      <c r="C36" s="1383"/>
      <c r="D36" s="1383"/>
      <c r="E36" s="1383"/>
      <c r="F36" s="1383"/>
      <c r="G36" s="1383"/>
      <c r="H36" s="1383"/>
      <c r="I36" s="1383"/>
      <c r="J36" s="1383"/>
      <c r="K36" s="1383"/>
      <c r="L36" s="1383"/>
      <c r="M36" s="1255"/>
    </row>
    <row r="37" spans="1:13" x14ac:dyDescent="0.2">
      <c r="A37" s="186"/>
      <c r="B37" s="1297"/>
      <c r="C37" s="189"/>
      <c r="D37" s="189"/>
      <c r="E37" s="189"/>
      <c r="F37" s="189"/>
      <c r="G37" s="189"/>
      <c r="H37" s="189"/>
      <c r="I37" s="189"/>
      <c r="J37" s="189"/>
      <c r="K37" s="189"/>
      <c r="L37" s="189"/>
      <c r="M37" s="1255"/>
    </row>
    <row r="38" spans="1:13" x14ac:dyDescent="0.2">
      <c r="B38" s="1254"/>
      <c r="E38" s="1407" t="str">
        <f>Translations!$B$43</f>
        <v>Aplinkos apsaugos agentūra,
Juozapavičiaus g. 9
LT-09311 Vilnius</v>
      </c>
      <c r="F38" s="1408"/>
      <c r="G38" s="1408"/>
      <c r="H38" s="1409"/>
      <c r="M38" s="1255"/>
    </row>
    <row r="39" spans="1:13" x14ac:dyDescent="0.2">
      <c r="B39" s="1254"/>
      <c r="E39" s="1410"/>
      <c r="F39" s="1411"/>
      <c r="G39" s="1411"/>
      <c r="H39" s="1412"/>
      <c r="M39" s="1255"/>
    </row>
    <row r="40" spans="1:13" x14ac:dyDescent="0.2">
      <c r="B40" s="1254"/>
      <c r="E40" s="1410"/>
      <c r="F40" s="1411"/>
      <c r="G40" s="1411"/>
      <c r="H40" s="1412"/>
      <c r="M40" s="1255"/>
    </row>
    <row r="41" spans="1:13" x14ac:dyDescent="0.2">
      <c r="B41" s="1254"/>
      <c r="E41" s="1410"/>
      <c r="F41" s="1411"/>
      <c r="G41" s="1411"/>
      <c r="H41" s="1412"/>
      <c r="M41" s="1255"/>
    </row>
    <row r="42" spans="1:13" x14ac:dyDescent="0.2">
      <c r="B42" s="1254"/>
      <c r="E42" s="1410"/>
      <c r="F42" s="1411"/>
      <c r="G42" s="1411"/>
      <c r="H42" s="1412"/>
      <c r="M42" s="1255"/>
    </row>
    <row r="43" spans="1:13" x14ac:dyDescent="0.2">
      <c r="B43" s="1254"/>
      <c r="E43" s="1410"/>
      <c r="F43" s="1411"/>
      <c r="G43" s="1411"/>
      <c r="H43" s="1412"/>
      <c r="M43" s="1255"/>
    </row>
    <row r="44" spans="1:13" x14ac:dyDescent="0.2">
      <c r="B44" s="1254"/>
      <c r="E44" s="1410"/>
      <c r="F44" s="1411"/>
      <c r="G44" s="1411"/>
      <c r="H44" s="1412"/>
      <c r="M44" s="1255"/>
    </row>
    <row r="45" spans="1:13" x14ac:dyDescent="0.2">
      <c r="B45" s="1254"/>
      <c r="E45" s="1413"/>
      <c r="F45" s="1414"/>
      <c r="G45" s="1414"/>
      <c r="H45" s="1415"/>
      <c r="M45" s="1255"/>
    </row>
    <row r="46" spans="1:13" x14ac:dyDescent="0.2">
      <c r="B46" s="1254"/>
      <c r="M46" s="1255"/>
    </row>
    <row r="47" spans="1:13" ht="25.5" customHeight="1" x14ac:dyDescent="0.2">
      <c r="A47" s="186">
        <v>8</v>
      </c>
      <c r="B47" s="1398"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83"/>
      <c r="D47" s="1383"/>
      <c r="E47" s="1383"/>
      <c r="F47" s="1383"/>
      <c r="G47" s="1383"/>
      <c r="H47" s="1383"/>
      <c r="I47" s="1383"/>
      <c r="J47" s="1383"/>
      <c r="K47" s="1383"/>
      <c r="L47" s="1383"/>
      <c r="M47" s="1255"/>
    </row>
    <row r="48" spans="1:13" ht="63.75" customHeight="1" x14ac:dyDescent="0.2">
      <c r="A48" s="186">
        <v>9</v>
      </c>
      <c r="B48" s="1400"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401"/>
      <c r="D48" s="1401"/>
      <c r="E48" s="1401"/>
      <c r="F48" s="1401"/>
      <c r="G48" s="1401"/>
      <c r="H48" s="1401"/>
      <c r="I48" s="1401"/>
      <c r="J48" s="1401"/>
      <c r="K48" s="1401"/>
      <c r="L48" s="1401"/>
      <c r="M48" s="1255"/>
    </row>
    <row r="49" spans="1:13" x14ac:dyDescent="0.2">
      <c r="A49" s="186"/>
      <c r="B49" s="1296"/>
      <c r="C49" s="188"/>
      <c r="D49" s="188"/>
      <c r="E49" s="1298"/>
      <c r="F49" s="188"/>
      <c r="G49" s="188"/>
      <c r="H49" s="188"/>
      <c r="I49" s="188"/>
      <c r="J49" s="188"/>
      <c r="K49" s="188"/>
      <c r="L49" s="188"/>
      <c r="M49" s="1255"/>
    </row>
    <row r="50" spans="1:13" ht="15" x14ac:dyDescent="0.2">
      <c r="A50" s="186">
        <v>10</v>
      </c>
      <c r="B50" s="1402" t="str">
        <f>Translations!$B$44</f>
        <v>Informacijos šaltiniai:</v>
      </c>
      <c r="C50" s="1403"/>
      <c r="D50" s="1403"/>
      <c r="E50" s="1403"/>
      <c r="F50" s="1403"/>
      <c r="G50" s="1403"/>
      <c r="H50" s="1403"/>
      <c r="I50" s="1403"/>
      <c r="J50" s="1403"/>
      <c r="K50" s="1403"/>
      <c r="L50" s="1403"/>
      <c r="M50" s="1255"/>
    </row>
    <row r="51" spans="1:13" x14ac:dyDescent="0.2">
      <c r="A51" s="186"/>
      <c r="B51" s="1299" t="str">
        <f>Translations!$B$45</f>
        <v>ES tinklalapiai:</v>
      </c>
      <c r="C51" s="188"/>
      <c r="D51" s="188"/>
      <c r="E51" s="188"/>
      <c r="F51" s="188"/>
      <c r="G51" s="188"/>
      <c r="H51" s="188"/>
      <c r="I51" s="188"/>
      <c r="J51" s="188"/>
      <c r="K51" s="188"/>
      <c r="L51" s="188"/>
      <c r="M51" s="1255"/>
    </row>
    <row r="52" spans="1:13" x14ac:dyDescent="0.2">
      <c r="A52" s="186"/>
      <c r="B52" s="1296" t="str">
        <f>Translations!$B$46</f>
        <v>ES teisės aktai:</v>
      </c>
      <c r="C52" s="188"/>
      <c r="D52" s="1404" t="str">
        <f>Translations!$B$47</f>
        <v>http://eur-lex.europa.eu/en/index.htm</v>
      </c>
      <c r="E52" s="1405"/>
      <c r="F52" s="1405"/>
      <c r="G52" s="1405"/>
      <c r="H52" s="1405"/>
      <c r="I52" s="1405"/>
      <c r="J52" s="188"/>
      <c r="K52" s="188"/>
      <c r="L52" s="188"/>
      <c r="M52" s="1255"/>
    </row>
    <row r="53" spans="1:13" x14ac:dyDescent="0.2">
      <c r="A53" s="186"/>
      <c r="B53" s="1296" t="str">
        <f>Translations!$B$48</f>
        <v>Bendroji informacija apie ES ATLPS</v>
      </c>
      <c r="C53" s="188"/>
      <c r="D53" s="1406" t="str">
        <f>Translations!$B$49</f>
        <v>http://ec.europa.eu/clima/policies/ets/index_en.htm</v>
      </c>
      <c r="E53" s="1406"/>
      <c r="F53" s="1406"/>
      <c r="G53" s="1406"/>
      <c r="H53" s="1406"/>
      <c r="I53" s="1406"/>
      <c r="J53" s="188"/>
      <c r="K53" s="188"/>
      <c r="L53" s="188"/>
      <c r="M53" s="1255"/>
    </row>
    <row r="54" spans="1:13" x14ac:dyDescent="0.2">
      <c r="A54" s="186"/>
      <c r="B54" s="1296" t="str">
        <f>Translations!$B$50</f>
        <v xml:space="preserve">Stebėsena ir ataskaitų teikimas pagal ES ATLPS </v>
      </c>
      <c r="C54" s="188"/>
      <c r="D54" s="188"/>
      <c r="E54" s="188"/>
      <c r="F54" s="188"/>
      <c r="G54" s="188"/>
      <c r="H54" s="188"/>
      <c r="I54" s="188"/>
      <c r="J54" s="188"/>
      <c r="K54" s="188"/>
      <c r="L54" s="188"/>
      <c r="M54" s="1255"/>
    </row>
    <row r="55" spans="1:13" x14ac:dyDescent="0.2">
      <c r="A55" s="186"/>
      <c r="B55" s="1296"/>
      <c r="C55" s="188"/>
      <c r="D55" s="1404" t="str">
        <f>Translations!$B$37</f>
        <v>http://ec.europa.eu/clima/policies/ets/monitoring/index_en.htm</v>
      </c>
      <c r="E55" s="1405"/>
      <c r="F55" s="1405"/>
      <c r="G55" s="1405"/>
      <c r="H55" s="1405"/>
      <c r="I55" s="1405"/>
      <c r="J55" s="188"/>
      <c r="K55" s="188"/>
      <c r="L55" s="188"/>
      <c r="M55" s="1255"/>
    </row>
    <row r="56" spans="1:13" x14ac:dyDescent="0.2">
      <c r="B56" s="1299" t="str">
        <f>Translations!$B$51</f>
        <v>Kitos interneto svetainės</v>
      </c>
      <c r="M56" s="1255"/>
    </row>
    <row r="57" spans="1:13" x14ac:dyDescent="0.2">
      <c r="B57" s="1399" t="str">
        <f>Translations!$B$52</f>
        <v>http://klimatas.gamta.lt/cms/index?rubricId=35c6fcad-1114-495d-9926-f40613232509</v>
      </c>
      <c r="C57" s="1392"/>
      <c r="D57" s="1392"/>
      <c r="E57" s="1392"/>
      <c r="F57" s="1392"/>
      <c r="G57" s="1392"/>
      <c r="H57" s="1392"/>
      <c r="I57" s="1392"/>
      <c r="J57" s="1392"/>
      <c r="K57" s="1392"/>
      <c r="L57" s="1392"/>
      <c r="M57" s="1255"/>
    </row>
    <row r="58" spans="1:13" x14ac:dyDescent="0.2">
      <c r="B58" s="1399"/>
      <c r="C58" s="1392"/>
      <c r="D58" s="1392"/>
      <c r="E58" s="1392"/>
      <c r="F58" s="1392"/>
      <c r="G58" s="1392"/>
      <c r="H58" s="1392"/>
      <c r="I58" s="1392"/>
      <c r="J58" s="1392"/>
      <c r="K58" s="1392"/>
      <c r="L58" s="1392"/>
      <c r="M58" s="1255"/>
    </row>
    <row r="59" spans="1:13" x14ac:dyDescent="0.2">
      <c r="B59" s="1299" t="str">
        <f>Translations!$B$53</f>
        <v>Pagalbos tarnyba</v>
      </c>
      <c r="C59" s="195"/>
      <c r="D59" s="195"/>
      <c r="E59" s="195"/>
      <c r="F59" s="195"/>
      <c r="G59" s="195"/>
      <c r="H59" s="195"/>
      <c r="I59" s="195"/>
      <c r="J59" s="195"/>
      <c r="K59" s="195"/>
      <c r="L59" s="195"/>
      <c r="M59" s="1255"/>
    </row>
    <row r="60" spans="1:13" x14ac:dyDescent="0.2">
      <c r="B60" s="1399" t="str">
        <f>Translations!$B$54</f>
        <v>Aplinkos apsaugos agentūra, Klimato kaitos skyrius</v>
      </c>
      <c r="C60" s="1392"/>
      <c r="D60" s="1392"/>
      <c r="E60" s="1392"/>
      <c r="F60" s="1392"/>
      <c r="G60" s="1392"/>
      <c r="H60" s="1392"/>
      <c r="I60" s="1392"/>
      <c r="J60" s="1392"/>
      <c r="K60" s="1392"/>
      <c r="L60" s="1392"/>
      <c r="M60" s="1255"/>
    </row>
    <row r="61" spans="1:13" x14ac:dyDescent="0.2">
      <c r="B61" s="1399"/>
      <c r="C61" s="1392"/>
      <c r="D61" s="1392"/>
      <c r="E61" s="1392"/>
      <c r="F61" s="1392"/>
      <c r="G61" s="1392"/>
      <c r="H61" s="1392"/>
      <c r="I61" s="1392"/>
      <c r="J61" s="1392"/>
      <c r="K61" s="1392"/>
      <c r="L61" s="1392"/>
      <c r="M61" s="1255"/>
    </row>
    <row r="62" spans="1:13" ht="25.5" customHeight="1" x14ac:dyDescent="0.2">
      <c r="B62" s="1254"/>
      <c r="M62" s="1255"/>
    </row>
    <row r="63" spans="1:13" ht="15.75" customHeight="1" x14ac:dyDescent="0.2">
      <c r="A63" s="186">
        <v>11</v>
      </c>
      <c r="B63" s="1379" t="str">
        <f>Translations!$B$55</f>
        <v>Kaip naudotis šiuo failu</v>
      </c>
      <c r="C63" s="1380"/>
      <c r="D63" s="1380"/>
      <c r="E63" s="1380"/>
      <c r="F63" s="1380"/>
      <c r="G63" s="1380"/>
      <c r="H63" s="1380"/>
      <c r="I63" s="1380"/>
      <c r="J63" s="1380"/>
      <c r="K63" s="1380"/>
      <c r="L63" s="1380"/>
      <c r="M63" s="1255"/>
    </row>
    <row r="64" spans="1:13" ht="5.0999999999999996" customHeight="1" x14ac:dyDescent="0.2">
      <c r="A64" s="186"/>
      <c r="B64" s="1300"/>
      <c r="C64" s="1301"/>
      <c r="D64" s="1301"/>
      <c r="E64" s="1301"/>
      <c r="F64" s="1301"/>
      <c r="G64" s="1301"/>
      <c r="H64" s="1301"/>
      <c r="I64" s="1301"/>
      <c r="J64" s="1301"/>
      <c r="K64" s="1301"/>
      <c r="L64" s="1301"/>
      <c r="M64" s="1255"/>
    </row>
    <row r="65" spans="1:13" ht="51" customHeight="1" x14ac:dyDescent="0.2">
      <c r="A65" s="186"/>
      <c r="B65" s="1394"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95"/>
      <c r="D65" s="1395"/>
      <c r="E65" s="1395"/>
      <c r="F65" s="1395"/>
      <c r="G65" s="1395"/>
      <c r="H65" s="1395"/>
      <c r="I65" s="1395"/>
      <c r="J65" s="1395"/>
      <c r="K65" s="1395"/>
      <c r="L65" s="1391"/>
      <c r="M65" s="1255"/>
    </row>
    <row r="66" spans="1:13" ht="26.25" customHeight="1" x14ac:dyDescent="0.2">
      <c r="A66" s="186"/>
      <c r="B66" s="1398"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83"/>
      <c r="D66" s="1383"/>
      <c r="E66" s="1383"/>
      <c r="F66" s="1383"/>
      <c r="G66" s="1383"/>
      <c r="H66" s="1383"/>
      <c r="I66" s="1383"/>
      <c r="J66" s="1383"/>
      <c r="K66" s="1383"/>
      <c r="L66" s="1383"/>
      <c r="M66" s="1255"/>
    </row>
    <row r="67" spans="1:13" ht="26.25" customHeight="1" x14ac:dyDescent="0.2">
      <c r="A67" s="186"/>
      <c r="B67" s="1398"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83"/>
      <c r="D67" s="1383"/>
      <c r="E67" s="1383"/>
      <c r="F67" s="1383"/>
      <c r="G67" s="1383"/>
      <c r="H67" s="1383"/>
      <c r="I67" s="1383"/>
      <c r="J67" s="1383"/>
      <c r="K67" s="1383"/>
      <c r="L67" s="1383"/>
      <c r="M67" s="1255"/>
    </row>
    <row r="68" spans="1:13" ht="43.5" customHeight="1" x14ac:dyDescent="0.2">
      <c r="A68" s="186"/>
      <c r="B68" s="1398"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83"/>
      <c r="D68" s="1383"/>
      <c r="E68" s="1383"/>
      <c r="F68" s="1383"/>
      <c r="G68" s="1383"/>
      <c r="H68" s="1383"/>
      <c r="I68" s="1383"/>
      <c r="J68" s="1383"/>
      <c r="K68" s="1383"/>
      <c r="L68" s="1383"/>
      <c r="M68" s="1255"/>
    </row>
    <row r="69" spans="1:13" x14ac:dyDescent="0.2">
      <c r="A69" s="186"/>
      <c r="B69" s="1384" t="str">
        <f>Translations!$B$58</f>
        <v>Spalvų kodai ir šriftai</v>
      </c>
      <c r="C69" s="1385"/>
      <c r="D69" s="1385"/>
      <c r="E69" s="1385"/>
      <c r="F69" s="1385"/>
      <c r="G69" s="1385"/>
      <c r="H69" s="1385"/>
      <c r="I69" s="1385"/>
      <c r="J69" s="1385"/>
      <c r="K69" s="1385"/>
      <c r="L69" s="1385"/>
      <c r="M69" s="1255"/>
    </row>
    <row r="70" spans="1:13" x14ac:dyDescent="0.2">
      <c r="B70" s="1254"/>
      <c r="C70" s="1391" t="str">
        <f>Translations!$B$59</f>
        <v>Juodas paryškintas tekstas.</v>
      </c>
      <c r="D70" s="1392"/>
      <c r="E70" s="1383" t="str">
        <f>Translations!$B$60</f>
        <v>Toks tekstas – tai Komisijos šablono tekstas. Jis turi likti toks, koks yra.</v>
      </c>
      <c r="F70" s="1383"/>
      <c r="G70" s="1383"/>
      <c r="H70" s="1383"/>
      <c r="I70" s="1383"/>
      <c r="J70" s="1383"/>
      <c r="K70" s="1383"/>
      <c r="L70" s="1383"/>
      <c r="M70" s="1255"/>
    </row>
    <row r="71" spans="1:13" x14ac:dyDescent="0.2">
      <c r="B71" s="1254"/>
      <c r="C71" s="1393" t="str">
        <f>Translations!$B$61</f>
        <v>Smulkesnis  tekstas pasviruoju šriftu:</v>
      </c>
      <c r="D71" s="1393"/>
      <c r="E71" s="1383" t="str">
        <f>Translations!$B$62</f>
        <v>Tokio šrifto tekstu pateikiama daugiau paaiškinimų. Valstybės narės gali įrašyti daugiau paaiškinimų savo šablono versijose.</v>
      </c>
      <c r="F71" s="1383"/>
      <c r="G71" s="1383"/>
      <c r="H71" s="1383"/>
      <c r="I71" s="1383"/>
      <c r="J71" s="1383"/>
      <c r="K71" s="1383"/>
      <c r="L71" s="1383"/>
      <c r="M71" s="1255"/>
    </row>
    <row r="72" spans="1:13" ht="38.85" customHeight="1" x14ac:dyDescent="0.2">
      <c r="B72" s="1254"/>
      <c r="C72" s="1386"/>
      <c r="D72" s="1387"/>
      <c r="E72" s="1388"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88"/>
      <c r="G72" s="1388"/>
      <c r="H72" s="1388"/>
      <c r="I72" s="1388"/>
      <c r="J72" s="1388"/>
      <c r="K72" s="1388"/>
      <c r="L72" s="1388"/>
      <c r="M72" s="1255"/>
    </row>
    <row r="73" spans="1:13" x14ac:dyDescent="0.2">
      <c r="B73" s="1254"/>
      <c r="C73" s="1396"/>
      <c r="D73" s="1387"/>
      <c r="E73" s="1383" t="str">
        <f>Translations!$B$63</f>
        <v>Šviesiai geltonų laukelių pildyti neprivaloma.</v>
      </c>
      <c r="F73" s="1363"/>
      <c r="G73" s="1363"/>
      <c r="H73" s="1363"/>
      <c r="I73" s="1363"/>
      <c r="J73" s="1363"/>
      <c r="K73" s="1363"/>
      <c r="L73" s="1363"/>
      <c r="M73" s="1255"/>
    </row>
    <row r="74" spans="1:13" x14ac:dyDescent="0.2">
      <c r="B74" s="1254"/>
      <c r="C74" s="1397"/>
      <c r="D74" s="1390"/>
      <c r="E74" s="1383" t="str">
        <f>Translations!$B$527</f>
        <v>Žaliuose laukeliuose pateikiami automatiškai apskaičiuoti rezultatai. Raudonu tekstu pateikiami pranešimai apie klaidas (trūksta duomenų ir kt.).</v>
      </c>
      <c r="F74" s="1363"/>
      <c r="G74" s="1363"/>
      <c r="H74" s="1363"/>
      <c r="I74" s="1363"/>
      <c r="J74" s="1363"/>
      <c r="K74" s="1363"/>
      <c r="L74" s="1363"/>
      <c r="M74" s="1255"/>
    </row>
    <row r="75" spans="1:13" x14ac:dyDescent="0.2">
      <c r="B75" s="1254"/>
      <c r="C75" s="1389"/>
      <c r="D75" s="1390"/>
      <c r="E75" s="1383" t="str">
        <f>Translations!$B$528</f>
        <v>Patamsinti laukeliai reiškia, kad dėl įrašo kitame laukelyje čia nieko įrašyti nebereikia.</v>
      </c>
      <c r="F75" s="1383"/>
      <c r="G75" s="1383"/>
      <c r="H75" s="1383"/>
      <c r="I75" s="1383"/>
      <c r="J75" s="1383"/>
      <c r="K75" s="1383"/>
      <c r="L75" s="1383"/>
      <c r="M75" s="1255"/>
    </row>
    <row r="76" spans="1:13" x14ac:dyDescent="0.2">
      <c r="B76" s="1254"/>
      <c r="C76" s="1381"/>
      <c r="D76" s="1381"/>
      <c r="E76" s="1383" t="str">
        <f>Translations!$B$529</f>
        <v>Valstybės narės, prieš paskelbdamos individualizuotą šablono versiją, turėtų užpildyti pilka spalva patamsintus laukus.</v>
      </c>
      <c r="F76" s="1363"/>
      <c r="G76" s="1363"/>
      <c r="H76" s="1363"/>
      <c r="I76" s="1363"/>
      <c r="J76" s="1363"/>
      <c r="K76" s="1363"/>
      <c r="L76" s="1363"/>
      <c r="M76" s="1255"/>
    </row>
    <row r="77" spans="1:13" x14ac:dyDescent="0.2">
      <c r="B77" s="1254"/>
      <c r="C77" s="1382"/>
      <c r="D77" s="1382"/>
      <c r="E77" s="1383" t="str">
        <f>Translations!$B$64</f>
        <v>Šviesiai pilkos vietos skirtos naršyti ir hipersaitams nurodyti.</v>
      </c>
      <c r="F77" s="1363"/>
      <c r="G77" s="1363"/>
      <c r="H77" s="1363"/>
      <c r="I77" s="1363"/>
      <c r="J77" s="1363"/>
      <c r="K77" s="1363"/>
      <c r="L77" s="1363"/>
      <c r="M77" s="1255"/>
    </row>
    <row r="78" spans="1:13" x14ac:dyDescent="0.2">
      <c r="B78" s="1254"/>
      <c r="M78" s="1255"/>
    </row>
    <row r="79" spans="1:13" ht="38.25" customHeight="1" x14ac:dyDescent="0.2">
      <c r="A79" s="186">
        <v>12</v>
      </c>
      <c r="B79" s="1362"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63"/>
      <c r="D79" s="1363"/>
      <c r="E79" s="1363"/>
      <c r="F79" s="1363"/>
      <c r="G79" s="1363"/>
      <c r="H79" s="1363"/>
      <c r="I79" s="1363"/>
      <c r="J79" s="1363"/>
      <c r="K79" s="1363"/>
      <c r="L79" s="1363"/>
      <c r="M79" s="1255"/>
    </row>
    <row r="80" spans="1:13" ht="51" customHeight="1" x14ac:dyDescent="0.2">
      <c r="A80" s="186">
        <v>13</v>
      </c>
      <c r="B80" s="1362"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63"/>
      <c r="D80" s="1363"/>
      <c r="E80" s="1363"/>
      <c r="F80" s="1363"/>
      <c r="G80" s="1363"/>
      <c r="H80" s="1363"/>
      <c r="I80" s="1363"/>
      <c r="J80" s="1363"/>
      <c r="K80" s="1363"/>
      <c r="L80" s="1363"/>
      <c r="M80" s="1255"/>
    </row>
    <row r="81" spans="1:13" ht="51" customHeight="1" x14ac:dyDescent="0.2">
      <c r="A81" s="186">
        <v>14</v>
      </c>
      <c r="B81" s="1362"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63"/>
      <c r="D81" s="1363"/>
      <c r="E81" s="1363"/>
      <c r="F81" s="1363"/>
      <c r="G81" s="1363"/>
      <c r="H81" s="1363"/>
      <c r="I81" s="1363"/>
      <c r="J81" s="1363"/>
      <c r="K81" s="1363"/>
      <c r="L81" s="1363"/>
      <c r="M81" s="1255"/>
    </row>
    <row r="82" spans="1:13" ht="25.5" customHeight="1" x14ac:dyDescent="0.2">
      <c r="A82" s="186">
        <v>15</v>
      </c>
      <c r="B82" s="1377"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78"/>
      <c r="D82" s="1378"/>
      <c r="E82" s="1378"/>
      <c r="F82" s="1378"/>
      <c r="G82" s="1378"/>
      <c r="H82" s="1378"/>
      <c r="I82" s="1378"/>
      <c r="J82" s="1378"/>
      <c r="K82" s="1378"/>
      <c r="L82" s="1378"/>
      <c r="M82" s="1278"/>
    </row>
    <row r="83" spans="1:13" ht="4.9000000000000004" customHeight="1" thickBot="1" x14ac:dyDescent="0.25">
      <c r="A83" s="34"/>
      <c r="B83" s="1364"/>
      <c r="C83" s="1365"/>
      <c r="D83" s="1365"/>
      <c r="E83" s="1365"/>
      <c r="F83" s="1365"/>
      <c r="G83" s="1365"/>
      <c r="H83" s="1365"/>
      <c r="I83" s="1365"/>
      <c r="J83" s="1365"/>
      <c r="K83" s="1365"/>
      <c r="L83" s="31"/>
      <c r="M83" s="1255"/>
    </row>
    <row r="84" spans="1:13" ht="89.25" customHeight="1" thickBot="1" x14ac:dyDescent="0.25">
      <c r="A84" s="186">
        <v>16</v>
      </c>
      <c r="B84" s="1359"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60"/>
      <c r="D84" s="1360"/>
      <c r="E84" s="1360"/>
      <c r="F84" s="1360"/>
      <c r="G84" s="1360"/>
      <c r="H84" s="1360"/>
      <c r="I84" s="1360"/>
      <c r="J84" s="1360"/>
      <c r="K84" s="1360"/>
      <c r="L84" s="1361"/>
      <c r="M84" s="1255"/>
    </row>
    <row r="85" spans="1:13" x14ac:dyDescent="0.2">
      <c r="B85" s="1254"/>
      <c r="M85" s="1255"/>
    </row>
    <row r="86" spans="1:13" ht="38.25" customHeight="1" thickBot="1" x14ac:dyDescent="0.25">
      <c r="A86" s="186">
        <v>17</v>
      </c>
      <c r="B86" s="1366"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67"/>
      <c r="D86" s="1367"/>
      <c r="E86" s="1367"/>
      <c r="F86" s="1367"/>
      <c r="G86" s="1367"/>
      <c r="H86" s="1367"/>
      <c r="I86" s="1367"/>
      <c r="J86" s="1367"/>
      <c r="K86" s="1367"/>
      <c r="L86" s="1367"/>
      <c r="M86" s="1255"/>
    </row>
    <row r="87" spans="1:13" x14ac:dyDescent="0.2">
      <c r="B87" s="1254"/>
      <c r="M87" s="1255"/>
    </row>
    <row r="88" spans="1:13" ht="15.75" x14ac:dyDescent="0.2">
      <c r="A88" s="186">
        <v>18</v>
      </c>
      <c r="B88" s="1379" t="str">
        <f>Translations!$B$70</f>
        <v>Čia išvardijamos konkrečios valstybės narės gairės:</v>
      </c>
      <c r="C88" s="1380"/>
      <c r="D88" s="1380"/>
      <c r="E88" s="1380"/>
      <c r="F88" s="1380"/>
      <c r="G88" s="1380"/>
      <c r="H88" s="1380"/>
      <c r="I88" s="1380"/>
      <c r="J88" s="1380"/>
      <c r="K88" s="1380"/>
      <c r="L88" s="1380"/>
      <c r="M88" s="1255"/>
    </row>
    <row r="89" spans="1:13" x14ac:dyDescent="0.2">
      <c r="B89" s="1368" t="s">
        <v>1773</v>
      </c>
      <c r="C89" s="1369"/>
      <c r="D89" s="1369"/>
      <c r="E89" s="1369"/>
      <c r="F89" s="1369"/>
      <c r="G89" s="1369"/>
      <c r="H89" s="1369"/>
      <c r="I89" s="1369"/>
      <c r="J89" s="1369"/>
      <c r="K89" s="1369"/>
      <c r="L89" s="1370"/>
      <c r="M89" s="1255"/>
    </row>
    <row r="90" spans="1:13" x14ac:dyDescent="0.2">
      <c r="B90" s="1371"/>
      <c r="C90" s="1372"/>
      <c r="D90" s="1372"/>
      <c r="E90" s="1372"/>
      <c r="F90" s="1372"/>
      <c r="G90" s="1372"/>
      <c r="H90" s="1372"/>
      <c r="I90" s="1372"/>
      <c r="J90" s="1372"/>
      <c r="K90" s="1372"/>
      <c r="L90" s="1373"/>
      <c r="M90" s="1255"/>
    </row>
    <row r="91" spans="1:13" x14ac:dyDescent="0.2">
      <c r="B91" s="1371"/>
      <c r="C91" s="1372"/>
      <c r="D91" s="1372"/>
      <c r="E91" s="1372"/>
      <c r="F91" s="1372"/>
      <c r="G91" s="1372"/>
      <c r="H91" s="1372"/>
      <c r="I91" s="1372"/>
      <c r="J91" s="1372"/>
      <c r="K91" s="1372"/>
      <c r="L91" s="1373"/>
      <c r="M91" s="1255"/>
    </row>
    <row r="92" spans="1:13" x14ac:dyDescent="0.2">
      <c r="B92" s="1371"/>
      <c r="C92" s="1372"/>
      <c r="D92" s="1372"/>
      <c r="E92" s="1372"/>
      <c r="F92" s="1372"/>
      <c r="G92" s="1372"/>
      <c r="H92" s="1372"/>
      <c r="I92" s="1372"/>
      <c r="J92" s="1372"/>
      <c r="K92" s="1372"/>
      <c r="L92" s="1373"/>
      <c r="M92" s="1255"/>
    </row>
    <row r="93" spans="1:13" x14ac:dyDescent="0.2">
      <c r="B93" s="1371"/>
      <c r="C93" s="1372"/>
      <c r="D93" s="1372"/>
      <c r="E93" s="1372"/>
      <c r="F93" s="1372"/>
      <c r="G93" s="1372"/>
      <c r="H93" s="1372"/>
      <c r="I93" s="1372"/>
      <c r="J93" s="1372"/>
      <c r="K93" s="1372"/>
      <c r="L93" s="1373"/>
      <c r="M93" s="1255"/>
    </row>
    <row r="94" spans="1:13" x14ac:dyDescent="0.2">
      <c r="B94" s="1371"/>
      <c r="C94" s="1372"/>
      <c r="D94" s="1372"/>
      <c r="E94" s="1372"/>
      <c r="F94" s="1372"/>
      <c r="G94" s="1372"/>
      <c r="H94" s="1372"/>
      <c r="I94" s="1372"/>
      <c r="J94" s="1372"/>
      <c r="K94" s="1372"/>
      <c r="L94" s="1373"/>
      <c r="M94" s="1255"/>
    </row>
    <row r="95" spans="1:13" x14ac:dyDescent="0.2">
      <c r="B95" s="1371"/>
      <c r="C95" s="1372"/>
      <c r="D95" s="1372"/>
      <c r="E95" s="1372"/>
      <c r="F95" s="1372"/>
      <c r="G95" s="1372"/>
      <c r="H95" s="1372"/>
      <c r="I95" s="1372"/>
      <c r="J95" s="1372"/>
      <c r="K95" s="1372"/>
      <c r="L95" s="1373"/>
      <c r="M95" s="1255"/>
    </row>
    <row r="96" spans="1:13" x14ac:dyDescent="0.2">
      <c r="B96" s="1371"/>
      <c r="C96" s="1372"/>
      <c r="D96" s="1372"/>
      <c r="E96" s="1372"/>
      <c r="F96" s="1372"/>
      <c r="G96" s="1372"/>
      <c r="H96" s="1372"/>
      <c r="I96" s="1372"/>
      <c r="J96" s="1372"/>
      <c r="K96" s="1372"/>
      <c r="L96" s="1373"/>
      <c r="M96" s="1255"/>
    </row>
    <row r="97" spans="2:13" x14ac:dyDescent="0.2">
      <c r="B97" s="1371"/>
      <c r="C97" s="1372"/>
      <c r="D97" s="1372"/>
      <c r="E97" s="1372"/>
      <c r="F97" s="1372"/>
      <c r="G97" s="1372"/>
      <c r="H97" s="1372"/>
      <c r="I97" s="1372"/>
      <c r="J97" s="1372"/>
      <c r="K97" s="1372"/>
      <c r="L97" s="1373"/>
      <c r="M97" s="1255"/>
    </row>
    <row r="98" spans="2:13" x14ac:dyDescent="0.2">
      <c r="B98" s="1371"/>
      <c r="C98" s="1372"/>
      <c r="D98" s="1372"/>
      <c r="E98" s="1372"/>
      <c r="F98" s="1372"/>
      <c r="G98" s="1372"/>
      <c r="H98" s="1372"/>
      <c r="I98" s="1372"/>
      <c r="J98" s="1372"/>
      <c r="K98" s="1372"/>
      <c r="L98" s="1373"/>
      <c r="M98" s="1255"/>
    </row>
    <row r="99" spans="2:13" x14ac:dyDescent="0.2">
      <c r="B99" s="1371"/>
      <c r="C99" s="1372"/>
      <c r="D99" s="1372"/>
      <c r="E99" s="1372"/>
      <c r="F99" s="1372"/>
      <c r="G99" s="1372"/>
      <c r="H99" s="1372"/>
      <c r="I99" s="1372"/>
      <c r="J99" s="1372"/>
      <c r="K99" s="1372"/>
      <c r="L99" s="1373"/>
      <c r="M99" s="1255"/>
    </row>
    <row r="100" spans="2:13" x14ac:dyDescent="0.2">
      <c r="B100" s="1371"/>
      <c r="C100" s="1372"/>
      <c r="D100" s="1372"/>
      <c r="E100" s="1372"/>
      <c r="F100" s="1372"/>
      <c r="G100" s="1372"/>
      <c r="H100" s="1372"/>
      <c r="I100" s="1372"/>
      <c r="J100" s="1372"/>
      <c r="K100" s="1372"/>
      <c r="L100" s="1373"/>
      <c r="M100" s="1255"/>
    </row>
    <row r="101" spans="2:13" x14ac:dyDescent="0.2">
      <c r="B101" s="1371"/>
      <c r="C101" s="1372"/>
      <c r="D101" s="1372"/>
      <c r="E101" s="1372"/>
      <c r="F101" s="1372"/>
      <c r="G101" s="1372"/>
      <c r="H101" s="1372"/>
      <c r="I101" s="1372"/>
      <c r="J101" s="1372"/>
      <c r="K101" s="1372"/>
      <c r="L101" s="1373"/>
      <c r="M101" s="1255"/>
    </row>
    <row r="102" spans="2:13" x14ac:dyDescent="0.2">
      <c r="B102" s="1371"/>
      <c r="C102" s="1372"/>
      <c r="D102" s="1372"/>
      <c r="E102" s="1372"/>
      <c r="F102" s="1372"/>
      <c r="G102" s="1372"/>
      <c r="H102" s="1372"/>
      <c r="I102" s="1372"/>
      <c r="J102" s="1372"/>
      <c r="K102" s="1372"/>
      <c r="L102" s="1373"/>
      <c r="M102" s="1255"/>
    </row>
    <row r="103" spans="2:13" x14ac:dyDescent="0.2">
      <c r="B103" s="1371"/>
      <c r="C103" s="1372"/>
      <c r="D103" s="1372"/>
      <c r="E103" s="1372"/>
      <c r="F103" s="1372"/>
      <c r="G103" s="1372"/>
      <c r="H103" s="1372"/>
      <c r="I103" s="1372"/>
      <c r="J103" s="1372"/>
      <c r="K103" s="1372"/>
      <c r="L103" s="1373"/>
      <c r="M103" s="1255"/>
    </row>
    <row r="104" spans="2:13" x14ac:dyDescent="0.2">
      <c r="B104" s="1371"/>
      <c r="C104" s="1372"/>
      <c r="D104" s="1372"/>
      <c r="E104" s="1372"/>
      <c r="F104" s="1372"/>
      <c r="G104" s="1372"/>
      <c r="H104" s="1372"/>
      <c r="I104" s="1372"/>
      <c r="J104" s="1372"/>
      <c r="K104" s="1372"/>
      <c r="L104" s="1373"/>
      <c r="M104" s="1255"/>
    </row>
    <row r="105" spans="2:13" x14ac:dyDescent="0.2">
      <c r="B105" s="1371"/>
      <c r="C105" s="1372"/>
      <c r="D105" s="1372"/>
      <c r="E105" s="1372"/>
      <c r="F105" s="1372"/>
      <c r="G105" s="1372"/>
      <c r="H105" s="1372"/>
      <c r="I105" s="1372"/>
      <c r="J105" s="1372"/>
      <c r="K105" s="1372"/>
      <c r="L105" s="1373"/>
      <c r="M105" s="1255"/>
    </row>
    <row r="106" spans="2:13" x14ac:dyDescent="0.2">
      <c r="B106" s="1371"/>
      <c r="C106" s="1372"/>
      <c r="D106" s="1372"/>
      <c r="E106" s="1372"/>
      <c r="F106" s="1372"/>
      <c r="G106" s="1372"/>
      <c r="H106" s="1372"/>
      <c r="I106" s="1372"/>
      <c r="J106" s="1372"/>
      <c r="K106" s="1372"/>
      <c r="L106" s="1373"/>
      <c r="M106" s="1255"/>
    </row>
    <row r="107" spans="2:13" x14ac:dyDescent="0.2">
      <c r="B107" s="1371"/>
      <c r="C107" s="1372"/>
      <c r="D107" s="1372"/>
      <c r="E107" s="1372"/>
      <c r="F107" s="1372"/>
      <c r="G107" s="1372"/>
      <c r="H107" s="1372"/>
      <c r="I107" s="1372"/>
      <c r="J107" s="1372"/>
      <c r="K107" s="1372"/>
      <c r="L107" s="1373"/>
      <c r="M107" s="1255"/>
    </row>
    <row r="108" spans="2:13" x14ac:dyDescent="0.2">
      <c r="B108" s="1371"/>
      <c r="C108" s="1372"/>
      <c r="D108" s="1372"/>
      <c r="E108" s="1372"/>
      <c r="F108" s="1372"/>
      <c r="G108" s="1372"/>
      <c r="H108" s="1372"/>
      <c r="I108" s="1372"/>
      <c r="J108" s="1372"/>
      <c r="K108" s="1372"/>
      <c r="L108" s="1373"/>
      <c r="M108" s="1255"/>
    </row>
    <row r="109" spans="2:13" x14ac:dyDescent="0.2">
      <c r="B109" s="1371"/>
      <c r="C109" s="1372"/>
      <c r="D109" s="1372"/>
      <c r="E109" s="1372"/>
      <c r="F109" s="1372"/>
      <c r="G109" s="1372"/>
      <c r="H109" s="1372"/>
      <c r="I109" s="1372"/>
      <c r="J109" s="1372"/>
      <c r="K109" s="1372"/>
      <c r="L109" s="1373"/>
      <c r="M109" s="1255"/>
    </row>
    <row r="110" spans="2:13" x14ac:dyDescent="0.2">
      <c r="B110" s="1374"/>
      <c r="C110" s="1375"/>
      <c r="D110" s="1375"/>
      <c r="E110" s="1375"/>
      <c r="F110" s="1375"/>
      <c r="G110" s="1375"/>
      <c r="H110" s="1375"/>
      <c r="I110" s="1375"/>
      <c r="J110" s="1375"/>
      <c r="K110" s="1375"/>
      <c r="L110" s="1376"/>
      <c r="M110" s="1270"/>
    </row>
    <row r="113" spans="4:10" s="193" customFormat="1" ht="15" customHeight="1" x14ac:dyDescent="0.2">
      <c r="D113" s="1425" t="str">
        <f>EUconst_MsgNextSheet</f>
        <v xml:space="preserve">&lt;&lt;&lt; Į kitą lapą pereisite paspaudę čia &gt;&gt;&gt; </v>
      </c>
      <c r="E113" s="1425"/>
      <c r="F113" s="1425"/>
      <c r="G113" s="1425"/>
      <c r="H113" s="1425"/>
      <c r="I113" s="1425"/>
      <c r="J113" s="1425"/>
    </row>
  </sheetData>
  <sheetProtection formatCells="0" formatColumns="0" formatRows="0"/>
  <mergeCells count="88">
    <mergeCell ref="B6:L6"/>
    <mergeCell ref="B13:L13"/>
    <mergeCell ref="B20:L20"/>
    <mergeCell ref="B12:L12"/>
    <mergeCell ref="B17:L17"/>
    <mergeCell ref="B14:L14"/>
    <mergeCell ref="B16:L16"/>
    <mergeCell ref="C9:L9"/>
    <mergeCell ref="C8:L8"/>
    <mergeCell ref="B5:J5"/>
    <mergeCell ref="A1:B3"/>
    <mergeCell ref="I3:J3"/>
    <mergeCell ref="K3:L3"/>
    <mergeCell ref="E3:F3"/>
    <mergeCell ref="G3:H3"/>
    <mergeCell ref="C3:D3"/>
    <mergeCell ref="K2:L2"/>
    <mergeCell ref="C1:D1"/>
    <mergeCell ref="I1:J1"/>
    <mergeCell ref="K1:L1"/>
    <mergeCell ref="C2:D2"/>
    <mergeCell ref="E2:F2"/>
    <mergeCell ref="G2:H2"/>
    <mergeCell ref="I2:J2"/>
    <mergeCell ref="E1:F1"/>
    <mergeCell ref="G1:H1"/>
    <mergeCell ref="B21:L21"/>
    <mergeCell ref="C28:L28"/>
    <mergeCell ref="C29:L29"/>
    <mergeCell ref="B24:L24"/>
    <mergeCell ref="D113:J113"/>
    <mergeCell ref="E38:H45"/>
    <mergeCell ref="B36:L36"/>
    <mergeCell ref="B34:L34"/>
    <mergeCell ref="B7:L7"/>
    <mergeCell ref="C10:L10"/>
    <mergeCell ref="C11:L11"/>
    <mergeCell ref="B26:L26"/>
    <mergeCell ref="B27:L27"/>
    <mergeCell ref="B22:L22"/>
    <mergeCell ref="B23:L23"/>
    <mergeCell ref="B33:L33"/>
    <mergeCell ref="B31:L31"/>
    <mergeCell ref="B32:L32"/>
    <mergeCell ref="B25:L25"/>
    <mergeCell ref="B18:L18"/>
    <mergeCell ref="B19:L19"/>
    <mergeCell ref="B58:L58"/>
    <mergeCell ref="B60:L60"/>
    <mergeCell ref="B61:L61"/>
    <mergeCell ref="B63:L63"/>
    <mergeCell ref="B47:L47"/>
    <mergeCell ref="B57:L57"/>
    <mergeCell ref="B48:L48"/>
    <mergeCell ref="B50:L50"/>
    <mergeCell ref="D52:I52"/>
    <mergeCell ref="D55:I55"/>
    <mergeCell ref="D53:I53"/>
    <mergeCell ref="B65:L65"/>
    <mergeCell ref="E76:L76"/>
    <mergeCell ref="B79:L79"/>
    <mergeCell ref="E71:L71"/>
    <mergeCell ref="C73:D73"/>
    <mergeCell ref="E73:L73"/>
    <mergeCell ref="C74:D74"/>
    <mergeCell ref="B67:L67"/>
    <mergeCell ref="B68:L68"/>
    <mergeCell ref="B66:L66"/>
    <mergeCell ref="B80:L80"/>
    <mergeCell ref="C76:D76"/>
    <mergeCell ref="C77:D77"/>
    <mergeCell ref="E77:L77"/>
    <mergeCell ref="B69:L69"/>
    <mergeCell ref="C72:D72"/>
    <mergeCell ref="E72:L72"/>
    <mergeCell ref="C75:D75"/>
    <mergeCell ref="E75:L75"/>
    <mergeCell ref="C70:D70"/>
    <mergeCell ref="E70:L70"/>
    <mergeCell ref="C71:D71"/>
    <mergeCell ref="E74:L74"/>
    <mergeCell ref="B84:L84"/>
    <mergeCell ref="B81:L81"/>
    <mergeCell ref="B83:K83"/>
    <mergeCell ref="B86:L86"/>
    <mergeCell ref="B89:L110"/>
    <mergeCell ref="B82:L82"/>
    <mergeCell ref="B88:L88"/>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sheetPr>
  <dimension ref="A1:Q135"/>
  <sheetViews>
    <sheetView topLeftCell="B1" zoomScaleNormal="100" workbookViewId="0">
      <pane ySplit="4" topLeftCell="A128" activePane="bottomLeft" state="frozen"/>
      <selection activeCell="B2" sqref="B2"/>
      <selection pane="bottomLeft" activeCell="I105" sqref="I105:N105"/>
    </sheetView>
  </sheetViews>
  <sheetFormatPr defaultColWidth="11.42578125" defaultRowHeight="12.75" x14ac:dyDescent="0.2"/>
  <cols>
    <col min="1" max="1" width="2.7109375" style="197" hidden="1" customWidth="1"/>
    <col min="2" max="2" width="5.7109375" style="196" customWidth="1"/>
    <col min="3" max="3" width="5.7109375" style="712" customWidth="1"/>
    <col min="4" max="4" width="5.7109375" style="715" customWidth="1"/>
    <col min="5" max="14" width="12.7109375" style="196" customWidth="1"/>
    <col min="15" max="15" width="7.7109375" style="196" customWidth="1"/>
    <col min="16" max="16" width="9.140625" style="196" customWidth="1"/>
    <col min="17" max="17" width="11.42578125" style="1050" hidden="1" customWidth="1"/>
    <col min="18" max="16384" width="11.42578125" style="196"/>
  </cols>
  <sheetData>
    <row r="1" spans="1:17" ht="13.5" hidden="1" thickBot="1" x14ac:dyDescent="0.25">
      <c r="A1" s="734" t="s">
        <v>85</v>
      </c>
      <c r="B1" s="735"/>
      <c r="C1" s="736"/>
      <c r="D1" s="737"/>
      <c r="E1" s="735"/>
      <c r="F1" s="735"/>
      <c r="G1" s="738"/>
      <c r="H1" s="738"/>
      <c r="I1" s="735"/>
      <c r="J1" s="735"/>
      <c r="K1" s="735"/>
      <c r="L1" s="735"/>
      <c r="M1" s="735"/>
      <c r="N1" s="735"/>
      <c r="O1" s="739"/>
      <c r="Q1" s="1049" t="s">
        <v>85</v>
      </c>
    </row>
    <row r="2" spans="1:17" ht="24.95" customHeight="1" thickBot="1" x14ac:dyDescent="0.25">
      <c r="A2" s="740"/>
      <c r="B2" s="1476" t="str">
        <f>Translations!$B$532</f>
        <v>A.
OperatorInst ID (Veiklos vykd. / įreng. tapatybė)</v>
      </c>
      <c r="C2" s="1477"/>
      <c r="D2" s="1478"/>
      <c r="E2" s="1488" t="str">
        <f>Translations!$B$23</f>
        <v>Naršymo laukas</v>
      </c>
      <c r="F2" s="1444"/>
      <c r="G2" s="1426" t="str">
        <f>Translations!$B$24</f>
        <v>Turinys</v>
      </c>
      <c r="H2" s="1427"/>
      <c r="I2" s="1426" t="str">
        <f>Translations!$B$25</f>
        <v>Ankstesnis lapas</v>
      </c>
      <c r="J2" s="1427"/>
      <c r="K2" s="1426" t="str">
        <f>Translations!$B$26</f>
        <v>Kitas lapas</v>
      </c>
      <c r="L2" s="1427"/>
      <c r="M2" s="1426"/>
      <c r="N2" s="1427"/>
      <c r="O2" s="1015"/>
    </row>
    <row r="3" spans="1:17" ht="24.95" customHeight="1" x14ac:dyDescent="0.2">
      <c r="A3" s="740"/>
      <c r="B3" s="1479"/>
      <c r="C3" s="1480"/>
      <c r="D3" s="1481"/>
      <c r="E3" s="1448" t="str">
        <f>Translations!$B$27</f>
        <v>Lapo viršus</v>
      </c>
      <c r="F3" s="1449"/>
      <c r="G3" s="1450" t="str">
        <f>Translations!$B$492</f>
        <v>Ataskaitiniai metai</v>
      </c>
      <c r="H3" s="1449"/>
      <c r="I3" s="1450" t="str">
        <f>Translations!$B$74</f>
        <v>Veiklos vykdytojas</v>
      </c>
      <c r="J3" s="1449"/>
      <c r="K3" s="1450" t="str">
        <f>Translations!$B$75</f>
        <v>Įrenginys</v>
      </c>
      <c r="L3" s="1451"/>
      <c r="M3" s="1431"/>
      <c r="N3" s="1431"/>
      <c r="O3" s="725"/>
    </row>
    <row r="4" spans="1:17" ht="24.95" customHeight="1" x14ac:dyDescent="0.2">
      <c r="A4" s="740"/>
      <c r="B4" s="1479"/>
      <c r="C4" s="1480"/>
      <c r="D4" s="1481"/>
      <c r="E4" s="1455" t="str">
        <f>Translations!$B$28</f>
        <v>Lapo galas</v>
      </c>
      <c r="F4" s="1442"/>
      <c r="G4" s="1453" t="str">
        <f>Translations!$B$6</f>
        <v xml:space="preserve">Kontaktiniai duomenys </v>
      </c>
      <c r="H4" s="1442"/>
      <c r="I4" s="1453" t="str">
        <f>Translations!$B$533</f>
        <v>Išsami informacija apie vertintoją</v>
      </c>
      <c r="J4" s="1442"/>
      <c r="K4" s="1453"/>
      <c r="L4" s="1482"/>
      <c r="M4" s="1439"/>
      <c r="N4" s="1439"/>
      <c r="O4" s="725"/>
    </row>
    <row r="5" spans="1:17" ht="12.75" customHeight="1" x14ac:dyDescent="0.2">
      <c r="A5" s="741"/>
      <c r="B5" s="1271"/>
      <c r="C5" s="1272"/>
      <c r="D5" s="1273"/>
      <c r="E5" s="1274"/>
      <c r="F5" s="1274"/>
      <c r="G5" s="1274"/>
      <c r="H5" s="1274"/>
      <c r="I5" s="1274"/>
      <c r="J5" s="1274"/>
      <c r="K5" s="1274"/>
      <c r="L5" s="1274"/>
      <c r="M5" s="1274"/>
      <c r="N5" s="1274"/>
      <c r="O5" s="1275"/>
    </row>
    <row r="6" spans="1:17" s="28" customFormat="1" ht="25.5" customHeight="1" x14ac:dyDescent="0.2">
      <c r="A6" s="742"/>
      <c r="B6" s="1248"/>
      <c r="C6" s="1492" t="str">
        <f>Translations!$B$534</f>
        <v>A. Veiklos vykdytojo, įrenginio ir vertintojo tapatybės duomenys</v>
      </c>
      <c r="D6" s="1492"/>
      <c r="E6" s="1492"/>
      <c r="F6" s="1492"/>
      <c r="G6" s="1492"/>
      <c r="H6" s="1492"/>
      <c r="I6" s="1492"/>
      <c r="J6" s="1492"/>
      <c r="K6" s="1492"/>
      <c r="L6" s="1492"/>
      <c r="M6" s="1492"/>
      <c r="N6" s="1492"/>
      <c r="O6" s="1249"/>
      <c r="Q6" s="1051"/>
    </row>
    <row r="7" spans="1:17" s="28" customFormat="1" ht="12.75" customHeight="1" x14ac:dyDescent="0.2">
      <c r="A7" s="742"/>
      <c r="B7" s="1248"/>
      <c r="C7" s="744"/>
      <c r="D7" s="743"/>
      <c r="E7" s="743"/>
      <c r="F7" s="743"/>
      <c r="G7" s="743"/>
      <c r="H7" s="743"/>
      <c r="I7" s="743"/>
      <c r="J7" s="743"/>
      <c r="K7" s="743"/>
      <c r="L7" s="743"/>
      <c r="M7" s="743"/>
      <c r="N7" s="743"/>
      <c r="O7" s="1249"/>
      <c r="Q7" s="1051"/>
    </row>
    <row r="8" spans="1:17" s="1" customFormat="1" ht="5.0999999999999996" customHeight="1" x14ac:dyDescent="0.2">
      <c r="A8" s="741"/>
      <c r="B8" s="1250"/>
      <c r="C8" s="706"/>
      <c r="D8" s="401"/>
      <c r="E8" s="401"/>
      <c r="F8" s="401"/>
      <c r="G8" s="401"/>
      <c r="H8" s="401"/>
      <c r="I8" s="401"/>
      <c r="J8" s="401"/>
      <c r="K8" s="401"/>
      <c r="L8" s="401"/>
      <c r="M8" s="401"/>
      <c r="N8" s="401"/>
      <c r="O8" s="1251"/>
      <c r="Q8" s="1047"/>
    </row>
    <row r="9" spans="1:17" s="28" customFormat="1" ht="25.5" customHeight="1" x14ac:dyDescent="0.2">
      <c r="A9" s="742"/>
      <c r="B9" s="1248"/>
      <c r="C9" s="707">
        <v>1</v>
      </c>
      <c r="D9" s="1490" t="str">
        <f>Translations!$B$492</f>
        <v>Ataskaitiniai metai</v>
      </c>
      <c r="E9" s="1490"/>
      <c r="F9" s="1490"/>
      <c r="G9" s="1490"/>
      <c r="H9" s="1490"/>
      <c r="I9" s="400"/>
      <c r="J9" s="1489">
        <v>2019</v>
      </c>
      <c r="K9" s="1489"/>
      <c r="L9" s="400"/>
      <c r="M9" s="400"/>
      <c r="N9" s="400"/>
      <c r="O9" s="1276"/>
      <c r="Q9" s="1051"/>
    </row>
    <row r="10" spans="1:17" s="1" customFormat="1" ht="5.0999999999999996" customHeight="1" x14ac:dyDescent="0.2">
      <c r="A10" s="741"/>
      <c r="B10" s="1250"/>
      <c r="C10" s="706"/>
      <c r="D10" s="401"/>
      <c r="E10" s="401"/>
      <c r="F10" s="401"/>
      <c r="G10" s="401"/>
      <c r="H10" s="401"/>
      <c r="I10" s="401"/>
      <c r="J10" s="401"/>
      <c r="K10" s="401"/>
      <c r="L10" s="401"/>
      <c r="M10" s="401"/>
      <c r="N10" s="401"/>
      <c r="O10" s="1251"/>
      <c r="Q10" s="1047"/>
    </row>
    <row r="11" spans="1:17" ht="12.75" customHeight="1" x14ac:dyDescent="0.2">
      <c r="A11" s="741"/>
      <c r="B11" s="1277"/>
      <c r="O11" s="1255"/>
    </row>
    <row r="12" spans="1:17" ht="25.5" customHeight="1" x14ac:dyDescent="0.2">
      <c r="A12" s="741"/>
      <c r="B12" s="1254"/>
      <c r="C12" s="716"/>
      <c r="D12" s="1483"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83"/>
      <c r="F12" s="1483"/>
      <c r="G12" s="1483"/>
      <c r="H12" s="1483"/>
      <c r="I12" s="1483"/>
      <c r="J12" s="1483"/>
      <c r="K12" s="1483"/>
      <c r="L12" s="1483"/>
      <c r="M12" s="1483"/>
      <c r="N12" s="1484"/>
      <c r="O12" s="1278"/>
    </row>
    <row r="13" spans="1:17" ht="12.75" customHeight="1" x14ac:dyDescent="0.2">
      <c r="A13" s="741"/>
      <c r="B13" s="1254"/>
      <c r="C13" s="716"/>
      <c r="D13" s="1483" t="str">
        <f>Translations!$B$536</f>
        <v>Paprastai neužteks pranešti apie tokius pakeitimus šiame lape. Tačiau čia turi būti pateikti naujausi duomenys.</v>
      </c>
      <c r="E13" s="1483"/>
      <c r="F13" s="1483"/>
      <c r="G13" s="1483"/>
      <c r="H13" s="1483"/>
      <c r="I13" s="1483"/>
      <c r="J13" s="1483"/>
      <c r="K13" s="1483"/>
      <c r="L13" s="1483"/>
      <c r="M13" s="1483"/>
      <c r="N13" s="1484"/>
      <c r="O13" s="1255"/>
    </row>
    <row r="14" spans="1:17" ht="25.5" customHeight="1" x14ac:dyDescent="0.2">
      <c r="A14" s="741"/>
      <c r="B14" s="1254"/>
      <c r="C14" s="716"/>
      <c r="D14" s="1485" t="str">
        <f>Translations!$B$537</f>
        <v>Apie atsakingų asmenų, įmonės pavadinimo ir kitų kontaktinių duomenų pasikeitimą pranešti Aplinkos apsaugos agentūrai, Klimato kaitos skyriui</v>
      </c>
      <c r="E14" s="1486"/>
      <c r="F14" s="1486"/>
      <c r="G14" s="1486"/>
      <c r="H14" s="1486"/>
      <c r="I14" s="1486"/>
      <c r="J14" s="1486"/>
      <c r="K14" s="1486"/>
      <c r="L14" s="1486"/>
      <c r="M14" s="1486"/>
      <c r="N14" s="1487"/>
      <c r="O14" s="1255"/>
    </row>
    <row r="15" spans="1:17" ht="12.75" customHeight="1" x14ac:dyDescent="0.2">
      <c r="A15" s="741"/>
      <c r="B15" s="1254"/>
      <c r="C15" s="716"/>
      <c r="D15" s="1042"/>
      <c r="E15" s="1042"/>
      <c r="F15" s="1042"/>
      <c r="G15" s="1042"/>
      <c r="H15" s="1042"/>
      <c r="I15" s="1042"/>
      <c r="J15" s="1042"/>
      <c r="K15" s="1042"/>
      <c r="L15" s="1042"/>
      <c r="M15" s="1042"/>
      <c r="N15" s="1042"/>
      <c r="O15" s="1255"/>
    </row>
    <row r="16" spans="1:17" ht="15.75" x14ac:dyDescent="0.25">
      <c r="A16" s="741"/>
      <c r="B16" s="1254"/>
      <c r="C16" s="708">
        <v>2</v>
      </c>
      <c r="D16" s="1491" t="str">
        <f>Translations!$B$5</f>
        <v>Apie veiklos vykdytoją</v>
      </c>
      <c r="E16" s="1491"/>
      <c r="F16" s="1491"/>
      <c r="G16" s="1491"/>
      <c r="H16" s="1491"/>
      <c r="I16" s="1491"/>
      <c r="J16" s="1491"/>
      <c r="K16" s="1491"/>
      <c r="L16" s="1491"/>
      <c r="M16" s="1491"/>
      <c r="N16" s="1491"/>
      <c r="O16" s="1255"/>
    </row>
    <row r="17" spans="1:17" x14ac:dyDescent="0.2">
      <c r="A17" s="741"/>
      <c r="B17" s="1254"/>
      <c r="C17" s="716"/>
      <c r="D17" s="745"/>
      <c r="E17" s="200"/>
      <c r="F17" s="200"/>
      <c r="G17" s="200"/>
      <c r="H17" s="200"/>
      <c r="I17" s="200"/>
      <c r="J17" s="200"/>
      <c r="K17" s="200"/>
      <c r="L17" s="200"/>
      <c r="M17" s="200"/>
      <c r="N17" s="200"/>
      <c r="O17" s="1255"/>
    </row>
    <row r="18" spans="1:17" ht="12.75" customHeight="1" x14ac:dyDescent="0.2">
      <c r="A18" s="741"/>
      <c r="B18" s="1254"/>
      <c r="C18" s="716"/>
      <c r="D18" s="178" t="s">
        <v>1</v>
      </c>
      <c r="E18" s="1462" t="str">
        <f>Translations!$B$538</f>
        <v>Kompetentinga institucija ataskaitų teikimo klausimams</v>
      </c>
      <c r="F18" s="1462"/>
      <c r="G18" s="1462"/>
      <c r="H18" s="1463"/>
      <c r="I18" s="1464" t="s">
        <v>1779</v>
      </c>
      <c r="J18" s="1464"/>
      <c r="K18" s="1464"/>
      <c r="L18" s="1464"/>
      <c r="M18" s="1464"/>
      <c r="N18" s="1464"/>
      <c r="O18" s="1255"/>
    </row>
    <row r="19" spans="1:17" ht="4.9000000000000004" customHeight="1" x14ac:dyDescent="0.2">
      <c r="A19" s="741"/>
      <c r="B19" s="1254"/>
      <c r="C19" s="716"/>
      <c r="D19" s="178"/>
      <c r="E19" s="261"/>
      <c r="F19" s="261"/>
      <c r="G19" s="261"/>
      <c r="H19" s="200"/>
      <c r="I19" s="200"/>
      <c r="J19" s="200"/>
      <c r="K19" s="200"/>
      <c r="L19" s="200"/>
      <c r="M19" s="199"/>
      <c r="N19" s="198"/>
      <c r="O19" s="1279"/>
    </row>
    <row r="20" spans="1:17" x14ac:dyDescent="0.2">
      <c r="A20" s="741"/>
      <c r="B20" s="1254"/>
      <c r="C20" s="716"/>
      <c r="D20" s="178" t="s">
        <v>2</v>
      </c>
      <c r="E20" s="1462" t="str">
        <f>Translations!$B$76</f>
        <v>Valstybė narė</v>
      </c>
      <c r="F20" s="1462"/>
      <c r="G20" s="1462"/>
      <c r="H20" s="1463"/>
      <c r="I20" s="1464" t="s">
        <v>1252</v>
      </c>
      <c r="J20" s="1464"/>
      <c r="K20" s="1464"/>
      <c r="L20" s="1464"/>
      <c r="M20" s="1464"/>
      <c r="N20" s="1464"/>
      <c r="O20" s="1279"/>
    </row>
    <row r="21" spans="1:17" ht="4.9000000000000004" customHeight="1" x14ac:dyDescent="0.2">
      <c r="A21" s="741"/>
      <c r="B21" s="1254"/>
      <c r="C21" s="716"/>
      <c r="D21" s="178"/>
      <c r="E21" s="261"/>
      <c r="F21" s="261"/>
      <c r="G21" s="261"/>
      <c r="H21" s="200"/>
      <c r="I21" s="200"/>
      <c r="J21" s="200"/>
      <c r="K21" s="200"/>
      <c r="L21" s="200"/>
      <c r="M21" s="199"/>
      <c r="N21" s="198"/>
      <c r="O21" s="1279"/>
    </row>
    <row r="22" spans="1:17" ht="12.75" customHeight="1" x14ac:dyDescent="0.2">
      <c r="A22" s="741"/>
      <c r="B22" s="1254"/>
      <c r="C22" s="716"/>
      <c r="D22" s="498" t="s">
        <v>44</v>
      </c>
      <c r="E22" s="1462" t="str">
        <f>Translations!$B$77</f>
        <v>TIPK ar Taršos leidimo numeris</v>
      </c>
      <c r="F22" s="1462"/>
      <c r="G22" s="1462"/>
      <c r="H22" s="1462"/>
      <c r="I22" s="1474" t="str">
        <f>Translations!$B$78</f>
        <v>LT / AAA</v>
      </c>
      <c r="J22" s="1475"/>
      <c r="K22" s="1512" t="s">
        <v>1785</v>
      </c>
      <c r="L22" s="1513"/>
      <c r="M22" s="1513"/>
      <c r="N22" s="1514"/>
      <c r="O22" s="1255"/>
    </row>
    <row r="23" spans="1:17" ht="5.0999999999999996" customHeight="1" x14ac:dyDescent="0.2">
      <c r="A23" s="741"/>
      <c r="B23" s="1254"/>
      <c r="C23" s="716"/>
      <c r="D23" s="178"/>
      <c r="E23" s="178"/>
      <c r="F23" s="178"/>
      <c r="G23" s="178"/>
      <c r="H23" s="178"/>
      <c r="I23" s="178"/>
      <c r="J23" s="178"/>
      <c r="K23" s="178"/>
      <c r="L23" s="178"/>
      <c r="M23" s="178"/>
      <c r="N23" s="178"/>
      <c r="O23" s="1255"/>
    </row>
    <row r="24" spans="1:17" s="7" customFormat="1" ht="12.75" customHeight="1" x14ac:dyDescent="0.2">
      <c r="A24" s="746"/>
      <c r="B24" s="1254"/>
      <c r="C24" s="710"/>
      <c r="D24" s="178" t="s">
        <v>3</v>
      </c>
      <c r="E24" s="1395" t="str">
        <f>Translations!$B$539</f>
        <v>Veiklos vykdytojo duomenys:</v>
      </c>
      <c r="F24" s="1395"/>
      <c r="G24" s="1395"/>
      <c r="H24" s="1395"/>
      <c r="I24" s="1395"/>
      <c r="J24" s="1395"/>
      <c r="K24" s="1395"/>
      <c r="L24" s="1395"/>
      <c r="M24" s="1395"/>
      <c r="N24" s="1395"/>
      <c r="O24" s="1255"/>
      <c r="Q24" s="1049"/>
    </row>
    <row r="25" spans="1:17" s="7" customFormat="1" ht="25.5" customHeight="1" x14ac:dyDescent="0.2">
      <c r="A25" s="746"/>
      <c r="B25" s="1254"/>
      <c r="C25" s="710"/>
      <c r="D25" s="753"/>
      <c r="E25" s="1454"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54"/>
      <c r="G25" s="1454"/>
      <c r="H25" s="1454"/>
      <c r="I25" s="1454"/>
      <c r="J25" s="1454"/>
      <c r="K25" s="1454"/>
      <c r="L25" s="1454"/>
      <c r="M25" s="1454"/>
      <c r="N25" s="1454"/>
      <c r="O25" s="1255"/>
      <c r="Q25" s="1049"/>
    </row>
    <row r="26" spans="1:17" s="7" customFormat="1" ht="12.75" customHeight="1" x14ac:dyDescent="0.2">
      <c r="A26" s="746"/>
      <c r="B26" s="1254"/>
      <c r="C26" s="710"/>
      <c r="D26" s="606" t="s">
        <v>4</v>
      </c>
      <c r="E26" s="1505" t="str">
        <f>Translations!$B$541</f>
        <v>Veiklos vykdytojo pavadinimas:</v>
      </c>
      <c r="F26" s="1505"/>
      <c r="G26" s="1505"/>
      <c r="H26" s="1506"/>
      <c r="I26" s="1499" t="s">
        <v>1786</v>
      </c>
      <c r="J26" s="1500"/>
      <c r="K26" s="1500"/>
      <c r="L26" s="1500"/>
      <c r="M26" s="1500"/>
      <c r="N26" s="1501"/>
      <c r="O26" s="1255"/>
      <c r="Q26" s="1049"/>
    </row>
    <row r="27" spans="1:17" s="7" customFormat="1" ht="12.75" customHeight="1" x14ac:dyDescent="0.2">
      <c r="A27" s="746"/>
      <c r="B27" s="1254"/>
      <c r="C27" s="710"/>
      <c r="D27" s="606" t="s">
        <v>5</v>
      </c>
      <c r="E27" s="1505" t="str">
        <f>Translations!$B$542</f>
        <v>Gatvė, numeris:</v>
      </c>
      <c r="F27" s="1505"/>
      <c r="G27" s="1505"/>
      <c r="H27" s="1506"/>
      <c r="I27" s="1502" t="s">
        <v>1787</v>
      </c>
      <c r="J27" s="1503"/>
      <c r="K27" s="1503"/>
      <c r="L27" s="1503"/>
      <c r="M27" s="1503"/>
      <c r="N27" s="1504"/>
      <c r="O27" s="1255"/>
      <c r="Q27" s="1049"/>
    </row>
    <row r="28" spans="1:17" s="7" customFormat="1" x14ac:dyDescent="0.2">
      <c r="A28" s="746"/>
      <c r="B28" s="1254"/>
      <c r="C28" s="710"/>
      <c r="D28" s="606" t="s">
        <v>194</v>
      </c>
      <c r="E28" s="1505" t="str">
        <f>Translations!$B$543</f>
        <v>Pašto kodas:</v>
      </c>
      <c r="F28" s="1505"/>
      <c r="G28" s="1505"/>
      <c r="H28" s="1506"/>
      <c r="I28" s="1456" t="s">
        <v>1788</v>
      </c>
      <c r="J28" s="1457"/>
      <c r="K28" s="1457"/>
      <c r="L28" s="1457"/>
      <c r="M28" s="1457"/>
      <c r="N28" s="1458"/>
      <c r="O28" s="1255"/>
      <c r="Q28" s="1049"/>
    </row>
    <row r="29" spans="1:17" s="7" customFormat="1" x14ac:dyDescent="0.2">
      <c r="A29" s="746"/>
      <c r="B29" s="1254"/>
      <c r="C29" s="710"/>
      <c r="D29" s="606" t="s">
        <v>195</v>
      </c>
      <c r="E29" s="1505" t="str">
        <f>Translations!$B$86</f>
        <v>Miestas:</v>
      </c>
      <c r="F29" s="1505"/>
      <c r="G29" s="1505"/>
      <c r="H29" s="1506"/>
      <c r="I29" s="1496" t="s">
        <v>1789</v>
      </c>
      <c r="J29" s="1497"/>
      <c r="K29" s="1497"/>
      <c r="L29" s="1497"/>
      <c r="M29" s="1497"/>
      <c r="N29" s="1498"/>
      <c r="O29" s="1255"/>
      <c r="Q29" s="1049"/>
    </row>
    <row r="30" spans="1:17" s="7" customFormat="1" x14ac:dyDescent="0.2">
      <c r="A30" s="746"/>
      <c r="B30" s="1254"/>
      <c r="C30" s="710"/>
      <c r="D30" s="606" t="s">
        <v>196</v>
      </c>
      <c r="E30" s="1505" t="str">
        <f>Translations!$B$88</f>
        <v>Šalis</v>
      </c>
      <c r="F30" s="1505"/>
      <c r="G30" s="1505"/>
      <c r="H30" s="1506"/>
      <c r="I30" s="1496" t="s">
        <v>1252</v>
      </c>
      <c r="J30" s="1497"/>
      <c r="K30" s="1497"/>
      <c r="L30" s="1497"/>
      <c r="M30" s="1497"/>
      <c r="N30" s="1498"/>
      <c r="O30" s="1255"/>
      <c r="Q30" s="1049"/>
    </row>
    <row r="31" spans="1:17" s="7" customFormat="1" ht="12.75" customHeight="1" x14ac:dyDescent="0.2">
      <c r="A31" s="746"/>
      <c r="B31" s="1254"/>
      <c r="C31" s="710"/>
      <c r="D31" s="606" t="s">
        <v>197</v>
      </c>
      <c r="E31" s="1505" t="str">
        <f>Translations!$B$544</f>
        <v>Įgaliotojo atstovo pavadinimas (vardas, pavardė):</v>
      </c>
      <c r="F31" s="1505"/>
      <c r="G31" s="1505"/>
      <c r="H31" s="1506"/>
      <c r="I31" s="1459"/>
      <c r="J31" s="1460"/>
      <c r="K31" s="1460"/>
      <c r="L31" s="1460"/>
      <c r="M31" s="1460"/>
      <c r="N31" s="1461"/>
      <c r="O31" s="1255"/>
      <c r="Q31" s="1049"/>
    </row>
    <row r="32" spans="1:17" s="7" customFormat="1" x14ac:dyDescent="0.2">
      <c r="A32" s="746"/>
      <c r="B32" s="1254"/>
      <c r="C32" s="710"/>
      <c r="D32" s="606" t="s">
        <v>198</v>
      </c>
      <c r="E32" s="1505" t="str">
        <f>Translations!$B$545</f>
        <v>El. paštas:</v>
      </c>
      <c r="F32" s="1505"/>
      <c r="G32" s="1505"/>
      <c r="H32" s="1506"/>
      <c r="I32" s="1459"/>
      <c r="J32" s="1460"/>
      <c r="K32" s="1460"/>
      <c r="L32" s="1460"/>
      <c r="M32" s="1460"/>
      <c r="N32" s="1461"/>
      <c r="O32" s="1255"/>
      <c r="Q32" s="1049"/>
    </row>
    <row r="33" spans="1:17" s="7" customFormat="1" x14ac:dyDescent="0.2">
      <c r="A33" s="746"/>
      <c r="B33" s="1254"/>
      <c r="C33" s="710"/>
      <c r="D33" s="606" t="s">
        <v>324</v>
      </c>
      <c r="E33" s="1505" t="str">
        <f>Translations!$B$546</f>
        <v>Telefonas:</v>
      </c>
      <c r="F33" s="1505"/>
      <c r="G33" s="1505"/>
      <c r="H33" s="1506"/>
      <c r="I33" s="1471"/>
      <c r="J33" s="1472"/>
      <c r="K33" s="1472"/>
      <c r="L33" s="1472"/>
      <c r="M33" s="1472"/>
      <c r="N33" s="1473"/>
      <c r="O33" s="1255"/>
      <c r="Q33" s="1049"/>
    </row>
    <row r="34" spans="1:17" s="7" customFormat="1" x14ac:dyDescent="0.2">
      <c r="A34" s="746"/>
      <c r="B34" s="1254"/>
      <c r="C34" s="710"/>
      <c r="D34" s="606" t="s">
        <v>325</v>
      </c>
      <c r="E34" s="1462" t="str">
        <f>Translations!$B$547</f>
        <v>Faksas:</v>
      </c>
      <c r="F34" s="1462"/>
      <c r="G34" s="1462"/>
      <c r="H34" s="1463"/>
      <c r="I34" s="1465"/>
      <c r="J34" s="1465"/>
      <c r="K34" s="1465"/>
      <c r="L34" s="1465"/>
      <c r="M34" s="1465"/>
      <c r="N34" s="1465"/>
      <c r="O34" s="1255"/>
      <c r="Q34" s="1049"/>
    </row>
    <row r="35" spans="1:17" s="7" customFormat="1" ht="12.75" customHeight="1" x14ac:dyDescent="0.2">
      <c r="A35" s="746"/>
      <c r="B35" s="1280"/>
      <c r="C35" s="716"/>
      <c r="D35" s="164"/>
      <c r="E35" s="5"/>
      <c r="F35" s="5"/>
      <c r="G35" s="5"/>
      <c r="H35" s="5"/>
      <c r="I35" s="5"/>
      <c r="J35" s="5"/>
      <c r="K35" s="5"/>
      <c r="L35" s="5"/>
      <c r="M35" s="335"/>
      <c r="N35" s="335"/>
      <c r="O35" s="1281"/>
      <c r="Q35" s="1049"/>
    </row>
    <row r="36" spans="1:17" ht="5.0999999999999996" customHeight="1" x14ac:dyDescent="0.2">
      <c r="A36" s="741"/>
      <c r="B36" s="1254"/>
      <c r="C36" s="716"/>
      <c r="D36" s="745"/>
      <c r="E36" s="200"/>
      <c r="F36" s="200"/>
      <c r="G36" s="200"/>
      <c r="H36" s="200"/>
      <c r="I36" s="200"/>
      <c r="J36" s="200"/>
      <c r="K36" s="200"/>
      <c r="L36" s="200"/>
      <c r="M36" s="200"/>
      <c r="N36" s="200"/>
      <c r="O36" s="1255"/>
    </row>
    <row r="37" spans="1:17" ht="15.75" x14ac:dyDescent="0.25">
      <c r="A37" s="741"/>
      <c r="B37" s="1254"/>
      <c r="C37" s="713">
        <v>3</v>
      </c>
      <c r="D37" s="1491" t="str">
        <f>Translations!$B$548</f>
        <v>Informacija apie Jūsų įrenginį ir stebėsenos planą</v>
      </c>
      <c r="E37" s="1491"/>
      <c r="F37" s="1491"/>
      <c r="G37" s="1491"/>
      <c r="H37" s="1491"/>
      <c r="I37" s="1491"/>
      <c r="J37" s="1491"/>
      <c r="K37" s="1491"/>
      <c r="L37" s="1491"/>
      <c r="M37" s="1491"/>
      <c r="N37" s="1491"/>
      <c r="O37" s="1255"/>
    </row>
    <row r="38" spans="1:17" x14ac:dyDescent="0.2">
      <c r="A38" s="741"/>
      <c r="B38" s="1254"/>
      <c r="C38" s="716"/>
      <c r="D38" s="745"/>
      <c r="E38" s="200"/>
      <c r="F38" s="200"/>
      <c r="G38" s="200"/>
      <c r="H38" s="200"/>
      <c r="I38" s="200"/>
      <c r="J38" s="200"/>
      <c r="K38" s="200"/>
      <c r="L38" s="200"/>
      <c r="M38" s="200"/>
      <c r="N38" s="200"/>
      <c r="O38" s="1255"/>
    </row>
    <row r="39" spans="1:17" x14ac:dyDescent="0.2">
      <c r="A39" s="741"/>
      <c r="B39" s="1254"/>
      <c r="C39" s="716"/>
      <c r="D39" s="755"/>
      <c r="E39" s="1485" t="str">
        <f>Translations!$B$82</f>
        <v>Čia pateikite konkrečias valstybės narės gaires dėl įrenginių pavadinimų.</v>
      </c>
      <c r="F39" s="1486"/>
      <c r="G39" s="1486"/>
      <c r="H39" s="1486"/>
      <c r="I39" s="1486"/>
      <c r="J39" s="1486"/>
      <c r="K39" s="1486"/>
      <c r="L39" s="1486"/>
      <c r="M39" s="1486"/>
      <c r="N39" s="1486"/>
      <c r="O39" s="1255"/>
    </row>
    <row r="40" spans="1:17" ht="5.0999999999999996" customHeight="1" x14ac:dyDescent="0.2">
      <c r="A40" s="741"/>
      <c r="B40" s="1254"/>
      <c r="C40" s="716"/>
      <c r="D40" s="755"/>
      <c r="E40" s="200"/>
      <c r="F40" s="200"/>
      <c r="G40" s="200"/>
      <c r="H40" s="200"/>
      <c r="I40" s="200"/>
      <c r="J40" s="200"/>
      <c r="K40" s="200"/>
      <c r="L40" s="200"/>
      <c r="M40" s="200"/>
      <c r="N40" s="200"/>
      <c r="O40" s="1255"/>
    </row>
    <row r="41" spans="1:17" ht="15.75" x14ac:dyDescent="0.2">
      <c r="A41" s="747"/>
      <c r="B41" s="1254"/>
      <c r="C41" s="748"/>
      <c r="D41" s="178" t="s">
        <v>1</v>
      </c>
      <c r="E41" s="207" t="str">
        <f>Translations!$B$80</f>
        <v>Įrenginio pavadinimas ir jo teritorijos pavadinimas</v>
      </c>
      <c r="F41" s="749"/>
      <c r="G41" s="749"/>
      <c r="H41" s="749"/>
      <c r="I41" s="164"/>
      <c r="J41" s="750"/>
      <c r="K41" s="164"/>
      <c r="L41" s="164"/>
      <c r="M41" s="164"/>
      <c r="N41" s="164"/>
      <c r="O41" s="1255"/>
    </row>
    <row r="42" spans="1:17" ht="4.9000000000000004" customHeight="1" x14ac:dyDescent="0.2">
      <c r="A42" s="741"/>
      <c r="B42" s="1254"/>
      <c r="C42" s="716"/>
      <c r="D42" s="755"/>
      <c r="E42" s="751"/>
      <c r="F42" s="751"/>
      <c r="G42" s="751"/>
      <c r="H42" s="751"/>
      <c r="I42" s="200"/>
      <c r="J42" s="200"/>
      <c r="K42" s="200"/>
      <c r="L42" s="200"/>
      <c r="M42" s="752"/>
      <c r="N42" s="200"/>
      <c r="O42" s="1255"/>
    </row>
    <row r="43" spans="1:17" ht="12.75" customHeight="1" x14ac:dyDescent="0.2">
      <c r="A43" s="741"/>
      <c r="B43" s="1254"/>
      <c r="C43" s="716"/>
      <c r="D43" s="753" t="s">
        <v>4</v>
      </c>
      <c r="E43" s="1505" t="str">
        <f>Translations!$B$13</f>
        <v>Įrenginio pavadinimas</v>
      </c>
      <c r="F43" s="1505"/>
      <c r="G43" s="1505"/>
      <c r="H43" s="1506"/>
      <c r="I43" s="1499" t="s">
        <v>1790</v>
      </c>
      <c r="J43" s="1500"/>
      <c r="K43" s="1500"/>
      <c r="L43" s="1500"/>
      <c r="M43" s="1500"/>
      <c r="N43" s="1501"/>
      <c r="O43" s="1255"/>
    </row>
    <row r="44" spans="1:17" x14ac:dyDescent="0.2">
      <c r="A44" s="741"/>
      <c r="B44" s="1254"/>
      <c r="C44" s="716"/>
      <c r="D44" s="753" t="s">
        <v>5</v>
      </c>
      <c r="E44" s="1505" t="str">
        <f>Translations!$B$81</f>
        <v>Teritorijos pavadinimas</v>
      </c>
      <c r="F44" s="1505"/>
      <c r="G44" s="1505"/>
      <c r="H44" s="1506"/>
      <c r="I44" s="1502" t="s">
        <v>1818</v>
      </c>
      <c r="J44" s="1503"/>
      <c r="K44" s="1503"/>
      <c r="L44" s="1503"/>
      <c r="M44" s="1503"/>
      <c r="N44" s="1504"/>
      <c r="O44" s="1255"/>
    </row>
    <row r="45" spans="1:17" ht="12.75" customHeight="1" x14ac:dyDescent="0.2">
      <c r="A45" s="741"/>
      <c r="B45" s="1254"/>
      <c r="C45" s="716"/>
      <c r="D45" s="753" t="s">
        <v>194</v>
      </c>
      <c r="E45" s="1462" t="str">
        <f>Translations!$B$549</f>
        <v>Unikalus įrenginio identifikatorius:</v>
      </c>
      <c r="F45" s="1462"/>
      <c r="G45" s="1462"/>
      <c r="H45" s="1463"/>
      <c r="I45" s="1525" t="s">
        <v>1791</v>
      </c>
      <c r="J45" s="1526"/>
      <c r="K45" s="1526"/>
      <c r="L45" s="1526"/>
      <c r="M45" s="1526"/>
      <c r="N45" s="1527"/>
      <c r="O45" s="1255"/>
    </row>
    <row r="46" spans="1:17" ht="12.75" customHeight="1" x14ac:dyDescent="0.2">
      <c r="A46" s="741"/>
      <c r="B46" s="1254"/>
      <c r="C46" s="716"/>
      <c r="D46" s="753"/>
      <c r="E46" s="753"/>
      <c r="F46" s="753"/>
      <c r="G46" s="753"/>
      <c r="H46" s="753"/>
      <c r="I46" s="753"/>
      <c r="J46" s="753"/>
      <c r="K46" s="753"/>
      <c r="L46" s="753"/>
      <c r="M46" s="753"/>
      <c r="N46" s="753"/>
      <c r="O46" s="1255"/>
    </row>
    <row r="47" spans="1:17" x14ac:dyDescent="0.2">
      <c r="A47" s="741"/>
      <c r="B47" s="1254"/>
      <c r="C47" s="716"/>
      <c r="D47" s="178" t="s">
        <v>2</v>
      </c>
      <c r="E47" s="1469" t="str">
        <f>Translations!$B$83</f>
        <v>Įrenginio adresas arba jo buvimo vieta</v>
      </c>
      <c r="F47" s="1470"/>
      <c r="G47" s="1470"/>
      <c r="H47" s="1470"/>
      <c r="I47" s="1470"/>
      <c r="J47" s="1470"/>
      <c r="K47" s="200"/>
      <c r="L47" s="200"/>
      <c r="M47" s="200"/>
      <c r="N47" s="200"/>
      <c r="O47" s="1255"/>
    </row>
    <row r="48" spans="1:17" ht="5.0999999999999996" customHeight="1" x14ac:dyDescent="0.2">
      <c r="A48" s="741"/>
      <c r="B48" s="1254"/>
      <c r="C48" s="716"/>
      <c r="D48" s="755"/>
      <c r="E48" s="200"/>
      <c r="F48" s="200"/>
      <c r="G48" s="200"/>
      <c r="H48" s="200"/>
      <c r="I48" s="200"/>
      <c r="J48" s="200"/>
      <c r="K48" s="200"/>
      <c r="L48" s="200"/>
      <c r="M48" s="200"/>
      <c r="N48" s="200"/>
      <c r="O48" s="1255"/>
    </row>
    <row r="49" spans="1:17" ht="12.75" customHeight="1" x14ac:dyDescent="0.2">
      <c r="A49" s="741"/>
      <c r="B49" s="1254"/>
      <c r="C49" s="716"/>
      <c r="D49" s="753" t="s">
        <v>4</v>
      </c>
      <c r="E49" s="1505" t="str">
        <f>Translations!$B$84</f>
        <v>1 adreso eilutė</v>
      </c>
      <c r="F49" s="1505"/>
      <c r="G49" s="1505"/>
      <c r="H49" s="1506"/>
      <c r="I49" s="1466" t="s">
        <v>1787</v>
      </c>
      <c r="J49" s="1467"/>
      <c r="K49" s="1467"/>
      <c r="L49" s="1467"/>
      <c r="M49" s="1467"/>
      <c r="N49" s="1468"/>
      <c r="O49" s="1255"/>
    </row>
    <row r="50" spans="1:17" ht="12.75" customHeight="1" x14ac:dyDescent="0.2">
      <c r="A50" s="741"/>
      <c r="B50" s="1254"/>
      <c r="C50" s="716"/>
      <c r="D50" s="753" t="s">
        <v>5</v>
      </c>
      <c r="E50" s="1505" t="str">
        <f>Translations!$B$85</f>
        <v>2 adreso eilutė</v>
      </c>
      <c r="F50" s="1505"/>
      <c r="G50" s="1505"/>
      <c r="H50" s="1506"/>
      <c r="I50" s="1456" t="s">
        <v>1792</v>
      </c>
      <c r="J50" s="1457"/>
      <c r="K50" s="1457"/>
      <c r="L50" s="1457"/>
      <c r="M50" s="1457"/>
      <c r="N50" s="1458"/>
      <c r="O50" s="1255"/>
    </row>
    <row r="51" spans="1:17" x14ac:dyDescent="0.2">
      <c r="A51" s="741"/>
      <c r="B51" s="1254"/>
      <c r="C51" s="716"/>
      <c r="D51" s="753" t="s">
        <v>194</v>
      </c>
      <c r="E51" s="1505" t="str">
        <f>Translations!$B$86</f>
        <v>Miestas:</v>
      </c>
      <c r="F51" s="1505"/>
      <c r="G51" s="1505"/>
      <c r="H51" s="1506"/>
      <c r="I51" s="1496" t="s">
        <v>1789</v>
      </c>
      <c r="J51" s="1497"/>
      <c r="K51" s="1497"/>
      <c r="L51" s="1497"/>
      <c r="M51" s="1497"/>
      <c r="N51" s="1498"/>
      <c r="O51" s="1255"/>
    </row>
    <row r="52" spans="1:17" ht="12.75" customHeight="1" x14ac:dyDescent="0.2">
      <c r="A52" s="741"/>
      <c r="B52" s="1254"/>
      <c r="C52" s="716"/>
      <c r="D52" s="753" t="s">
        <v>195</v>
      </c>
      <c r="E52" s="1505" t="str">
        <f>Translations!$B$87</f>
        <v>Valstybė / provincija / regionas</v>
      </c>
      <c r="F52" s="1505"/>
      <c r="G52" s="1505"/>
      <c r="H52" s="1506"/>
      <c r="I52" s="1496" t="s">
        <v>1793</v>
      </c>
      <c r="J52" s="1497"/>
      <c r="K52" s="1497"/>
      <c r="L52" s="1497"/>
      <c r="M52" s="1497"/>
      <c r="N52" s="1498"/>
      <c r="O52" s="1255"/>
    </row>
    <row r="53" spans="1:17" x14ac:dyDescent="0.2">
      <c r="A53" s="741"/>
      <c r="B53" s="1254"/>
      <c r="C53" s="716"/>
      <c r="D53" s="753" t="s">
        <v>196</v>
      </c>
      <c r="E53" s="1505" t="str">
        <f>Translations!$B$543</f>
        <v>Pašto kodas:</v>
      </c>
      <c r="F53" s="1505"/>
      <c r="G53" s="1505"/>
      <c r="H53" s="1506"/>
      <c r="I53" s="1496" t="s">
        <v>1819</v>
      </c>
      <c r="J53" s="1497"/>
      <c r="K53" s="1497"/>
      <c r="L53" s="1497"/>
      <c r="M53" s="1497"/>
      <c r="N53" s="1498"/>
      <c r="O53" s="1255"/>
    </row>
    <row r="54" spans="1:17" x14ac:dyDescent="0.2">
      <c r="A54" s="741"/>
      <c r="B54" s="1254"/>
      <c r="C54" s="716"/>
      <c r="D54" s="753" t="s">
        <v>197</v>
      </c>
      <c r="E54" s="1462" t="str">
        <f>Translations!$B$88</f>
        <v>Šalis</v>
      </c>
      <c r="F54" s="1462"/>
      <c r="G54" s="1462"/>
      <c r="H54" s="1463"/>
      <c r="I54" s="1537" t="s">
        <v>1252</v>
      </c>
      <c r="J54" s="1537"/>
      <c r="K54" s="1537"/>
      <c r="L54" s="1537"/>
      <c r="M54" s="1537"/>
      <c r="N54" s="1537"/>
      <c r="O54" s="1255"/>
    </row>
    <row r="55" spans="1:17" s="7" customFormat="1" ht="4.9000000000000004" customHeight="1" x14ac:dyDescent="0.2">
      <c r="A55" s="741"/>
      <c r="B55" s="1254"/>
      <c r="C55" s="1020"/>
      <c r="D55" s="1021"/>
      <c r="E55" s="199"/>
      <c r="F55" s="1022"/>
      <c r="G55" s="1023"/>
      <c r="H55" s="200"/>
      <c r="I55" s="200"/>
      <c r="J55" s="200"/>
      <c r="K55" s="200"/>
      <c r="L55" s="200"/>
      <c r="M55" s="200"/>
      <c r="N55" s="200"/>
      <c r="O55" s="1255"/>
      <c r="P55" s="196"/>
      <c r="Q55" s="1049"/>
    </row>
    <row r="56" spans="1:17" s="7" customFormat="1" ht="12.75" customHeight="1" x14ac:dyDescent="0.2">
      <c r="A56" s="741"/>
      <c r="B56" s="1254"/>
      <c r="C56" s="1020"/>
      <c r="D56" s="1236" t="s">
        <v>198</v>
      </c>
      <c r="E56" s="1462" t="str">
        <f>Translations!$B$550</f>
        <v>Pagrindinio patekimo į objektą geografinės koordinatės:</v>
      </c>
      <c r="F56" s="1462"/>
      <c r="G56" s="1462"/>
      <c r="H56" s="1463"/>
      <c r="I56" s="1493"/>
      <c r="J56" s="1494"/>
      <c r="K56" s="1494"/>
      <c r="L56" s="1495"/>
      <c r="M56" s="200"/>
      <c r="N56" s="200"/>
      <c r="O56" s="1255"/>
      <c r="P56" s="196"/>
      <c r="Q56" s="1049"/>
    </row>
    <row r="57" spans="1:17" ht="12.75" customHeight="1" x14ac:dyDescent="0.2">
      <c r="A57" s="741"/>
      <c r="B57" s="1254"/>
      <c r="C57" s="716"/>
      <c r="D57" s="745"/>
      <c r="E57" s="1485" t="str">
        <f>Translations!$B$89</f>
        <v>Čia pateikite konkrečias valstybės narės gaires dėl koordinačių nuorodų teikimo.</v>
      </c>
      <c r="F57" s="1392"/>
      <c r="G57" s="1392"/>
      <c r="H57" s="1392"/>
      <c r="I57" s="1392"/>
      <c r="J57" s="1392"/>
      <c r="K57" s="1392"/>
      <c r="L57" s="1392"/>
      <c r="M57" s="1392"/>
      <c r="N57" s="1392"/>
      <c r="O57" s="1255"/>
    </row>
    <row r="58" spans="1:17" ht="12.75" customHeight="1" x14ac:dyDescent="0.2">
      <c r="A58" s="741"/>
      <c r="B58" s="1254"/>
      <c r="C58" s="716"/>
      <c r="D58" s="753"/>
      <c r="E58" s="753"/>
      <c r="F58" s="753"/>
      <c r="G58" s="753"/>
      <c r="H58" s="753"/>
      <c r="I58" s="753"/>
      <c r="J58" s="753"/>
      <c r="K58" s="753"/>
      <c r="L58" s="753"/>
      <c r="M58" s="753"/>
      <c r="N58" s="753"/>
      <c r="O58" s="1255"/>
    </row>
    <row r="59" spans="1:17" ht="12.75" customHeight="1" x14ac:dyDescent="0.2">
      <c r="A59" s="741"/>
      <c r="B59" s="1254"/>
      <c r="C59" s="716"/>
      <c r="D59" s="178" t="s">
        <v>44</v>
      </c>
      <c r="E59" s="1469" t="str">
        <f>Translations!$B$551</f>
        <v>Ataskaitų teikimas pagal Reglamentą (EB) Nr. 166/2006 (EIPTR):</v>
      </c>
      <c r="F59" s="1470"/>
      <c r="G59" s="1470"/>
      <c r="H59" s="1470"/>
      <c r="I59" s="1470"/>
      <c r="J59" s="1470"/>
      <c r="K59" s="753"/>
      <c r="L59" s="753"/>
      <c r="M59" s="753"/>
      <c r="N59" s="753"/>
      <c r="O59" s="1282"/>
    </row>
    <row r="60" spans="1:17" ht="5.0999999999999996" customHeight="1" x14ac:dyDescent="0.2">
      <c r="A60" s="741"/>
      <c r="B60" s="1254"/>
      <c r="C60" s="716"/>
      <c r="D60" s="753"/>
      <c r="E60" s="753"/>
      <c r="F60" s="753"/>
      <c r="G60" s="753"/>
      <c r="H60" s="753"/>
      <c r="I60" s="753"/>
      <c r="J60" s="753"/>
      <c r="K60" s="753"/>
      <c r="L60" s="753"/>
      <c r="M60" s="753"/>
      <c r="N60" s="753"/>
      <c r="O60" s="1255"/>
    </row>
    <row r="61" spans="1:17" ht="12.75" customHeight="1" x14ac:dyDescent="0.2">
      <c r="A61" s="741"/>
      <c r="B61" s="1254"/>
      <c r="C61" s="716"/>
      <c r="D61" s="753" t="s">
        <v>4</v>
      </c>
      <c r="E61" s="1462" t="str">
        <f>Translations!$B$552</f>
        <v>Įrenginys privalo teikti ataskaitas pagal reglamentą dėl EIPTR:</v>
      </c>
      <c r="F61" s="1462"/>
      <c r="G61" s="1462"/>
      <c r="H61" s="1463"/>
      <c r="I61" s="1066" t="b">
        <v>1</v>
      </c>
      <c r="J61" s="753"/>
      <c r="K61" s="753"/>
      <c r="L61" s="753"/>
      <c r="M61" s="753"/>
      <c r="N61" s="753"/>
      <c r="O61" s="1282"/>
    </row>
    <row r="62" spans="1:17" ht="5.0999999999999996" customHeight="1" x14ac:dyDescent="0.2">
      <c r="A62" s="741"/>
      <c r="B62" s="1254"/>
      <c r="C62" s="716"/>
      <c r="D62" s="753"/>
      <c r="E62" s="753"/>
      <c r="F62" s="753"/>
      <c r="G62" s="753"/>
      <c r="H62" s="753"/>
      <c r="I62" s="753"/>
      <c r="J62" s="753"/>
      <c r="K62" s="753"/>
      <c r="L62" s="753"/>
      <c r="M62" s="753"/>
      <c r="N62" s="753"/>
      <c r="O62" s="1282"/>
    </row>
    <row r="63" spans="1:17" ht="12.75" customHeight="1" x14ac:dyDescent="0.2">
      <c r="A63" s="741"/>
      <c r="B63" s="1254"/>
      <c r="C63" s="716"/>
      <c r="D63" s="753" t="s">
        <v>5</v>
      </c>
      <c r="E63" s="1462" t="str">
        <f>Translations!$B$553</f>
        <v>EIPTR identifikatorius:</v>
      </c>
      <c r="F63" s="1462"/>
      <c r="G63" s="1462"/>
      <c r="H63" s="1463"/>
      <c r="I63" s="1538"/>
      <c r="J63" s="1538"/>
      <c r="K63" s="1538"/>
      <c r="L63" s="1538"/>
      <c r="M63" s="1538"/>
      <c r="N63" s="1538"/>
      <c r="O63" s="1282"/>
      <c r="Q63" s="1052" t="b">
        <f>AND(I61&lt;&gt;"",I61=FALSE)</f>
        <v>0</v>
      </c>
    </row>
    <row r="64" spans="1:17" ht="5.0999999999999996" customHeight="1" x14ac:dyDescent="0.2">
      <c r="A64" s="741"/>
      <c r="B64" s="1254"/>
      <c r="C64" s="716"/>
      <c r="D64" s="755"/>
      <c r="O64" s="1282"/>
    </row>
    <row r="65" spans="1:17" x14ac:dyDescent="0.2">
      <c r="A65" s="741"/>
      <c r="B65" s="1254"/>
      <c r="C65" s="716"/>
      <c r="D65" s="753" t="s">
        <v>194</v>
      </c>
      <c r="E65" s="1505" t="str">
        <f>Translations!$B$554</f>
        <v>Pagrindinė veikla pagal reglamento dėl EIPTR I priedą:</v>
      </c>
      <c r="F65" s="1505"/>
      <c r="G65" s="1505"/>
      <c r="H65" s="1506"/>
      <c r="I65" s="1548" t="s">
        <v>1021</v>
      </c>
      <c r="J65" s="1548"/>
      <c r="K65" s="1548"/>
      <c r="L65" s="1548"/>
      <c r="M65" s="1548"/>
      <c r="N65" s="1548"/>
      <c r="O65" s="1282"/>
      <c r="Q65" s="1052" t="b">
        <f>Q63</f>
        <v>0</v>
      </c>
    </row>
    <row r="66" spans="1:17" x14ac:dyDescent="0.2">
      <c r="A66" s="741"/>
      <c r="B66" s="1254"/>
      <c r="C66" s="716"/>
      <c r="D66" s="753" t="s">
        <v>195</v>
      </c>
      <c r="E66" s="1462" t="str">
        <f>Translations!$B$555</f>
        <v>Kita veikla pagal reglamento dėl EIPTR I priedą:</v>
      </c>
      <c r="F66" s="1462"/>
      <c r="G66" s="1462"/>
      <c r="H66" s="1463"/>
      <c r="I66" s="1507"/>
      <c r="J66" s="1507"/>
      <c r="K66" s="1507"/>
      <c r="L66" s="1507"/>
      <c r="M66" s="1507"/>
      <c r="N66" s="1507"/>
      <c r="O66" s="1282"/>
      <c r="Q66" s="1052" t="b">
        <f>Q65</f>
        <v>0</v>
      </c>
    </row>
    <row r="67" spans="1:17" ht="12.75" customHeight="1" x14ac:dyDescent="0.2">
      <c r="A67" s="741"/>
      <c r="B67" s="1254"/>
      <c r="C67" s="716"/>
      <c r="D67" s="755"/>
      <c r="I67" s="1523"/>
      <c r="J67" s="1523"/>
      <c r="K67" s="1523"/>
      <c r="L67" s="1523"/>
      <c r="M67" s="1523"/>
      <c r="N67" s="1523"/>
      <c r="O67" s="1282"/>
      <c r="Q67" s="1052" t="b">
        <f>Q66</f>
        <v>0</v>
      </c>
    </row>
    <row r="68" spans="1:17" ht="12.75" customHeight="1" x14ac:dyDescent="0.2">
      <c r="A68" s="741"/>
      <c r="B68" s="1254"/>
      <c r="C68" s="716"/>
      <c r="D68" s="755"/>
      <c r="I68" s="1523"/>
      <c r="J68" s="1523"/>
      <c r="K68" s="1523"/>
      <c r="L68" s="1523"/>
      <c r="M68" s="1523"/>
      <c r="N68" s="1523"/>
      <c r="O68" s="1282"/>
      <c r="Q68" s="1052" t="b">
        <f>Q67</f>
        <v>0</v>
      </c>
    </row>
    <row r="69" spans="1:17" ht="12.75" customHeight="1" x14ac:dyDescent="0.2">
      <c r="A69" s="741"/>
      <c r="B69" s="1254"/>
      <c r="C69" s="716"/>
      <c r="D69" s="755"/>
      <c r="I69" s="1465"/>
      <c r="J69" s="1465"/>
      <c r="K69" s="1465"/>
      <c r="L69" s="1465"/>
      <c r="M69" s="1465"/>
      <c r="N69" s="1465"/>
      <c r="O69" s="1282"/>
      <c r="Q69" s="1052" t="b">
        <f>Q68</f>
        <v>0</v>
      </c>
    </row>
    <row r="70" spans="1:17" x14ac:dyDescent="0.2">
      <c r="A70" s="741"/>
      <c r="B70" s="1254"/>
      <c r="C70" s="716"/>
      <c r="D70" s="755"/>
      <c r="O70" s="1255"/>
    </row>
    <row r="71" spans="1:17" x14ac:dyDescent="0.2">
      <c r="A71" s="741"/>
      <c r="B71" s="1254"/>
      <c r="C71" s="716"/>
      <c r="D71" s="178" t="s">
        <v>3</v>
      </c>
      <c r="E71" s="1462" t="str">
        <f>Translations!$B$556</f>
        <v>Kompetentinga institucija leidimų suteikimo klausimams</v>
      </c>
      <c r="F71" s="1462"/>
      <c r="G71" s="1462"/>
      <c r="H71" s="1463"/>
      <c r="I71" s="1464" t="s">
        <v>1779</v>
      </c>
      <c r="J71" s="1464"/>
      <c r="K71" s="1464"/>
      <c r="L71" s="1464"/>
      <c r="M71" s="1464"/>
      <c r="N71" s="1464"/>
      <c r="O71" s="1282"/>
    </row>
    <row r="72" spans="1:17" ht="4.9000000000000004" customHeight="1" x14ac:dyDescent="0.2">
      <c r="A72" s="741"/>
      <c r="B72" s="1254"/>
      <c r="C72" s="716"/>
      <c r="D72" s="178"/>
      <c r="E72" s="261"/>
      <c r="F72" s="261"/>
      <c r="G72" s="261"/>
      <c r="H72" s="200"/>
      <c r="I72" s="261"/>
      <c r="J72" s="12"/>
      <c r="K72" s="200"/>
      <c r="L72" s="200"/>
      <c r="M72" s="200"/>
      <c r="N72" s="200"/>
      <c r="O72" s="1255"/>
    </row>
    <row r="73" spans="1:17" x14ac:dyDescent="0.2">
      <c r="A73" s="741"/>
      <c r="B73" s="1254"/>
      <c r="C73" s="716"/>
      <c r="D73" s="178" t="s">
        <v>577</v>
      </c>
      <c r="E73" s="1462" t="str">
        <f>Translations!$B$557</f>
        <v>Naujausios patvirtintos stebėsenos plano versijos numeris</v>
      </c>
      <c r="F73" s="1462"/>
      <c r="G73" s="1462"/>
      <c r="H73" s="1463"/>
      <c r="I73" s="1464" t="s">
        <v>1817</v>
      </c>
      <c r="J73" s="1464"/>
      <c r="K73" s="1464"/>
      <c r="L73" s="1464"/>
      <c r="M73" s="1464"/>
      <c r="N73" s="1464"/>
      <c r="O73" s="1255"/>
    </row>
    <row r="74" spans="1:17" ht="4.9000000000000004" customHeight="1" x14ac:dyDescent="0.2">
      <c r="A74" s="741"/>
      <c r="B74" s="1254"/>
      <c r="C74" s="716"/>
      <c r="D74" s="178"/>
      <c r="E74" s="261"/>
      <c r="F74" s="261"/>
      <c r="G74" s="261"/>
      <c r="H74" s="200"/>
      <c r="I74" s="200"/>
      <c r="J74" s="200"/>
      <c r="K74" s="200"/>
      <c r="L74" s="200"/>
      <c r="M74" s="199"/>
      <c r="N74" s="198"/>
      <c r="O74" s="1279"/>
    </row>
    <row r="75" spans="1:17" ht="25.5" customHeight="1" x14ac:dyDescent="0.2">
      <c r="A75" s="741"/>
      <c r="B75" s="1254"/>
      <c r="C75" s="716"/>
      <c r="D75" s="178" t="s">
        <v>578</v>
      </c>
      <c r="E75" s="1462" t="str">
        <f>Translations!$B$558</f>
        <v>Ar padaryta stebėsenos plano pakeitimų, palyginti su ankstesniais metais?</v>
      </c>
      <c r="F75" s="1462"/>
      <c r="G75" s="1462"/>
      <c r="H75" s="1463"/>
      <c r="I75" s="988" t="b">
        <v>0</v>
      </c>
      <c r="J75" s="236"/>
      <c r="K75" s="236"/>
      <c r="L75" s="236"/>
      <c r="M75" s="236"/>
      <c r="N75" s="236"/>
      <c r="O75" s="1255"/>
    </row>
    <row r="76" spans="1:17" ht="12.75" customHeight="1" x14ac:dyDescent="0.2">
      <c r="A76" s="741"/>
      <c r="B76" s="1254"/>
      <c r="C76" s="716"/>
      <c r="D76" s="178"/>
      <c r="E76" s="236"/>
      <c r="F76" s="236"/>
      <c r="G76" s="236"/>
      <c r="H76" s="236"/>
      <c r="I76" s="236"/>
      <c r="J76" s="236"/>
      <c r="K76" s="236"/>
      <c r="L76" s="236"/>
      <c r="M76" s="236"/>
      <c r="N76" s="236"/>
      <c r="O76" s="1255"/>
    </row>
    <row r="77" spans="1:17" ht="12.75" customHeight="1" x14ac:dyDescent="0.2">
      <c r="A77" s="741"/>
      <c r="B77" s="1254"/>
      <c r="C77" s="716"/>
      <c r="D77" s="178" t="s">
        <v>580</v>
      </c>
      <c r="E77" s="1395" t="str">
        <f>Translations!$B$160</f>
        <v>Pastabos:</v>
      </c>
      <c r="F77" s="1395"/>
      <c r="G77" s="1395"/>
      <c r="H77" s="1395"/>
      <c r="I77" s="1395"/>
      <c r="J77" s="1395"/>
      <c r="K77" s="1395"/>
      <c r="L77" s="1395"/>
      <c r="M77" s="1395"/>
      <c r="N77" s="1395"/>
      <c r="O77" s="1255"/>
    </row>
    <row r="78" spans="1:17" ht="38.85" customHeight="1" x14ac:dyDescent="0.2">
      <c r="A78" s="741"/>
      <c r="B78" s="1254"/>
      <c r="C78" s="716"/>
      <c r="D78" s="178"/>
      <c r="E78" s="1454"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54"/>
      <c r="G78" s="1454"/>
      <c r="H78" s="1454"/>
      <c r="I78" s="1454"/>
      <c r="J78" s="1454"/>
      <c r="K78" s="1454"/>
      <c r="L78" s="1454"/>
      <c r="M78" s="1454"/>
      <c r="N78" s="1454"/>
      <c r="O78" s="1255"/>
    </row>
    <row r="79" spans="1:17" ht="25.5" customHeight="1" x14ac:dyDescent="0.2">
      <c r="A79" s="741"/>
      <c r="B79" s="1254"/>
      <c r="C79" s="716"/>
      <c r="D79" s="178"/>
      <c r="E79" s="1483"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83"/>
      <c r="G79" s="1483"/>
      <c r="H79" s="1483"/>
      <c r="I79" s="1483"/>
      <c r="J79" s="1483"/>
      <c r="K79" s="1483"/>
      <c r="L79" s="1483"/>
      <c r="M79" s="1483"/>
      <c r="N79" s="1483"/>
      <c r="O79" s="1255"/>
    </row>
    <row r="80" spans="1:17" ht="12.75" customHeight="1" x14ac:dyDescent="0.2">
      <c r="A80" s="741"/>
      <c r="B80" s="1254"/>
      <c r="C80" s="716"/>
      <c r="D80" s="178"/>
      <c r="E80" s="236"/>
      <c r="F80" s="236"/>
      <c r="G80" s="236"/>
      <c r="H80" s="236"/>
      <c r="I80" s="1539"/>
      <c r="J80" s="1540"/>
      <c r="K80" s="1540"/>
      <c r="L80" s="1540"/>
      <c r="M80" s="1540"/>
      <c r="N80" s="1541"/>
      <c r="O80" s="1255"/>
    </row>
    <row r="81" spans="1:17" ht="12.75" customHeight="1" x14ac:dyDescent="0.2">
      <c r="A81" s="741"/>
      <c r="B81" s="1254"/>
      <c r="C81" s="716"/>
      <c r="D81" s="178"/>
      <c r="E81" s="236"/>
      <c r="F81" s="236"/>
      <c r="G81" s="236"/>
      <c r="H81" s="236"/>
      <c r="I81" s="1542"/>
      <c r="J81" s="1543"/>
      <c r="K81" s="1543"/>
      <c r="L81" s="1543"/>
      <c r="M81" s="1543"/>
      <c r="N81" s="1544"/>
      <c r="O81" s="1255"/>
    </row>
    <row r="82" spans="1:17" ht="12.75" customHeight="1" x14ac:dyDescent="0.2">
      <c r="A82" s="741"/>
      <c r="B82" s="1254"/>
      <c r="C82" s="716"/>
      <c r="D82" s="178"/>
      <c r="E82" s="236"/>
      <c r="F82" s="236"/>
      <c r="G82" s="236"/>
      <c r="H82" s="236"/>
      <c r="I82" s="1542"/>
      <c r="J82" s="1543"/>
      <c r="K82" s="1543"/>
      <c r="L82" s="1543"/>
      <c r="M82" s="1543"/>
      <c r="N82" s="1544"/>
      <c r="O82" s="1255"/>
    </row>
    <row r="83" spans="1:17" ht="12.75" customHeight="1" x14ac:dyDescent="0.2">
      <c r="A83" s="741"/>
      <c r="B83" s="1254"/>
      <c r="C83" s="716"/>
      <c r="D83" s="178"/>
      <c r="E83" s="236"/>
      <c r="F83" s="236"/>
      <c r="G83" s="236"/>
      <c r="H83" s="236"/>
      <c r="I83" s="1542"/>
      <c r="J83" s="1543"/>
      <c r="K83" s="1543"/>
      <c r="L83" s="1543"/>
      <c r="M83" s="1543"/>
      <c r="N83" s="1544"/>
      <c r="O83" s="1255"/>
    </row>
    <row r="84" spans="1:17" ht="12.75" customHeight="1" x14ac:dyDescent="0.2">
      <c r="A84" s="741"/>
      <c r="B84" s="1254"/>
      <c r="C84" s="716"/>
      <c r="D84" s="178"/>
      <c r="E84" s="236"/>
      <c r="F84" s="236"/>
      <c r="G84" s="236"/>
      <c r="H84" s="236"/>
      <c r="I84" s="1545"/>
      <c r="J84" s="1546"/>
      <c r="K84" s="1546"/>
      <c r="L84" s="1546"/>
      <c r="M84" s="1546"/>
      <c r="N84" s="1547"/>
      <c r="O84" s="1255"/>
    </row>
    <row r="85" spans="1:17" x14ac:dyDescent="0.2">
      <c r="A85" s="741"/>
      <c r="B85" s="1254"/>
      <c r="C85" s="716"/>
      <c r="D85" s="745"/>
      <c r="E85" s="200"/>
      <c r="F85" s="200"/>
      <c r="G85" s="200"/>
      <c r="H85" s="200"/>
      <c r="I85" s="200"/>
      <c r="J85" s="200"/>
      <c r="K85" s="200"/>
      <c r="L85" s="200"/>
      <c r="M85" s="200"/>
      <c r="N85" s="200"/>
      <c r="O85" s="1255"/>
    </row>
    <row r="86" spans="1:17" ht="15.75" x14ac:dyDescent="0.25">
      <c r="A86" s="741"/>
      <c r="B86" s="1254"/>
      <c r="C86" s="708">
        <v>4</v>
      </c>
      <c r="D86" s="1491" t="str">
        <f>Translations!$B$6</f>
        <v xml:space="preserve">Kontaktiniai duomenys </v>
      </c>
      <c r="E86" s="1491"/>
      <c r="F86" s="1491"/>
      <c r="G86" s="1491"/>
      <c r="H86" s="1491"/>
      <c r="I86" s="1491"/>
      <c r="J86" s="1491"/>
      <c r="K86" s="1491"/>
      <c r="L86" s="1491"/>
      <c r="M86" s="1491"/>
      <c r="N86" s="1491"/>
      <c r="O86" s="1255"/>
    </row>
    <row r="87" spans="1:17" x14ac:dyDescent="0.2">
      <c r="A87" s="741"/>
      <c r="B87" s="1254"/>
      <c r="C87" s="716"/>
      <c r="D87" s="745"/>
      <c r="E87" s="200"/>
      <c r="F87" s="200"/>
      <c r="G87" s="200"/>
      <c r="H87" s="200"/>
      <c r="I87" s="200"/>
      <c r="J87" s="200"/>
      <c r="K87" s="200"/>
      <c r="L87" s="200"/>
      <c r="M87" s="200"/>
      <c r="N87" s="200"/>
      <c r="O87" s="1255"/>
    </row>
    <row r="88" spans="1:17" s="7" customFormat="1" ht="25.5" customHeight="1" x14ac:dyDescent="0.2">
      <c r="A88" s="746"/>
      <c r="B88" s="1524"/>
      <c r="C88" s="714"/>
      <c r="D88" s="486"/>
      <c r="E88" s="1454" t="str">
        <f>Translations!$B$561</f>
        <v xml:space="preserve">Šiam reikalui paskirkite asmenis, į kuriuos kompetentinga institucija galėtų kreiptis kilus klausimų dėl šios ataskaitos. Jūsų paskirtas asmuo turėtų būti įgaliotas atstovauti veiklos vykdytojui. </v>
      </c>
      <c r="F88" s="1454"/>
      <c r="G88" s="1454"/>
      <c r="H88" s="1454"/>
      <c r="I88" s="1454"/>
      <c r="J88" s="1454"/>
      <c r="K88" s="1454"/>
      <c r="L88" s="1454"/>
      <c r="M88" s="1454"/>
      <c r="N88" s="1454"/>
      <c r="O88" s="1255"/>
      <c r="Q88" s="1049"/>
    </row>
    <row r="89" spans="1:17" s="7" customFormat="1" ht="5.0999999999999996" customHeight="1" x14ac:dyDescent="0.2">
      <c r="A89" s="746"/>
      <c r="B89" s="1524"/>
      <c r="C89" s="754"/>
      <c r="D89" s="164"/>
      <c r="E89" s="5"/>
      <c r="F89" s="5"/>
      <c r="G89" s="5"/>
      <c r="H89" s="5"/>
      <c r="I89" s="5"/>
      <c r="J89" s="5"/>
      <c r="K89" s="5"/>
      <c r="L89" s="5"/>
      <c r="M89" s="335"/>
      <c r="N89" s="335"/>
      <c r="O89" s="1281"/>
      <c r="Q89" s="1049"/>
    </row>
    <row r="90" spans="1:17" s="7" customFormat="1" ht="12.75" customHeight="1" x14ac:dyDescent="0.2">
      <c r="A90" s="746"/>
      <c r="B90" s="1524"/>
      <c r="C90" s="754"/>
      <c r="D90" s="178" t="s">
        <v>1</v>
      </c>
      <c r="E90" s="1395" t="str">
        <f>Translations!$B$562</f>
        <v>Pagrindinis kontaktinis asmuo techniniams klausimams dėl įrenginio duomenų:</v>
      </c>
      <c r="F90" s="1395"/>
      <c r="G90" s="1395"/>
      <c r="H90" s="1395"/>
      <c r="I90" s="1395"/>
      <c r="J90" s="1395"/>
      <c r="K90" s="1395"/>
      <c r="L90" s="1395"/>
      <c r="M90" s="1395"/>
      <c r="N90" s="1395"/>
      <c r="O90" s="1255"/>
      <c r="Q90" s="1049"/>
    </row>
    <row r="91" spans="1:17" s="7" customFormat="1" ht="12.75" customHeight="1" x14ac:dyDescent="0.2">
      <c r="A91" s="746"/>
      <c r="B91" s="1524"/>
      <c r="C91" s="754"/>
      <c r="D91" s="606" t="s">
        <v>4</v>
      </c>
      <c r="E91" s="1508" t="str">
        <f>Translations!$B$90</f>
        <v>Kreipinys:</v>
      </c>
      <c r="F91" s="1508"/>
      <c r="G91" s="1508"/>
      <c r="H91" s="1509"/>
      <c r="I91" s="1499"/>
      <c r="J91" s="1500"/>
      <c r="K91" s="1500"/>
      <c r="L91" s="1500"/>
      <c r="M91" s="1500"/>
      <c r="N91" s="1501"/>
      <c r="O91" s="1255"/>
      <c r="Q91" s="1049"/>
    </row>
    <row r="92" spans="1:17" s="7" customFormat="1" ht="12.75" customHeight="1" x14ac:dyDescent="0.2">
      <c r="A92" s="746"/>
      <c r="B92" s="1524"/>
      <c r="C92" s="754"/>
      <c r="D92" s="606" t="s">
        <v>5</v>
      </c>
      <c r="E92" s="1508" t="str">
        <f>Translations!$B$563</f>
        <v>Vardas</v>
      </c>
      <c r="F92" s="1508"/>
      <c r="G92" s="1508"/>
      <c r="H92" s="1509"/>
      <c r="I92" s="1496" t="s">
        <v>1794</v>
      </c>
      <c r="J92" s="1497"/>
      <c r="K92" s="1497"/>
      <c r="L92" s="1497"/>
      <c r="M92" s="1497"/>
      <c r="N92" s="1498"/>
      <c r="O92" s="1255"/>
      <c r="Q92" s="1049"/>
    </row>
    <row r="93" spans="1:17" s="7" customFormat="1" ht="12.75" customHeight="1" x14ac:dyDescent="0.2">
      <c r="A93" s="746"/>
      <c r="B93" s="1524"/>
      <c r="C93" s="754"/>
      <c r="D93" s="606" t="s">
        <v>194</v>
      </c>
      <c r="E93" s="1024" t="str">
        <f>Translations!$B$91</f>
        <v>Pavardė:</v>
      </c>
      <c r="F93" s="1024"/>
      <c r="G93" s="1024"/>
      <c r="H93" s="1025"/>
      <c r="I93" s="1456" t="s">
        <v>1795</v>
      </c>
      <c r="J93" s="1457"/>
      <c r="K93" s="1457"/>
      <c r="L93" s="1457"/>
      <c r="M93" s="1457"/>
      <c r="N93" s="1458"/>
      <c r="O93" s="1255"/>
      <c r="Q93" s="1049"/>
    </row>
    <row r="94" spans="1:17" s="7" customFormat="1" ht="12.75" customHeight="1" x14ac:dyDescent="0.2">
      <c r="A94" s="746"/>
      <c r="B94" s="1524"/>
      <c r="C94" s="754"/>
      <c r="D94" s="606" t="s">
        <v>195</v>
      </c>
      <c r="E94" s="1024" t="str">
        <f>Translations!$B$92</f>
        <v>Pareigos</v>
      </c>
      <c r="F94" s="1024"/>
      <c r="G94" s="1024"/>
      <c r="H94" s="1025"/>
      <c r="I94" s="1456" t="s">
        <v>1796</v>
      </c>
      <c r="J94" s="1457"/>
      <c r="K94" s="1457"/>
      <c r="L94" s="1457"/>
      <c r="M94" s="1457"/>
      <c r="N94" s="1458"/>
      <c r="O94" s="1255"/>
      <c r="Q94" s="1049"/>
    </row>
    <row r="95" spans="1:17" s="7" customFormat="1" ht="12.75" customHeight="1" x14ac:dyDescent="0.2">
      <c r="A95" s="746"/>
      <c r="B95" s="1524"/>
      <c r="C95" s="754"/>
      <c r="D95" s="606" t="s">
        <v>196</v>
      </c>
      <c r="E95" s="1024" t="str">
        <f>Translations!$B$93</f>
        <v>Organizacijos pavadinimas (jei kita nei veiklos vykdytojas)</v>
      </c>
      <c r="F95" s="1024"/>
      <c r="G95" s="1024"/>
      <c r="H95" s="1025"/>
      <c r="I95" s="1456" t="s">
        <v>1820</v>
      </c>
      <c r="J95" s="1535"/>
      <c r="K95" s="1535"/>
      <c r="L95" s="1535"/>
      <c r="M95" s="1535"/>
      <c r="N95" s="1536"/>
      <c r="O95" s="1255"/>
      <c r="Q95" s="1049"/>
    </row>
    <row r="96" spans="1:17" s="7" customFormat="1" ht="12.75" customHeight="1" x14ac:dyDescent="0.2">
      <c r="A96" s="746"/>
      <c r="B96" s="1524"/>
      <c r="C96" s="754"/>
      <c r="D96" s="606" t="s">
        <v>197</v>
      </c>
      <c r="E96" s="1508" t="str">
        <f>Translations!$B$545</f>
        <v>El. paštas:</v>
      </c>
      <c r="F96" s="1508"/>
      <c r="G96" s="1508"/>
      <c r="H96" s="1509"/>
      <c r="I96" s="1515" t="s">
        <v>1797</v>
      </c>
      <c r="J96" s="1457"/>
      <c r="K96" s="1457"/>
      <c r="L96" s="1457"/>
      <c r="M96" s="1457"/>
      <c r="N96" s="1458"/>
      <c r="O96" s="1255"/>
      <c r="Q96" s="1049"/>
    </row>
    <row r="97" spans="1:17" s="7" customFormat="1" ht="12.75" customHeight="1" x14ac:dyDescent="0.2">
      <c r="A97" s="746"/>
      <c r="B97" s="1524"/>
      <c r="C97" s="754"/>
      <c r="D97" s="606" t="s">
        <v>198</v>
      </c>
      <c r="E97" s="1508" t="str">
        <f>Translations!$B$546</f>
        <v>Telefonas:</v>
      </c>
      <c r="F97" s="1508"/>
      <c r="G97" s="1508"/>
      <c r="H97" s="1509"/>
      <c r="I97" s="1456" t="s">
        <v>1798</v>
      </c>
      <c r="J97" s="1457"/>
      <c r="K97" s="1457"/>
      <c r="L97" s="1457"/>
      <c r="M97" s="1457"/>
      <c r="N97" s="1458"/>
      <c r="O97" s="1255"/>
      <c r="Q97" s="1049"/>
    </row>
    <row r="98" spans="1:17" s="7" customFormat="1" ht="12.75" customHeight="1" x14ac:dyDescent="0.2">
      <c r="A98" s="746"/>
      <c r="B98" s="1524"/>
      <c r="C98" s="754"/>
      <c r="D98" s="606" t="s">
        <v>324</v>
      </c>
      <c r="E98" s="1510" t="str">
        <f>Translations!$B$547</f>
        <v>Faksas:</v>
      </c>
      <c r="F98" s="1510"/>
      <c r="G98" s="1510"/>
      <c r="H98" s="1511"/>
      <c r="I98" s="1465" t="s">
        <v>1799</v>
      </c>
      <c r="J98" s="1465"/>
      <c r="K98" s="1465"/>
      <c r="L98" s="1465"/>
      <c r="M98" s="1465"/>
      <c r="N98" s="1465"/>
      <c r="O98" s="1255"/>
      <c r="Q98" s="1049"/>
    </row>
    <row r="99" spans="1:17" s="7" customFormat="1" ht="5.0999999999999996" customHeight="1" x14ac:dyDescent="0.2">
      <c r="A99" s="746"/>
      <c r="B99" s="1524"/>
      <c r="C99" s="754"/>
      <c r="D99" s="755"/>
      <c r="E99" s="5"/>
      <c r="F99" s="5"/>
      <c r="G99" s="5"/>
      <c r="H99" s="5" t="s">
        <v>233</v>
      </c>
      <c r="I99" s="5"/>
      <c r="J99" s="336"/>
      <c r="K99" s="5"/>
      <c r="L99" s="5"/>
      <c r="M99" s="335"/>
      <c r="N99" s="335"/>
      <c r="O99" s="1281"/>
      <c r="Q99" s="1049"/>
    </row>
    <row r="100" spans="1:17" s="7" customFormat="1" ht="12.75" customHeight="1" x14ac:dyDescent="0.2">
      <c r="A100" s="746"/>
      <c r="B100" s="1524"/>
      <c r="C100" s="754"/>
      <c r="D100" s="178" t="s">
        <v>2</v>
      </c>
      <c r="E100" s="1395" t="str">
        <f>Translations!$B$564</f>
        <v>Pakaitinis kontaktinis asmuo:</v>
      </c>
      <c r="F100" s="1395"/>
      <c r="G100" s="1395"/>
      <c r="H100" s="1395"/>
      <c r="I100" s="1395"/>
      <c r="J100" s="1395"/>
      <c r="K100" s="1395"/>
      <c r="L100" s="1395"/>
      <c r="M100" s="1395"/>
      <c r="N100" s="1395"/>
      <c r="O100" s="1255"/>
      <c r="Q100" s="1049"/>
    </row>
    <row r="101" spans="1:17" s="7" customFormat="1" ht="12.75" customHeight="1" x14ac:dyDescent="0.2">
      <c r="A101" s="746"/>
      <c r="B101" s="1524"/>
      <c r="C101" s="754"/>
      <c r="D101" s="606" t="s">
        <v>4</v>
      </c>
      <c r="E101" s="1508" t="str">
        <f>Translations!$B$90</f>
        <v>Kreipinys:</v>
      </c>
      <c r="F101" s="1508"/>
      <c r="G101" s="1508"/>
      <c r="H101" s="1509"/>
      <c r="I101" s="1507"/>
      <c r="J101" s="1507"/>
      <c r="K101" s="1507"/>
      <c r="L101" s="1507"/>
      <c r="M101" s="1507"/>
      <c r="N101" s="1507"/>
      <c r="O101" s="1255"/>
      <c r="Q101" s="1049"/>
    </row>
    <row r="102" spans="1:17" s="7" customFormat="1" ht="12.75" customHeight="1" x14ac:dyDescent="0.2">
      <c r="A102" s="746"/>
      <c r="B102" s="1524"/>
      <c r="C102" s="754"/>
      <c r="D102" s="606" t="s">
        <v>5</v>
      </c>
      <c r="E102" s="1026" t="str">
        <f>Translations!$B$563</f>
        <v>Vardas</v>
      </c>
      <c r="F102" s="1026"/>
      <c r="G102" s="1026"/>
      <c r="H102" s="1027"/>
      <c r="I102" s="1517" t="s">
        <v>1800</v>
      </c>
      <c r="J102" s="1518"/>
      <c r="K102" s="1518"/>
      <c r="L102" s="1518"/>
      <c r="M102" s="1518"/>
      <c r="N102" s="1519"/>
      <c r="O102" s="1255"/>
      <c r="Q102" s="1049"/>
    </row>
    <row r="103" spans="1:17" s="7" customFormat="1" ht="12.75" customHeight="1" x14ac:dyDescent="0.2">
      <c r="A103" s="746"/>
      <c r="B103" s="1524"/>
      <c r="C103" s="754"/>
      <c r="D103" s="606" t="s">
        <v>194</v>
      </c>
      <c r="E103" s="1508" t="str">
        <f>Translations!$B$91</f>
        <v>Pavardė:</v>
      </c>
      <c r="F103" s="1508"/>
      <c r="G103" s="1508"/>
      <c r="H103" s="1509"/>
      <c r="I103" s="1534" t="s">
        <v>1801</v>
      </c>
      <c r="J103" s="1534"/>
      <c r="K103" s="1534"/>
      <c r="L103" s="1534"/>
      <c r="M103" s="1534"/>
      <c r="N103" s="1534"/>
      <c r="O103" s="1255"/>
      <c r="Q103" s="1049"/>
    </row>
    <row r="104" spans="1:17" s="7" customFormat="1" ht="12.75" customHeight="1" x14ac:dyDescent="0.2">
      <c r="A104" s="746"/>
      <c r="B104" s="1524"/>
      <c r="C104" s="754"/>
      <c r="D104" s="606" t="s">
        <v>195</v>
      </c>
      <c r="E104" s="1508" t="str">
        <f>Translations!$B$92</f>
        <v>Pareigos</v>
      </c>
      <c r="F104" s="1508"/>
      <c r="G104" s="1508"/>
      <c r="H104" s="1509"/>
      <c r="I104" s="1534" t="s">
        <v>1802</v>
      </c>
      <c r="J104" s="1534"/>
      <c r="K104" s="1534"/>
      <c r="L104" s="1534"/>
      <c r="M104" s="1534"/>
      <c r="N104" s="1534"/>
      <c r="O104" s="1255"/>
      <c r="Q104" s="1049"/>
    </row>
    <row r="105" spans="1:17" s="7" customFormat="1" ht="12.75" customHeight="1" x14ac:dyDescent="0.2">
      <c r="A105" s="746"/>
      <c r="B105" s="1524"/>
      <c r="C105" s="754"/>
      <c r="D105" s="606" t="s">
        <v>196</v>
      </c>
      <c r="E105" s="1024" t="str">
        <f>Translations!$B$93</f>
        <v>Organizacijos pavadinimas (jei kita nei veiklos vykdytojas)</v>
      </c>
      <c r="F105" s="1024"/>
      <c r="G105" s="1024"/>
      <c r="H105" s="1025"/>
      <c r="I105" s="1534" t="s">
        <v>1820</v>
      </c>
      <c r="J105" s="1534"/>
      <c r="K105" s="1534"/>
      <c r="L105" s="1534"/>
      <c r="M105" s="1534"/>
      <c r="N105" s="1534"/>
      <c r="O105" s="1255"/>
      <c r="Q105" s="1049"/>
    </row>
    <row r="106" spans="1:17" s="7" customFormat="1" ht="12.75" customHeight="1" x14ac:dyDescent="0.2">
      <c r="A106" s="746"/>
      <c r="B106" s="1524"/>
      <c r="C106" s="754"/>
      <c r="D106" s="606" t="s">
        <v>197</v>
      </c>
      <c r="E106" s="1508" t="str">
        <f>Translations!$B$545</f>
        <v>El. paštas:</v>
      </c>
      <c r="F106" s="1508"/>
      <c r="G106" s="1508"/>
      <c r="H106" s="1509"/>
      <c r="I106" s="1522" t="s">
        <v>1803</v>
      </c>
      <c r="J106" s="1523"/>
      <c r="K106" s="1523"/>
      <c r="L106" s="1523"/>
      <c r="M106" s="1523"/>
      <c r="N106" s="1523"/>
      <c r="O106" s="1255"/>
      <c r="Q106" s="1049"/>
    </row>
    <row r="107" spans="1:17" s="7" customFormat="1" ht="12.75" customHeight="1" x14ac:dyDescent="0.2">
      <c r="A107" s="746"/>
      <c r="B107" s="1524"/>
      <c r="C107" s="754"/>
      <c r="D107" s="606" t="s">
        <v>198</v>
      </c>
      <c r="E107" s="1508" t="str">
        <f>Translations!$B$546</f>
        <v>Telefonas:</v>
      </c>
      <c r="F107" s="1508"/>
      <c r="G107" s="1508"/>
      <c r="H107" s="1509"/>
      <c r="I107" s="1520" t="s">
        <v>1804</v>
      </c>
      <c r="J107" s="1520"/>
      <c r="K107" s="1520"/>
      <c r="L107" s="1520"/>
      <c r="M107" s="1520"/>
      <c r="N107" s="1520"/>
      <c r="O107" s="1255"/>
      <c r="Q107" s="1049"/>
    </row>
    <row r="108" spans="1:17" s="7" customFormat="1" ht="12.75" customHeight="1" x14ac:dyDescent="0.2">
      <c r="A108" s="746"/>
      <c r="B108" s="1524"/>
      <c r="C108" s="754"/>
      <c r="D108" s="606" t="s">
        <v>324</v>
      </c>
      <c r="E108" s="1510" t="str">
        <f>Translations!$B$547</f>
        <v>Faksas:</v>
      </c>
      <c r="F108" s="1510"/>
      <c r="G108" s="1510"/>
      <c r="H108" s="1511"/>
      <c r="I108" s="1465" t="s">
        <v>1799</v>
      </c>
      <c r="J108" s="1465"/>
      <c r="K108" s="1465"/>
      <c r="L108" s="1465"/>
      <c r="M108" s="1465"/>
      <c r="N108" s="1465"/>
      <c r="O108" s="1255"/>
      <c r="Q108" s="1049"/>
    </row>
    <row r="109" spans="1:17" s="1" customFormat="1" x14ac:dyDescent="0.2">
      <c r="A109" s="741"/>
      <c r="B109" s="1250"/>
      <c r="C109" s="716"/>
      <c r="D109" s="164"/>
      <c r="E109" s="200"/>
      <c r="F109" s="200"/>
      <c r="G109" s="200"/>
      <c r="H109" s="200"/>
      <c r="I109" s="200"/>
      <c r="J109" s="200"/>
      <c r="K109" s="200"/>
      <c r="L109" s="200"/>
      <c r="M109" s="200"/>
      <c r="N109" s="200"/>
      <c r="O109" s="1251"/>
      <c r="Q109" s="1047"/>
    </row>
    <row r="110" spans="1:17" ht="15.75" x14ac:dyDescent="0.25">
      <c r="A110" s="741"/>
      <c r="B110" s="1254"/>
      <c r="C110" s="708">
        <v>5</v>
      </c>
      <c r="D110" s="1491" t="str">
        <f>Translations!$B$565</f>
        <v>Vertintojo kontaktiniai duomenys</v>
      </c>
      <c r="E110" s="1491"/>
      <c r="F110" s="1491"/>
      <c r="G110" s="1491"/>
      <c r="H110" s="1491"/>
      <c r="I110" s="1491"/>
      <c r="J110" s="1491"/>
      <c r="K110" s="1491"/>
      <c r="L110" s="1491"/>
      <c r="M110" s="1491"/>
      <c r="N110" s="1491"/>
      <c r="O110" s="1255"/>
    </row>
    <row r="111" spans="1:17" s="7" customFormat="1" ht="12.75" customHeight="1" x14ac:dyDescent="0.2">
      <c r="A111" s="746"/>
      <c r="B111" s="1524"/>
      <c r="C111" s="716"/>
      <c r="D111" s="164"/>
      <c r="E111" s="5"/>
      <c r="F111" s="5"/>
      <c r="G111" s="5"/>
      <c r="H111" s="5"/>
      <c r="I111" s="5"/>
      <c r="J111" s="5"/>
      <c r="K111" s="5"/>
      <c r="L111" s="5"/>
      <c r="M111" s="335"/>
      <c r="N111" s="335"/>
      <c r="O111" s="1281"/>
      <c r="Q111" s="1049"/>
    </row>
    <row r="112" spans="1:17" s="7" customFormat="1" ht="12.75" customHeight="1" x14ac:dyDescent="0.2">
      <c r="A112" s="746"/>
      <c r="B112" s="1524"/>
      <c r="C112" s="710"/>
      <c r="D112" s="498" t="s">
        <v>1</v>
      </c>
      <c r="E112" s="1521" t="str">
        <f>Translations!$B$566</f>
        <v>Vertintojo vardas, pavardė ir adresas:</v>
      </c>
      <c r="F112" s="1521"/>
      <c r="G112" s="1521"/>
      <c r="H112" s="1521"/>
      <c r="I112" s="1521"/>
      <c r="J112" s="1521"/>
      <c r="K112" s="1521"/>
      <c r="L112" s="1521"/>
      <c r="M112" s="1521"/>
      <c r="N112" s="1521"/>
      <c r="O112" s="1255"/>
      <c r="Q112" s="1049"/>
    </row>
    <row r="113" spans="1:17" s="7" customFormat="1" ht="12.75" customHeight="1" x14ac:dyDescent="0.2">
      <c r="A113" s="746"/>
      <c r="B113" s="1524"/>
      <c r="C113" s="710"/>
      <c r="D113" s="606" t="s">
        <v>4</v>
      </c>
      <c r="E113" s="1505" t="str">
        <f>Translations!$B$567</f>
        <v>Įmonės pavadinimas:</v>
      </c>
      <c r="F113" s="1505"/>
      <c r="G113" s="1505"/>
      <c r="H113" s="1506"/>
      <c r="I113" s="1499" t="s">
        <v>1805</v>
      </c>
      <c r="J113" s="1500"/>
      <c r="K113" s="1500"/>
      <c r="L113" s="1500"/>
      <c r="M113" s="1500"/>
      <c r="N113" s="1501"/>
      <c r="O113" s="1255"/>
      <c r="Q113" s="1049"/>
    </row>
    <row r="114" spans="1:17" s="7" customFormat="1" ht="12.75" customHeight="1" x14ac:dyDescent="0.2">
      <c r="A114" s="746"/>
      <c r="B114" s="1524"/>
      <c r="C114" s="710"/>
      <c r="D114" s="606" t="s">
        <v>5</v>
      </c>
      <c r="E114" s="1505" t="str">
        <f>Translations!$B$542</f>
        <v>Gatvė, numeris:</v>
      </c>
      <c r="F114" s="1505"/>
      <c r="G114" s="1505"/>
      <c r="H114" s="1506"/>
      <c r="I114" s="1502" t="s">
        <v>1806</v>
      </c>
      <c r="J114" s="1503"/>
      <c r="K114" s="1503"/>
      <c r="L114" s="1503"/>
      <c r="M114" s="1503"/>
      <c r="N114" s="1504"/>
      <c r="O114" s="1283"/>
      <c r="Q114" s="1049"/>
    </row>
    <row r="115" spans="1:17" s="7" customFormat="1" ht="12.75" customHeight="1" x14ac:dyDescent="0.2">
      <c r="A115" s="746"/>
      <c r="B115" s="1524"/>
      <c r="C115" s="710"/>
      <c r="D115" s="606" t="s">
        <v>194</v>
      </c>
      <c r="E115" s="1505" t="str">
        <f>Translations!$B$86</f>
        <v>Miestas:</v>
      </c>
      <c r="F115" s="1505"/>
      <c r="G115" s="1505"/>
      <c r="H115" s="1506"/>
      <c r="I115" s="1456" t="s">
        <v>1807</v>
      </c>
      <c r="J115" s="1457"/>
      <c r="K115" s="1457"/>
      <c r="L115" s="1457"/>
      <c r="M115" s="1457"/>
      <c r="N115" s="1458"/>
      <c r="O115" s="1255"/>
      <c r="Q115" s="1049"/>
    </row>
    <row r="116" spans="1:17" s="7" customFormat="1" ht="12.75" customHeight="1" x14ac:dyDescent="0.2">
      <c r="A116" s="746"/>
      <c r="B116" s="1524"/>
      <c r="C116" s="710"/>
      <c r="D116" s="606" t="s">
        <v>195</v>
      </c>
      <c r="E116" s="1505" t="str">
        <f>Translations!$B$543</f>
        <v>Pašto kodas:</v>
      </c>
      <c r="F116" s="1505"/>
      <c r="G116" s="1505"/>
      <c r="H116" s="1506"/>
      <c r="I116" s="1456" t="s">
        <v>1808</v>
      </c>
      <c r="J116" s="1457"/>
      <c r="K116" s="1457"/>
      <c r="L116" s="1457"/>
      <c r="M116" s="1457"/>
      <c r="N116" s="1458"/>
      <c r="O116" s="1255"/>
      <c r="Q116" s="1049"/>
    </row>
    <row r="117" spans="1:17" s="7" customFormat="1" ht="12.75" customHeight="1" x14ac:dyDescent="0.2">
      <c r="A117" s="746"/>
      <c r="B117" s="1524"/>
      <c r="C117" s="710"/>
      <c r="D117" s="606" t="s">
        <v>196</v>
      </c>
      <c r="E117" s="1462" t="str">
        <f>Translations!$B$88</f>
        <v>Šalis</v>
      </c>
      <c r="F117" s="1462"/>
      <c r="G117" s="1462"/>
      <c r="H117" s="1463"/>
      <c r="I117" s="1525" t="s">
        <v>1251</v>
      </c>
      <c r="J117" s="1526"/>
      <c r="K117" s="1526"/>
      <c r="L117" s="1526"/>
      <c r="M117" s="1526"/>
      <c r="N117" s="1527"/>
      <c r="O117" s="1283"/>
      <c r="Q117" s="1049"/>
    </row>
    <row r="118" spans="1:17" s="7" customFormat="1" ht="5.0999999999999996" customHeight="1" x14ac:dyDescent="0.2">
      <c r="A118" s="746"/>
      <c r="B118" s="1524"/>
      <c r="C118" s="710"/>
      <c r="D118" s="755"/>
      <c r="E118" s="5"/>
      <c r="F118" s="5"/>
      <c r="G118" s="335"/>
      <c r="H118" s="335"/>
      <c r="I118" s="5"/>
      <c r="J118" s="336"/>
      <c r="K118" s="5"/>
      <c r="L118" s="5"/>
      <c r="M118" s="335"/>
      <c r="N118" s="335"/>
      <c r="O118" s="1281"/>
      <c r="Q118" s="1049"/>
    </row>
    <row r="119" spans="1:17" s="7" customFormat="1" ht="12.75" customHeight="1" x14ac:dyDescent="0.2">
      <c r="A119" s="746"/>
      <c r="B119" s="1524"/>
      <c r="C119" s="710"/>
      <c r="D119" s="498" t="s">
        <v>2</v>
      </c>
      <c r="E119" s="1521" t="str">
        <f>Translations!$B$568</f>
        <v>Vertintojo kontaktinis asmuo:</v>
      </c>
      <c r="F119" s="1521"/>
      <c r="G119" s="1521"/>
      <c r="H119" s="1521"/>
      <c r="I119" s="1521"/>
      <c r="J119" s="1521"/>
      <c r="K119" s="1521"/>
      <c r="L119" s="1521"/>
      <c r="M119" s="1521"/>
      <c r="N119" s="1521"/>
      <c r="O119" s="1255"/>
      <c r="Q119" s="1049"/>
    </row>
    <row r="120" spans="1:17" s="7" customFormat="1" ht="12.75" customHeight="1" x14ac:dyDescent="0.2">
      <c r="A120" s="746"/>
      <c r="B120" s="1524"/>
      <c r="C120" s="710"/>
      <c r="D120" s="756"/>
      <c r="E120" s="1454" t="str">
        <f>Translations!$B$569</f>
        <v>Paskirtasis asmuo turėtų būti susipažinęs su šia ataskaita. Šis asmuo turi būti ES ATLPS vyriausiasis auditorius.</v>
      </c>
      <c r="F120" s="1454"/>
      <c r="G120" s="1454"/>
      <c r="H120" s="1454"/>
      <c r="I120" s="1454"/>
      <c r="J120" s="1454"/>
      <c r="K120" s="1454"/>
      <c r="L120" s="1454"/>
      <c r="M120" s="1454"/>
      <c r="N120" s="1454"/>
      <c r="O120" s="1255"/>
      <c r="Q120" s="1049"/>
    </row>
    <row r="121" spans="1:17" s="7" customFormat="1" ht="12.75" customHeight="1" x14ac:dyDescent="0.2">
      <c r="A121" s="746"/>
      <c r="B121" s="1524"/>
      <c r="C121" s="710"/>
      <c r="D121" s="606" t="s">
        <v>4</v>
      </c>
      <c r="E121" s="1505" t="str">
        <f>Translations!$B$570</f>
        <v>Vardas ir pavardė:</v>
      </c>
      <c r="F121" s="1505"/>
      <c r="G121" s="1505"/>
      <c r="H121" s="1506"/>
      <c r="I121" s="1499" t="s">
        <v>1809</v>
      </c>
      <c r="J121" s="1500"/>
      <c r="K121" s="1500"/>
      <c r="L121" s="1500"/>
      <c r="M121" s="1500"/>
      <c r="N121" s="1501"/>
      <c r="O121" s="1283"/>
      <c r="Q121" s="1049"/>
    </row>
    <row r="122" spans="1:17" s="7" customFormat="1" ht="12.75" customHeight="1" x14ac:dyDescent="0.2">
      <c r="A122" s="746"/>
      <c r="B122" s="1524"/>
      <c r="C122" s="710"/>
      <c r="D122" s="606" t="s">
        <v>5</v>
      </c>
      <c r="E122" s="1505" t="str">
        <f>Translations!$B$95</f>
        <v>El. paštas</v>
      </c>
      <c r="F122" s="1505"/>
      <c r="G122" s="1505"/>
      <c r="H122" s="1506"/>
      <c r="I122" s="1516" t="s">
        <v>1810</v>
      </c>
      <c r="J122" s="1503"/>
      <c r="K122" s="1503"/>
      <c r="L122" s="1503"/>
      <c r="M122" s="1503"/>
      <c r="N122" s="1504"/>
      <c r="O122" s="1283"/>
      <c r="Q122" s="1049"/>
    </row>
    <row r="123" spans="1:17" s="7" customFormat="1" ht="12.75" customHeight="1" x14ac:dyDescent="0.2">
      <c r="A123" s="746"/>
      <c r="B123" s="1524"/>
      <c r="C123" s="710"/>
      <c r="D123" s="606" t="s">
        <v>194</v>
      </c>
      <c r="E123" s="1505" t="str">
        <f>Translations!$B$94</f>
        <v>Telefono numeris</v>
      </c>
      <c r="F123" s="1505"/>
      <c r="G123" s="1505"/>
      <c r="H123" s="1506"/>
      <c r="I123" s="1531" t="s">
        <v>1811</v>
      </c>
      <c r="J123" s="1532"/>
      <c r="K123" s="1532"/>
      <c r="L123" s="1532"/>
      <c r="M123" s="1532"/>
      <c r="N123" s="1533"/>
      <c r="O123" s="1283"/>
      <c r="Q123" s="1049"/>
    </row>
    <row r="124" spans="1:17" s="7" customFormat="1" ht="12.75" customHeight="1" x14ac:dyDescent="0.2">
      <c r="A124" s="746"/>
      <c r="B124" s="1524"/>
      <c r="C124" s="710"/>
      <c r="D124" s="606" t="s">
        <v>195</v>
      </c>
      <c r="E124" s="1462" t="str">
        <f>Translations!$B$547</f>
        <v>Faksas:</v>
      </c>
      <c r="F124" s="1462"/>
      <c r="G124" s="1462"/>
      <c r="H124" s="1463"/>
      <c r="I124" s="1528"/>
      <c r="J124" s="1529"/>
      <c r="K124" s="1529"/>
      <c r="L124" s="1529"/>
      <c r="M124" s="1529"/>
      <c r="N124" s="1530"/>
      <c r="O124" s="1255"/>
      <c r="Q124" s="1049"/>
    </row>
    <row r="125" spans="1:17" s="7" customFormat="1" ht="5.0999999999999996" customHeight="1" x14ac:dyDescent="0.2">
      <c r="A125" s="746"/>
      <c r="B125" s="1524"/>
      <c r="C125" s="710"/>
      <c r="D125" s="755"/>
      <c r="E125" s="5"/>
      <c r="F125" s="5"/>
      <c r="G125" s="5"/>
      <c r="H125" s="5"/>
      <c r="I125" s="5"/>
      <c r="J125" s="336"/>
      <c r="K125" s="5"/>
      <c r="L125" s="5"/>
      <c r="M125" s="335"/>
      <c r="N125" s="335"/>
      <c r="O125" s="1281"/>
      <c r="Q125" s="1049"/>
    </row>
    <row r="126" spans="1:17" s="7" customFormat="1" ht="12.75" customHeight="1" x14ac:dyDescent="0.2">
      <c r="A126" s="746"/>
      <c r="B126" s="1524"/>
      <c r="C126" s="710"/>
      <c r="D126" s="494" t="s">
        <v>44</v>
      </c>
      <c r="E126" s="1521" t="str">
        <f>Translations!$B$571</f>
        <v>Informacija apie vertintojo akreditavimą arba sertifikavimą:</v>
      </c>
      <c r="F126" s="1521"/>
      <c r="G126" s="1521"/>
      <c r="H126" s="1521"/>
      <c r="I126" s="1521"/>
      <c r="J126" s="1521"/>
      <c r="K126" s="1521"/>
      <c r="L126" s="1521"/>
      <c r="M126" s="1521"/>
      <c r="N126" s="1521"/>
      <c r="O126" s="1255"/>
      <c r="Q126" s="1049"/>
    </row>
    <row r="127" spans="1:17" s="7" customFormat="1" ht="25.5" customHeight="1" x14ac:dyDescent="0.2">
      <c r="A127" s="746"/>
      <c r="B127" s="1524"/>
      <c r="C127" s="710"/>
      <c r="D127" s="606"/>
      <c r="E127" s="1454"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54"/>
      <c r="G127" s="1454"/>
      <c r="H127" s="1454"/>
      <c r="I127" s="1454"/>
      <c r="J127" s="1454"/>
      <c r="K127" s="1454"/>
      <c r="L127" s="1454"/>
      <c r="M127" s="1454"/>
      <c r="N127" s="1454"/>
      <c r="O127" s="1255"/>
      <c r="Q127" s="1049"/>
    </row>
    <row r="128" spans="1:17" s="7" customFormat="1" ht="12.75" customHeight="1" x14ac:dyDescent="0.2">
      <c r="A128" s="746"/>
      <c r="B128" s="1524"/>
      <c r="C128" s="710"/>
      <c r="D128" s="606"/>
      <c r="E128" s="1454" t="str">
        <f>Translations!$B$573</f>
        <v>Tokiais atvejais akreditavimas turėtų būti suprantamas kaip sertifikavimas, o akreditavimo įstaiga turėtų būti laikoma nacionaline valdžios institucija.</v>
      </c>
      <c r="F128" s="1454"/>
      <c r="G128" s="1454"/>
      <c r="H128" s="1454"/>
      <c r="I128" s="1454"/>
      <c r="J128" s="1454"/>
      <c r="K128" s="1454"/>
      <c r="L128" s="1454"/>
      <c r="M128" s="1454"/>
      <c r="N128" s="1454"/>
      <c r="O128" s="1255"/>
      <c r="Q128" s="1049"/>
    </row>
    <row r="129" spans="1:17" s="7" customFormat="1" ht="12.75" customHeight="1" x14ac:dyDescent="0.2">
      <c r="A129" s="746"/>
      <c r="B129" s="1524"/>
      <c r="C129" s="710"/>
      <c r="D129" s="756"/>
      <c r="E129" s="1454" t="str">
        <f>Translations!$B$574</f>
        <v>Tai, ar yra tokios registravimo informacijos, gali priklausyti nuo administruojančios valstybės narės taikomos vertintojų akreditavimo tvarkos.</v>
      </c>
      <c r="F129" s="1454"/>
      <c r="G129" s="1454"/>
      <c r="H129" s="1454"/>
      <c r="I129" s="1454"/>
      <c r="J129" s="1454"/>
      <c r="K129" s="1454"/>
      <c r="L129" s="1454"/>
      <c r="M129" s="1454"/>
      <c r="N129" s="1454"/>
      <c r="O129" s="1255"/>
      <c r="Q129" s="1049"/>
    </row>
    <row r="130" spans="1:17" s="7" customFormat="1" ht="12.75" customHeight="1" x14ac:dyDescent="0.2">
      <c r="A130" s="746"/>
      <c r="B130" s="1524"/>
      <c r="C130" s="710"/>
      <c r="D130" s="606" t="s">
        <v>4</v>
      </c>
      <c r="E130" s="1505" t="str">
        <f>Translations!$B$575</f>
        <v>Akreditacijos valstybė narė:</v>
      </c>
      <c r="F130" s="1505"/>
      <c r="G130" s="1505"/>
      <c r="H130" s="1506"/>
      <c r="I130" s="1499" t="s">
        <v>152</v>
      </c>
      <c r="J130" s="1500"/>
      <c r="K130" s="1500"/>
      <c r="L130" s="1500"/>
      <c r="M130" s="1500"/>
      <c r="N130" s="1501"/>
      <c r="O130" s="1255"/>
      <c r="Q130" s="1049"/>
    </row>
    <row r="131" spans="1:17" s="7" customFormat="1" ht="12.75" customHeight="1" x14ac:dyDescent="0.2">
      <c r="A131" s="746"/>
      <c r="B131" s="1524"/>
      <c r="C131" s="710"/>
      <c r="D131" s="606" t="s">
        <v>5</v>
      </c>
      <c r="E131" s="1462" t="str">
        <f>Translations!$B$576</f>
        <v>Akreditacijos įstaigos suteiktas registracijos numeris:</v>
      </c>
      <c r="F131" s="1462"/>
      <c r="G131" s="1462"/>
      <c r="H131" s="1463"/>
      <c r="I131" s="1525" t="s">
        <v>1812</v>
      </c>
      <c r="J131" s="1526"/>
      <c r="K131" s="1526"/>
      <c r="L131" s="1526"/>
      <c r="M131" s="1526"/>
      <c r="N131" s="1527"/>
      <c r="O131" s="1255"/>
      <c r="Q131" s="1049"/>
    </row>
    <row r="132" spans="1:17" s="1" customFormat="1" ht="12.75" customHeight="1" thickBot="1" x14ac:dyDescent="0.25">
      <c r="A132" s="757"/>
      <c r="B132" s="1254"/>
      <c r="C132" s="709"/>
      <c r="D132" s="491"/>
      <c r="E132" s="38"/>
      <c r="F132" s="36"/>
      <c r="G132" s="39"/>
      <c r="H132" s="39"/>
      <c r="I132" s="39"/>
      <c r="J132" s="39"/>
      <c r="K132" s="39"/>
      <c r="L132" s="39"/>
      <c r="M132" s="39"/>
      <c r="N132" s="39"/>
      <c r="O132" s="1255"/>
      <c r="Q132" s="1047"/>
    </row>
    <row r="133" spans="1:17" x14ac:dyDescent="0.2">
      <c r="A133" s="741"/>
      <c r="B133" s="1265"/>
      <c r="C133" s="1284"/>
      <c r="D133" s="1285"/>
      <c r="E133" s="1286"/>
      <c r="F133" s="1286"/>
      <c r="G133" s="1286"/>
      <c r="H133" s="1286"/>
      <c r="I133" s="1286"/>
      <c r="J133" s="1286"/>
      <c r="K133" s="1286"/>
      <c r="L133" s="1286"/>
      <c r="M133" s="1286"/>
      <c r="N133" s="1286"/>
      <c r="O133" s="1270"/>
    </row>
    <row r="134" spans="1:17" ht="15" customHeight="1" x14ac:dyDescent="0.2">
      <c r="A134" s="741"/>
      <c r="B134" s="7"/>
      <c r="C134" s="716"/>
      <c r="D134" s="745"/>
      <c r="E134" s="200"/>
      <c r="F134" s="1452" t="str">
        <f>EUconst_MsgNextSheet</f>
        <v xml:space="preserve">&lt;&lt;&lt; Į kitą lapą pereisite paspaudę čia &gt;&gt;&gt; </v>
      </c>
      <c r="G134" s="1452"/>
      <c r="H134" s="1452"/>
      <c r="I134" s="1452"/>
      <c r="J134" s="1452"/>
      <c r="K134" s="1452"/>
      <c r="L134" s="1452"/>
      <c r="M134" s="200"/>
      <c r="N134" s="200"/>
      <c r="O134" s="7"/>
    </row>
    <row r="135" spans="1:17" ht="13.5" thickBot="1" x14ac:dyDescent="0.25">
      <c r="A135" s="758"/>
    </row>
  </sheetData>
  <sheetProtection formatCells="0" formatColumns="0" formatRows="0"/>
  <mergeCells count="158">
    <mergeCell ref="B88:B108"/>
    <mergeCell ref="I105:N105"/>
    <mergeCell ref="E116:H116"/>
    <mergeCell ref="E115:H115"/>
    <mergeCell ref="I113:N113"/>
    <mergeCell ref="I114:N114"/>
    <mergeCell ref="E114:H114"/>
    <mergeCell ref="E49:H49"/>
    <mergeCell ref="E90:N90"/>
    <mergeCell ref="E100:N100"/>
    <mergeCell ref="E97:H97"/>
    <mergeCell ref="I103:N103"/>
    <mergeCell ref="I95:N95"/>
    <mergeCell ref="I94:N94"/>
    <mergeCell ref="E91:H91"/>
    <mergeCell ref="E103:H103"/>
    <mergeCell ref="E51:H51"/>
    <mergeCell ref="E92:H92"/>
    <mergeCell ref="I104:N104"/>
    <mergeCell ref="I54:N54"/>
    <mergeCell ref="E66:H66"/>
    <mergeCell ref="I63:N63"/>
    <mergeCell ref="E79:N79"/>
    <mergeCell ref="I80:N84"/>
    <mergeCell ref="B111:B131"/>
    <mergeCell ref="E131:H131"/>
    <mergeCell ref="I121:N121"/>
    <mergeCell ref="E124:H124"/>
    <mergeCell ref="I131:N131"/>
    <mergeCell ref="E117:H117"/>
    <mergeCell ref="E126:N126"/>
    <mergeCell ref="E120:N120"/>
    <mergeCell ref="I124:N124"/>
    <mergeCell ref="E119:N119"/>
    <mergeCell ref="E121:H121"/>
    <mergeCell ref="E128:N128"/>
    <mergeCell ref="E122:H122"/>
    <mergeCell ref="I123:N123"/>
    <mergeCell ref="I117:N117"/>
    <mergeCell ref="I130:N130"/>
    <mergeCell ref="E123:H123"/>
    <mergeCell ref="E107:H107"/>
    <mergeCell ref="E88:N88"/>
    <mergeCell ref="I92:N92"/>
    <mergeCell ref="I96:N96"/>
    <mergeCell ref="I91:N91"/>
    <mergeCell ref="E22:H22"/>
    <mergeCell ref="E53:H53"/>
    <mergeCell ref="I116:N116"/>
    <mergeCell ref="E130:H130"/>
    <mergeCell ref="I122:N122"/>
    <mergeCell ref="I101:N101"/>
    <mergeCell ref="I102:N102"/>
    <mergeCell ref="E113:H113"/>
    <mergeCell ref="I107:N107"/>
    <mergeCell ref="E108:H108"/>
    <mergeCell ref="D110:N110"/>
    <mergeCell ref="I108:N108"/>
    <mergeCell ref="E112:N112"/>
    <mergeCell ref="I106:N106"/>
    <mergeCell ref="E30:H30"/>
    <mergeCell ref="D37:N37"/>
    <mergeCell ref="E43:H43"/>
    <mergeCell ref="I45:N45"/>
    <mergeCell ref="E39:N39"/>
    <mergeCell ref="E106:H106"/>
    <mergeCell ref="D86:N86"/>
    <mergeCell ref="I98:N98"/>
    <mergeCell ref="E73:H73"/>
    <mergeCell ref="I73:N73"/>
    <mergeCell ref="E78:N78"/>
    <mergeCell ref="E98:H98"/>
    <mergeCell ref="E96:H96"/>
    <mergeCell ref="E101:H101"/>
    <mergeCell ref="E104:H104"/>
    <mergeCell ref="I97:N97"/>
    <mergeCell ref="E77:N77"/>
    <mergeCell ref="I93:N93"/>
    <mergeCell ref="E75:H75"/>
    <mergeCell ref="I71:N71"/>
    <mergeCell ref="E50:H50"/>
    <mergeCell ref="E54:H54"/>
    <mergeCell ref="I53:N53"/>
    <mergeCell ref="E57:N57"/>
    <mergeCell ref="I66:N66"/>
    <mergeCell ref="E71:H71"/>
    <mergeCell ref="E61:H61"/>
    <mergeCell ref="E65:H65"/>
    <mergeCell ref="E52:H52"/>
    <mergeCell ref="I65:N65"/>
    <mergeCell ref="I67:N67"/>
    <mergeCell ref="I68:N68"/>
    <mergeCell ref="I69:N69"/>
    <mergeCell ref="I56:L56"/>
    <mergeCell ref="E56:H56"/>
    <mergeCell ref="I51:N51"/>
    <mergeCell ref="I52:N52"/>
    <mergeCell ref="I26:N26"/>
    <mergeCell ref="I27:N27"/>
    <mergeCell ref="I29:N29"/>
    <mergeCell ref="E44:H44"/>
    <mergeCell ref="I30:N30"/>
    <mergeCell ref="I44:N44"/>
    <mergeCell ref="E26:H26"/>
    <mergeCell ref="E27:H27"/>
    <mergeCell ref="E28:H28"/>
    <mergeCell ref="E32:H32"/>
    <mergeCell ref="E33:H33"/>
    <mergeCell ref="E45:H45"/>
    <mergeCell ref="E29:H29"/>
    <mergeCell ref="E31:H31"/>
    <mergeCell ref="E47:J47"/>
    <mergeCell ref="I43:N43"/>
    <mergeCell ref="I33:N33"/>
    <mergeCell ref="E24:N24"/>
    <mergeCell ref="I22:J22"/>
    <mergeCell ref="E20:H20"/>
    <mergeCell ref="B2:D4"/>
    <mergeCell ref="I2:J2"/>
    <mergeCell ref="K4:L4"/>
    <mergeCell ref="M3:N3"/>
    <mergeCell ref="D13:N13"/>
    <mergeCell ref="D14:N14"/>
    <mergeCell ref="E2:F2"/>
    <mergeCell ref="I3:J3"/>
    <mergeCell ref="J9:K9"/>
    <mergeCell ref="E18:H18"/>
    <mergeCell ref="D9:H9"/>
    <mergeCell ref="D16:N16"/>
    <mergeCell ref="M4:N4"/>
    <mergeCell ref="I18:N18"/>
    <mergeCell ref="D12:N12"/>
    <mergeCell ref="C6:N6"/>
    <mergeCell ref="K22:N22"/>
    <mergeCell ref="E3:F3"/>
    <mergeCell ref="M2:N2"/>
    <mergeCell ref="G2:H2"/>
    <mergeCell ref="K2:L2"/>
    <mergeCell ref="G3:H3"/>
    <mergeCell ref="K3:L3"/>
    <mergeCell ref="F134:L134"/>
    <mergeCell ref="G4:H4"/>
    <mergeCell ref="E127:N127"/>
    <mergeCell ref="E129:N129"/>
    <mergeCell ref="E25:N25"/>
    <mergeCell ref="E4:F4"/>
    <mergeCell ref="I4:J4"/>
    <mergeCell ref="I115:N115"/>
    <mergeCell ref="I32:N32"/>
    <mergeCell ref="I50:N50"/>
    <mergeCell ref="E63:H63"/>
    <mergeCell ref="I20:N20"/>
    <mergeCell ref="E34:H34"/>
    <mergeCell ref="I34:N34"/>
    <mergeCell ref="I49:N49"/>
    <mergeCell ref="E59:J59"/>
    <mergeCell ref="I31:N31"/>
    <mergeCell ref="I28:N28"/>
  </mergeCells>
  <phoneticPr fontId="32" type="noConversion"/>
  <conditionalFormatting sqref="I63:N63 I65:N69">
    <cfRule type="expression" dxfId="182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 ref="I96" r:id="rId1"/>
    <hyperlink ref="I106" r:id="rId2"/>
    <hyperlink ref="I122" r:id="rId3"/>
  </hyperlinks>
  <pageMargins left="0.74803149606299213" right="0.74803149606299213" top="0.98425196850393704" bottom="0.98425196850393704" header="0.51181102362204722" footer="0.51181102362204722"/>
  <pageSetup paperSize="9" scale="57" fitToHeight="2" orientation="portrait" verticalDpi="300" r:id="rId4"/>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sheetPr>
  <dimension ref="A1:AC224"/>
  <sheetViews>
    <sheetView topLeftCell="B1" zoomScaleNormal="100" workbookViewId="0">
      <pane ySplit="4" topLeftCell="A164" activePane="bottomLeft" state="frozen"/>
      <selection activeCell="B2" sqref="B2"/>
      <selection pane="bottomLeft" activeCell="L73" sqref="L73:M73"/>
    </sheetView>
  </sheetViews>
  <sheetFormatPr defaultColWidth="11.42578125" defaultRowHeight="12.75" outlineLevelRow="1" x14ac:dyDescent="0.2"/>
  <cols>
    <col min="1" max="1" width="2.7109375" style="197" hidden="1" customWidth="1"/>
    <col min="2" max="2" width="5.7109375" style="196" customWidth="1"/>
    <col min="3" max="3" width="5.7109375" style="712" customWidth="1"/>
    <col min="4" max="4" width="6.5703125" style="715" bestFit="1" customWidth="1"/>
    <col min="5" max="14" width="12.7109375" style="196" customWidth="1"/>
    <col min="15" max="15" width="7.7109375" style="196" customWidth="1"/>
    <col min="16" max="16" width="39" style="197" hidden="1" customWidth="1"/>
    <col min="17" max="28" width="12.7109375" style="197" hidden="1" customWidth="1"/>
    <col min="29" max="29" width="4.7109375" style="196" customWidth="1"/>
    <col min="30" max="16384" width="11.42578125" style="196"/>
  </cols>
  <sheetData>
    <row r="1" spans="1:28" s="1" customFormat="1" ht="13.5" hidden="1" thickBot="1" x14ac:dyDescent="0.25">
      <c r="A1" s="45" t="s">
        <v>85</v>
      </c>
      <c r="B1" s="759"/>
      <c r="C1" s="736"/>
      <c r="D1" s="760"/>
      <c r="E1" s="735"/>
      <c r="F1" s="735"/>
      <c r="G1" s="738"/>
      <c r="H1" s="738"/>
      <c r="I1" s="735"/>
      <c r="J1" s="735"/>
      <c r="K1" s="735"/>
      <c r="L1" s="735"/>
      <c r="M1" s="735"/>
      <c r="N1" s="735"/>
      <c r="O1" s="739"/>
      <c r="P1" s="47" t="s">
        <v>85</v>
      </c>
      <c r="Q1" s="47" t="s">
        <v>85</v>
      </c>
      <c r="R1" s="47" t="s">
        <v>85</v>
      </c>
      <c r="S1" s="47" t="s">
        <v>85</v>
      </c>
      <c r="T1" s="47" t="s">
        <v>85</v>
      </c>
      <c r="U1" s="47" t="s">
        <v>85</v>
      </c>
      <c r="V1" s="47" t="s">
        <v>85</v>
      </c>
      <c r="W1" s="47" t="s">
        <v>85</v>
      </c>
      <c r="X1" s="47" t="s">
        <v>85</v>
      </c>
      <c r="Y1" s="47" t="s">
        <v>85</v>
      </c>
      <c r="Z1" s="47" t="s">
        <v>85</v>
      </c>
      <c r="AA1" s="47" t="s">
        <v>85</v>
      </c>
      <c r="AB1" s="47" t="s">
        <v>85</v>
      </c>
    </row>
    <row r="2" spans="1:28" s="1" customFormat="1" ht="24.95" customHeight="1" thickBot="1" x14ac:dyDescent="0.25">
      <c r="A2" s="47"/>
      <c r="B2" s="1476" t="str">
        <f>Translations!$B$577</f>
        <v>B.
Installation Description (Įrenginio aprašas)</v>
      </c>
      <c r="C2" s="1477"/>
      <c r="D2" s="1478"/>
      <c r="E2" s="1488" t="str">
        <f>Translations!$B$23</f>
        <v>Naršymo laukas</v>
      </c>
      <c r="F2" s="1444"/>
      <c r="G2" s="1426" t="str">
        <f>Translations!$B$24</f>
        <v>Turinys</v>
      </c>
      <c r="H2" s="1427"/>
      <c r="I2" s="1426" t="str">
        <f>Translations!$B$25</f>
        <v>Ankstesnis lapas</v>
      </c>
      <c r="J2" s="1427"/>
      <c r="K2" s="1426" t="str">
        <f>Translations!$B$26</f>
        <v>Kitas lapas</v>
      </c>
      <c r="L2" s="1427"/>
      <c r="M2" s="1426"/>
      <c r="N2" s="1427"/>
      <c r="O2" s="721"/>
      <c r="P2" s="45"/>
      <c r="Q2" s="45"/>
      <c r="R2" s="45"/>
      <c r="S2" s="45"/>
      <c r="T2" s="45"/>
      <c r="U2" s="45"/>
      <c r="V2" s="45"/>
      <c r="W2" s="45"/>
      <c r="X2" s="45"/>
      <c r="Y2" s="45"/>
      <c r="Z2" s="45"/>
      <c r="AA2" s="45"/>
      <c r="AB2" s="45"/>
    </row>
    <row r="3" spans="1:28" s="1" customFormat="1" ht="24.95" customHeight="1" x14ac:dyDescent="0.2">
      <c r="A3" s="47"/>
      <c r="B3" s="1479"/>
      <c r="C3" s="1480"/>
      <c r="D3" s="1481"/>
      <c r="E3" s="1431" t="str">
        <f>Translations!$B$27</f>
        <v>Lapo viršus</v>
      </c>
      <c r="F3" s="1431"/>
      <c r="G3" s="1431" t="str">
        <f>Translations!$B$578</f>
        <v>Veiklos sritys</v>
      </c>
      <c r="H3" s="1431"/>
      <c r="I3" s="1431" t="str">
        <f>Translations!$B$579</f>
        <v>Stebėsenos metodas</v>
      </c>
      <c r="J3" s="1431"/>
      <c r="K3" s="1431" t="str">
        <f>Translations!$B$580</f>
        <v>Sukėlikliai</v>
      </c>
      <c r="L3" s="1431"/>
      <c r="M3" s="1431"/>
      <c r="N3" s="1431"/>
      <c r="O3" s="721"/>
      <c r="P3" s="45"/>
      <c r="Q3" s="45"/>
      <c r="R3" s="45"/>
      <c r="S3" s="45"/>
      <c r="T3" s="45"/>
      <c r="U3" s="45"/>
      <c r="V3" s="45"/>
      <c r="W3" s="45"/>
      <c r="X3" s="45"/>
      <c r="Y3" s="45"/>
      <c r="Z3" s="45"/>
      <c r="AA3" s="45"/>
      <c r="AB3" s="45"/>
    </row>
    <row r="4" spans="1:28" s="1" customFormat="1" ht="24.95" customHeight="1" x14ac:dyDescent="0.2">
      <c r="A4" s="47"/>
      <c r="B4" s="1479"/>
      <c r="C4" s="1480"/>
      <c r="D4" s="1481"/>
      <c r="E4" s="1439" t="str">
        <f>Translations!$B$28</f>
        <v>Lapo galas</v>
      </c>
      <c r="F4" s="1439"/>
      <c r="G4" s="1439" t="str">
        <f>Translations!$B$97</f>
        <v>Matavimo taškai</v>
      </c>
      <c r="H4" s="1439"/>
      <c r="I4" s="1439"/>
      <c r="J4" s="1439"/>
      <c r="K4" s="1439"/>
      <c r="L4" s="1439"/>
      <c r="M4" s="1439"/>
      <c r="N4" s="1439"/>
      <c r="O4" s="721"/>
      <c r="P4" s="45"/>
      <c r="Q4" s="45"/>
      <c r="R4" s="45"/>
      <c r="S4" s="45"/>
      <c r="T4" s="45"/>
      <c r="U4" s="45"/>
      <c r="V4" s="45"/>
      <c r="W4" s="45"/>
      <c r="X4" s="45"/>
      <c r="Y4" s="45"/>
      <c r="Z4" s="45"/>
      <c r="AA4" s="45"/>
      <c r="AB4" s="45"/>
    </row>
    <row r="5" spans="1:28" s="1" customFormat="1" ht="12.75" customHeight="1" x14ac:dyDescent="0.2">
      <c r="A5" s="45"/>
      <c r="B5" s="1241"/>
      <c r="C5" s="1242"/>
      <c r="D5" s="1243"/>
      <c r="E5" s="1244"/>
      <c r="F5" s="1245"/>
      <c r="G5" s="1245"/>
      <c r="H5" s="1245"/>
      <c r="I5" s="1244"/>
      <c r="J5" s="1244"/>
      <c r="K5" s="1244"/>
      <c r="L5" s="1244"/>
      <c r="M5" s="1246"/>
      <c r="N5" s="1246"/>
      <c r="O5" s="1247"/>
      <c r="P5" s="45"/>
      <c r="Q5" s="45"/>
      <c r="R5" s="45"/>
      <c r="S5" s="45"/>
      <c r="T5" s="45"/>
      <c r="U5" s="45"/>
      <c r="V5" s="45"/>
      <c r="W5" s="45"/>
      <c r="X5" s="45"/>
      <c r="Y5" s="45"/>
      <c r="Z5" s="45"/>
      <c r="AA5" s="45"/>
      <c r="AB5" s="45"/>
    </row>
    <row r="6" spans="1:28" s="28" customFormat="1" ht="25.5" customHeight="1" x14ac:dyDescent="0.2">
      <c r="A6" s="168"/>
      <c r="B6" s="1248"/>
      <c r="C6" s="1492" t="str">
        <f>Translations!$B$496</f>
        <v>B. Įrenginio aprašas</v>
      </c>
      <c r="D6" s="1492"/>
      <c r="E6" s="1492"/>
      <c r="F6" s="1492"/>
      <c r="G6" s="1492"/>
      <c r="H6" s="1492"/>
      <c r="I6" s="1492"/>
      <c r="J6" s="1492"/>
      <c r="K6" s="1492"/>
      <c r="L6" s="1492"/>
      <c r="M6" s="1492"/>
      <c r="N6" s="1492"/>
      <c r="O6" s="1249"/>
      <c r="P6" s="45"/>
      <c r="Q6" s="45"/>
      <c r="R6" s="45"/>
      <c r="S6" s="45"/>
      <c r="T6" s="45"/>
      <c r="U6" s="45"/>
      <c r="V6" s="45"/>
      <c r="W6" s="45"/>
      <c r="X6" s="45"/>
      <c r="Y6" s="45"/>
      <c r="Z6" s="45"/>
      <c r="AA6" s="45"/>
      <c r="AB6" s="45"/>
    </row>
    <row r="7" spans="1:28" s="28" customFormat="1" ht="12.75" customHeight="1" x14ac:dyDescent="0.2">
      <c r="A7" s="168"/>
      <c r="B7" s="1248"/>
      <c r="C7" s="744"/>
      <c r="D7" s="743"/>
      <c r="E7" s="743"/>
      <c r="F7" s="743"/>
      <c r="G7" s="743"/>
      <c r="H7" s="743"/>
      <c r="I7" s="743"/>
      <c r="J7" s="743"/>
      <c r="K7" s="743"/>
      <c r="L7" s="743"/>
      <c r="M7" s="743"/>
      <c r="N7" s="743"/>
      <c r="O7" s="1249"/>
      <c r="P7" s="45"/>
      <c r="Q7" s="45"/>
      <c r="R7" s="45"/>
      <c r="S7" s="45"/>
      <c r="T7" s="45"/>
      <c r="U7" s="45"/>
      <c r="V7" s="45"/>
      <c r="W7" s="45"/>
      <c r="X7" s="45"/>
      <c r="Y7" s="45"/>
      <c r="Z7" s="45"/>
      <c r="AA7" s="45"/>
      <c r="AB7" s="45"/>
    </row>
    <row r="8" spans="1:28" s="28" customFormat="1" ht="18.75" customHeight="1" x14ac:dyDescent="0.2">
      <c r="A8" s="168"/>
      <c r="B8" s="1248"/>
      <c r="C8" s="708">
        <v>6</v>
      </c>
      <c r="D8" s="1592" t="str">
        <f>Translations!$B$581</f>
        <v>Veiklos sritys pagal ES ATLPS direktyvos I priedą</v>
      </c>
      <c r="E8" s="1592"/>
      <c r="F8" s="1592"/>
      <c r="G8" s="1592"/>
      <c r="H8" s="1592"/>
      <c r="I8" s="1592"/>
      <c r="J8" s="1592"/>
      <c r="K8" s="1592"/>
      <c r="L8" s="1592"/>
      <c r="M8" s="1592"/>
      <c r="N8" s="1592"/>
      <c r="O8" s="1249"/>
      <c r="P8" s="45"/>
      <c r="Q8" s="45"/>
      <c r="R8" s="45"/>
      <c r="S8" s="45"/>
      <c r="T8" s="45"/>
      <c r="U8" s="45"/>
      <c r="V8" s="45"/>
      <c r="W8" s="45"/>
      <c r="X8" s="45"/>
      <c r="Y8" s="45"/>
      <c r="Z8" s="45"/>
      <c r="AA8" s="45"/>
      <c r="AB8" s="45"/>
    </row>
    <row r="9" spans="1:28" s="28" customFormat="1" ht="5.0999999999999996" customHeight="1" x14ac:dyDescent="0.2">
      <c r="A9" s="168"/>
      <c r="B9" s="1248"/>
      <c r="C9" s="164"/>
      <c r="D9" s="200"/>
      <c r="E9" s="200"/>
      <c r="F9" s="200"/>
      <c r="G9" s="200"/>
      <c r="H9" s="200"/>
      <c r="I9" s="200"/>
      <c r="J9" s="200"/>
      <c r="K9" s="200"/>
      <c r="L9" s="200"/>
      <c r="M9" s="200"/>
      <c r="N9" s="200"/>
      <c r="O9" s="1249"/>
      <c r="P9" s="45"/>
      <c r="Q9" s="45"/>
      <c r="R9" s="45"/>
      <c r="S9" s="45"/>
      <c r="T9" s="45"/>
      <c r="U9" s="45"/>
      <c r="V9" s="45"/>
      <c r="W9" s="45"/>
      <c r="X9" s="45"/>
      <c r="Y9" s="45"/>
      <c r="Z9" s="45"/>
      <c r="AA9" s="45"/>
      <c r="AB9" s="45"/>
    </row>
    <row r="10" spans="1:28" s="1" customFormat="1" ht="12.75" customHeight="1" x14ac:dyDescent="0.2">
      <c r="A10" s="45"/>
      <c r="B10" s="1250"/>
      <c r="C10" s="716"/>
      <c r="D10" s="164"/>
      <c r="E10" s="1570" t="str">
        <f>Translations!$B$99</f>
        <v>Apie kiekvieną jūsų įrenginyje vykdomą į ES ATLPS direktyvos I priedą įtrauktą veiklos rūšį pateikite šias technines detales.</v>
      </c>
      <c r="F10" s="1570"/>
      <c r="G10" s="1570"/>
      <c r="H10" s="1570"/>
      <c r="I10" s="1570"/>
      <c r="J10" s="1570"/>
      <c r="K10" s="1570"/>
      <c r="L10" s="1570"/>
      <c r="M10" s="1570"/>
      <c r="N10" s="1570"/>
      <c r="O10" s="1251"/>
      <c r="P10" s="45"/>
      <c r="Q10" s="45"/>
      <c r="R10" s="45"/>
      <c r="S10" s="45"/>
      <c r="T10" s="45"/>
      <c r="U10" s="45"/>
      <c r="V10" s="45"/>
      <c r="W10" s="45"/>
      <c r="X10" s="45"/>
      <c r="Y10" s="45"/>
      <c r="Z10" s="45"/>
      <c r="AA10" s="45"/>
      <c r="AB10" s="45"/>
    </row>
    <row r="11" spans="1:28" s="1" customFormat="1" ht="15" customHeight="1" x14ac:dyDescent="0.2">
      <c r="A11" s="45"/>
      <c r="B11" s="1250"/>
      <c r="C11" s="716"/>
      <c r="D11" s="164"/>
      <c r="E11" s="1570" t="str">
        <f>Translations!$B$100</f>
        <v>Taip pat nurodykite kiekvienos jūsų įrenginyje vykdomos į I priedą įtrauktos veiklos pajėgumą.</v>
      </c>
      <c r="F11" s="1570"/>
      <c r="G11" s="1570"/>
      <c r="H11" s="1570"/>
      <c r="I11" s="1570"/>
      <c r="J11" s="1570"/>
      <c r="K11" s="1570"/>
      <c r="L11" s="1570"/>
      <c r="M11" s="1570"/>
      <c r="N11" s="1570"/>
      <c r="O11" s="1251"/>
      <c r="P11" s="45"/>
      <c r="Q11" s="45"/>
      <c r="R11" s="45"/>
      <c r="S11" s="45"/>
      <c r="T11" s="45"/>
      <c r="U11" s="45"/>
      <c r="V11" s="45"/>
      <c r="W11" s="45"/>
      <c r="X11" s="45"/>
      <c r="Y11" s="45"/>
      <c r="Z11" s="45"/>
      <c r="AA11" s="45"/>
      <c r="AB11" s="45"/>
    </row>
    <row r="12" spans="1:28" s="1" customFormat="1" ht="12.75" customHeight="1" x14ac:dyDescent="0.2">
      <c r="A12" s="45"/>
      <c r="B12" s="1250"/>
      <c r="C12" s="716"/>
      <c r="D12" s="164"/>
      <c r="E12" s="1570" t="str">
        <f>Translations!$B$101</f>
        <v>Atkreipkite dėmesį, kad šiame kontekste „pajėgumas“ reiškia:</v>
      </c>
      <c r="F12" s="1570"/>
      <c r="G12" s="1570"/>
      <c r="H12" s="1570"/>
      <c r="I12" s="1570"/>
      <c r="J12" s="1570"/>
      <c r="K12" s="1570"/>
      <c r="L12" s="1570"/>
      <c r="M12" s="1570"/>
      <c r="N12" s="1570"/>
      <c r="O12" s="1251"/>
      <c r="P12" s="45"/>
      <c r="Q12" s="45"/>
      <c r="R12" s="45"/>
      <c r="S12" s="45"/>
      <c r="T12" s="45"/>
      <c r="U12" s="45"/>
      <c r="V12" s="45"/>
      <c r="W12" s="45"/>
      <c r="X12" s="45"/>
      <c r="Y12" s="45"/>
      <c r="Z12" s="45"/>
      <c r="AA12" s="45"/>
      <c r="AB12" s="45"/>
    </row>
    <row r="13" spans="1:28" s="1" customFormat="1" ht="25.5" customHeight="1" x14ac:dyDescent="0.2">
      <c r="A13" s="45"/>
      <c r="B13" s="1250"/>
      <c r="C13" s="716"/>
      <c r="D13" s="164"/>
      <c r="E13" s="203" t="s">
        <v>258</v>
      </c>
      <c r="F13" s="1570"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70"/>
      <c r="H13" s="1570"/>
      <c r="I13" s="1570"/>
      <c r="J13" s="1570"/>
      <c r="K13" s="1570"/>
      <c r="L13" s="1570"/>
      <c r="M13" s="1570"/>
      <c r="N13" s="1570"/>
      <c r="O13" s="1251"/>
      <c r="P13" s="45"/>
      <c r="Q13" s="45"/>
      <c r="R13" s="45"/>
      <c r="S13" s="45"/>
      <c r="T13" s="45"/>
      <c r="U13" s="45"/>
      <c r="V13" s="45"/>
      <c r="W13" s="45"/>
      <c r="X13" s="45"/>
      <c r="Y13" s="45"/>
      <c r="Z13" s="45"/>
      <c r="AA13" s="45"/>
      <c r="AB13" s="45"/>
    </row>
    <row r="14" spans="1:28" s="1" customFormat="1" ht="12.75" customHeight="1" x14ac:dyDescent="0.2">
      <c r="A14" s="45"/>
      <c r="B14" s="1250"/>
      <c r="C14" s="716"/>
      <c r="D14" s="164"/>
      <c r="E14" s="203" t="s">
        <v>258</v>
      </c>
      <c r="F14" s="1570" t="str">
        <f>Translations!$B$103</f>
        <v xml:space="preserve">Gamybos pajėgumas tų I priede nurodytų veiklos rūšių atveju, kai ATLPS taikymas priklauso nuo gamybos pajėgumo. </v>
      </c>
      <c r="G14" s="1570"/>
      <c r="H14" s="1570"/>
      <c r="I14" s="1570"/>
      <c r="J14" s="1570"/>
      <c r="K14" s="1570"/>
      <c r="L14" s="1570"/>
      <c r="M14" s="1570"/>
      <c r="N14" s="1570"/>
      <c r="O14" s="1251"/>
      <c r="P14" s="812"/>
      <c r="Q14" s="45"/>
      <c r="R14" s="45"/>
      <c r="S14" s="45"/>
      <c r="T14" s="45"/>
      <c r="U14" s="45"/>
      <c r="V14" s="45"/>
      <c r="W14" s="45"/>
      <c r="X14" s="45"/>
      <c r="Y14" s="45"/>
      <c r="Z14" s="45"/>
      <c r="AA14" s="45"/>
      <c r="AB14" s="45"/>
    </row>
    <row r="15" spans="1:28" s="1" customFormat="1" ht="25.5" customHeight="1" x14ac:dyDescent="0.2">
      <c r="A15" s="45"/>
      <c r="B15" s="1250"/>
      <c r="C15" s="716"/>
      <c r="D15" s="164"/>
      <c r="E15" s="1570" t="str">
        <f>Translations!$B$104</f>
        <v>Įrenginio ribas prašome nurodyti  teisingai ir taip, kad jos atitiktų ES ATLPS direktyvos I priedą. Daugiau informacijos rasite Komisijos gairių dėl I priedo aiškinimo atitinkamuose skirsniuose. Tas dokumentas pateikiamas adresu</v>
      </c>
      <c r="F15" s="1570"/>
      <c r="G15" s="1570"/>
      <c r="H15" s="1570"/>
      <c r="I15" s="1570"/>
      <c r="J15" s="1570"/>
      <c r="K15" s="1570"/>
      <c r="L15" s="1570"/>
      <c r="M15" s="1570"/>
      <c r="N15" s="1570"/>
      <c r="O15" s="1251"/>
      <c r="P15" s="47"/>
      <c r="Q15" s="45"/>
      <c r="R15" s="45"/>
      <c r="S15" s="45"/>
      <c r="T15" s="45"/>
      <c r="U15" s="45"/>
      <c r="V15" s="45"/>
      <c r="W15" s="45"/>
      <c r="X15" s="45"/>
      <c r="Y15" s="45"/>
      <c r="Z15" s="45"/>
      <c r="AA15" s="45"/>
      <c r="AB15" s="45"/>
    </row>
    <row r="16" spans="1:28" s="1" customFormat="1" ht="15" customHeight="1" x14ac:dyDescent="0.2">
      <c r="A16" s="45"/>
      <c r="B16" s="1250"/>
      <c r="C16" s="716"/>
      <c r="D16" s="164"/>
      <c r="E16" s="1593" t="str">
        <f>Translations!$B$105</f>
        <v xml:space="preserve">http://ec.europa.eu/clima/policies/ets/docs/guidance_interpretation_en.pdf </v>
      </c>
      <c r="F16" s="1593"/>
      <c r="G16" s="1593"/>
      <c r="H16" s="1593"/>
      <c r="I16" s="1593"/>
      <c r="J16" s="1593"/>
      <c r="K16" s="1593"/>
      <c r="L16" s="1593"/>
      <c r="M16" s="1593"/>
      <c r="N16" s="1593"/>
      <c r="O16" s="1251"/>
      <c r="P16" s="45"/>
      <c r="Q16" s="45"/>
      <c r="R16" s="45"/>
      <c r="S16" s="45"/>
      <c r="T16" s="45"/>
      <c r="U16" s="45"/>
      <c r="V16" s="45"/>
      <c r="W16" s="45"/>
      <c r="X16" s="45"/>
      <c r="Y16" s="45"/>
      <c r="Z16" s="45"/>
      <c r="AA16" s="45"/>
      <c r="AB16" s="45"/>
    </row>
    <row r="17" spans="1:28" s="1" customFormat="1" ht="12.75" customHeight="1" x14ac:dyDescent="0.2">
      <c r="A17" s="45"/>
      <c r="B17" s="1250"/>
      <c r="C17" s="716"/>
      <c r="D17" s="720"/>
      <c r="E17" s="1590" t="str">
        <f>Translations!$B$106</f>
        <v>Čia įrašytas sąrašas toliau lentelėse, kuriose aprašant įrenginį reikia pateikti veiklos nuorodą, bus pateiktas kaip išskleidžiamasis sąrašas.</v>
      </c>
      <c r="F17" s="1591"/>
      <c r="G17" s="1591"/>
      <c r="H17" s="1591"/>
      <c r="I17" s="1591"/>
      <c r="J17" s="1591"/>
      <c r="K17" s="1591"/>
      <c r="L17" s="1591"/>
      <c r="M17" s="1591"/>
      <c r="N17" s="1591"/>
      <c r="O17" s="1252"/>
      <c r="P17" s="45"/>
      <c r="Q17" s="45"/>
      <c r="R17" s="45"/>
      <c r="S17" s="45"/>
      <c r="T17" s="45"/>
      <c r="U17" s="45"/>
      <c r="V17" s="45"/>
      <c r="W17" s="45"/>
      <c r="X17" s="45"/>
      <c r="Y17" s="45"/>
      <c r="Z17" s="45"/>
      <c r="AA17" s="45"/>
      <c r="AB17" s="45"/>
    </row>
    <row r="18" spans="1:28" s="1" customFormat="1" ht="12.75" customHeight="1" x14ac:dyDescent="0.2">
      <c r="A18" s="45"/>
      <c r="B18" s="1250"/>
      <c r="C18" s="716"/>
      <c r="D18" s="720"/>
      <c r="E18" s="1568" t="str">
        <f>Translations!$B$582</f>
        <v>Atkreipkite dėmesį, kad, atsižvelgiant į čia padarytus įrašus, tam tikrais atvejais gali būti pateikiami iš 7 dalies b punkto iškleidžiamojo sąrašo paimti veiklai būdingi sukėliklių tipai.</v>
      </c>
      <c r="F18" s="1569"/>
      <c r="G18" s="1569"/>
      <c r="H18" s="1569"/>
      <c r="I18" s="1569"/>
      <c r="J18" s="1569"/>
      <c r="K18" s="1569"/>
      <c r="L18" s="1569"/>
      <c r="M18" s="1569"/>
      <c r="N18" s="1569"/>
      <c r="O18" s="1253"/>
      <c r="P18" s="45"/>
      <c r="Q18" s="45"/>
      <c r="R18" s="45"/>
      <c r="S18" s="45"/>
      <c r="T18" s="45"/>
      <c r="U18" s="45"/>
      <c r="V18" s="45"/>
      <c r="W18" s="45"/>
      <c r="X18" s="45"/>
      <c r="Y18" s="45"/>
      <c r="Z18" s="45"/>
      <c r="AA18" s="45"/>
      <c r="AB18" s="45"/>
    </row>
    <row r="19" spans="1:28" s="1" customFormat="1" ht="5.0999999999999996" customHeight="1" x14ac:dyDescent="0.2">
      <c r="A19" s="45"/>
      <c r="B19" s="1250"/>
      <c r="C19" s="716"/>
      <c r="D19" s="720"/>
      <c r="E19" s="280"/>
      <c r="F19" s="239"/>
      <c r="G19" s="239"/>
      <c r="H19" s="239"/>
      <c r="I19" s="239"/>
      <c r="J19" s="239"/>
      <c r="K19" s="239"/>
      <c r="L19" s="239"/>
      <c r="M19" s="239"/>
      <c r="N19" s="239"/>
      <c r="O19" s="1253"/>
      <c r="P19" s="45"/>
      <c r="Q19" s="45"/>
      <c r="R19" s="45"/>
      <c r="S19" s="45"/>
      <c r="T19" s="45"/>
      <c r="U19" s="45"/>
      <c r="V19" s="45"/>
      <c r="W19" s="45"/>
      <c r="X19" s="45"/>
      <c r="Y19" s="45"/>
      <c r="Z19" s="45"/>
      <c r="AA19" s="45"/>
      <c r="AB19" s="45"/>
    </row>
    <row r="20" spans="1:28" s="1" customFormat="1" ht="25.5" customHeight="1" x14ac:dyDescent="0.2">
      <c r="A20" s="45"/>
      <c r="B20" s="1250"/>
      <c r="C20" s="716"/>
      <c r="D20" s="720"/>
      <c r="E20" s="1568" t="str">
        <f>Translations!$B$583</f>
        <v>Atminkite, kad, teikiant ataskaitas pagal BAF kategorijas, gali reikėti nurodyti su energija susijusį (1 kategorija) išmetamųjų ŠESD kiekį ir su procesu susijusį (pvz., karbonatų skilimas, 2 kategorija) išmetamųjų ŠESD kiekį.</v>
      </c>
      <c r="F20" s="1569"/>
      <c r="G20" s="1569"/>
      <c r="H20" s="1569"/>
      <c r="I20" s="1569"/>
      <c r="J20" s="1569"/>
      <c r="K20" s="1569"/>
      <c r="L20" s="1569"/>
      <c r="M20" s="1569"/>
      <c r="N20" s="1569"/>
      <c r="O20" s="1253"/>
      <c r="P20" s="45"/>
      <c r="Q20" s="45"/>
      <c r="R20" s="45"/>
      <c r="S20" s="45"/>
      <c r="T20" s="45"/>
      <c r="U20" s="45"/>
      <c r="V20" s="45"/>
      <c r="W20" s="45"/>
      <c r="X20" s="45"/>
      <c r="Y20" s="45"/>
      <c r="Z20" s="45"/>
      <c r="AA20" s="45"/>
      <c r="AB20" s="45"/>
    </row>
    <row r="21" spans="1:28" ht="25.5" customHeight="1" x14ac:dyDescent="0.2">
      <c r="A21" s="741"/>
      <c r="B21" s="1254"/>
      <c r="C21" s="716"/>
      <c r="D21" s="196"/>
      <c r="E21" s="1602" t="str">
        <f>Translations!$B$537</f>
        <v>Apie atsakingų asmenų, įmonės pavadinimo ir kitų kontaktinių duomenų pasikeitimą pranešti Aplinkos apsaugos agentūrai, Klimato kaitos skyriui</v>
      </c>
      <c r="F21" s="1602"/>
      <c r="G21" s="1602"/>
      <c r="H21" s="1602"/>
      <c r="I21" s="1602"/>
      <c r="J21" s="1602"/>
      <c r="K21" s="1602"/>
      <c r="L21" s="1602"/>
      <c r="M21" s="1602"/>
      <c r="N21" s="1602"/>
      <c r="O21" s="1255"/>
      <c r="P21" s="45"/>
      <c r="Q21" s="45"/>
      <c r="R21" s="45"/>
      <c r="S21" s="45"/>
      <c r="T21" s="45"/>
      <c r="U21" s="45"/>
      <c r="V21" s="45"/>
      <c r="W21" s="45"/>
      <c r="X21" s="45"/>
      <c r="Y21" s="45"/>
      <c r="Z21" s="45"/>
      <c r="AA21" s="45"/>
      <c r="AB21" s="45"/>
    </row>
    <row r="22" spans="1:28" s="1" customFormat="1" ht="5.0999999999999996" customHeight="1" x14ac:dyDescent="0.2">
      <c r="A22" s="45"/>
      <c r="B22" s="1250"/>
      <c r="C22" s="716"/>
      <c r="D22" s="164"/>
      <c r="E22" s="200"/>
      <c r="F22" s="204"/>
      <c r="G22" s="200"/>
      <c r="H22" s="200"/>
      <c r="I22" s="200"/>
      <c r="J22" s="200"/>
      <c r="K22" s="200"/>
      <c r="L22" s="200"/>
      <c r="M22" s="200"/>
      <c r="N22" s="200"/>
      <c r="O22" s="1256"/>
      <c r="P22" s="45"/>
      <c r="Q22" s="45"/>
      <c r="R22" s="45"/>
      <c r="S22" s="45"/>
      <c r="T22" s="45"/>
      <c r="U22" s="45"/>
      <c r="V22" s="45"/>
      <c r="W22" s="45"/>
      <c r="X22" s="45"/>
      <c r="Y22" s="45"/>
      <c r="Z22" s="45"/>
      <c r="AA22" s="45"/>
      <c r="AB22" s="45"/>
    </row>
    <row r="23" spans="1:28" s="1" customFormat="1" ht="33.75" x14ac:dyDescent="0.2">
      <c r="A23" s="45"/>
      <c r="B23" s="1250"/>
      <c r="C23" s="716"/>
      <c r="D23" s="205" t="str">
        <f>Translations!$B$584</f>
        <v>Nr.</v>
      </c>
      <c r="E23" s="1594" t="str">
        <f>Translations!$B$107</f>
        <v>I priedo veikla</v>
      </c>
      <c r="F23" s="1595"/>
      <c r="G23" s="1596"/>
      <c r="H23" s="1601" t="str">
        <f>Translations!$B$585</f>
        <v>BAF 1 kategorija (energija)</v>
      </c>
      <c r="I23" s="1601"/>
      <c r="J23" s="1601" t="str">
        <f>Translations!$B$586</f>
        <v>BAF 2 kategorija (proceso metu išsiskiriančios ŠESD)</v>
      </c>
      <c r="K23" s="1601"/>
      <c r="L23" s="206" t="str">
        <f>Translations!$B$108</f>
        <v xml:space="preserve">Bendras veiklos pajėgumas </v>
      </c>
      <c r="M23" s="206" t="str">
        <f>Translations!$B$109</f>
        <v>Pajėgumo vienetai</v>
      </c>
      <c r="N23" s="242" t="str">
        <f>Translations!$B$110</f>
        <v>Išmestos ŠESD</v>
      </c>
      <c r="O23" s="1257"/>
      <c r="P23" s="45"/>
      <c r="Q23" s="45"/>
      <c r="R23" s="45"/>
      <c r="S23" s="45"/>
      <c r="T23" s="45"/>
      <c r="U23" s="211" t="s">
        <v>105</v>
      </c>
      <c r="V23" s="211" t="s">
        <v>105</v>
      </c>
      <c r="W23" s="211" t="s">
        <v>105</v>
      </c>
      <c r="X23" s="211" t="s">
        <v>105</v>
      </c>
      <c r="Y23" s="211" t="s">
        <v>105</v>
      </c>
      <c r="Z23" s="45"/>
      <c r="AA23" s="45"/>
      <c r="AB23" s="45"/>
    </row>
    <row r="24" spans="1:28" s="1" customFormat="1" ht="12.75" customHeight="1" x14ac:dyDescent="0.2">
      <c r="A24" s="47" t="s">
        <v>275</v>
      </c>
      <c r="B24" s="1250"/>
      <c r="C24" s="716"/>
      <c r="D24" s="154" t="s">
        <v>1764</v>
      </c>
      <c r="E24" s="1584" t="str">
        <f>Translations!$B$111</f>
        <v>Cemento klinkerio gamyba</v>
      </c>
      <c r="F24" s="1585"/>
      <c r="G24" s="1586"/>
      <c r="H24" s="1597" t="str">
        <f>Translations!$B$587</f>
        <v>1A2f – Energija – Kitos pramonės šakos</v>
      </c>
      <c r="I24" s="1597"/>
      <c r="J24" s="1597" t="str">
        <f>Translations!$B$588</f>
        <v>2A1 – Procesas – Cemento gamyba</v>
      </c>
      <c r="K24" s="1597"/>
      <c r="L24" s="154">
        <v>1500</v>
      </c>
      <c r="M24" s="146" t="str">
        <f>Translations!$B$112</f>
        <v>t per dieną</v>
      </c>
      <c r="N24" s="146" t="str">
        <f t="shared" ref="N24:N30" si="0">IF(ISBLANK(E24),"",INDEX(EUConst_AnnexIListGHG,MATCH(E24,AnnexIActivities,0)))</f>
        <v>CO2</v>
      </c>
      <c r="O24" s="1256"/>
      <c r="P24" s="45"/>
      <c r="Q24" s="45"/>
      <c r="R24" s="45"/>
      <c r="S24" s="45"/>
      <c r="T24" s="45"/>
      <c r="U24" s="211"/>
      <c r="V24" s="211"/>
      <c r="W24" s="211"/>
      <c r="X24" s="211"/>
      <c r="Y24" s="211"/>
      <c r="Z24" s="45"/>
      <c r="AA24" s="45"/>
      <c r="AB24" s="45"/>
    </row>
    <row r="25" spans="1:28" s="1" customFormat="1" ht="12.75" customHeight="1" thickBot="1" x14ac:dyDescent="0.25">
      <c r="A25" s="47" t="s">
        <v>275</v>
      </c>
      <c r="B25" s="1250"/>
      <c r="C25" s="716"/>
      <c r="D25" s="154" t="s">
        <v>1765</v>
      </c>
      <c r="E25" s="1584" t="str">
        <f>Translations!$B$113</f>
        <v>Kuro deginimas</v>
      </c>
      <c r="F25" s="1585"/>
      <c r="G25" s="1586"/>
      <c r="H25" s="1597" t="str">
        <f>Translations!$B$589</f>
        <v>1A1a – Energija – Valstybinė elektros energijos ir šilumos gamyba</v>
      </c>
      <c r="I25" s="1597"/>
      <c r="J25" s="1597"/>
      <c r="K25" s="1597"/>
      <c r="L25" s="154">
        <v>120</v>
      </c>
      <c r="M25" s="146" t="str">
        <f>Translations!$B$114</f>
        <v>MW(šil)</v>
      </c>
      <c r="N25" s="146" t="str">
        <f t="shared" si="0"/>
        <v>CO2</v>
      </c>
      <c r="O25" s="1256"/>
      <c r="P25" s="45"/>
      <c r="Q25" s="45"/>
      <c r="R25" s="45"/>
      <c r="S25" s="45"/>
      <c r="T25" s="45"/>
      <c r="U25" s="211"/>
      <c r="V25" s="211"/>
      <c r="W25" s="211"/>
      <c r="X25" s="211"/>
      <c r="Y25" s="211"/>
      <c r="Z25" s="45"/>
      <c r="AA25" s="45"/>
      <c r="AB25" s="45"/>
    </row>
    <row r="26" spans="1:28" s="1" customFormat="1" ht="12.75" customHeight="1" x14ac:dyDescent="0.2">
      <c r="A26" s="45"/>
      <c r="B26" s="1250"/>
      <c r="C26" s="716"/>
      <c r="D26" s="60" t="s">
        <v>95</v>
      </c>
      <c r="E26" s="1598" t="s">
        <v>1351</v>
      </c>
      <c r="F26" s="1599"/>
      <c r="G26" s="1600"/>
      <c r="H26" s="1571" t="s">
        <v>1735</v>
      </c>
      <c r="I26" s="1571"/>
      <c r="J26" s="1571"/>
      <c r="K26" s="1571"/>
      <c r="L26" s="1237">
        <v>78</v>
      </c>
      <c r="M26" s="1238" t="s">
        <v>1352</v>
      </c>
      <c r="N26" s="1239" t="str">
        <f t="shared" si="0"/>
        <v>CO2</v>
      </c>
      <c r="O26" s="1256"/>
      <c r="P26" s="45"/>
      <c r="Q26" s="45"/>
      <c r="R26" s="45"/>
      <c r="S26" s="45"/>
      <c r="T26" s="45">
        <v>1</v>
      </c>
      <c r="U26" s="212" t="str">
        <f>IF(ISBLANK(E26),"",D26)</f>
        <v>A1</v>
      </c>
      <c r="V26" s="213" t="str">
        <f>IF(ISBLANK(E26),"",E26)</f>
        <v>Kuro deginimas</v>
      </c>
      <c r="W26" s="214">
        <f>IF(V26="","",MAX(W$25:W25)+1)</f>
        <v>1</v>
      </c>
      <c r="X26" s="215" t="str">
        <f>IF(COUNTIF($W$26:$W$30,T26)=1,INDEX($U$26:$U$30,MATCH(T26,$W$26:$W$30,0)) &amp; ": " &amp; INDEX($V$26:$V$30,MATCH(T26,$W$26:$W$30,0)),EUconst_NA)</f>
        <v>A1: Kuro deginimas</v>
      </c>
      <c r="Y26" s="216" t="str">
        <f>IF(COUNTIF($W$26:$W$30,T26)=1,INDEX($V$26:$V$30,MATCH(T26,$W$26:$W$30,0)),EUconst_NA)</f>
        <v>Kuro deginimas</v>
      </c>
      <c r="Z26" s="212">
        <f>IF(E26="","",MATCH(E26,AnnexIActivities,0))</f>
        <v>1</v>
      </c>
      <c r="AA26" s="45"/>
      <c r="AB26" s="213" t="b">
        <f>MSPara_CRFMandatory</f>
        <v>1</v>
      </c>
    </row>
    <row r="27" spans="1:28" s="1" customFormat="1" ht="12.75" customHeight="1" x14ac:dyDescent="0.2">
      <c r="A27" s="45"/>
      <c r="B27" s="1250"/>
      <c r="C27" s="716"/>
      <c r="D27" s="60" t="s">
        <v>96</v>
      </c>
      <c r="E27" s="1598"/>
      <c r="F27" s="1599"/>
      <c r="G27" s="1600"/>
      <c r="H27" s="1571"/>
      <c r="I27" s="1571"/>
      <c r="J27" s="1571"/>
      <c r="K27" s="1571"/>
      <c r="L27" s="1237"/>
      <c r="M27" s="1238"/>
      <c r="N27" s="1239" t="str">
        <f t="shared" si="0"/>
        <v/>
      </c>
      <c r="O27" s="1256"/>
      <c r="P27" s="45"/>
      <c r="Q27" s="45"/>
      <c r="R27" s="45"/>
      <c r="S27" s="45"/>
      <c r="T27" s="45">
        <v>2</v>
      </c>
      <c r="U27" s="212" t="str">
        <f>IF(ISBLANK(E27),"",D27)</f>
        <v/>
      </c>
      <c r="V27" s="213" t="str">
        <f>IF(ISBLANK(E27),"",E27)</f>
        <v/>
      </c>
      <c r="W27" s="214" t="str">
        <f>IF(V27="","",MAX(W$25:W26)+1)</f>
        <v/>
      </c>
      <c r="X27" s="217" t="str">
        <f>IF(COUNTIF($W$26:$W$30,T27)=1,INDEX($U$26:$U$30,MATCH(T27,$W$26:$W$30,0)) &amp; ": " &amp; INDEX($V$26:$V$30,MATCH(T27,$W$26:$W$30,0)),EUconst_NA)</f>
        <v>netaik.</v>
      </c>
      <c r="Y27" s="216" t="str">
        <f>IF(COUNTIF($W$26:$W$30,T27)=1,INDEX($V$26:$V$30,MATCH(T27,$W$26:$W$30,0)),EUconst_NA)</f>
        <v>netaik.</v>
      </c>
      <c r="Z27" s="212" t="str">
        <f>IF(E27="","",MATCH(E27,AnnexIActivities,0))</f>
        <v/>
      </c>
      <c r="AA27" s="45"/>
      <c r="AB27" s="213" t="b">
        <f>AB26</f>
        <v>1</v>
      </c>
    </row>
    <row r="28" spans="1:28" s="1" customFormat="1" ht="12.75" customHeight="1" x14ac:dyDescent="0.2">
      <c r="A28" s="45"/>
      <c r="B28" s="1250"/>
      <c r="C28" s="716"/>
      <c r="D28" s="60" t="s">
        <v>97</v>
      </c>
      <c r="E28" s="1598"/>
      <c r="F28" s="1599"/>
      <c r="G28" s="1600"/>
      <c r="H28" s="1571"/>
      <c r="I28" s="1571"/>
      <c r="J28" s="1571"/>
      <c r="K28" s="1571"/>
      <c r="L28" s="1237"/>
      <c r="M28" s="1238"/>
      <c r="N28" s="1239" t="str">
        <f t="shared" si="0"/>
        <v/>
      </c>
      <c r="O28" s="1256"/>
      <c r="P28" s="45"/>
      <c r="Q28" s="45"/>
      <c r="R28" s="45"/>
      <c r="S28" s="45"/>
      <c r="T28" s="45">
        <v>3</v>
      </c>
      <c r="U28" s="212" t="str">
        <f>IF(ISBLANK(E28),"",D28)</f>
        <v/>
      </c>
      <c r="V28" s="213" t="str">
        <f>IF(ISBLANK(E28),"",E28)</f>
        <v/>
      </c>
      <c r="W28" s="214" t="str">
        <f>IF(V28="","",MAX(W$25:W27)+1)</f>
        <v/>
      </c>
      <c r="X28" s="217" t="str">
        <f>IF(COUNTIF($W$26:$W$30,T28)=1,INDEX($U$26:$U$30,MATCH(T28,$W$26:$W$30,0)) &amp; ": " &amp; INDEX($V$26:$V$30,MATCH(T28,$W$26:$W$30,0)),EUconst_NA)</f>
        <v>netaik.</v>
      </c>
      <c r="Y28" s="216" t="str">
        <f>IF(COUNTIF($W$26:$W$30,T28)=1,INDEX($V$26:$V$30,MATCH(T28,$W$26:$W$30,0)),EUconst_NA)</f>
        <v>netaik.</v>
      </c>
      <c r="Z28" s="212" t="str">
        <f>IF(E28="","",MATCH(E28,AnnexIActivities,0))</f>
        <v/>
      </c>
      <c r="AA28" s="45"/>
      <c r="AB28" s="213" t="b">
        <f>AB27</f>
        <v>1</v>
      </c>
    </row>
    <row r="29" spans="1:28" s="1" customFormat="1" ht="12.75" customHeight="1" x14ac:dyDescent="0.2">
      <c r="A29" s="45"/>
      <c r="B29" s="1250"/>
      <c r="C29" s="716"/>
      <c r="D29" s="60" t="s">
        <v>98</v>
      </c>
      <c r="E29" s="1598"/>
      <c r="F29" s="1599"/>
      <c r="G29" s="1600"/>
      <c r="H29" s="1571"/>
      <c r="I29" s="1571"/>
      <c r="J29" s="1571"/>
      <c r="K29" s="1571"/>
      <c r="L29" s="1237"/>
      <c r="M29" s="1238"/>
      <c r="N29" s="1239" t="str">
        <f t="shared" si="0"/>
        <v/>
      </c>
      <c r="O29" s="1256"/>
      <c r="P29" s="45"/>
      <c r="Q29" s="45"/>
      <c r="R29" s="45"/>
      <c r="S29" s="45"/>
      <c r="T29" s="45">
        <v>4</v>
      </c>
      <c r="U29" s="212" t="str">
        <f>IF(ISBLANK(E29),"",D29)</f>
        <v/>
      </c>
      <c r="V29" s="213" t="str">
        <f>IF(ISBLANK(E29),"",E29)</f>
        <v/>
      </c>
      <c r="W29" s="214" t="str">
        <f>IF(V29="","",MAX(W$25:W28)+1)</f>
        <v/>
      </c>
      <c r="X29" s="217" t="str">
        <f>IF(COUNTIF($W$26:$W$30,T29)=1,INDEX($U$26:$U$30,MATCH(T29,$W$26:$W$30,0)) &amp; ": " &amp; INDEX($V$26:$V$30,MATCH(T29,$W$26:$W$30,0)),EUconst_NA)</f>
        <v>netaik.</v>
      </c>
      <c r="Y29" s="216" t="str">
        <f>IF(COUNTIF($W$26:$W$30,T29)=1,INDEX($V$26:$V$30,MATCH(T29,$W$26:$W$30,0)),EUconst_NA)</f>
        <v>netaik.</v>
      </c>
      <c r="Z29" s="212" t="str">
        <f>IF(E29="","",MATCH(E29,AnnexIActivities,0))</f>
        <v/>
      </c>
      <c r="AA29" s="45"/>
      <c r="AB29" s="213" t="b">
        <f>AB28</f>
        <v>1</v>
      </c>
    </row>
    <row r="30" spans="1:28" s="1" customFormat="1" ht="12.75" customHeight="1" thickBot="1" x14ac:dyDescent="0.25">
      <c r="A30" s="45"/>
      <c r="B30" s="1250"/>
      <c r="C30" s="716"/>
      <c r="D30" s="60" t="s">
        <v>99</v>
      </c>
      <c r="E30" s="1598"/>
      <c r="F30" s="1599"/>
      <c r="G30" s="1600"/>
      <c r="H30" s="1571"/>
      <c r="I30" s="1571"/>
      <c r="J30" s="1571"/>
      <c r="K30" s="1571"/>
      <c r="L30" s="1237"/>
      <c r="M30" s="1238"/>
      <c r="N30" s="1239" t="str">
        <f t="shared" si="0"/>
        <v/>
      </c>
      <c r="O30" s="1256"/>
      <c r="P30" s="45"/>
      <c r="Q30" s="45"/>
      <c r="R30" s="45"/>
      <c r="S30" s="45"/>
      <c r="T30" s="45">
        <v>5</v>
      </c>
      <c r="U30" s="212" t="str">
        <f>IF(ISBLANK(E30),"",D30)</f>
        <v/>
      </c>
      <c r="V30" s="213" t="str">
        <f>IF(ISBLANK(E30),"",E30)</f>
        <v/>
      </c>
      <c r="W30" s="214" t="str">
        <f>IF(V30="","",MAX(W$25:W29)+1)</f>
        <v/>
      </c>
      <c r="X30" s="909" t="str">
        <f>IF(COUNTIF($W$26:$W$30,T30)=1,INDEX($U$26:$U$30,MATCH(T30,$W$26:$W$30,0)) &amp; ": " &amp; INDEX($V$26:$V$30,MATCH(T30,$W$26:$W$30,0)),EUconst_NA)</f>
        <v>netaik.</v>
      </c>
      <c r="Y30" s="216" t="str">
        <f>IF(COUNTIF($W$26:$W$30,T30)=1,INDEX($V$26:$V$30,MATCH(T30,$W$26:$W$30,0)),EUconst_NA)</f>
        <v>netaik.</v>
      </c>
      <c r="Z30" s="212" t="str">
        <f>IF(E30="","",MATCH(E30,AnnexIActivities,0))</f>
        <v/>
      </c>
      <c r="AA30" s="45"/>
      <c r="AB30" s="213" t="b">
        <f>AB29</f>
        <v>1</v>
      </c>
    </row>
    <row r="31" spans="1:28" s="1" customFormat="1" ht="12.75" customHeight="1" x14ac:dyDescent="0.2">
      <c r="A31" s="45"/>
      <c r="B31" s="1250"/>
      <c r="C31" s="716"/>
      <c r="D31" s="164"/>
      <c r="E31" s="200"/>
      <c r="F31" s="200"/>
      <c r="G31" s="200"/>
      <c r="H31" s="200"/>
      <c r="I31" s="200"/>
      <c r="J31" s="200"/>
      <c r="K31" s="200"/>
      <c r="L31" s="200"/>
      <c r="M31" s="200"/>
      <c r="N31" s="200"/>
      <c r="O31" s="1251"/>
      <c r="P31" s="45"/>
      <c r="Q31" s="45"/>
      <c r="R31" s="45"/>
      <c r="S31" s="45"/>
      <c r="T31" s="45"/>
      <c r="U31" s="45"/>
      <c r="V31" s="45"/>
      <c r="W31" s="45"/>
      <c r="X31" s="45"/>
      <c r="Y31" s="45"/>
      <c r="Z31" s="45"/>
      <c r="AA31" s="45"/>
      <c r="AB31" s="45"/>
    </row>
    <row r="32" spans="1:28" s="28" customFormat="1" ht="18.75" customHeight="1" x14ac:dyDescent="0.2">
      <c r="A32" s="480"/>
      <c r="B32" s="1248"/>
      <c r="C32" s="708">
        <v>7</v>
      </c>
      <c r="D32" s="1592" t="str">
        <f>Translations!$B$7</f>
        <v>Apie įrenginio išmetamąsias ŠESD</v>
      </c>
      <c r="E32" s="1592"/>
      <c r="F32" s="1592"/>
      <c r="G32" s="1592"/>
      <c r="H32" s="1592"/>
      <c r="I32" s="1592"/>
      <c r="J32" s="1592"/>
      <c r="K32" s="1592"/>
      <c r="L32" s="1592"/>
      <c r="M32" s="1592"/>
      <c r="N32" s="1592"/>
      <c r="O32" s="1249"/>
      <c r="P32" s="45"/>
      <c r="Q32" s="45"/>
      <c r="R32" s="45"/>
      <c r="S32" s="45"/>
      <c r="T32" s="45"/>
      <c r="U32" s="45"/>
      <c r="V32" s="45"/>
      <c r="W32" s="45"/>
      <c r="X32" s="45"/>
      <c r="Y32" s="45"/>
      <c r="Z32" s="45"/>
      <c r="AA32" s="45"/>
      <c r="AB32" s="45"/>
    </row>
    <row r="33" spans="1:28" s="1" customFormat="1" ht="12.75" customHeight="1" x14ac:dyDescent="0.2">
      <c r="A33" s="45"/>
      <c r="B33" s="1250"/>
      <c r="C33" s="716"/>
      <c r="D33" s="297"/>
      <c r="E33" s="202"/>
      <c r="F33" s="202"/>
      <c r="G33" s="202"/>
      <c r="H33" s="202"/>
      <c r="I33" s="202"/>
      <c r="J33" s="31"/>
      <c r="K33" s="31"/>
      <c r="L33" s="31"/>
      <c r="M33" s="31"/>
      <c r="N33" s="200"/>
      <c r="O33" s="1258"/>
      <c r="P33" s="218"/>
      <c r="Q33" s="218"/>
      <c r="R33" s="45"/>
      <c r="S33" s="45"/>
      <c r="T33" s="45"/>
      <c r="U33" s="45"/>
      <c r="V33" s="45"/>
      <c r="W33" s="45"/>
      <c r="X33" s="45"/>
      <c r="Y33" s="45"/>
      <c r="Z33" s="45"/>
      <c r="AA33" s="45"/>
      <c r="AB33" s="45"/>
    </row>
    <row r="34" spans="1:28" s="1" customFormat="1" ht="15" customHeight="1" x14ac:dyDescent="0.2">
      <c r="A34" s="45"/>
      <c r="B34" s="1250"/>
      <c r="C34" s="716"/>
      <c r="D34" s="820" t="s">
        <v>1</v>
      </c>
      <c r="E34" s="1577" t="str">
        <f>Translations!$B$590</f>
        <v>Stebėsenos metodai:</v>
      </c>
      <c r="F34" s="1577"/>
      <c r="G34" s="1577"/>
      <c r="H34" s="1577"/>
      <c r="I34" s="1577"/>
      <c r="J34" s="1577"/>
      <c r="K34" s="1577"/>
      <c r="L34" s="1577"/>
      <c r="M34" s="1577"/>
      <c r="N34" s="1577"/>
      <c r="O34" s="1259"/>
      <c r="P34" s="209"/>
      <c r="Q34" s="210"/>
      <c r="R34" s="45"/>
      <c r="S34" s="45"/>
      <c r="T34" s="45"/>
      <c r="U34" s="45"/>
      <c r="V34" s="45"/>
      <c r="W34" s="45"/>
      <c r="X34" s="45"/>
      <c r="Y34" s="45"/>
      <c r="Z34" s="45"/>
      <c r="AA34" s="45"/>
      <c r="AB34" s="45"/>
    </row>
    <row r="35" spans="1:28" s="1" customFormat="1" ht="5.0999999999999996" customHeight="1" x14ac:dyDescent="0.2">
      <c r="A35" s="45"/>
      <c r="B35" s="1250"/>
      <c r="C35" s="716"/>
      <c r="D35" s="781"/>
      <c r="E35" s="781"/>
      <c r="F35" s="781"/>
      <c r="G35" s="781"/>
      <c r="H35" s="781"/>
      <c r="I35" s="781"/>
      <c r="J35" s="781"/>
      <c r="K35" s="781"/>
      <c r="L35" s="781"/>
      <c r="M35" s="781"/>
      <c r="N35" s="200"/>
      <c r="O35" s="1259"/>
      <c r="P35" s="209"/>
      <c r="Q35" s="210"/>
      <c r="R35" s="45"/>
      <c r="S35" s="45"/>
      <c r="T35" s="45"/>
      <c r="U35" s="45"/>
      <c r="V35" s="45"/>
      <c r="W35" s="45"/>
      <c r="X35" s="45"/>
      <c r="Y35" s="45"/>
      <c r="Z35" s="45"/>
      <c r="AA35" s="45"/>
      <c r="AB35" s="45"/>
    </row>
    <row r="36" spans="1:28" s="1" customFormat="1" ht="12.75" customHeight="1" x14ac:dyDescent="0.2">
      <c r="A36" s="45"/>
      <c r="B36" s="1250"/>
      <c r="C36" s="716"/>
      <c r="D36" s="720"/>
      <c r="E36" s="1575" t="str">
        <f>Translations!$B$591</f>
        <v>Patvirtinkite, kurie iš toliau nurodytų stebėsenos metodų yra taikomi:</v>
      </c>
      <c r="F36" s="1575"/>
      <c r="G36" s="1575"/>
      <c r="H36" s="1575"/>
      <c r="I36" s="1575"/>
      <c r="J36" s="1575"/>
      <c r="K36" s="1575"/>
      <c r="L36" s="1575"/>
      <c r="M36" s="1575"/>
      <c r="N36" s="1575"/>
      <c r="O36" s="1259"/>
      <c r="P36" s="210"/>
      <c r="Q36" s="210"/>
      <c r="R36" s="45"/>
      <c r="S36" s="45"/>
      <c r="T36" s="45"/>
      <c r="U36" s="45"/>
      <c r="V36" s="45"/>
      <c r="W36" s="45"/>
      <c r="X36" s="45"/>
      <c r="Y36" s="45"/>
      <c r="Z36" s="45"/>
      <c r="AA36" s="45"/>
      <c r="AB36" s="45"/>
    </row>
    <row r="37" spans="1:28" s="1" customFormat="1" ht="25.5" customHeight="1" x14ac:dyDescent="0.2">
      <c r="A37" s="45"/>
      <c r="B37" s="1250"/>
      <c r="C37" s="716"/>
      <c r="D37" s="720"/>
      <c r="E37" s="1575" t="str">
        <f>Translations!$B$115</f>
        <v>Remiantis 21 str., išmetamųjų ŠESD kiekis gali būti nustatomas skaičiavimu grindžiama metodika (skaičiavimas) arba matavimu grindžiama metodika (matavimas), išskyrus atvejus, kai SAR nustatyta, kurią metodiką privaloma taikyti.</v>
      </c>
      <c r="F37" s="1575"/>
      <c r="G37" s="1575"/>
      <c r="H37" s="1575"/>
      <c r="I37" s="1575"/>
      <c r="J37" s="1575"/>
      <c r="K37" s="1575"/>
      <c r="L37" s="1575"/>
      <c r="M37" s="1575"/>
      <c r="N37" s="1575"/>
      <c r="O37" s="1260"/>
      <c r="P37" s="219"/>
      <c r="Q37" s="210"/>
      <c r="R37" s="45"/>
      <c r="S37" s="45"/>
      <c r="T37" s="45"/>
      <c r="U37" s="45"/>
      <c r="V37" s="45"/>
      <c r="W37" s="45"/>
      <c r="X37" s="45"/>
      <c r="Y37" s="45"/>
      <c r="Z37" s="45"/>
      <c r="AA37" s="45"/>
      <c r="AB37" s="45"/>
    </row>
    <row r="38" spans="1:28" s="1" customFormat="1" ht="38.85" customHeight="1" x14ac:dyDescent="0.2">
      <c r="A38" s="45"/>
      <c r="B38" s="1250"/>
      <c r="C38" s="716"/>
      <c r="D38" s="720"/>
      <c r="E38" s="1568"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68"/>
      <c r="G38" s="1568"/>
      <c r="H38" s="1568"/>
      <c r="I38" s="1568"/>
      <c r="J38" s="1568"/>
      <c r="K38" s="1568"/>
      <c r="L38" s="1568"/>
      <c r="M38" s="1568"/>
      <c r="N38" s="1568"/>
      <c r="O38" s="1260"/>
      <c r="P38" s="219"/>
      <c r="Q38" s="210"/>
      <c r="R38" s="45"/>
      <c r="S38" s="45"/>
      <c r="T38" s="45"/>
      <c r="U38" s="45"/>
      <c r="V38" s="45"/>
      <c r="W38" s="45"/>
      <c r="X38" s="45"/>
      <c r="Y38" s="45"/>
      <c r="Z38" s="45"/>
      <c r="AA38" s="45"/>
      <c r="AB38" s="45"/>
    </row>
    <row r="39" spans="1:28" s="1" customFormat="1" ht="25.5" customHeight="1" x14ac:dyDescent="0.2">
      <c r="A39" s="45"/>
      <c r="B39" s="1250"/>
      <c r="C39" s="716"/>
      <c r="D39" s="720"/>
      <c r="E39" s="1568" t="str">
        <f>Translations!$B$593</f>
        <v>Jeigu dėl kurio nors kitų dalių punkto negalėsite užpildyti dalies, kurią, Jūsų įsitikinimu, privaloma užpildyti atsižvelgiant į Jūsų veiklą, dar kartą patikrinkite, ar išsamiai užpildyta 7 dalis.</v>
      </c>
      <c r="F39" s="1568"/>
      <c r="G39" s="1568"/>
      <c r="H39" s="1568"/>
      <c r="I39" s="1568"/>
      <c r="J39" s="1568"/>
      <c r="K39" s="1568"/>
      <c r="L39" s="1568"/>
      <c r="M39" s="1568"/>
      <c r="N39" s="1568"/>
      <c r="O39" s="1260"/>
      <c r="P39" s="219"/>
      <c r="Q39" s="210"/>
      <c r="R39" s="45"/>
      <c r="S39" s="45"/>
      <c r="T39" s="45"/>
      <c r="U39" s="45"/>
      <c r="V39" s="45"/>
      <c r="W39" s="45"/>
      <c r="X39" s="45"/>
      <c r="Y39" s="45"/>
      <c r="Z39" s="45"/>
      <c r="AA39" s="45"/>
      <c r="AB39" s="45"/>
    </row>
    <row r="40" spans="1:28" s="1" customFormat="1" ht="12.75" customHeight="1" x14ac:dyDescent="0.2">
      <c r="A40" s="45"/>
      <c r="B40" s="1250"/>
      <c r="C40" s="716"/>
      <c r="D40" s="720"/>
      <c r="E40" s="1568" t="str">
        <f>Translations!$B$594</f>
        <v>Atminkite, kad čia daromi įrašai turi derėti su atitinkamomis Jūsų naujausio patvirtinto stebėsenos plano dalimis.</v>
      </c>
      <c r="F40" s="1568"/>
      <c r="G40" s="1568"/>
      <c r="H40" s="1568"/>
      <c r="I40" s="1568"/>
      <c r="J40" s="1568"/>
      <c r="K40" s="1568"/>
      <c r="L40" s="1568"/>
      <c r="M40" s="1568"/>
      <c r="N40" s="1568"/>
      <c r="O40" s="1260"/>
      <c r="P40" s="219"/>
      <c r="Q40" s="210"/>
      <c r="R40" s="45"/>
      <c r="S40" s="45"/>
      <c r="T40" s="45"/>
      <c r="U40" s="45"/>
      <c r="V40" s="45"/>
      <c r="W40" s="45"/>
      <c r="X40" s="45"/>
      <c r="Y40" s="45"/>
      <c r="Z40" s="45"/>
      <c r="AA40" s="45"/>
      <c r="AB40" s="45"/>
    </row>
    <row r="41" spans="1:28" s="1" customFormat="1" ht="5.0999999999999996" customHeight="1" x14ac:dyDescent="0.2">
      <c r="A41" s="45"/>
      <c r="B41" s="1250"/>
      <c r="C41" s="716"/>
      <c r="D41" s="720"/>
      <c r="E41" s="201"/>
      <c r="F41" s="201"/>
      <c r="G41" s="200"/>
      <c r="H41" s="61"/>
      <c r="I41" s="61"/>
      <c r="J41" s="201"/>
      <c r="K41" s="201"/>
      <c r="L41" s="201"/>
      <c r="M41" s="201"/>
      <c r="N41" s="200"/>
      <c r="O41" s="1256"/>
      <c r="P41" s="45"/>
      <c r="Q41" s="45"/>
      <c r="R41" s="45"/>
      <c r="S41" s="45"/>
      <c r="T41" s="45"/>
      <c r="U41" s="45"/>
      <c r="V41" s="45"/>
      <c r="W41" s="45"/>
      <c r="X41" s="45"/>
      <c r="Y41" s="45"/>
      <c r="Z41" s="45"/>
      <c r="AA41" s="45"/>
      <c r="AB41" s="45"/>
    </row>
    <row r="42" spans="1:28" s="1" customFormat="1" ht="12.75" customHeight="1" x14ac:dyDescent="0.2">
      <c r="A42" s="45"/>
      <c r="B42" s="1250"/>
      <c r="C42" s="716"/>
      <c r="D42" s="720"/>
      <c r="E42" s="1576" t="str">
        <f>Translations!$B$116</f>
        <v>CO2 skaičiavimo metodas:</v>
      </c>
      <c r="F42" s="1576"/>
      <c r="G42" s="1576"/>
      <c r="H42" s="1576"/>
      <c r="I42" s="192" t="b">
        <v>1</v>
      </c>
      <c r="J42" s="1573" t="str">
        <f>IF(CNTR_InstHasCalculation=TRUE,EUConst_RelSectionCalc,"")</f>
        <v>Aktualūs skirsniai: 7 skirsnio b punktas, 8 skirsnis.</v>
      </c>
      <c r="K42" s="1574"/>
      <c r="L42" s="1574"/>
      <c r="M42" s="1574"/>
      <c r="N42" s="1574"/>
      <c r="O42" s="1251"/>
      <c r="P42" s="47"/>
      <c r="Q42" s="45"/>
      <c r="R42" s="173"/>
      <c r="S42" s="45"/>
      <c r="T42" s="45"/>
      <c r="U42" s="45"/>
      <c r="V42" s="45"/>
      <c r="W42" s="45"/>
      <c r="X42" s="45"/>
      <c r="Y42" s="45"/>
      <c r="Z42" s="45"/>
      <c r="AA42" s="45"/>
      <c r="AB42" s="45"/>
    </row>
    <row r="43" spans="1:28" s="1" customFormat="1" ht="12.75" customHeight="1" x14ac:dyDescent="0.2">
      <c r="A43" s="45"/>
      <c r="B43" s="1250"/>
      <c r="C43" s="716"/>
      <c r="D43" s="720"/>
      <c r="E43" s="1576" t="str">
        <f>Translations!$B$117</f>
        <v>CO2 matavimo metodas:</v>
      </c>
      <c r="F43" s="1576"/>
      <c r="G43" s="1576"/>
      <c r="H43" s="1576"/>
      <c r="I43" s="192" t="b">
        <v>0</v>
      </c>
      <c r="J43" s="1573" t="str">
        <f>IF(CNTR_InstHasMeasurement=TRUE,EUConst_RelSectionMeasure,"")</f>
        <v/>
      </c>
      <c r="K43" s="1574"/>
      <c r="L43" s="1574"/>
      <c r="M43" s="1574"/>
      <c r="N43" s="1574"/>
      <c r="O43" s="1251"/>
      <c r="P43" s="47"/>
      <c r="Q43" s="45"/>
      <c r="R43" s="45"/>
      <c r="S43" s="45"/>
      <c r="T43" s="45"/>
      <c r="U43" s="45"/>
      <c r="V43" s="45"/>
      <c r="W43" s="45"/>
      <c r="X43" s="45"/>
      <c r="Y43" s="45"/>
      <c r="Z43" s="45"/>
      <c r="AA43" s="45"/>
      <c r="AB43" s="45"/>
    </row>
    <row r="44" spans="1:28" s="1" customFormat="1" ht="12.75" customHeight="1" x14ac:dyDescent="0.2">
      <c r="A44" s="45"/>
      <c r="B44" s="1250"/>
      <c r="C44" s="716"/>
      <c r="D44" s="720"/>
      <c r="E44" s="1576" t="str">
        <f>Translations!$B$118</f>
        <v>Alternatyvus metodas (22 str.):</v>
      </c>
      <c r="F44" s="1576"/>
      <c r="G44" s="1576"/>
      <c r="H44" s="1576"/>
      <c r="I44" s="192" t="b">
        <v>0</v>
      </c>
      <c r="J44" s="1573" t="str">
        <f>IF(CNTR_InstHasFallBack=TRUE,EUConst_RelSectionFallback,"")</f>
        <v/>
      </c>
      <c r="K44" s="1574"/>
      <c r="L44" s="1574"/>
      <c r="M44" s="1574"/>
      <c r="N44" s="1574"/>
      <c r="O44" s="1251"/>
      <c r="P44" s="47"/>
      <c r="Q44" s="45"/>
      <c r="R44" s="45"/>
      <c r="S44" s="45"/>
      <c r="T44" s="45"/>
      <c r="U44" s="45"/>
      <c r="V44" s="45"/>
      <c r="W44" s="45"/>
      <c r="X44" s="45"/>
      <c r="Y44" s="45"/>
      <c r="Z44" s="45"/>
      <c r="AA44" s="45"/>
      <c r="AB44" s="45"/>
    </row>
    <row r="45" spans="1:28" s="1" customFormat="1" ht="12.75" customHeight="1" x14ac:dyDescent="0.2">
      <c r="A45" s="45"/>
      <c r="B45" s="1250"/>
      <c r="C45" s="716"/>
      <c r="D45" s="720"/>
      <c r="E45" s="1576" t="str">
        <f>Translations!$B$119</f>
        <v>Išmetamųjų N2O stebėsena</v>
      </c>
      <c r="F45" s="1576"/>
      <c r="G45" s="1576"/>
      <c r="H45" s="1576"/>
      <c r="I45" s="192" t="b">
        <v>0</v>
      </c>
      <c r="J45" s="1573" t="str">
        <f>IF(CNTR_InstHasN2O=TRUE,EUConst_RelSectionN2O,"")</f>
        <v/>
      </c>
      <c r="K45" s="1574"/>
      <c r="L45" s="1574"/>
      <c r="M45" s="1574"/>
      <c r="N45" s="1574"/>
      <c r="O45" s="1251"/>
      <c r="P45" s="47"/>
      <c r="Q45" s="45"/>
      <c r="R45" s="45"/>
      <c r="S45" s="45"/>
      <c r="T45" s="45"/>
      <c r="U45" s="45"/>
      <c r="V45" s="45"/>
      <c r="W45" s="45"/>
      <c r="X45" s="45"/>
      <c r="Y45" s="45"/>
      <c r="Z45" s="45"/>
      <c r="AA45" s="45"/>
      <c r="AB45" s="45"/>
    </row>
    <row r="46" spans="1:28" s="1" customFormat="1" ht="12.75" customHeight="1" x14ac:dyDescent="0.2">
      <c r="A46" s="45"/>
      <c r="B46" s="1250"/>
      <c r="C46" s="716"/>
      <c r="D46" s="720"/>
      <c r="E46" s="1576" t="str">
        <f>Translations!$B$120</f>
        <v>Išmetamųjų PFC stebėsena</v>
      </c>
      <c r="F46" s="1576"/>
      <c r="G46" s="1576"/>
      <c r="H46" s="1576"/>
      <c r="I46" s="192" t="b">
        <v>0</v>
      </c>
      <c r="J46" s="1573" t="str">
        <f>IF(CNTR_InstHasPFC=TRUE,EUConst_RelSectionPFC,"")</f>
        <v/>
      </c>
      <c r="K46" s="1574"/>
      <c r="L46" s="1574"/>
      <c r="M46" s="1574"/>
      <c r="N46" s="1574"/>
      <c r="O46" s="1251"/>
      <c r="P46" s="47"/>
      <c r="Q46" s="45"/>
      <c r="R46" s="45"/>
      <c r="S46" s="45"/>
      <c r="T46" s="45"/>
      <c r="U46" s="45"/>
      <c r="V46" s="45"/>
      <c r="W46" s="45"/>
      <c r="X46" s="45"/>
      <c r="Y46" s="45"/>
      <c r="Z46" s="45"/>
      <c r="AA46" s="45"/>
      <c r="AB46" s="45"/>
    </row>
    <row r="47" spans="1:28" s="1" customFormat="1" ht="12.75" customHeight="1" x14ac:dyDescent="0.2">
      <c r="A47" s="45"/>
      <c r="B47" s="1250"/>
      <c r="C47" s="716"/>
      <c r="D47" s="720"/>
      <c r="E47" s="1576" t="str">
        <f>Translations!$B$121</f>
        <v>Perduoto / būdingojo CO2 ir CCS stebėsena</v>
      </c>
      <c r="F47" s="1576"/>
      <c r="G47" s="1576"/>
      <c r="H47" s="1576"/>
      <c r="I47" s="192" t="b">
        <v>0</v>
      </c>
      <c r="J47" s="1573" t="str">
        <f>IF(CNTR_InstHasTransferredCO2=TRUE,EUConst_RelSectionCCS,"")</f>
        <v/>
      </c>
      <c r="K47" s="1574"/>
      <c r="L47" s="1574"/>
      <c r="M47" s="1574"/>
      <c r="N47" s="1574"/>
      <c r="O47" s="1251"/>
      <c r="P47" s="47"/>
      <c r="Q47" s="45"/>
      <c r="R47" s="45"/>
      <c r="S47" s="45"/>
      <c r="T47" s="45"/>
      <c r="U47" s="45"/>
      <c r="V47" s="45"/>
      <c r="W47" s="45"/>
      <c r="X47" s="45"/>
      <c r="Y47" s="45"/>
      <c r="Z47" s="45"/>
      <c r="AA47" s="45"/>
      <c r="AB47" s="45"/>
    </row>
    <row r="48" spans="1:28" s="1" customFormat="1" ht="12.75" customHeight="1" x14ac:dyDescent="0.2">
      <c r="A48" s="45"/>
      <c r="B48" s="1250"/>
      <c r="C48" s="716"/>
      <c r="D48" s="164"/>
      <c r="E48" s="200"/>
      <c r="F48" s="200"/>
      <c r="G48" s="200"/>
      <c r="H48" s="200"/>
      <c r="I48" s="200"/>
      <c r="J48" s="200"/>
      <c r="K48" s="200"/>
      <c r="L48" s="200"/>
      <c r="M48" s="200"/>
      <c r="N48" s="200"/>
      <c r="O48" s="1251"/>
      <c r="P48" s="45"/>
      <c r="Q48" s="45"/>
      <c r="R48" s="45"/>
      <c r="S48" s="45"/>
      <c r="T48" s="45"/>
      <c r="U48" s="45"/>
      <c r="V48" s="45"/>
      <c r="W48" s="45"/>
      <c r="X48" s="45"/>
      <c r="Y48" s="45"/>
      <c r="Z48" s="45"/>
      <c r="AA48" s="45"/>
      <c r="AB48" s="45"/>
    </row>
    <row r="49" spans="1:28" s="28" customFormat="1" ht="15" customHeight="1" x14ac:dyDescent="0.2">
      <c r="A49" s="168"/>
      <c r="B49" s="1248"/>
      <c r="C49" s="716"/>
      <c r="D49" s="820" t="s">
        <v>2</v>
      </c>
      <c r="E49" s="1577" t="str">
        <f>Translations!$B$595</f>
        <v>Aktualūs sukėlikliai:</v>
      </c>
      <c r="F49" s="1577"/>
      <c r="G49" s="1577"/>
      <c r="H49" s="1577"/>
      <c r="I49" s="1577"/>
      <c r="J49" s="1577"/>
      <c r="K49" s="1578"/>
      <c r="L49" s="1579" t="str">
        <f>IF(OR(CNTR_InstHasCalculation=TRUE,CNTR_InstHasPFC=TRUE),EUconst_Relevant,IF(COUNTA(CNTR_ListRelevantSections)&gt;0,EUconst_NotRelevant,EUconst_Relevant))</f>
        <v>svarbu</v>
      </c>
      <c r="M49" s="1580"/>
      <c r="N49" s="1581"/>
      <c r="O49" s="1261"/>
      <c r="P49" s="223"/>
      <c r="Q49" s="220"/>
      <c r="R49" s="168"/>
      <c r="S49" s="168"/>
      <c r="T49" s="168"/>
      <c r="U49" s="168"/>
      <c r="V49" s="168"/>
      <c r="W49" s="45"/>
      <c r="X49" s="168"/>
      <c r="Y49" s="168"/>
      <c r="Z49" s="168"/>
      <c r="AA49" s="168"/>
      <c r="AB49" s="168"/>
    </row>
    <row r="50" spans="1:28" s="28" customFormat="1" ht="12.75" customHeight="1" x14ac:dyDescent="0.2">
      <c r="A50" s="168"/>
      <c r="B50" s="1248"/>
      <c r="C50" s="716"/>
      <c r="D50" s="164"/>
      <c r="E50" s="720"/>
      <c r="F50" s="164"/>
      <c r="G50" s="164"/>
      <c r="H50" s="164"/>
      <c r="I50" s="164"/>
      <c r="J50" s="164"/>
      <c r="K50" s="1572" t="str">
        <f>IF(L49=EUconst_NotRelevant,HYPERLINK(R50,EUconst_MsgGoOn),HYPERLINK("",EUconst_MsgEnterThisSection))</f>
        <v>Įvesti duomenis į šį skirsnį</v>
      </c>
      <c r="L50" s="1572"/>
      <c r="M50" s="1572"/>
      <c r="N50" s="1572"/>
      <c r="O50" s="1249"/>
      <c r="P50" s="168"/>
      <c r="Q50" s="2" t="s">
        <v>236</v>
      </c>
      <c r="R50" s="224" t="str">
        <f>"#"&amp;ADDRESS(ROW(JUMP_6d),COLUMN(JUMP_6d))</f>
        <v>#$D$147</v>
      </c>
      <c r="S50" s="168"/>
      <c r="T50" s="168"/>
      <c r="U50" s="168"/>
      <c r="V50" s="168"/>
      <c r="W50" s="45"/>
      <c r="X50" s="168"/>
      <c r="Y50" s="168"/>
      <c r="Z50" s="168"/>
      <c r="AA50" s="168"/>
      <c r="AB50" s="168"/>
    </row>
    <row r="51" spans="1:28" s="28" customFormat="1" ht="5.0999999999999996" customHeight="1" x14ac:dyDescent="0.2">
      <c r="A51" s="168"/>
      <c r="B51" s="1248"/>
      <c r="C51" s="716"/>
      <c r="D51" s="781"/>
      <c r="E51" s="781"/>
      <c r="F51" s="781"/>
      <c r="G51" s="781"/>
      <c r="H51" s="781"/>
      <c r="I51" s="781"/>
      <c r="J51" s="781"/>
      <c r="K51" s="781"/>
      <c r="L51" s="781"/>
      <c r="M51" s="781"/>
      <c r="N51" s="781"/>
      <c r="O51" s="1261"/>
      <c r="P51" s="223"/>
      <c r="Q51" s="220"/>
      <c r="R51" s="168"/>
      <c r="S51" s="168"/>
      <c r="T51" s="168"/>
      <c r="U51" s="168"/>
      <c r="V51" s="168"/>
      <c r="W51" s="45"/>
      <c r="X51" s="168"/>
      <c r="Y51" s="168"/>
      <c r="Z51" s="168"/>
      <c r="AA51" s="168"/>
      <c r="AB51" s="168"/>
    </row>
    <row r="52" spans="1:28" s="1" customFormat="1" ht="25.5" customHeight="1" x14ac:dyDescent="0.2">
      <c r="A52" s="45"/>
      <c r="B52" s="1250"/>
      <c r="C52" s="716"/>
      <c r="D52" s="720"/>
      <c r="E52" s="1570"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70"/>
      <c r="G52" s="1570"/>
      <c r="H52" s="1570"/>
      <c r="I52" s="1570"/>
      <c r="J52" s="1570"/>
      <c r="K52" s="1570"/>
      <c r="L52" s="1570"/>
      <c r="M52" s="1570"/>
      <c r="N52" s="1570"/>
      <c r="O52" s="1262"/>
      <c r="P52" s="208"/>
      <c r="Q52" s="208"/>
      <c r="R52" s="45"/>
      <c r="S52" s="45"/>
      <c r="T52" s="45"/>
      <c r="U52" s="45"/>
      <c r="V52" s="45"/>
      <c r="W52" s="45"/>
      <c r="X52" s="45"/>
      <c r="Y52" s="45"/>
      <c r="Z52" s="45"/>
      <c r="AA52" s="45"/>
      <c r="AB52" s="45"/>
    </row>
    <row r="53" spans="1:28" s="1" customFormat="1" ht="12.75" customHeight="1" x14ac:dyDescent="0.2">
      <c r="A53" s="45"/>
      <c r="B53" s="1250"/>
      <c r="C53" s="716"/>
      <c r="D53" s="720"/>
      <c r="E53" s="1570" t="str">
        <f>Translations!$B$597</f>
        <v>Kiekvienas sukėliklis turėtų būti identifikuojamas atliekant šiuos veiksmus:</v>
      </c>
      <c r="F53" s="1570"/>
      <c r="G53" s="1570"/>
      <c r="H53" s="1570"/>
      <c r="I53" s="1570"/>
      <c r="J53" s="1570"/>
      <c r="K53" s="1570"/>
      <c r="L53" s="1570"/>
      <c r="M53" s="1570"/>
      <c r="N53" s="1570"/>
      <c r="O53" s="1262"/>
      <c r="P53" s="208"/>
      <c r="Q53" s="208"/>
      <c r="R53" s="45"/>
      <c r="S53" s="45"/>
      <c r="T53" s="45"/>
      <c r="U53" s="45"/>
      <c r="V53" s="45"/>
      <c r="W53" s="45"/>
      <c r="X53" s="45"/>
      <c r="Y53" s="45"/>
      <c r="Z53" s="45"/>
      <c r="AA53" s="45"/>
      <c r="AB53" s="45"/>
    </row>
    <row r="54" spans="1:28" s="1" customFormat="1" ht="12.75" customHeight="1" x14ac:dyDescent="0.2">
      <c r="A54" s="45"/>
      <c r="B54" s="1250"/>
      <c r="C54" s="716"/>
      <c r="D54" s="720"/>
      <c r="E54" s="235" t="s">
        <v>465</v>
      </c>
      <c r="F54" s="1570" t="str">
        <f>Translations!$B$598</f>
        <v>Iš išskleidžiamojo sąrašo pasirinkite sukėliklio tipą.</v>
      </c>
      <c r="G54" s="1570"/>
      <c r="H54" s="1570"/>
      <c r="I54" s="1570"/>
      <c r="J54" s="1570"/>
      <c r="K54" s="1570"/>
      <c r="L54" s="1570"/>
      <c r="M54" s="1570"/>
      <c r="N54" s="1570"/>
      <c r="O54" s="1262"/>
      <c r="P54" s="208"/>
      <c r="Q54" s="208"/>
      <c r="R54" s="45"/>
      <c r="S54" s="45"/>
      <c r="T54" s="45"/>
      <c r="U54" s="45"/>
      <c r="V54" s="45"/>
      <c r="W54" s="45"/>
      <c r="X54" s="45"/>
      <c r="Y54" s="45"/>
      <c r="Z54" s="45"/>
      <c r="AA54" s="45"/>
      <c r="AB54" s="45"/>
    </row>
    <row r="55" spans="1:28" s="1" customFormat="1" ht="25.5" customHeight="1" x14ac:dyDescent="0.2">
      <c r="A55" s="45"/>
      <c r="B55" s="1250"/>
      <c r="C55" s="716"/>
      <c r="D55" s="720"/>
      <c r="E55" s="704"/>
      <c r="F55" s="1570" t="str">
        <f>Translations!$B$128</f>
        <v>Sukėliklio tipas – tai tam tikrų pagal SAR taikytinų taisyklių rinkinys. Šia klasifikacija paremti tolesni įpareigojimai, pvz., taikytinos pakopos.</v>
      </c>
      <c r="G55" s="1570"/>
      <c r="H55" s="1570"/>
      <c r="I55" s="1570"/>
      <c r="J55" s="1570"/>
      <c r="K55" s="1570"/>
      <c r="L55" s="1570"/>
      <c r="M55" s="1570"/>
      <c r="N55" s="1570"/>
      <c r="O55" s="1262"/>
      <c r="P55" s="208"/>
      <c r="Q55" s="208"/>
      <c r="R55" s="45"/>
      <c r="S55" s="45"/>
      <c r="T55" s="45"/>
      <c r="U55" s="45"/>
      <c r="V55" s="45"/>
      <c r="W55" s="45"/>
      <c r="X55" s="45"/>
      <c r="Y55" s="45"/>
      <c r="Z55" s="45"/>
      <c r="AA55" s="45"/>
      <c r="AB55" s="45"/>
    </row>
    <row r="56" spans="1:28" s="1" customFormat="1" ht="12.75" customHeight="1" x14ac:dyDescent="0.2">
      <c r="A56" s="45"/>
      <c r="B56" s="1250"/>
      <c r="C56" s="716"/>
      <c r="D56" s="720"/>
      <c r="E56" s="704"/>
      <c r="F56" s="1570" t="str">
        <f>Translations!$B$599</f>
        <v>Išskleidžiamasis sąrašas, iš kurio pasirenkamas sukėliklio tipas, grindžiamas veiklos rūšimis, jau pasirinktomis 6 dalyje.</v>
      </c>
      <c r="G56" s="1570"/>
      <c r="H56" s="1570"/>
      <c r="I56" s="1570"/>
      <c r="J56" s="1570"/>
      <c r="K56" s="1570"/>
      <c r="L56" s="1570"/>
      <c r="M56" s="1570"/>
      <c r="N56" s="1570"/>
      <c r="O56" s="1262"/>
      <c r="P56" s="208"/>
      <c r="Q56" s="208"/>
      <c r="R56" s="45"/>
      <c r="S56" s="45"/>
      <c r="T56" s="45"/>
      <c r="U56" s="45"/>
      <c r="V56" s="45"/>
      <c r="W56" s="45"/>
      <c r="X56" s="45"/>
      <c r="Y56" s="45"/>
      <c r="Z56" s="45"/>
      <c r="AA56" s="45"/>
      <c r="AB56" s="45"/>
    </row>
    <row r="57" spans="1:28" s="1" customFormat="1" ht="25.5" customHeight="1" x14ac:dyDescent="0.2">
      <c r="A57" s="45"/>
      <c r="B57" s="1250"/>
      <c r="C57" s="716"/>
      <c r="D57" s="720"/>
      <c r="E57" s="1011"/>
      <c r="F57" s="1568"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68"/>
      <c r="H57" s="1568"/>
      <c r="I57" s="1568"/>
      <c r="J57" s="1568"/>
      <c r="K57" s="1568"/>
      <c r="L57" s="1568"/>
      <c r="M57" s="1568"/>
      <c r="N57" s="1568"/>
      <c r="O57" s="1253"/>
      <c r="P57" s="45"/>
      <c r="Q57" s="45"/>
      <c r="R57" s="45"/>
      <c r="S57" s="45"/>
      <c r="T57" s="45"/>
      <c r="U57" s="45"/>
      <c r="V57" s="45"/>
      <c r="W57" s="45"/>
      <c r="X57" s="45"/>
      <c r="Y57" s="45"/>
      <c r="Z57" s="45"/>
      <c r="AA57" s="45"/>
      <c r="AB57" s="45"/>
    </row>
    <row r="58" spans="1:28" s="1" customFormat="1" ht="12.75" customHeight="1" x14ac:dyDescent="0.2">
      <c r="A58" s="45"/>
      <c r="B58" s="1250"/>
      <c r="C58" s="716"/>
      <c r="D58" s="720"/>
      <c r="E58" s="1011"/>
      <c r="F58" s="1568" t="str">
        <f>Translations!$B$601</f>
        <v>Šie veiklai būdingi sukėliklių tipai gali būti susiję su proceso metu išsiskiriančiomis ŠESD arba – tam tikrais atvejais – su taikytinais masės balanso metodais.</v>
      </c>
      <c r="G58" s="1568"/>
      <c r="H58" s="1568"/>
      <c r="I58" s="1568"/>
      <c r="J58" s="1568"/>
      <c r="K58" s="1568"/>
      <c r="L58" s="1568"/>
      <c r="M58" s="1568"/>
      <c r="N58" s="1568"/>
      <c r="O58" s="1253"/>
      <c r="P58" s="45"/>
      <c r="Q58" s="45"/>
      <c r="R58" s="45"/>
      <c r="S58" s="45"/>
      <c r="T58" s="45"/>
      <c r="U58" s="45"/>
      <c r="V58" s="45"/>
      <c r="W58" s="45"/>
      <c r="X58" s="45"/>
      <c r="Y58" s="45"/>
      <c r="Z58" s="45"/>
      <c r="AA58" s="45"/>
      <c r="AB58" s="45"/>
    </row>
    <row r="59" spans="1:28" s="1" customFormat="1" ht="12.75" customHeight="1" x14ac:dyDescent="0.2">
      <c r="A59" s="45"/>
      <c r="B59" s="1250"/>
      <c r="C59" s="716"/>
      <c r="D59" s="720"/>
      <c r="E59" s="235" t="s">
        <v>466</v>
      </c>
      <c r="F59" s="1570" t="str">
        <f>Translations!$B$602</f>
        <v>Iš išskleidžiamojo sąrašo pasirinkite sukėliklio kategoriją.</v>
      </c>
      <c r="G59" s="1570"/>
      <c r="H59" s="1570"/>
      <c r="I59" s="1570"/>
      <c r="J59" s="1570"/>
      <c r="K59" s="1570"/>
      <c r="L59" s="1570"/>
      <c r="M59" s="1570"/>
      <c r="N59" s="1570"/>
      <c r="O59" s="1262"/>
      <c r="P59" s="208"/>
      <c r="Q59" s="208"/>
      <c r="R59" s="45"/>
      <c r="S59" s="45"/>
      <c r="T59" s="45"/>
      <c r="U59" s="45"/>
      <c r="V59" s="45"/>
      <c r="W59" s="45"/>
      <c r="X59" s="45"/>
      <c r="Y59" s="45"/>
      <c r="Z59" s="45"/>
      <c r="AA59" s="45"/>
      <c r="AB59" s="45"/>
    </row>
    <row r="60" spans="1:28" s="1" customFormat="1" ht="25.5" customHeight="1" x14ac:dyDescent="0.2">
      <c r="A60" s="45"/>
      <c r="B60" s="1250"/>
      <c r="C60" s="716"/>
      <c r="D60" s="720"/>
      <c r="E60" s="203"/>
      <c r="F60" s="1570" t="str">
        <f>Translations!$B$603</f>
        <v>Sukėliklio kategorija priklauso nuo pasirinkto sukėliklio tipo ir gali būti, pvz., „dujinis – gamtinės dujos“, „skystasis – sunkusis mazutas“, „medžiaginis – žaliavinis mišinys“ ir t. t.</v>
      </c>
      <c r="G60" s="1570"/>
      <c r="H60" s="1570"/>
      <c r="I60" s="1570"/>
      <c r="J60" s="1570"/>
      <c r="K60" s="1570"/>
      <c r="L60" s="1570"/>
      <c r="M60" s="1570"/>
      <c r="N60" s="1570"/>
      <c r="O60" s="1262"/>
      <c r="P60" s="208"/>
      <c r="Q60" s="208"/>
      <c r="R60" s="45"/>
      <c r="S60" s="45"/>
      <c r="T60" s="45"/>
      <c r="U60" s="45"/>
      <c r="V60" s="45"/>
      <c r="W60" s="45"/>
      <c r="X60" s="45"/>
      <c r="Y60" s="45"/>
      <c r="Z60" s="45"/>
      <c r="AA60" s="45"/>
      <c r="AB60" s="45"/>
    </row>
    <row r="61" spans="1:28" s="1" customFormat="1" ht="25.5" customHeight="1" x14ac:dyDescent="0.2">
      <c r="A61" s="45"/>
      <c r="B61" s="1250"/>
      <c r="C61" s="716"/>
      <c r="D61" s="720"/>
      <c r="E61" s="203"/>
      <c r="F61" s="1568"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68"/>
      <c r="H61" s="1568"/>
      <c r="I61" s="1568"/>
      <c r="J61" s="1568"/>
      <c r="K61" s="1568"/>
      <c r="L61" s="1568"/>
      <c r="M61" s="1568"/>
      <c r="N61" s="1568"/>
      <c r="O61" s="1263"/>
      <c r="P61" s="208"/>
      <c r="Q61" s="208"/>
      <c r="R61" s="45"/>
      <c r="S61" s="45"/>
      <c r="T61" s="45"/>
      <c r="U61" s="45"/>
      <c r="V61" s="45"/>
      <c r="W61" s="45"/>
      <c r="X61" s="45"/>
      <c r="Y61" s="45"/>
      <c r="Z61" s="45"/>
      <c r="AA61" s="45"/>
      <c r="AB61" s="45"/>
    </row>
    <row r="62" spans="1:28" s="1" customFormat="1" ht="12.75" customHeight="1" x14ac:dyDescent="0.2">
      <c r="A62" s="45"/>
      <c r="B62" s="1250"/>
      <c r="C62" s="716"/>
      <c r="D62" s="720"/>
      <c r="E62" s="235" t="s">
        <v>468</v>
      </c>
      <c r="F62" s="1570" t="str">
        <f>Translations!$B$605</f>
        <v>Jeigu taikytina, įveskite sukėliklio pavadinimą.</v>
      </c>
      <c r="G62" s="1570"/>
      <c r="H62" s="1570"/>
      <c r="I62" s="1570"/>
      <c r="J62" s="1570"/>
      <c r="K62" s="1570"/>
      <c r="L62" s="1570"/>
      <c r="M62" s="1570"/>
      <c r="N62" s="1570"/>
      <c r="O62" s="1262"/>
      <c r="P62" s="208"/>
      <c r="Q62" s="208"/>
      <c r="R62" s="45"/>
      <c r="S62" s="45"/>
      <c r="T62" s="45"/>
      <c r="U62" s="45"/>
      <c r="V62" s="45"/>
      <c r="W62" s="45"/>
      <c r="X62" s="45"/>
      <c r="Y62" s="45"/>
      <c r="Z62" s="45"/>
      <c r="AA62" s="45"/>
      <c r="AB62" s="45"/>
    </row>
    <row r="63" spans="1:28" s="1" customFormat="1" ht="25.5" customHeight="1" x14ac:dyDescent="0.2">
      <c r="A63" s="45"/>
      <c r="B63" s="1250"/>
      <c r="C63" s="716"/>
      <c r="D63" s="720"/>
      <c r="E63" s="203"/>
      <c r="F63" s="1570"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70"/>
      <c r="H63" s="1570"/>
      <c r="I63" s="1570"/>
      <c r="J63" s="1570"/>
      <c r="K63" s="1570"/>
      <c r="L63" s="1570"/>
      <c r="M63" s="1570"/>
      <c r="N63" s="1570"/>
      <c r="O63" s="1263"/>
      <c r="P63" s="208"/>
      <c r="Q63" s="208"/>
      <c r="R63" s="45"/>
      <c r="S63" s="45"/>
      <c r="T63" s="45"/>
      <c r="U63" s="45"/>
      <c r="V63" s="45"/>
      <c r="W63" s="45"/>
      <c r="X63" s="45"/>
      <c r="Y63" s="45"/>
      <c r="Z63" s="45"/>
      <c r="AA63" s="45"/>
      <c r="AB63" s="45"/>
    </row>
    <row r="64" spans="1:28" s="1" customFormat="1" ht="12.75" customHeight="1" x14ac:dyDescent="0.2">
      <c r="A64" s="45"/>
      <c r="B64" s="1250"/>
      <c r="C64" s="716"/>
      <c r="D64" s="720"/>
      <c r="E64" s="1568" t="str">
        <f>Translations!$B$607</f>
        <v>Svarbu! Nuoseklumo sumetimais sukėliklius įveskite tokia pat eilės tvarka, kaip pateikta Jūsų naujausiame patvirtintame stebėsenos plane (tokia pat eilės tvarka ir naudodami tokius pat identifikatorius).</v>
      </c>
      <c r="F64" s="1568"/>
      <c r="G64" s="1568"/>
      <c r="H64" s="1568"/>
      <c r="I64" s="1568"/>
      <c r="J64" s="1568"/>
      <c r="K64" s="1568"/>
      <c r="L64" s="1568"/>
      <c r="M64" s="1568"/>
      <c r="N64" s="1568"/>
      <c r="O64" s="1263"/>
      <c r="P64" s="208"/>
      <c r="Q64" s="208"/>
      <c r="R64" s="45"/>
      <c r="S64" s="45"/>
      <c r="T64" s="45"/>
      <c r="U64" s="45"/>
      <c r="V64" s="45"/>
      <c r="W64" s="45"/>
      <c r="X64" s="45"/>
      <c r="Y64" s="45"/>
      <c r="Z64" s="45"/>
      <c r="AA64" s="45"/>
      <c r="AB64" s="45"/>
    </row>
    <row r="65" spans="1:28" s="1" customFormat="1" ht="5.0999999999999996" customHeight="1" x14ac:dyDescent="0.2">
      <c r="A65" s="45"/>
      <c r="B65" s="1250"/>
      <c r="C65" s="716"/>
      <c r="D65" s="720"/>
      <c r="E65" s="200"/>
      <c r="F65" s="200"/>
      <c r="G65" s="764"/>
      <c r="H65" s="200"/>
      <c r="I65" s="200"/>
      <c r="J65" s="200"/>
      <c r="K65" s="200"/>
      <c r="L65" s="200"/>
      <c r="M65" s="200"/>
      <c r="N65" s="200"/>
      <c r="O65" s="1256"/>
      <c r="P65" s="45"/>
      <c r="Q65" s="45"/>
      <c r="R65" s="45"/>
      <c r="S65" s="45"/>
      <c r="T65" s="45"/>
      <c r="U65" s="45"/>
      <c r="V65" s="45"/>
      <c r="W65" s="45"/>
      <c r="X65" s="45"/>
      <c r="Y65" s="45"/>
      <c r="Z65" s="45"/>
      <c r="AA65" s="45"/>
      <c r="AB65" s="45"/>
    </row>
    <row r="66" spans="1:28" s="1" customFormat="1" ht="36.6" customHeight="1" x14ac:dyDescent="0.2">
      <c r="A66" s="45"/>
      <c r="B66" s="1250"/>
      <c r="C66" s="716"/>
      <c r="D66" s="205" t="str">
        <f>Translations!$B$608</f>
        <v>Identifikatorius</v>
      </c>
      <c r="E66" s="1561" t="str">
        <f>Translations!$B$130</f>
        <v>Sukėliklio tipas</v>
      </c>
      <c r="F66" s="1562"/>
      <c r="G66" s="1562"/>
      <c r="H66" s="1563"/>
      <c r="I66" s="1561" t="str">
        <f>Translations!$B$609</f>
        <v>Sukėliklio kategorija</v>
      </c>
      <c r="J66" s="1562"/>
      <c r="K66" s="1563"/>
      <c r="L66" s="1561" t="str">
        <f>Translations!$B$129</f>
        <v>Sukėliklio pavadinimas</v>
      </c>
      <c r="M66" s="1563"/>
      <c r="N66" s="1102" t="str">
        <f>Translations!$B$610</f>
        <v>klaida</v>
      </c>
      <c r="O66" s="1264"/>
      <c r="P66" s="45"/>
      <c r="Q66" s="208"/>
      <c r="R66" s="45"/>
      <c r="S66" s="45"/>
      <c r="T66" s="45"/>
      <c r="U66" s="45"/>
      <c r="V66" s="45"/>
      <c r="W66" s="45"/>
      <c r="X66" s="45"/>
      <c r="Y66" s="45"/>
      <c r="Z66" s="45"/>
      <c r="AA66" s="45"/>
      <c r="AB66" s="45"/>
    </row>
    <row r="67" spans="1:28" s="1" customFormat="1" ht="12.75" customHeight="1" x14ac:dyDescent="0.2">
      <c r="A67" s="47" t="s">
        <v>275</v>
      </c>
      <c r="B67" s="1250"/>
      <c r="C67" s="716"/>
      <c r="D67" s="147" t="s">
        <v>1764</v>
      </c>
      <c r="E67" s="1555" t="str">
        <f>Translations!$B$132</f>
        <v>Cemento klinkeris: Grindžiamas krosnies žaliava (A metodas)</v>
      </c>
      <c r="F67" s="1556"/>
      <c r="G67" s="1556"/>
      <c r="H67" s="1557"/>
      <c r="I67" s="1558" t="str">
        <f>Translations!$B$131</f>
        <v>Žaliavinis mišinys</v>
      </c>
      <c r="J67" s="1559"/>
      <c r="K67" s="1560"/>
      <c r="L67" s="1564"/>
      <c r="M67" s="1565"/>
      <c r="N67" s="1102"/>
      <c r="O67" s="1264"/>
      <c r="P67" s="45"/>
      <c r="Q67" s="45"/>
      <c r="R67" s="45"/>
      <c r="S67" s="45"/>
      <c r="T67" s="45"/>
      <c r="U67" s="45"/>
      <c r="V67" s="45"/>
      <c r="W67" s="45"/>
      <c r="X67" s="45"/>
      <c r="Y67" s="47" t="s">
        <v>221</v>
      </c>
      <c r="Z67" s="47" t="s">
        <v>224</v>
      </c>
      <c r="AA67" s="45"/>
      <c r="AB67" s="45"/>
    </row>
    <row r="68" spans="1:28" s="1" customFormat="1" ht="12.75" customHeight="1" x14ac:dyDescent="0.2">
      <c r="A68" s="47" t="s">
        <v>275</v>
      </c>
      <c r="B68" s="1250"/>
      <c r="C68" s="716"/>
      <c r="D68" s="147" t="s">
        <v>1765</v>
      </c>
      <c r="E68" s="1555" t="str">
        <f>Translations!$B$134</f>
        <v>Degimas: Kitas dujinis ir skystasis kuras</v>
      </c>
      <c r="F68" s="1556"/>
      <c r="G68" s="1556"/>
      <c r="H68" s="1557"/>
      <c r="I68" s="1558" t="str">
        <f>Translations!$B$133</f>
        <v>Mazutas</v>
      </c>
      <c r="J68" s="1559"/>
      <c r="K68" s="1560"/>
      <c r="L68" s="1564"/>
      <c r="M68" s="1565"/>
      <c r="N68" s="1102"/>
      <c r="O68" s="1264"/>
      <c r="P68" s="45"/>
      <c r="Q68" s="45"/>
      <c r="R68" s="47" t="s">
        <v>594</v>
      </c>
      <c r="S68" s="45"/>
      <c r="T68" s="45"/>
      <c r="U68" s="45"/>
      <c r="V68" s="228" t="s">
        <v>469</v>
      </c>
      <c r="W68" s="47" t="s">
        <v>470</v>
      </c>
      <c r="X68" s="45"/>
      <c r="Y68" s="327" t="s">
        <v>222</v>
      </c>
      <c r="Z68" s="326" t="s">
        <v>231</v>
      </c>
      <c r="AA68" s="45"/>
      <c r="AB68" s="45"/>
    </row>
    <row r="69" spans="1:28" s="1" customFormat="1" ht="12.75" customHeight="1" x14ac:dyDescent="0.2">
      <c r="A69" s="47" t="s">
        <v>275</v>
      </c>
      <c r="B69" s="1250"/>
      <c r="C69" s="716"/>
      <c r="D69" s="147" t="s">
        <v>1775</v>
      </c>
      <c r="E69" s="1555" t="str">
        <f>Translations!$B$134</f>
        <v>Degimas: Kitas dujinis ir skystasis kuras</v>
      </c>
      <c r="F69" s="1556"/>
      <c r="G69" s="1556"/>
      <c r="H69" s="1557"/>
      <c r="I69" s="1558" t="str">
        <f>Translations!$B$611</f>
        <v>Kitos dujos</v>
      </c>
      <c r="J69" s="1559"/>
      <c r="K69" s="1560"/>
      <c r="L69" s="1566" t="str">
        <f>Translations!$B$612</f>
        <v>Proceso metu išsiskiriančios dujos</v>
      </c>
      <c r="M69" s="1567"/>
      <c r="N69" s="1102"/>
      <c r="O69" s="1264"/>
      <c r="P69" s="45"/>
      <c r="Q69" s="45"/>
      <c r="R69" s="45"/>
      <c r="S69" s="45"/>
      <c r="T69" s="45"/>
      <c r="U69" s="45"/>
      <c r="V69" s="228"/>
      <c r="W69" s="45"/>
      <c r="X69" s="45"/>
      <c r="Y69" s="327"/>
      <c r="Z69" s="326"/>
      <c r="AA69" s="45"/>
      <c r="AB69" s="45"/>
    </row>
    <row r="70" spans="1:28" s="1" customFormat="1" ht="12.75" customHeight="1" thickBot="1" x14ac:dyDescent="0.25">
      <c r="A70" s="47" t="s">
        <v>275</v>
      </c>
      <c r="B70" s="1250"/>
      <c r="C70" s="716"/>
      <c r="D70" s="147" t="s">
        <v>1776</v>
      </c>
      <c r="E70" s="1555" t="str">
        <f>Translations!$B$613</f>
        <v>Geležis ir plienas: masės balanso metodas</v>
      </c>
      <c r="F70" s="1556"/>
      <c r="G70" s="1556"/>
      <c r="H70" s="1557"/>
      <c r="I70" s="1558" t="str">
        <f>Translations!$B$614</f>
        <v>Metalo laužas</v>
      </c>
      <c r="J70" s="1559"/>
      <c r="K70" s="1560"/>
      <c r="L70" s="1564"/>
      <c r="M70" s="1565"/>
      <c r="N70" s="1102"/>
      <c r="O70" s="1264"/>
      <c r="P70" s="45"/>
      <c r="Q70" s="45"/>
      <c r="R70" s="45"/>
      <c r="S70" s="45"/>
      <c r="T70" s="45"/>
      <c r="U70" s="45"/>
      <c r="V70" s="228"/>
      <c r="W70" s="45"/>
      <c r="X70" s="45"/>
      <c r="Y70" s="327"/>
      <c r="Z70" s="326"/>
      <c r="AA70" s="45"/>
      <c r="AB70" s="45"/>
    </row>
    <row r="71" spans="1:28" s="1" customFormat="1" x14ac:dyDescent="0.2">
      <c r="A71" s="45"/>
      <c r="B71" s="1250"/>
      <c r="C71" s="716"/>
      <c r="D71" s="62" t="s">
        <v>100</v>
      </c>
      <c r="E71" s="1549" t="s">
        <v>1372</v>
      </c>
      <c r="F71" s="1550"/>
      <c r="G71" s="1550"/>
      <c r="H71" s="1551"/>
      <c r="I71" s="1552" t="s">
        <v>1059</v>
      </c>
      <c r="J71" s="1553"/>
      <c r="K71" s="1554"/>
      <c r="L71" s="1549" t="s">
        <v>20</v>
      </c>
      <c r="M71" s="1551"/>
      <c r="N71" s="1103" t="str">
        <f t="shared" ref="N71:N102" si="1">IF(R71=TRUE,EUconst_ERR_Inconsistent,IF(E71="","",IF(OR(AND($V71=FALSE,COUNTA(E71:M71)&lt;3),AND($V71=TRUE,COUNTA(E71:K71)&lt;2)),EUconst_ERR_Incomplete,"")))</f>
        <v/>
      </c>
      <c r="O71" s="1264"/>
      <c r="P71" s="47"/>
      <c r="Q71" s="45"/>
      <c r="R71" s="213" t="b">
        <f t="shared" ref="R71:R102" si="2">IF(E71="",FALSE,COUNTIF($I$182:$I$223,E71)=0)</f>
        <v>0</v>
      </c>
      <c r="S71" s="213" t="str">
        <f t="shared" ref="S71:S102" si="3">EUconst_CNTR_SourceStreamName&amp;I71</f>
        <v>SourceStreamName_Dujinis – Gamtinės dujos</v>
      </c>
      <c r="T71" s="213" t="str">
        <f t="shared" ref="T71:T102" si="4">EUconst_CNTR_SourceStreamClass&amp;E71</f>
        <v>SourceStreamClass_Degimas: Kitas dujinis ir skystasis kuras</v>
      </c>
      <c r="U71" s="45"/>
      <c r="V71" s="214" t="b">
        <f t="shared" ref="V71:V102" si="5">IF(OR(COUNTA(E71:J71)&lt;2,COUNTIF(MSPara_SourceStreamCategory,I71)=0),FALSE,INDEX(MSPara_NameOptional,MATCH(I71,MSPara_SourceStreamCategory,0)))</f>
        <v>1</v>
      </c>
      <c r="W71" s="213" t="str">
        <f t="shared" ref="W71:W102" ca="1" si="6">IF(COUNTIF(EUConst_TierActivityListNames,E71)=0,"",INDEX(MSPara_CategoryAddress,MATCH(E71,EUConst_TierActivityListNames,0)))</f>
        <v>MSParameters!$G$19:$AU$19</v>
      </c>
      <c r="X71" s="629" t="str">
        <f t="shared" ref="X71:X102" si="7">IF(ISBLANK(E71),"",E71&amp; IF(ISBLANK(I71),"","; " &amp;I71) &amp; IF(ISBLANK(L71),"","; " &amp;L71))</f>
        <v>Degimas: Kitas dujinis ir skystasis kuras; Dujinis – Gamtinės dujos; CO2</v>
      </c>
      <c r="Y71" s="345" t="str">
        <f t="shared" ref="Y71:Y102" si="8">IF(ISBLANK(I71),EUconst_NA,D71&amp;". "&amp;I71 &amp;IF(ISBLANK(L71),"","; " &amp; L71))</f>
        <v>F1. Dujinis – Gamtinės dujos; CO2</v>
      </c>
      <c r="Z71" s="215" t="str">
        <f>IF(E71="","",IF(MATCH(E71,EUConst_TierActivityListNames,0)&gt;40,MAX(Z$68:Z68)+1,""))</f>
        <v/>
      </c>
      <c r="AA71" s="45"/>
      <c r="AB71" s="213" t="b">
        <f>L49=EUconst_NotRelevant</f>
        <v>0</v>
      </c>
    </row>
    <row r="72" spans="1:28" s="1" customFormat="1" ht="12.75" customHeight="1" x14ac:dyDescent="0.2">
      <c r="A72" s="45"/>
      <c r="B72" s="1250"/>
      <c r="C72" s="716"/>
      <c r="D72" s="62" t="s">
        <v>101</v>
      </c>
      <c r="E72" s="1549" t="s">
        <v>1372</v>
      </c>
      <c r="F72" s="1550"/>
      <c r="G72" s="1550"/>
      <c r="H72" s="1551"/>
      <c r="I72" s="1552" t="s">
        <v>1059</v>
      </c>
      <c r="J72" s="1553"/>
      <c r="K72" s="1554"/>
      <c r="L72" s="1549" t="s">
        <v>20</v>
      </c>
      <c r="M72" s="1551"/>
      <c r="N72" s="1103" t="str">
        <f t="shared" si="1"/>
        <v/>
      </c>
      <c r="O72" s="1264"/>
      <c r="P72" s="211"/>
      <c r="Q72" s="45"/>
      <c r="R72" s="213" t="b">
        <f t="shared" si="2"/>
        <v>0</v>
      </c>
      <c r="S72" s="213" t="str">
        <f t="shared" si="3"/>
        <v>SourceStreamName_Dujinis – Gamtinės dujos</v>
      </c>
      <c r="T72" s="213" t="str">
        <f t="shared" si="4"/>
        <v>SourceStreamClass_Degimas: Kitas dujinis ir skystasis kuras</v>
      </c>
      <c r="U72" s="45"/>
      <c r="V72" s="214" t="b">
        <f t="shared" si="5"/>
        <v>1</v>
      </c>
      <c r="W72" s="213" t="str">
        <f t="shared" ca="1" si="6"/>
        <v>MSParameters!$G$19:$AU$19</v>
      </c>
      <c r="X72" s="629" t="str">
        <f t="shared" si="7"/>
        <v>Degimas: Kitas dujinis ir skystasis kuras; Dujinis – Gamtinės dujos; CO2</v>
      </c>
      <c r="Y72" s="346" t="str">
        <f t="shared" si="8"/>
        <v>F2. Dujinis – Gamtinės dujos; CO2</v>
      </c>
      <c r="Z72" s="217" t="str">
        <f>IF(E72="","",IF(MATCH(E72,EUConst_TierActivityListNames,0)&gt;40,MAX(Z$68:Z71)+1,""))</f>
        <v/>
      </c>
      <c r="AA72" s="45"/>
      <c r="AB72" s="213" t="b">
        <f>AB71</f>
        <v>0</v>
      </c>
    </row>
    <row r="73" spans="1:28" s="1" customFormat="1" x14ac:dyDescent="0.2">
      <c r="A73" s="45"/>
      <c r="B73" s="1250"/>
      <c r="C73" s="716"/>
      <c r="D73" s="62" t="s">
        <v>102</v>
      </c>
      <c r="E73" s="1549" t="s">
        <v>1372</v>
      </c>
      <c r="F73" s="1550"/>
      <c r="G73" s="1550"/>
      <c r="H73" s="1551"/>
      <c r="I73" s="1552" t="s">
        <v>1059</v>
      </c>
      <c r="J73" s="1553"/>
      <c r="K73" s="1554"/>
      <c r="L73" s="1549" t="s">
        <v>20</v>
      </c>
      <c r="M73" s="1551"/>
      <c r="N73" s="1103" t="str">
        <f t="shared" si="1"/>
        <v/>
      </c>
      <c r="O73" s="1264"/>
      <c r="P73" s="45"/>
      <c r="Q73" s="45"/>
      <c r="R73" s="213" t="b">
        <f t="shared" si="2"/>
        <v>0</v>
      </c>
      <c r="S73" s="213" t="str">
        <f t="shared" si="3"/>
        <v>SourceStreamName_Dujinis – Gamtinės dujos</v>
      </c>
      <c r="T73" s="213" t="str">
        <f t="shared" si="4"/>
        <v>SourceStreamClass_Degimas: Kitas dujinis ir skystasis kuras</v>
      </c>
      <c r="U73" s="45"/>
      <c r="V73" s="214" t="b">
        <f t="shared" si="5"/>
        <v>1</v>
      </c>
      <c r="W73" s="213" t="str">
        <f t="shared" ca="1" si="6"/>
        <v>MSParameters!$G$19:$AU$19</v>
      </c>
      <c r="X73" s="629" t="str">
        <f t="shared" si="7"/>
        <v>Degimas: Kitas dujinis ir skystasis kuras; Dujinis – Gamtinės dujos; CO2</v>
      </c>
      <c r="Y73" s="346" t="str">
        <f t="shared" si="8"/>
        <v>F3. Dujinis – Gamtinės dujos; CO2</v>
      </c>
      <c r="Z73" s="217" t="str">
        <f>IF(E73="","",IF(MATCH(E73,EUConst_TierActivityListNames,0)&gt;40,MAX(Z$68:Z72)+1,""))</f>
        <v/>
      </c>
      <c r="AA73" s="45"/>
      <c r="AB73" s="213" t="b">
        <f t="shared" ref="AB73:AB119" si="9">AB72</f>
        <v>0</v>
      </c>
    </row>
    <row r="74" spans="1:28" s="1" customFormat="1" ht="12.75" customHeight="1" x14ac:dyDescent="0.2">
      <c r="A74" s="45"/>
      <c r="B74" s="1250"/>
      <c r="C74" s="716"/>
      <c r="D74" s="62" t="s">
        <v>103</v>
      </c>
      <c r="E74" s="1549"/>
      <c r="F74" s="1550"/>
      <c r="G74" s="1550"/>
      <c r="H74" s="1551"/>
      <c r="I74" s="1552"/>
      <c r="J74" s="1553"/>
      <c r="K74" s="1554"/>
      <c r="L74" s="1549"/>
      <c r="M74" s="1551"/>
      <c r="N74" s="1103" t="str">
        <f t="shared" si="1"/>
        <v/>
      </c>
      <c r="O74" s="1264"/>
      <c r="P74" s="45"/>
      <c r="Q74" s="45"/>
      <c r="R74" s="213" t="b">
        <f t="shared" si="2"/>
        <v>0</v>
      </c>
      <c r="S74" s="213" t="str">
        <f t="shared" si="3"/>
        <v>SourceStreamName_</v>
      </c>
      <c r="T74" s="213" t="str">
        <f t="shared" si="4"/>
        <v>SourceStreamClass_</v>
      </c>
      <c r="U74" s="45"/>
      <c r="V74" s="214" t="b">
        <f t="shared" si="5"/>
        <v>0</v>
      </c>
      <c r="W74" s="213" t="str">
        <f t="shared" si="6"/>
        <v/>
      </c>
      <c r="X74" s="629" t="str">
        <f t="shared" si="7"/>
        <v/>
      </c>
      <c r="Y74" s="346" t="str">
        <f t="shared" si="8"/>
        <v>netaik.</v>
      </c>
      <c r="Z74" s="217" t="str">
        <f>IF(E74="","",IF(MATCH(E74,EUConst_TierActivityListNames,0)&gt;40,MAX(Z$68:Z73)+1,""))</f>
        <v/>
      </c>
      <c r="AA74" s="45"/>
      <c r="AB74" s="213" t="b">
        <f t="shared" si="9"/>
        <v>0</v>
      </c>
    </row>
    <row r="75" spans="1:28" s="1" customFormat="1" x14ac:dyDescent="0.2">
      <c r="A75" s="45"/>
      <c r="B75" s="1250"/>
      <c r="C75" s="716"/>
      <c r="D75" s="62" t="s">
        <v>104</v>
      </c>
      <c r="E75" s="1549"/>
      <c r="F75" s="1550"/>
      <c r="G75" s="1550"/>
      <c r="H75" s="1551"/>
      <c r="I75" s="1552"/>
      <c r="J75" s="1553"/>
      <c r="K75" s="1554"/>
      <c r="L75" s="1549"/>
      <c r="M75" s="1551"/>
      <c r="N75" s="1103" t="str">
        <f t="shared" si="1"/>
        <v/>
      </c>
      <c r="O75" s="1264"/>
      <c r="P75" s="45"/>
      <c r="Q75" s="45"/>
      <c r="R75" s="213" t="b">
        <f t="shared" si="2"/>
        <v>0</v>
      </c>
      <c r="S75" s="213" t="str">
        <f t="shared" si="3"/>
        <v>SourceStreamName_</v>
      </c>
      <c r="T75" s="213" t="str">
        <f t="shared" si="4"/>
        <v>SourceStreamClass_</v>
      </c>
      <c r="U75" s="45"/>
      <c r="V75" s="214" t="b">
        <f t="shared" si="5"/>
        <v>0</v>
      </c>
      <c r="W75" s="213" t="str">
        <f t="shared" si="6"/>
        <v/>
      </c>
      <c r="X75" s="629" t="str">
        <f t="shared" si="7"/>
        <v/>
      </c>
      <c r="Y75" s="346" t="str">
        <f t="shared" si="8"/>
        <v>netaik.</v>
      </c>
      <c r="Z75" s="217" t="str">
        <f>IF(E75="","",IF(MATCH(E75,EUConst_TierActivityListNames,0)&gt;40,MAX(Z$68:Z74)+1,""))</f>
        <v/>
      </c>
      <c r="AA75" s="45"/>
      <c r="AB75" s="213" t="b">
        <f t="shared" si="9"/>
        <v>0</v>
      </c>
    </row>
    <row r="76" spans="1:28" s="1" customFormat="1" x14ac:dyDescent="0.2">
      <c r="A76" s="45"/>
      <c r="B76" s="1250"/>
      <c r="C76" s="716"/>
      <c r="D76" s="62" t="s">
        <v>45</v>
      </c>
      <c r="E76" s="1549"/>
      <c r="F76" s="1550"/>
      <c r="G76" s="1550"/>
      <c r="H76" s="1551"/>
      <c r="I76" s="1552"/>
      <c r="J76" s="1553"/>
      <c r="K76" s="1554"/>
      <c r="L76" s="1549"/>
      <c r="M76" s="1551"/>
      <c r="N76" s="1103" t="str">
        <f t="shared" si="1"/>
        <v/>
      </c>
      <c r="O76" s="1264"/>
      <c r="P76" s="45"/>
      <c r="Q76" s="45"/>
      <c r="R76" s="213" t="b">
        <f t="shared" si="2"/>
        <v>0</v>
      </c>
      <c r="S76" s="213" t="str">
        <f t="shared" si="3"/>
        <v>SourceStreamName_</v>
      </c>
      <c r="T76" s="213" t="str">
        <f t="shared" si="4"/>
        <v>SourceStreamClass_</v>
      </c>
      <c r="U76" s="45"/>
      <c r="V76" s="214" t="b">
        <f t="shared" si="5"/>
        <v>0</v>
      </c>
      <c r="W76" s="213" t="str">
        <f t="shared" si="6"/>
        <v/>
      </c>
      <c r="X76" s="629" t="str">
        <f t="shared" si="7"/>
        <v/>
      </c>
      <c r="Y76" s="346" t="str">
        <f t="shared" si="8"/>
        <v>netaik.</v>
      </c>
      <c r="Z76" s="217" t="str">
        <f>IF(E76="","",IF(MATCH(E76,EUConst_TierActivityListNames,0)&gt;40,MAX(Z$68:Z75)+1,""))</f>
        <v/>
      </c>
      <c r="AA76" s="45"/>
      <c r="AB76" s="213" t="b">
        <f t="shared" si="9"/>
        <v>0</v>
      </c>
    </row>
    <row r="77" spans="1:28" s="1" customFormat="1" x14ac:dyDescent="0.2">
      <c r="A77" s="45"/>
      <c r="B77" s="1250"/>
      <c r="C77" s="716"/>
      <c r="D77" s="62" t="s">
        <v>46</v>
      </c>
      <c r="E77" s="1549"/>
      <c r="F77" s="1550"/>
      <c r="G77" s="1550"/>
      <c r="H77" s="1551"/>
      <c r="I77" s="1552"/>
      <c r="J77" s="1553"/>
      <c r="K77" s="1554"/>
      <c r="L77" s="1549"/>
      <c r="M77" s="1551"/>
      <c r="N77" s="1103" t="str">
        <f t="shared" si="1"/>
        <v/>
      </c>
      <c r="O77" s="1264"/>
      <c r="P77" s="45"/>
      <c r="Q77" s="45"/>
      <c r="R77" s="213" t="b">
        <f t="shared" si="2"/>
        <v>0</v>
      </c>
      <c r="S77" s="213" t="str">
        <f t="shared" si="3"/>
        <v>SourceStreamName_</v>
      </c>
      <c r="T77" s="213" t="str">
        <f t="shared" si="4"/>
        <v>SourceStreamClass_</v>
      </c>
      <c r="U77" s="45"/>
      <c r="V77" s="214" t="b">
        <f t="shared" si="5"/>
        <v>0</v>
      </c>
      <c r="W77" s="213" t="str">
        <f t="shared" si="6"/>
        <v/>
      </c>
      <c r="X77" s="629" t="str">
        <f t="shared" si="7"/>
        <v/>
      </c>
      <c r="Y77" s="346" t="str">
        <f t="shared" si="8"/>
        <v>netaik.</v>
      </c>
      <c r="Z77" s="217" t="str">
        <f>IF(E77="","",IF(MATCH(E77,EUConst_TierActivityListNames,0)&gt;40,MAX(Z$68:Z76)+1,""))</f>
        <v/>
      </c>
      <c r="AA77" s="45"/>
      <c r="AB77" s="213" t="b">
        <f t="shared" si="9"/>
        <v>0</v>
      </c>
    </row>
    <row r="78" spans="1:28" s="1" customFormat="1" x14ac:dyDescent="0.2">
      <c r="A78" s="45"/>
      <c r="B78" s="1250"/>
      <c r="C78" s="716"/>
      <c r="D78" s="62" t="s">
        <v>47</v>
      </c>
      <c r="E78" s="1549"/>
      <c r="F78" s="1550"/>
      <c r="G78" s="1550"/>
      <c r="H78" s="1551"/>
      <c r="I78" s="1552"/>
      <c r="J78" s="1553"/>
      <c r="K78" s="1554"/>
      <c r="L78" s="1549"/>
      <c r="M78" s="1551"/>
      <c r="N78" s="1103" t="str">
        <f t="shared" si="1"/>
        <v/>
      </c>
      <c r="O78" s="1264"/>
      <c r="P78" s="45"/>
      <c r="Q78" s="45"/>
      <c r="R78" s="213" t="b">
        <f t="shared" si="2"/>
        <v>0</v>
      </c>
      <c r="S78" s="213" t="str">
        <f t="shared" si="3"/>
        <v>SourceStreamName_</v>
      </c>
      <c r="T78" s="213" t="str">
        <f t="shared" si="4"/>
        <v>SourceStreamClass_</v>
      </c>
      <c r="U78" s="45"/>
      <c r="V78" s="214" t="b">
        <f t="shared" si="5"/>
        <v>0</v>
      </c>
      <c r="W78" s="213" t="str">
        <f t="shared" si="6"/>
        <v/>
      </c>
      <c r="X78" s="629" t="str">
        <f t="shared" si="7"/>
        <v/>
      </c>
      <c r="Y78" s="346" t="str">
        <f t="shared" si="8"/>
        <v>netaik.</v>
      </c>
      <c r="Z78" s="217" t="str">
        <f>IF(E78="","",IF(MATCH(E78,EUConst_TierActivityListNames,0)&gt;40,MAX(Z$68:Z77)+1,""))</f>
        <v/>
      </c>
      <c r="AA78" s="45"/>
      <c r="AB78" s="213" t="b">
        <f t="shared" si="9"/>
        <v>0</v>
      </c>
    </row>
    <row r="79" spans="1:28" s="1" customFormat="1" x14ac:dyDescent="0.2">
      <c r="A79" s="45"/>
      <c r="B79" s="1250"/>
      <c r="C79" s="716"/>
      <c r="D79" s="62" t="s">
        <v>48</v>
      </c>
      <c r="E79" s="1549"/>
      <c r="F79" s="1550"/>
      <c r="G79" s="1550"/>
      <c r="H79" s="1551"/>
      <c r="I79" s="1552"/>
      <c r="J79" s="1553"/>
      <c r="K79" s="1554"/>
      <c r="L79" s="1549"/>
      <c r="M79" s="1551"/>
      <c r="N79" s="1103" t="str">
        <f t="shared" si="1"/>
        <v/>
      </c>
      <c r="O79" s="1264"/>
      <c r="P79" s="45"/>
      <c r="Q79" s="45"/>
      <c r="R79" s="213" t="b">
        <f t="shared" si="2"/>
        <v>0</v>
      </c>
      <c r="S79" s="213" t="str">
        <f t="shared" si="3"/>
        <v>SourceStreamName_</v>
      </c>
      <c r="T79" s="213" t="str">
        <f t="shared" si="4"/>
        <v>SourceStreamClass_</v>
      </c>
      <c r="U79" s="45"/>
      <c r="V79" s="214" t="b">
        <f t="shared" si="5"/>
        <v>0</v>
      </c>
      <c r="W79" s="213" t="str">
        <f t="shared" si="6"/>
        <v/>
      </c>
      <c r="X79" s="629" t="str">
        <f t="shared" si="7"/>
        <v/>
      </c>
      <c r="Y79" s="346" t="str">
        <f t="shared" si="8"/>
        <v>netaik.</v>
      </c>
      <c r="Z79" s="217" t="str">
        <f>IF(E79="","",IF(MATCH(E79,EUConst_TierActivityListNames,0)&gt;40,MAX(Z$68:Z78)+1,""))</f>
        <v/>
      </c>
      <c r="AA79" s="45"/>
      <c r="AB79" s="213" t="b">
        <f t="shared" si="9"/>
        <v>0</v>
      </c>
    </row>
    <row r="80" spans="1:28" s="1" customFormat="1" x14ac:dyDescent="0.2">
      <c r="A80" s="45"/>
      <c r="B80" s="1250"/>
      <c r="C80" s="716"/>
      <c r="D80" s="62" t="s">
        <v>49</v>
      </c>
      <c r="E80" s="1549"/>
      <c r="F80" s="1550"/>
      <c r="G80" s="1550"/>
      <c r="H80" s="1551"/>
      <c r="I80" s="1552"/>
      <c r="J80" s="1553"/>
      <c r="K80" s="1554"/>
      <c r="L80" s="1549"/>
      <c r="M80" s="1551"/>
      <c r="N80" s="1103" t="str">
        <f t="shared" si="1"/>
        <v/>
      </c>
      <c r="O80" s="1264"/>
      <c r="P80" s="47"/>
      <c r="Q80" s="45"/>
      <c r="R80" s="213" t="b">
        <f t="shared" si="2"/>
        <v>0</v>
      </c>
      <c r="S80" s="213" t="str">
        <f t="shared" si="3"/>
        <v>SourceStreamName_</v>
      </c>
      <c r="T80" s="213" t="str">
        <f t="shared" si="4"/>
        <v>SourceStreamClass_</v>
      </c>
      <c r="U80" s="45"/>
      <c r="V80" s="214" t="b">
        <f t="shared" si="5"/>
        <v>0</v>
      </c>
      <c r="W80" s="213" t="str">
        <f t="shared" si="6"/>
        <v/>
      </c>
      <c r="X80" s="629" t="str">
        <f t="shared" si="7"/>
        <v/>
      </c>
      <c r="Y80" s="346" t="str">
        <f t="shared" si="8"/>
        <v>netaik.</v>
      </c>
      <c r="Z80" s="217" t="str">
        <f>IF(E80="","",IF(MATCH(E80,EUConst_TierActivityListNames,0)&gt;40,MAX(Z$68:Z79)+1,""))</f>
        <v/>
      </c>
      <c r="AA80" s="45"/>
      <c r="AB80" s="213" t="b">
        <f t="shared" si="9"/>
        <v>0</v>
      </c>
    </row>
    <row r="81" spans="1:28" s="1" customFormat="1" hidden="1" outlineLevel="1" x14ac:dyDescent="0.2">
      <c r="A81" s="45"/>
      <c r="B81" s="1250"/>
      <c r="C81" s="716"/>
      <c r="D81" s="62" t="s">
        <v>390</v>
      </c>
      <c r="E81" s="1549"/>
      <c r="F81" s="1550"/>
      <c r="G81" s="1550"/>
      <c r="H81" s="1551"/>
      <c r="I81" s="1552"/>
      <c r="J81" s="1553"/>
      <c r="K81" s="1554"/>
      <c r="L81" s="1549"/>
      <c r="M81" s="1551"/>
      <c r="N81" s="1103" t="str">
        <f t="shared" si="1"/>
        <v/>
      </c>
      <c r="O81" s="1264"/>
      <c r="P81" s="45"/>
      <c r="Q81" s="45"/>
      <c r="R81" s="213" t="b">
        <f t="shared" si="2"/>
        <v>0</v>
      </c>
      <c r="S81" s="213" t="str">
        <f t="shared" si="3"/>
        <v>SourceStreamName_</v>
      </c>
      <c r="T81" s="213" t="str">
        <f t="shared" si="4"/>
        <v>SourceStreamClass_</v>
      </c>
      <c r="U81" s="45"/>
      <c r="V81" s="214" t="b">
        <f t="shared" si="5"/>
        <v>0</v>
      </c>
      <c r="W81" s="213" t="str">
        <f t="shared" si="6"/>
        <v/>
      </c>
      <c r="X81" s="629" t="str">
        <f t="shared" si="7"/>
        <v/>
      </c>
      <c r="Y81" s="346" t="str">
        <f t="shared" si="8"/>
        <v>netaik.</v>
      </c>
      <c r="Z81" s="217" t="str">
        <f>IF(E81="","",IF(MATCH(E81,EUConst_TierActivityListNames,0)&gt;40,MAX(Z$68:Z80)+1,""))</f>
        <v/>
      </c>
      <c r="AA81" s="45"/>
      <c r="AB81" s="213" t="b">
        <f t="shared" si="9"/>
        <v>0</v>
      </c>
    </row>
    <row r="82" spans="1:28" s="1" customFormat="1" hidden="1" outlineLevel="1" x14ac:dyDescent="0.2">
      <c r="A82" s="45"/>
      <c r="B82" s="1250"/>
      <c r="C82" s="716"/>
      <c r="D82" s="62" t="s">
        <v>391</v>
      </c>
      <c r="E82" s="1549"/>
      <c r="F82" s="1550"/>
      <c r="G82" s="1550"/>
      <c r="H82" s="1551"/>
      <c r="I82" s="1552"/>
      <c r="J82" s="1553"/>
      <c r="K82" s="1554"/>
      <c r="L82" s="1549"/>
      <c r="M82" s="1551"/>
      <c r="N82" s="1103" t="str">
        <f t="shared" si="1"/>
        <v/>
      </c>
      <c r="O82" s="1264"/>
      <c r="P82" s="45"/>
      <c r="Q82" s="45"/>
      <c r="R82" s="213" t="b">
        <f t="shared" si="2"/>
        <v>0</v>
      </c>
      <c r="S82" s="213" t="str">
        <f t="shared" si="3"/>
        <v>SourceStreamName_</v>
      </c>
      <c r="T82" s="213" t="str">
        <f t="shared" si="4"/>
        <v>SourceStreamClass_</v>
      </c>
      <c r="U82" s="45"/>
      <c r="V82" s="214" t="b">
        <f t="shared" si="5"/>
        <v>0</v>
      </c>
      <c r="W82" s="213" t="str">
        <f t="shared" si="6"/>
        <v/>
      </c>
      <c r="X82" s="629" t="str">
        <f t="shared" si="7"/>
        <v/>
      </c>
      <c r="Y82" s="346" t="str">
        <f t="shared" si="8"/>
        <v>netaik.</v>
      </c>
      <c r="Z82" s="217" t="str">
        <f>IF(E82="","",IF(MATCH(E82,EUConst_TierActivityListNames,0)&gt;40,MAX(Z$68:Z81)+1,""))</f>
        <v/>
      </c>
      <c r="AA82" s="45"/>
      <c r="AB82" s="213" t="b">
        <f t="shared" si="9"/>
        <v>0</v>
      </c>
    </row>
    <row r="83" spans="1:28" s="1" customFormat="1" hidden="1" outlineLevel="1" x14ac:dyDescent="0.2">
      <c r="A83" s="45"/>
      <c r="B83" s="1250"/>
      <c r="C83" s="716"/>
      <c r="D83" s="62" t="s">
        <v>392</v>
      </c>
      <c r="E83" s="1549"/>
      <c r="F83" s="1550"/>
      <c r="G83" s="1550"/>
      <c r="H83" s="1551"/>
      <c r="I83" s="1552"/>
      <c r="J83" s="1553"/>
      <c r="K83" s="1554"/>
      <c r="L83" s="1549"/>
      <c r="M83" s="1551"/>
      <c r="N83" s="1103" t="str">
        <f t="shared" si="1"/>
        <v/>
      </c>
      <c r="O83" s="1264"/>
      <c r="P83" s="45"/>
      <c r="Q83" s="45"/>
      <c r="R83" s="213" t="b">
        <f t="shared" si="2"/>
        <v>0</v>
      </c>
      <c r="S83" s="213" t="str">
        <f t="shared" si="3"/>
        <v>SourceStreamName_</v>
      </c>
      <c r="T83" s="213" t="str">
        <f t="shared" si="4"/>
        <v>SourceStreamClass_</v>
      </c>
      <c r="U83" s="45"/>
      <c r="V83" s="214" t="b">
        <f t="shared" si="5"/>
        <v>0</v>
      </c>
      <c r="W83" s="213" t="str">
        <f t="shared" si="6"/>
        <v/>
      </c>
      <c r="X83" s="629" t="str">
        <f t="shared" si="7"/>
        <v/>
      </c>
      <c r="Y83" s="346" t="str">
        <f t="shared" si="8"/>
        <v>netaik.</v>
      </c>
      <c r="Z83" s="217" t="str">
        <f>IF(E83="","",IF(MATCH(E83,EUConst_TierActivityListNames,0)&gt;40,MAX(Z$68:Z82)+1,""))</f>
        <v/>
      </c>
      <c r="AA83" s="45"/>
      <c r="AB83" s="213" t="b">
        <f t="shared" si="9"/>
        <v>0</v>
      </c>
    </row>
    <row r="84" spans="1:28" s="1" customFormat="1" hidden="1" outlineLevel="1" x14ac:dyDescent="0.2">
      <c r="A84" s="45"/>
      <c r="B84" s="1250"/>
      <c r="C84" s="716"/>
      <c r="D84" s="62" t="s">
        <v>393</v>
      </c>
      <c r="E84" s="1549"/>
      <c r="F84" s="1550"/>
      <c r="G84" s="1550"/>
      <c r="H84" s="1551"/>
      <c r="I84" s="1552"/>
      <c r="J84" s="1553"/>
      <c r="K84" s="1554"/>
      <c r="L84" s="1549"/>
      <c r="M84" s="1551"/>
      <c r="N84" s="1103" t="str">
        <f t="shared" si="1"/>
        <v/>
      </c>
      <c r="O84" s="1264"/>
      <c r="P84" s="45"/>
      <c r="Q84" s="45"/>
      <c r="R84" s="213" t="b">
        <f t="shared" si="2"/>
        <v>0</v>
      </c>
      <c r="S84" s="213" t="str">
        <f t="shared" si="3"/>
        <v>SourceStreamName_</v>
      </c>
      <c r="T84" s="213" t="str">
        <f t="shared" si="4"/>
        <v>SourceStreamClass_</v>
      </c>
      <c r="U84" s="45"/>
      <c r="V84" s="214" t="b">
        <f t="shared" si="5"/>
        <v>0</v>
      </c>
      <c r="W84" s="213" t="str">
        <f t="shared" si="6"/>
        <v/>
      </c>
      <c r="X84" s="629" t="str">
        <f t="shared" si="7"/>
        <v/>
      </c>
      <c r="Y84" s="346" t="str">
        <f t="shared" si="8"/>
        <v>netaik.</v>
      </c>
      <c r="Z84" s="217" t="str">
        <f>IF(E84="","",IF(MATCH(E84,EUConst_TierActivityListNames,0)&gt;40,MAX(Z$68:Z83)+1,""))</f>
        <v/>
      </c>
      <c r="AA84" s="45"/>
      <c r="AB84" s="213" t="b">
        <f t="shared" si="9"/>
        <v>0</v>
      </c>
    </row>
    <row r="85" spans="1:28" s="1" customFormat="1" hidden="1" outlineLevel="1" x14ac:dyDescent="0.2">
      <c r="A85" s="45"/>
      <c r="B85" s="1250"/>
      <c r="C85" s="716"/>
      <c r="D85" s="62" t="s">
        <v>394</v>
      </c>
      <c r="E85" s="1549"/>
      <c r="F85" s="1550"/>
      <c r="G85" s="1550"/>
      <c r="H85" s="1551"/>
      <c r="I85" s="1552"/>
      <c r="J85" s="1553"/>
      <c r="K85" s="1554"/>
      <c r="L85" s="1549"/>
      <c r="M85" s="1551"/>
      <c r="N85" s="1103" t="str">
        <f t="shared" si="1"/>
        <v/>
      </c>
      <c r="O85" s="1264"/>
      <c r="P85" s="47"/>
      <c r="Q85" s="45"/>
      <c r="R85" s="213" t="b">
        <f t="shared" si="2"/>
        <v>0</v>
      </c>
      <c r="S85" s="213" t="str">
        <f t="shared" si="3"/>
        <v>SourceStreamName_</v>
      </c>
      <c r="T85" s="213" t="str">
        <f t="shared" si="4"/>
        <v>SourceStreamClass_</v>
      </c>
      <c r="U85" s="45"/>
      <c r="V85" s="214" t="b">
        <f t="shared" si="5"/>
        <v>0</v>
      </c>
      <c r="W85" s="213" t="str">
        <f t="shared" si="6"/>
        <v/>
      </c>
      <c r="X85" s="629" t="str">
        <f t="shared" si="7"/>
        <v/>
      </c>
      <c r="Y85" s="346" t="str">
        <f t="shared" si="8"/>
        <v>netaik.</v>
      </c>
      <c r="Z85" s="217" t="str">
        <f>IF(E85="","",IF(MATCH(E85,EUConst_TierActivityListNames,0)&gt;40,MAX(Z$68:Z84)+1,""))</f>
        <v/>
      </c>
      <c r="AA85" s="45"/>
      <c r="AB85" s="213" t="b">
        <f t="shared" si="9"/>
        <v>0</v>
      </c>
    </row>
    <row r="86" spans="1:28" s="1" customFormat="1" hidden="1" outlineLevel="1" x14ac:dyDescent="0.2">
      <c r="A86" s="45"/>
      <c r="B86" s="1250"/>
      <c r="C86" s="716"/>
      <c r="D86" s="62" t="s">
        <v>395</v>
      </c>
      <c r="E86" s="1549"/>
      <c r="F86" s="1550"/>
      <c r="G86" s="1550"/>
      <c r="H86" s="1551"/>
      <c r="I86" s="1552"/>
      <c r="J86" s="1553"/>
      <c r="K86" s="1554"/>
      <c r="L86" s="1549"/>
      <c r="M86" s="1551"/>
      <c r="N86" s="1103" t="str">
        <f t="shared" si="1"/>
        <v/>
      </c>
      <c r="O86" s="1264"/>
      <c r="P86" s="45"/>
      <c r="Q86" s="45"/>
      <c r="R86" s="213" t="b">
        <f t="shared" si="2"/>
        <v>0</v>
      </c>
      <c r="S86" s="213" t="str">
        <f t="shared" si="3"/>
        <v>SourceStreamName_</v>
      </c>
      <c r="T86" s="213" t="str">
        <f t="shared" si="4"/>
        <v>SourceStreamClass_</v>
      </c>
      <c r="U86" s="45"/>
      <c r="V86" s="214" t="b">
        <f t="shared" si="5"/>
        <v>0</v>
      </c>
      <c r="W86" s="213" t="str">
        <f t="shared" si="6"/>
        <v/>
      </c>
      <c r="X86" s="629" t="str">
        <f t="shared" si="7"/>
        <v/>
      </c>
      <c r="Y86" s="346" t="str">
        <f t="shared" si="8"/>
        <v>netaik.</v>
      </c>
      <c r="Z86" s="217" t="str">
        <f>IF(E86="","",IF(MATCH(E86,EUConst_TierActivityListNames,0)&gt;40,MAX(Z$68:Z85)+1,""))</f>
        <v/>
      </c>
      <c r="AA86" s="45"/>
      <c r="AB86" s="213" t="b">
        <f t="shared" si="9"/>
        <v>0</v>
      </c>
    </row>
    <row r="87" spans="1:28" s="1" customFormat="1" hidden="1" outlineLevel="1" x14ac:dyDescent="0.2">
      <c r="A87" s="45"/>
      <c r="B87" s="1250"/>
      <c r="C87" s="716"/>
      <c r="D87" s="62" t="s">
        <v>396</v>
      </c>
      <c r="E87" s="1549"/>
      <c r="F87" s="1550"/>
      <c r="G87" s="1550"/>
      <c r="H87" s="1551"/>
      <c r="I87" s="1552"/>
      <c r="J87" s="1553"/>
      <c r="K87" s="1554"/>
      <c r="L87" s="1549"/>
      <c r="M87" s="1551"/>
      <c r="N87" s="1103" t="str">
        <f t="shared" si="1"/>
        <v/>
      </c>
      <c r="O87" s="1264"/>
      <c r="P87" s="45"/>
      <c r="Q87" s="45"/>
      <c r="R87" s="213" t="b">
        <f t="shared" si="2"/>
        <v>0</v>
      </c>
      <c r="S87" s="213" t="str">
        <f t="shared" si="3"/>
        <v>SourceStreamName_</v>
      </c>
      <c r="T87" s="213" t="str">
        <f t="shared" si="4"/>
        <v>SourceStreamClass_</v>
      </c>
      <c r="U87" s="45"/>
      <c r="V87" s="214" t="b">
        <f t="shared" si="5"/>
        <v>0</v>
      </c>
      <c r="W87" s="213" t="str">
        <f t="shared" si="6"/>
        <v/>
      </c>
      <c r="X87" s="629" t="str">
        <f t="shared" si="7"/>
        <v/>
      </c>
      <c r="Y87" s="346" t="str">
        <f t="shared" si="8"/>
        <v>netaik.</v>
      </c>
      <c r="Z87" s="217" t="str">
        <f>IF(E87="","",IF(MATCH(E87,EUConst_TierActivityListNames,0)&gt;40,MAX(Z$68:Z86)+1,""))</f>
        <v/>
      </c>
      <c r="AA87" s="45"/>
      <c r="AB87" s="213" t="b">
        <f t="shared" si="9"/>
        <v>0</v>
      </c>
    </row>
    <row r="88" spans="1:28" s="1" customFormat="1" hidden="1" outlineLevel="1" x14ac:dyDescent="0.2">
      <c r="A88" s="45"/>
      <c r="B88" s="1250"/>
      <c r="C88" s="716"/>
      <c r="D88" s="62" t="s">
        <v>397</v>
      </c>
      <c r="E88" s="1549"/>
      <c r="F88" s="1550"/>
      <c r="G88" s="1550"/>
      <c r="H88" s="1551"/>
      <c r="I88" s="1552"/>
      <c r="J88" s="1553"/>
      <c r="K88" s="1554"/>
      <c r="L88" s="1549"/>
      <c r="M88" s="1551"/>
      <c r="N88" s="1103" t="str">
        <f t="shared" si="1"/>
        <v/>
      </c>
      <c r="O88" s="1264"/>
      <c r="P88" s="45"/>
      <c r="Q88" s="45"/>
      <c r="R88" s="213" t="b">
        <f t="shared" si="2"/>
        <v>0</v>
      </c>
      <c r="S88" s="213" t="str">
        <f t="shared" si="3"/>
        <v>SourceStreamName_</v>
      </c>
      <c r="T88" s="213" t="str">
        <f t="shared" si="4"/>
        <v>SourceStreamClass_</v>
      </c>
      <c r="U88" s="45"/>
      <c r="V88" s="214" t="b">
        <f t="shared" si="5"/>
        <v>0</v>
      </c>
      <c r="W88" s="213" t="str">
        <f t="shared" si="6"/>
        <v/>
      </c>
      <c r="X88" s="629" t="str">
        <f t="shared" si="7"/>
        <v/>
      </c>
      <c r="Y88" s="346" t="str">
        <f t="shared" si="8"/>
        <v>netaik.</v>
      </c>
      <c r="Z88" s="217" t="str">
        <f>IF(E88="","",IF(MATCH(E88,EUConst_TierActivityListNames,0)&gt;40,MAX(Z$68:Z87)+1,""))</f>
        <v/>
      </c>
      <c r="AA88" s="45"/>
      <c r="AB88" s="213" t="b">
        <f t="shared" si="9"/>
        <v>0</v>
      </c>
    </row>
    <row r="89" spans="1:28" s="1" customFormat="1" hidden="1" outlineLevel="1" x14ac:dyDescent="0.2">
      <c r="A89" s="45"/>
      <c r="B89" s="1250"/>
      <c r="C89" s="716"/>
      <c r="D89" s="62" t="s">
        <v>398</v>
      </c>
      <c r="E89" s="1549"/>
      <c r="F89" s="1550"/>
      <c r="G89" s="1550"/>
      <c r="H89" s="1551"/>
      <c r="I89" s="1552"/>
      <c r="J89" s="1553"/>
      <c r="K89" s="1554"/>
      <c r="L89" s="1549"/>
      <c r="M89" s="1551"/>
      <c r="N89" s="1103" t="str">
        <f t="shared" si="1"/>
        <v/>
      </c>
      <c r="O89" s="1264"/>
      <c r="P89" s="45"/>
      <c r="Q89" s="45"/>
      <c r="R89" s="213" t="b">
        <f t="shared" si="2"/>
        <v>0</v>
      </c>
      <c r="S89" s="213" t="str">
        <f t="shared" si="3"/>
        <v>SourceStreamName_</v>
      </c>
      <c r="T89" s="213" t="str">
        <f t="shared" si="4"/>
        <v>SourceStreamClass_</v>
      </c>
      <c r="U89" s="45"/>
      <c r="V89" s="214" t="b">
        <f t="shared" si="5"/>
        <v>0</v>
      </c>
      <c r="W89" s="213" t="str">
        <f t="shared" si="6"/>
        <v/>
      </c>
      <c r="X89" s="629" t="str">
        <f t="shared" si="7"/>
        <v/>
      </c>
      <c r="Y89" s="346" t="str">
        <f t="shared" si="8"/>
        <v>netaik.</v>
      </c>
      <c r="Z89" s="217" t="str">
        <f>IF(E89="","",IF(MATCH(E89,EUConst_TierActivityListNames,0)&gt;40,MAX(Z$68:Z88)+1,""))</f>
        <v/>
      </c>
      <c r="AA89" s="45"/>
      <c r="AB89" s="213" t="b">
        <f t="shared" si="9"/>
        <v>0</v>
      </c>
    </row>
    <row r="90" spans="1:28" s="1" customFormat="1" hidden="1" outlineLevel="1" x14ac:dyDescent="0.2">
      <c r="A90" s="45"/>
      <c r="B90" s="1250"/>
      <c r="C90" s="716"/>
      <c r="D90" s="62" t="s">
        <v>399</v>
      </c>
      <c r="E90" s="1549"/>
      <c r="F90" s="1550"/>
      <c r="G90" s="1550"/>
      <c r="H90" s="1551"/>
      <c r="I90" s="1552"/>
      <c r="J90" s="1553"/>
      <c r="K90" s="1554"/>
      <c r="L90" s="1549"/>
      <c r="M90" s="1551"/>
      <c r="N90" s="1103" t="str">
        <f t="shared" si="1"/>
        <v/>
      </c>
      <c r="O90" s="1264"/>
      <c r="P90" s="47"/>
      <c r="Q90" s="45"/>
      <c r="R90" s="213" t="b">
        <f t="shared" si="2"/>
        <v>0</v>
      </c>
      <c r="S90" s="213" t="str">
        <f t="shared" si="3"/>
        <v>SourceStreamName_</v>
      </c>
      <c r="T90" s="213" t="str">
        <f t="shared" si="4"/>
        <v>SourceStreamClass_</v>
      </c>
      <c r="U90" s="45"/>
      <c r="V90" s="214" t="b">
        <f t="shared" si="5"/>
        <v>0</v>
      </c>
      <c r="W90" s="213" t="str">
        <f t="shared" si="6"/>
        <v/>
      </c>
      <c r="X90" s="629" t="str">
        <f t="shared" si="7"/>
        <v/>
      </c>
      <c r="Y90" s="346" t="str">
        <f t="shared" si="8"/>
        <v>netaik.</v>
      </c>
      <c r="Z90" s="217" t="str">
        <f>IF(E90="","",IF(MATCH(E90,EUConst_TierActivityListNames,0)&gt;40,MAX(Z$68:Z89)+1,""))</f>
        <v/>
      </c>
      <c r="AA90" s="45"/>
      <c r="AB90" s="213" t="b">
        <f t="shared" si="9"/>
        <v>0</v>
      </c>
    </row>
    <row r="91" spans="1:28" s="1" customFormat="1" hidden="1" outlineLevel="1" x14ac:dyDescent="0.2">
      <c r="A91" s="45"/>
      <c r="B91" s="1250"/>
      <c r="C91" s="716"/>
      <c r="D91" s="62" t="s">
        <v>400</v>
      </c>
      <c r="E91" s="1549"/>
      <c r="F91" s="1550"/>
      <c r="G91" s="1550"/>
      <c r="H91" s="1551"/>
      <c r="I91" s="1552"/>
      <c r="J91" s="1553"/>
      <c r="K91" s="1554"/>
      <c r="L91" s="1549"/>
      <c r="M91" s="1551"/>
      <c r="N91" s="1103" t="str">
        <f t="shared" si="1"/>
        <v/>
      </c>
      <c r="O91" s="1264"/>
      <c r="P91" s="45"/>
      <c r="Q91" s="45"/>
      <c r="R91" s="213" t="b">
        <f t="shared" si="2"/>
        <v>0</v>
      </c>
      <c r="S91" s="213" t="str">
        <f t="shared" si="3"/>
        <v>SourceStreamName_</v>
      </c>
      <c r="T91" s="213" t="str">
        <f t="shared" si="4"/>
        <v>SourceStreamClass_</v>
      </c>
      <c r="U91" s="45"/>
      <c r="V91" s="214" t="b">
        <f t="shared" si="5"/>
        <v>0</v>
      </c>
      <c r="W91" s="213" t="str">
        <f t="shared" si="6"/>
        <v/>
      </c>
      <c r="X91" s="629" t="str">
        <f t="shared" si="7"/>
        <v/>
      </c>
      <c r="Y91" s="346" t="str">
        <f t="shared" si="8"/>
        <v>netaik.</v>
      </c>
      <c r="Z91" s="217" t="str">
        <f>IF(E91="","",IF(MATCH(E91,EUConst_TierActivityListNames,0)&gt;40,MAX(Z$68:Z90)+1,""))</f>
        <v/>
      </c>
      <c r="AA91" s="45"/>
      <c r="AB91" s="213" t="b">
        <f t="shared" si="9"/>
        <v>0</v>
      </c>
    </row>
    <row r="92" spans="1:28" s="1" customFormat="1" hidden="1" outlineLevel="1" x14ac:dyDescent="0.2">
      <c r="A92" s="45"/>
      <c r="B92" s="1250"/>
      <c r="C92" s="716"/>
      <c r="D92" s="62" t="s">
        <v>401</v>
      </c>
      <c r="E92" s="1549"/>
      <c r="F92" s="1550"/>
      <c r="G92" s="1550"/>
      <c r="H92" s="1551"/>
      <c r="I92" s="1552"/>
      <c r="J92" s="1553"/>
      <c r="K92" s="1554"/>
      <c r="L92" s="1549"/>
      <c r="M92" s="1551"/>
      <c r="N92" s="1103" t="str">
        <f t="shared" si="1"/>
        <v/>
      </c>
      <c r="O92" s="1264"/>
      <c r="P92" s="45"/>
      <c r="Q92" s="45"/>
      <c r="R92" s="213" t="b">
        <f t="shared" si="2"/>
        <v>0</v>
      </c>
      <c r="S92" s="213" t="str">
        <f t="shared" si="3"/>
        <v>SourceStreamName_</v>
      </c>
      <c r="T92" s="213" t="str">
        <f t="shared" si="4"/>
        <v>SourceStreamClass_</v>
      </c>
      <c r="U92" s="45"/>
      <c r="V92" s="214" t="b">
        <f t="shared" si="5"/>
        <v>0</v>
      </c>
      <c r="W92" s="213" t="str">
        <f t="shared" si="6"/>
        <v/>
      </c>
      <c r="X92" s="629" t="str">
        <f t="shared" si="7"/>
        <v/>
      </c>
      <c r="Y92" s="346" t="str">
        <f t="shared" si="8"/>
        <v>netaik.</v>
      </c>
      <c r="Z92" s="217" t="str">
        <f>IF(E92="","",IF(MATCH(E92,EUConst_TierActivityListNames,0)&gt;40,MAX(Z$68:Z91)+1,""))</f>
        <v/>
      </c>
      <c r="AA92" s="45"/>
      <c r="AB92" s="213" t="b">
        <f t="shared" si="9"/>
        <v>0</v>
      </c>
    </row>
    <row r="93" spans="1:28" s="1" customFormat="1" hidden="1" outlineLevel="1" x14ac:dyDescent="0.2">
      <c r="A93" s="45"/>
      <c r="B93" s="1250"/>
      <c r="C93" s="716"/>
      <c r="D93" s="62" t="s">
        <v>402</v>
      </c>
      <c r="E93" s="1549"/>
      <c r="F93" s="1550"/>
      <c r="G93" s="1550"/>
      <c r="H93" s="1551"/>
      <c r="I93" s="1552"/>
      <c r="J93" s="1553"/>
      <c r="K93" s="1554"/>
      <c r="L93" s="1549"/>
      <c r="M93" s="1551"/>
      <c r="N93" s="1103" t="str">
        <f t="shared" si="1"/>
        <v/>
      </c>
      <c r="O93" s="1264"/>
      <c r="P93" s="45"/>
      <c r="Q93" s="45"/>
      <c r="R93" s="213" t="b">
        <f t="shared" si="2"/>
        <v>0</v>
      </c>
      <c r="S93" s="213" t="str">
        <f t="shared" si="3"/>
        <v>SourceStreamName_</v>
      </c>
      <c r="T93" s="213" t="str">
        <f t="shared" si="4"/>
        <v>SourceStreamClass_</v>
      </c>
      <c r="U93" s="45"/>
      <c r="V93" s="214" t="b">
        <f t="shared" si="5"/>
        <v>0</v>
      </c>
      <c r="W93" s="213" t="str">
        <f t="shared" si="6"/>
        <v/>
      </c>
      <c r="X93" s="629" t="str">
        <f t="shared" si="7"/>
        <v/>
      </c>
      <c r="Y93" s="346" t="str">
        <f t="shared" si="8"/>
        <v>netaik.</v>
      </c>
      <c r="Z93" s="217" t="str">
        <f>IF(E93="","",IF(MATCH(E93,EUConst_TierActivityListNames,0)&gt;40,MAX(Z$68:Z92)+1,""))</f>
        <v/>
      </c>
      <c r="AA93" s="45"/>
      <c r="AB93" s="213" t="b">
        <f t="shared" si="9"/>
        <v>0</v>
      </c>
    </row>
    <row r="94" spans="1:28" s="1" customFormat="1" hidden="1" outlineLevel="1" x14ac:dyDescent="0.2">
      <c r="A94" s="45"/>
      <c r="B94" s="1250"/>
      <c r="C94" s="716"/>
      <c r="D94" s="62" t="s">
        <v>403</v>
      </c>
      <c r="E94" s="1549"/>
      <c r="F94" s="1550"/>
      <c r="G94" s="1550"/>
      <c r="H94" s="1551"/>
      <c r="I94" s="1552"/>
      <c r="J94" s="1553"/>
      <c r="K94" s="1554"/>
      <c r="L94" s="1549"/>
      <c r="M94" s="1551"/>
      <c r="N94" s="1103" t="str">
        <f t="shared" si="1"/>
        <v/>
      </c>
      <c r="O94" s="1264"/>
      <c r="P94" s="45"/>
      <c r="Q94" s="45"/>
      <c r="R94" s="213" t="b">
        <f t="shared" si="2"/>
        <v>0</v>
      </c>
      <c r="S94" s="213" t="str">
        <f t="shared" si="3"/>
        <v>SourceStreamName_</v>
      </c>
      <c r="T94" s="213" t="str">
        <f t="shared" si="4"/>
        <v>SourceStreamClass_</v>
      </c>
      <c r="U94" s="45"/>
      <c r="V94" s="214" t="b">
        <f t="shared" si="5"/>
        <v>0</v>
      </c>
      <c r="W94" s="213" t="str">
        <f t="shared" si="6"/>
        <v/>
      </c>
      <c r="X94" s="629" t="str">
        <f t="shared" si="7"/>
        <v/>
      </c>
      <c r="Y94" s="346" t="str">
        <f t="shared" si="8"/>
        <v>netaik.</v>
      </c>
      <c r="Z94" s="217" t="str">
        <f>IF(E94="","",IF(MATCH(E94,EUConst_TierActivityListNames,0)&gt;40,MAX(Z$68:Z93)+1,""))</f>
        <v/>
      </c>
      <c r="AA94" s="45"/>
      <c r="AB94" s="213" t="b">
        <f t="shared" si="9"/>
        <v>0</v>
      </c>
    </row>
    <row r="95" spans="1:28" s="1" customFormat="1" hidden="1" outlineLevel="1" x14ac:dyDescent="0.2">
      <c r="A95" s="45"/>
      <c r="B95" s="1250"/>
      <c r="C95" s="716"/>
      <c r="D95" s="62" t="s">
        <v>404</v>
      </c>
      <c r="E95" s="1549"/>
      <c r="F95" s="1550"/>
      <c r="G95" s="1550"/>
      <c r="H95" s="1551"/>
      <c r="I95" s="1552"/>
      <c r="J95" s="1553"/>
      <c r="K95" s="1554"/>
      <c r="L95" s="1549"/>
      <c r="M95" s="1551"/>
      <c r="N95" s="1103" t="str">
        <f t="shared" si="1"/>
        <v/>
      </c>
      <c r="O95" s="1264"/>
      <c r="P95" s="47"/>
      <c r="Q95" s="45"/>
      <c r="R95" s="213" t="b">
        <f t="shared" si="2"/>
        <v>0</v>
      </c>
      <c r="S95" s="213" t="str">
        <f t="shared" si="3"/>
        <v>SourceStreamName_</v>
      </c>
      <c r="T95" s="213" t="str">
        <f t="shared" si="4"/>
        <v>SourceStreamClass_</v>
      </c>
      <c r="U95" s="45"/>
      <c r="V95" s="214" t="b">
        <f t="shared" si="5"/>
        <v>0</v>
      </c>
      <c r="W95" s="213" t="str">
        <f t="shared" si="6"/>
        <v/>
      </c>
      <c r="X95" s="629" t="str">
        <f t="shared" si="7"/>
        <v/>
      </c>
      <c r="Y95" s="346" t="str">
        <f t="shared" si="8"/>
        <v>netaik.</v>
      </c>
      <c r="Z95" s="217" t="str">
        <f>IF(E95="","",IF(MATCH(E95,EUConst_TierActivityListNames,0)&gt;40,MAX(Z$68:Z94)+1,""))</f>
        <v/>
      </c>
      <c r="AA95" s="45"/>
      <c r="AB95" s="213" t="b">
        <f t="shared" si="9"/>
        <v>0</v>
      </c>
    </row>
    <row r="96" spans="1:28" s="1" customFormat="1" hidden="1" outlineLevel="1" x14ac:dyDescent="0.2">
      <c r="A96" s="45"/>
      <c r="B96" s="1250"/>
      <c r="C96" s="716"/>
      <c r="D96" s="62" t="s">
        <v>405</v>
      </c>
      <c r="E96" s="1549"/>
      <c r="F96" s="1550"/>
      <c r="G96" s="1550"/>
      <c r="H96" s="1551"/>
      <c r="I96" s="1552"/>
      <c r="J96" s="1553"/>
      <c r="K96" s="1554"/>
      <c r="L96" s="1549"/>
      <c r="M96" s="1551"/>
      <c r="N96" s="1103" t="str">
        <f t="shared" si="1"/>
        <v/>
      </c>
      <c r="O96" s="1264"/>
      <c r="P96" s="45"/>
      <c r="Q96" s="45"/>
      <c r="R96" s="213" t="b">
        <f t="shared" si="2"/>
        <v>0</v>
      </c>
      <c r="S96" s="213" t="str">
        <f t="shared" si="3"/>
        <v>SourceStreamName_</v>
      </c>
      <c r="T96" s="213" t="str">
        <f t="shared" si="4"/>
        <v>SourceStreamClass_</v>
      </c>
      <c r="U96" s="45"/>
      <c r="V96" s="214" t="b">
        <f t="shared" si="5"/>
        <v>0</v>
      </c>
      <c r="W96" s="213" t="str">
        <f t="shared" si="6"/>
        <v/>
      </c>
      <c r="X96" s="629" t="str">
        <f t="shared" si="7"/>
        <v/>
      </c>
      <c r="Y96" s="346" t="str">
        <f t="shared" si="8"/>
        <v>netaik.</v>
      </c>
      <c r="Z96" s="217" t="str">
        <f>IF(E96="","",IF(MATCH(E96,EUConst_TierActivityListNames,0)&gt;40,MAX(Z$68:Z95)+1,""))</f>
        <v/>
      </c>
      <c r="AA96" s="45"/>
      <c r="AB96" s="213" t="b">
        <f t="shared" si="9"/>
        <v>0</v>
      </c>
    </row>
    <row r="97" spans="1:28" s="1" customFormat="1" hidden="1" outlineLevel="1" x14ac:dyDescent="0.2">
      <c r="A97" s="45"/>
      <c r="B97" s="1250"/>
      <c r="C97" s="716"/>
      <c r="D97" s="62" t="s">
        <v>406</v>
      </c>
      <c r="E97" s="1549"/>
      <c r="F97" s="1550"/>
      <c r="G97" s="1550"/>
      <c r="H97" s="1551"/>
      <c r="I97" s="1552"/>
      <c r="J97" s="1553"/>
      <c r="K97" s="1554"/>
      <c r="L97" s="1549"/>
      <c r="M97" s="1551"/>
      <c r="N97" s="1103" t="str">
        <f t="shared" si="1"/>
        <v/>
      </c>
      <c r="O97" s="1264"/>
      <c r="P97" s="45"/>
      <c r="Q97" s="45"/>
      <c r="R97" s="213" t="b">
        <f t="shared" si="2"/>
        <v>0</v>
      </c>
      <c r="S97" s="213" t="str">
        <f t="shared" si="3"/>
        <v>SourceStreamName_</v>
      </c>
      <c r="T97" s="213" t="str">
        <f t="shared" si="4"/>
        <v>SourceStreamClass_</v>
      </c>
      <c r="U97" s="45"/>
      <c r="V97" s="214" t="b">
        <f t="shared" si="5"/>
        <v>0</v>
      </c>
      <c r="W97" s="213" t="str">
        <f t="shared" si="6"/>
        <v/>
      </c>
      <c r="X97" s="629" t="str">
        <f t="shared" si="7"/>
        <v/>
      </c>
      <c r="Y97" s="346" t="str">
        <f t="shared" si="8"/>
        <v>netaik.</v>
      </c>
      <c r="Z97" s="217" t="str">
        <f>IF(E97="","",IF(MATCH(E97,EUConst_TierActivityListNames,0)&gt;40,MAX(Z$68:Z96)+1,""))</f>
        <v/>
      </c>
      <c r="AA97" s="45"/>
      <c r="AB97" s="213" t="b">
        <f t="shared" si="9"/>
        <v>0</v>
      </c>
    </row>
    <row r="98" spans="1:28" s="1" customFormat="1" hidden="1" outlineLevel="1" x14ac:dyDescent="0.2">
      <c r="A98" s="45"/>
      <c r="B98" s="1250"/>
      <c r="C98" s="716"/>
      <c r="D98" s="62" t="s">
        <v>407</v>
      </c>
      <c r="E98" s="1549"/>
      <c r="F98" s="1550"/>
      <c r="G98" s="1550"/>
      <c r="H98" s="1551"/>
      <c r="I98" s="1552"/>
      <c r="J98" s="1553"/>
      <c r="K98" s="1554"/>
      <c r="L98" s="1549"/>
      <c r="M98" s="1551"/>
      <c r="N98" s="1103" t="str">
        <f t="shared" si="1"/>
        <v/>
      </c>
      <c r="O98" s="1264"/>
      <c r="P98" s="45"/>
      <c r="Q98" s="45"/>
      <c r="R98" s="213" t="b">
        <f t="shared" si="2"/>
        <v>0</v>
      </c>
      <c r="S98" s="213" t="str">
        <f t="shared" si="3"/>
        <v>SourceStreamName_</v>
      </c>
      <c r="T98" s="213" t="str">
        <f t="shared" si="4"/>
        <v>SourceStreamClass_</v>
      </c>
      <c r="U98" s="45"/>
      <c r="V98" s="214" t="b">
        <f t="shared" si="5"/>
        <v>0</v>
      </c>
      <c r="W98" s="213" t="str">
        <f t="shared" si="6"/>
        <v/>
      </c>
      <c r="X98" s="629" t="str">
        <f t="shared" si="7"/>
        <v/>
      </c>
      <c r="Y98" s="346" t="str">
        <f t="shared" si="8"/>
        <v>netaik.</v>
      </c>
      <c r="Z98" s="217" t="str">
        <f>IF(E98="","",IF(MATCH(E98,EUConst_TierActivityListNames,0)&gt;40,MAX(Z$68:Z97)+1,""))</f>
        <v/>
      </c>
      <c r="AA98" s="45"/>
      <c r="AB98" s="213" t="b">
        <f t="shared" si="9"/>
        <v>0</v>
      </c>
    </row>
    <row r="99" spans="1:28" s="1" customFormat="1" hidden="1" outlineLevel="1" x14ac:dyDescent="0.2">
      <c r="A99" s="45"/>
      <c r="B99" s="1250"/>
      <c r="C99" s="716"/>
      <c r="D99" s="62" t="s">
        <v>408</v>
      </c>
      <c r="E99" s="1549"/>
      <c r="F99" s="1550"/>
      <c r="G99" s="1550"/>
      <c r="H99" s="1551"/>
      <c r="I99" s="1552"/>
      <c r="J99" s="1553"/>
      <c r="K99" s="1554"/>
      <c r="L99" s="1549"/>
      <c r="M99" s="1551"/>
      <c r="N99" s="1103" t="str">
        <f t="shared" si="1"/>
        <v/>
      </c>
      <c r="O99" s="1264"/>
      <c r="P99" s="45"/>
      <c r="Q99" s="45"/>
      <c r="R99" s="213" t="b">
        <f t="shared" si="2"/>
        <v>0</v>
      </c>
      <c r="S99" s="213" t="str">
        <f t="shared" si="3"/>
        <v>SourceStreamName_</v>
      </c>
      <c r="T99" s="213" t="str">
        <f t="shared" si="4"/>
        <v>SourceStreamClass_</v>
      </c>
      <c r="U99" s="45"/>
      <c r="V99" s="214" t="b">
        <f t="shared" si="5"/>
        <v>0</v>
      </c>
      <c r="W99" s="213" t="str">
        <f t="shared" si="6"/>
        <v/>
      </c>
      <c r="X99" s="629" t="str">
        <f t="shared" si="7"/>
        <v/>
      </c>
      <c r="Y99" s="346" t="str">
        <f t="shared" si="8"/>
        <v>netaik.</v>
      </c>
      <c r="Z99" s="217" t="str">
        <f>IF(E99="","",IF(MATCH(E99,EUConst_TierActivityListNames,0)&gt;40,MAX(Z$68:Z98)+1,""))</f>
        <v/>
      </c>
      <c r="AA99" s="45"/>
      <c r="AB99" s="213" t="b">
        <f t="shared" si="9"/>
        <v>0</v>
      </c>
    </row>
    <row r="100" spans="1:28" s="1" customFormat="1" hidden="1" outlineLevel="1" x14ac:dyDescent="0.2">
      <c r="A100" s="45"/>
      <c r="B100" s="1250"/>
      <c r="C100" s="716"/>
      <c r="D100" s="62" t="s">
        <v>409</v>
      </c>
      <c r="E100" s="1549"/>
      <c r="F100" s="1550"/>
      <c r="G100" s="1550"/>
      <c r="H100" s="1551"/>
      <c r="I100" s="1552"/>
      <c r="J100" s="1553"/>
      <c r="K100" s="1554"/>
      <c r="L100" s="1549"/>
      <c r="M100" s="1551"/>
      <c r="N100" s="1103" t="str">
        <f t="shared" si="1"/>
        <v/>
      </c>
      <c r="O100" s="1264"/>
      <c r="P100" s="47"/>
      <c r="Q100" s="45"/>
      <c r="R100" s="213" t="b">
        <f t="shared" si="2"/>
        <v>0</v>
      </c>
      <c r="S100" s="213" t="str">
        <f t="shared" si="3"/>
        <v>SourceStreamName_</v>
      </c>
      <c r="T100" s="213" t="str">
        <f t="shared" si="4"/>
        <v>SourceStreamClass_</v>
      </c>
      <c r="U100" s="45"/>
      <c r="V100" s="214" t="b">
        <f t="shared" si="5"/>
        <v>0</v>
      </c>
      <c r="W100" s="213" t="str">
        <f t="shared" si="6"/>
        <v/>
      </c>
      <c r="X100" s="629" t="str">
        <f t="shared" si="7"/>
        <v/>
      </c>
      <c r="Y100" s="346" t="str">
        <f t="shared" si="8"/>
        <v>netaik.</v>
      </c>
      <c r="Z100" s="217" t="str">
        <f>IF(E100="","",IF(MATCH(E100,EUConst_TierActivityListNames,0)&gt;40,MAX(Z$68:Z99)+1,""))</f>
        <v/>
      </c>
      <c r="AA100" s="45"/>
      <c r="AB100" s="213" t="b">
        <f t="shared" si="9"/>
        <v>0</v>
      </c>
    </row>
    <row r="101" spans="1:28" s="1" customFormat="1" hidden="1" outlineLevel="1" collapsed="1" x14ac:dyDescent="0.2">
      <c r="A101" s="45"/>
      <c r="B101" s="1250"/>
      <c r="C101" s="716"/>
      <c r="D101" s="62" t="s">
        <v>410</v>
      </c>
      <c r="E101" s="1549"/>
      <c r="F101" s="1550"/>
      <c r="G101" s="1550"/>
      <c r="H101" s="1551"/>
      <c r="I101" s="1552"/>
      <c r="J101" s="1553"/>
      <c r="K101" s="1554"/>
      <c r="L101" s="1549"/>
      <c r="M101" s="1551"/>
      <c r="N101" s="1103" t="str">
        <f t="shared" si="1"/>
        <v/>
      </c>
      <c r="O101" s="1264"/>
      <c r="P101" s="45"/>
      <c r="Q101" s="45"/>
      <c r="R101" s="213" t="b">
        <f t="shared" si="2"/>
        <v>0</v>
      </c>
      <c r="S101" s="213" t="str">
        <f t="shared" si="3"/>
        <v>SourceStreamName_</v>
      </c>
      <c r="T101" s="213" t="str">
        <f t="shared" si="4"/>
        <v>SourceStreamClass_</v>
      </c>
      <c r="U101" s="45"/>
      <c r="V101" s="214" t="b">
        <f t="shared" si="5"/>
        <v>0</v>
      </c>
      <c r="W101" s="213" t="str">
        <f t="shared" si="6"/>
        <v/>
      </c>
      <c r="X101" s="629" t="str">
        <f t="shared" si="7"/>
        <v/>
      </c>
      <c r="Y101" s="346" t="str">
        <f t="shared" si="8"/>
        <v>netaik.</v>
      </c>
      <c r="Z101" s="217" t="str">
        <f>IF(E101="","",IF(MATCH(E101,EUConst_TierActivityListNames,0)&gt;40,MAX(Z$68:Z100)+1,""))</f>
        <v/>
      </c>
      <c r="AA101" s="45"/>
      <c r="AB101" s="213" t="b">
        <f t="shared" si="9"/>
        <v>0</v>
      </c>
    </row>
    <row r="102" spans="1:28" s="1" customFormat="1" hidden="1" outlineLevel="1" x14ac:dyDescent="0.2">
      <c r="A102" s="45"/>
      <c r="B102" s="1250"/>
      <c r="C102" s="716"/>
      <c r="D102" s="62" t="s">
        <v>411</v>
      </c>
      <c r="E102" s="1549"/>
      <c r="F102" s="1550"/>
      <c r="G102" s="1550"/>
      <c r="H102" s="1551"/>
      <c r="I102" s="1552"/>
      <c r="J102" s="1553"/>
      <c r="K102" s="1554"/>
      <c r="L102" s="1549"/>
      <c r="M102" s="1551"/>
      <c r="N102" s="1103" t="str">
        <f t="shared" si="1"/>
        <v/>
      </c>
      <c r="O102" s="1264"/>
      <c r="P102" s="45"/>
      <c r="Q102" s="45"/>
      <c r="R102" s="213" t="b">
        <f t="shared" si="2"/>
        <v>0</v>
      </c>
      <c r="S102" s="213" t="str">
        <f t="shared" si="3"/>
        <v>SourceStreamName_</v>
      </c>
      <c r="T102" s="213" t="str">
        <f t="shared" si="4"/>
        <v>SourceStreamClass_</v>
      </c>
      <c r="U102" s="45"/>
      <c r="V102" s="214" t="b">
        <f t="shared" si="5"/>
        <v>0</v>
      </c>
      <c r="W102" s="213" t="str">
        <f t="shared" si="6"/>
        <v/>
      </c>
      <c r="X102" s="629" t="str">
        <f t="shared" si="7"/>
        <v/>
      </c>
      <c r="Y102" s="346" t="str">
        <f t="shared" si="8"/>
        <v>netaik.</v>
      </c>
      <c r="Z102" s="217" t="str">
        <f>IF(E102="","",IF(MATCH(E102,EUConst_TierActivityListNames,0)&gt;40,MAX(Z$68:Z101)+1,""))</f>
        <v/>
      </c>
      <c r="AA102" s="45"/>
      <c r="AB102" s="213" t="b">
        <f t="shared" si="9"/>
        <v>0</v>
      </c>
    </row>
    <row r="103" spans="1:28" s="1" customFormat="1" hidden="1" outlineLevel="1" x14ac:dyDescent="0.2">
      <c r="A103" s="45"/>
      <c r="B103" s="1250"/>
      <c r="C103" s="716"/>
      <c r="D103" s="62" t="s">
        <v>412</v>
      </c>
      <c r="E103" s="1549"/>
      <c r="F103" s="1550"/>
      <c r="G103" s="1550"/>
      <c r="H103" s="1551"/>
      <c r="I103" s="1552"/>
      <c r="J103" s="1553"/>
      <c r="K103" s="1554"/>
      <c r="L103" s="1549"/>
      <c r="M103" s="1551"/>
      <c r="N103" s="1103" t="str">
        <f t="shared" ref="N103:N134" si="10">IF(R103=TRUE,EUconst_ERR_Inconsistent,IF(E103="","",IF(OR(AND($V103=FALSE,COUNTA(E103:M103)&lt;3),AND($V103=TRUE,COUNTA(E103:K103)&lt;2)),EUconst_ERR_Incomplete,"")))</f>
        <v/>
      </c>
      <c r="O103" s="1264"/>
      <c r="P103" s="45"/>
      <c r="Q103" s="45"/>
      <c r="R103" s="213" t="b">
        <f t="shared" ref="R103:R134" si="11">IF(E103="",FALSE,COUNTIF($I$182:$I$223,E103)=0)</f>
        <v>0</v>
      </c>
      <c r="S103" s="213" t="str">
        <f t="shared" ref="S103:S134" si="12">EUconst_CNTR_SourceStreamName&amp;I103</f>
        <v>SourceStreamName_</v>
      </c>
      <c r="T103" s="213" t="str">
        <f t="shared" ref="T103:T134" si="13">EUconst_CNTR_SourceStreamClass&amp;E103</f>
        <v>SourceStreamClass_</v>
      </c>
      <c r="U103" s="45"/>
      <c r="V103" s="214" t="b">
        <f t="shared" ref="V103:V134" si="14">IF(OR(COUNTA(E103:J103)&lt;2,COUNTIF(MSPara_SourceStreamCategory,I103)=0),FALSE,INDEX(MSPara_NameOptional,MATCH(I103,MSPara_SourceStreamCategory,0)))</f>
        <v>0</v>
      </c>
      <c r="W103" s="213" t="str">
        <f t="shared" ref="W103:W134" si="15">IF(COUNTIF(EUConst_TierActivityListNames,E103)=0,"",INDEX(MSPara_CategoryAddress,MATCH(E103,EUConst_TierActivityListNames,0)))</f>
        <v/>
      </c>
      <c r="X103" s="629" t="str">
        <f t="shared" ref="X103:X134" si="16">IF(ISBLANK(E103),"",E103&amp; IF(ISBLANK(I103),"","; " &amp;I103) &amp; IF(ISBLANK(L103),"","; " &amp;L103))</f>
        <v/>
      </c>
      <c r="Y103" s="346" t="str">
        <f t="shared" ref="Y103:Y134" si="17">IF(ISBLANK(I103),EUconst_NA,D103&amp;". "&amp;I103 &amp;IF(ISBLANK(L103),"","; " &amp; L103))</f>
        <v>netaik.</v>
      </c>
      <c r="Z103" s="217" t="str">
        <f>IF(E103="","",IF(MATCH(E103,EUConst_TierActivityListNames,0)&gt;40,MAX(Z$68:Z102)+1,""))</f>
        <v/>
      </c>
      <c r="AA103" s="45"/>
      <c r="AB103" s="213" t="b">
        <f t="shared" si="9"/>
        <v>0</v>
      </c>
    </row>
    <row r="104" spans="1:28" s="1" customFormat="1" hidden="1" outlineLevel="1" x14ac:dyDescent="0.2">
      <c r="A104" s="45"/>
      <c r="B104" s="1250"/>
      <c r="C104" s="716"/>
      <c r="D104" s="62" t="s">
        <v>413</v>
      </c>
      <c r="E104" s="1549"/>
      <c r="F104" s="1550"/>
      <c r="G104" s="1550"/>
      <c r="H104" s="1551"/>
      <c r="I104" s="1552"/>
      <c r="J104" s="1553"/>
      <c r="K104" s="1554"/>
      <c r="L104" s="1549"/>
      <c r="M104" s="1551"/>
      <c r="N104" s="1103" t="str">
        <f t="shared" si="10"/>
        <v/>
      </c>
      <c r="O104" s="1264"/>
      <c r="P104" s="45"/>
      <c r="Q104" s="45"/>
      <c r="R104" s="213" t="b">
        <f t="shared" si="11"/>
        <v>0</v>
      </c>
      <c r="S104" s="213" t="str">
        <f t="shared" si="12"/>
        <v>SourceStreamName_</v>
      </c>
      <c r="T104" s="213" t="str">
        <f t="shared" si="13"/>
        <v>SourceStreamClass_</v>
      </c>
      <c r="U104" s="45"/>
      <c r="V104" s="214" t="b">
        <f t="shared" si="14"/>
        <v>0</v>
      </c>
      <c r="W104" s="213" t="str">
        <f t="shared" si="15"/>
        <v/>
      </c>
      <c r="X104" s="629" t="str">
        <f t="shared" si="16"/>
        <v/>
      </c>
      <c r="Y104" s="346" t="str">
        <f t="shared" si="17"/>
        <v>netaik.</v>
      </c>
      <c r="Z104" s="217" t="str">
        <f>IF(E104="","",IF(MATCH(E104,EUConst_TierActivityListNames,0)&gt;40,MAX(Z$68:Z103)+1,""))</f>
        <v/>
      </c>
      <c r="AA104" s="45"/>
      <c r="AB104" s="213" t="b">
        <f t="shared" si="9"/>
        <v>0</v>
      </c>
    </row>
    <row r="105" spans="1:28" s="1" customFormat="1" hidden="1" outlineLevel="1" x14ac:dyDescent="0.2">
      <c r="A105" s="45"/>
      <c r="B105" s="1250"/>
      <c r="C105" s="716"/>
      <c r="D105" s="62" t="s">
        <v>414</v>
      </c>
      <c r="E105" s="1549"/>
      <c r="F105" s="1550"/>
      <c r="G105" s="1550"/>
      <c r="H105" s="1551"/>
      <c r="I105" s="1552"/>
      <c r="J105" s="1553"/>
      <c r="K105" s="1554"/>
      <c r="L105" s="1549"/>
      <c r="M105" s="1551"/>
      <c r="N105" s="1103" t="str">
        <f t="shared" si="10"/>
        <v/>
      </c>
      <c r="O105" s="1264"/>
      <c r="P105" s="47"/>
      <c r="Q105" s="45"/>
      <c r="R105" s="213" t="b">
        <f t="shared" si="11"/>
        <v>0</v>
      </c>
      <c r="S105" s="213" t="str">
        <f t="shared" si="12"/>
        <v>SourceStreamName_</v>
      </c>
      <c r="T105" s="213" t="str">
        <f t="shared" si="13"/>
        <v>SourceStreamClass_</v>
      </c>
      <c r="U105" s="45"/>
      <c r="V105" s="214" t="b">
        <f t="shared" si="14"/>
        <v>0</v>
      </c>
      <c r="W105" s="213" t="str">
        <f t="shared" si="15"/>
        <v/>
      </c>
      <c r="X105" s="629" t="str">
        <f t="shared" si="16"/>
        <v/>
      </c>
      <c r="Y105" s="346" t="str">
        <f t="shared" si="17"/>
        <v>netaik.</v>
      </c>
      <c r="Z105" s="217" t="str">
        <f>IF(E105="","",IF(MATCH(E105,EUConst_TierActivityListNames,0)&gt;40,MAX(Z$68:Z104)+1,""))</f>
        <v/>
      </c>
      <c r="AA105" s="45"/>
      <c r="AB105" s="213" t="b">
        <f t="shared" si="9"/>
        <v>0</v>
      </c>
    </row>
    <row r="106" spans="1:28" s="1" customFormat="1" hidden="1" outlineLevel="1" x14ac:dyDescent="0.2">
      <c r="A106" s="45"/>
      <c r="B106" s="1250"/>
      <c r="C106" s="716"/>
      <c r="D106" s="62" t="s">
        <v>415</v>
      </c>
      <c r="E106" s="1549"/>
      <c r="F106" s="1550"/>
      <c r="G106" s="1550"/>
      <c r="H106" s="1551"/>
      <c r="I106" s="1552"/>
      <c r="J106" s="1553"/>
      <c r="K106" s="1554"/>
      <c r="L106" s="1549"/>
      <c r="M106" s="1551"/>
      <c r="N106" s="1103" t="str">
        <f t="shared" si="10"/>
        <v/>
      </c>
      <c r="O106" s="1264"/>
      <c r="P106" s="45"/>
      <c r="Q106" s="45"/>
      <c r="R106" s="213" t="b">
        <f t="shared" si="11"/>
        <v>0</v>
      </c>
      <c r="S106" s="213" t="str">
        <f t="shared" si="12"/>
        <v>SourceStreamName_</v>
      </c>
      <c r="T106" s="213" t="str">
        <f t="shared" si="13"/>
        <v>SourceStreamClass_</v>
      </c>
      <c r="U106" s="45"/>
      <c r="V106" s="214" t="b">
        <f t="shared" si="14"/>
        <v>0</v>
      </c>
      <c r="W106" s="213" t="str">
        <f t="shared" si="15"/>
        <v/>
      </c>
      <c r="X106" s="629" t="str">
        <f t="shared" si="16"/>
        <v/>
      </c>
      <c r="Y106" s="346" t="str">
        <f t="shared" si="17"/>
        <v>netaik.</v>
      </c>
      <c r="Z106" s="217" t="str">
        <f>IF(E106="","",IF(MATCH(E106,EUConst_TierActivityListNames,0)&gt;40,MAX(Z$68:Z105)+1,""))</f>
        <v/>
      </c>
      <c r="AA106" s="45"/>
      <c r="AB106" s="213" t="b">
        <f t="shared" si="9"/>
        <v>0</v>
      </c>
    </row>
    <row r="107" spans="1:28" s="1" customFormat="1" hidden="1" outlineLevel="1" x14ac:dyDescent="0.2">
      <c r="A107" s="45"/>
      <c r="B107" s="1250"/>
      <c r="C107" s="716"/>
      <c r="D107" s="62" t="s">
        <v>416</v>
      </c>
      <c r="E107" s="1549"/>
      <c r="F107" s="1550"/>
      <c r="G107" s="1550"/>
      <c r="H107" s="1551"/>
      <c r="I107" s="1552"/>
      <c r="J107" s="1553"/>
      <c r="K107" s="1554"/>
      <c r="L107" s="1549"/>
      <c r="M107" s="1551"/>
      <c r="N107" s="1103" t="str">
        <f t="shared" si="10"/>
        <v/>
      </c>
      <c r="O107" s="1264"/>
      <c r="P107" s="45"/>
      <c r="Q107" s="45"/>
      <c r="R107" s="213" t="b">
        <f t="shared" si="11"/>
        <v>0</v>
      </c>
      <c r="S107" s="213" t="str">
        <f t="shared" si="12"/>
        <v>SourceStreamName_</v>
      </c>
      <c r="T107" s="213" t="str">
        <f t="shared" si="13"/>
        <v>SourceStreamClass_</v>
      </c>
      <c r="U107" s="45"/>
      <c r="V107" s="214" t="b">
        <f t="shared" si="14"/>
        <v>0</v>
      </c>
      <c r="W107" s="213" t="str">
        <f t="shared" si="15"/>
        <v/>
      </c>
      <c r="X107" s="629" t="str">
        <f t="shared" si="16"/>
        <v/>
      </c>
      <c r="Y107" s="346" t="str">
        <f t="shared" si="17"/>
        <v>netaik.</v>
      </c>
      <c r="Z107" s="217" t="str">
        <f>IF(E107="","",IF(MATCH(E107,EUConst_TierActivityListNames,0)&gt;40,MAX(Z$68:Z106)+1,""))</f>
        <v/>
      </c>
      <c r="AA107" s="45"/>
      <c r="AB107" s="213" t="b">
        <f t="shared" si="9"/>
        <v>0</v>
      </c>
    </row>
    <row r="108" spans="1:28" s="1" customFormat="1" hidden="1" outlineLevel="1" x14ac:dyDescent="0.2">
      <c r="A108" s="45"/>
      <c r="B108" s="1250"/>
      <c r="C108" s="716"/>
      <c r="D108" s="62" t="s">
        <v>417</v>
      </c>
      <c r="E108" s="1549"/>
      <c r="F108" s="1550"/>
      <c r="G108" s="1550"/>
      <c r="H108" s="1551"/>
      <c r="I108" s="1552"/>
      <c r="J108" s="1553"/>
      <c r="K108" s="1554"/>
      <c r="L108" s="1549"/>
      <c r="M108" s="1551"/>
      <c r="N108" s="1103" t="str">
        <f t="shared" si="10"/>
        <v/>
      </c>
      <c r="O108" s="1264"/>
      <c r="P108" s="45"/>
      <c r="Q108" s="45"/>
      <c r="R108" s="213" t="b">
        <f t="shared" si="11"/>
        <v>0</v>
      </c>
      <c r="S108" s="213" t="str">
        <f t="shared" si="12"/>
        <v>SourceStreamName_</v>
      </c>
      <c r="T108" s="213" t="str">
        <f t="shared" si="13"/>
        <v>SourceStreamClass_</v>
      </c>
      <c r="U108" s="45"/>
      <c r="V108" s="214" t="b">
        <f t="shared" si="14"/>
        <v>0</v>
      </c>
      <c r="W108" s="213" t="str">
        <f t="shared" si="15"/>
        <v/>
      </c>
      <c r="X108" s="629" t="str">
        <f t="shared" si="16"/>
        <v/>
      </c>
      <c r="Y108" s="346" t="str">
        <f t="shared" si="17"/>
        <v>netaik.</v>
      </c>
      <c r="Z108" s="217" t="str">
        <f>IF(E108="","",IF(MATCH(E108,EUConst_TierActivityListNames,0)&gt;40,MAX(Z$68:Z107)+1,""))</f>
        <v/>
      </c>
      <c r="AA108" s="45"/>
      <c r="AB108" s="213" t="b">
        <f t="shared" si="9"/>
        <v>0</v>
      </c>
    </row>
    <row r="109" spans="1:28" s="1" customFormat="1" hidden="1" outlineLevel="1" x14ac:dyDescent="0.2">
      <c r="A109" s="45"/>
      <c r="B109" s="1250"/>
      <c r="C109" s="716"/>
      <c r="D109" s="62" t="s">
        <v>418</v>
      </c>
      <c r="E109" s="1549"/>
      <c r="F109" s="1550"/>
      <c r="G109" s="1550"/>
      <c r="H109" s="1551"/>
      <c r="I109" s="1552"/>
      <c r="J109" s="1553"/>
      <c r="K109" s="1554"/>
      <c r="L109" s="1549"/>
      <c r="M109" s="1551"/>
      <c r="N109" s="1103" t="str">
        <f t="shared" si="10"/>
        <v/>
      </c>
      <c r="O109" s="1264"/>
      <c r="P109" s="45"/>
      <c r="Q109" s="45"/>
      <c r="R109" s="213" t="b">
        <f t="shared" si="11"/>
        <v>0</v>
      </c>
      <c r="S109" s="213" t="str">
        <f t="shared" si="12"/>
        <v>SourceStreamName_</v>
      </c>
      <c r="T109" s="213" t="str">
        <f t="shared" si="13"/>
        <v>SourceStreamClass_</v>
      </c>
      <c r="U109" s="45"/>
      <c r="V109" s="214" t="b">
        <f t="shared" si="14"/>
        <v>0</v>
      </c>
      <c r="W109" s="213" t="str">
        <f t="shared" si="15"/>
        <v/>
      </c>
      <c r="X109" s="629" t="str">
        <f t="shared" si="16"/>
        <v/>
      </c>
      <c r="Y109" s="346" t="str">
        <f t="shared" si="17"/>
        <v>netaik.</v>
      </c>
      <c r="Z109" s="217" t="str">
        <f>IF(E109="","",IF(MATCH(E109,EUConst_TierActivityListNames,0)&gt;40,MAX(Z$68:Z108)+1,""))</f>
        <v/>
      </c>
      <c r="AA109" s="45"/>
      <c r="AB109" s="213" t="b">
        <f t="shared" si="9"/>
        <v>0</v>
      </c>
    </row>
    <row r="110" spans="1:28" s="1" customFormat="1" hidden="1" outlineLevel="1" x14ac:dyDescent="0.2">
      <c r="A110" s="45"/>
      <c r="B110" s="1250"/>
      <c r="C110" s="716"/>
      <c r="D110" s="62" t="s">
        <v>419</v>
      </c>
      <c r="E110" s="1549"/>
      <c r="F110" s="1550"/>
      <c r="G110" s="1550"/>
      <c r="H110" s="1551"/>
      <c r="I110" s="1552"/>
      <c r="J110" s="1553"/>
      <c r="K110" s="1554"/>
      <c r="L110" s="1549"/>
      <c r="M110" s="1551"/>
      <c r="N110" s="1103" t="str">
        <f t="shared" si="10"/>
        <v/>
      </c>
      <c r="O110" s="1264"/>
      <c r="P110" s="47"/>
      <c r="Q110" s="45"/>
      <c r="R110" s="213" t="b">
        <f t="shared" si="11"/>
        <v>0</v>
      </c>
      <c r="S110" s="213" t="str">
        <f t="shared" si="12"/>
        <v>SourceStreamName_</v>
      </c>
      <c r="T110" s="213" t="str">
        <f t="shared" si="13"/>
        <v>SourceStreamClass_</v>
      </c>
      <c r="U110" s="45"/>
      <c r="V110" s="214" t="b">
        <f t="shared" si="14"/>
        <v>0</v>
      </c>
      <c r="W110" s="213" t="str">
        <f t="shared" si="15"/>
        <v/>
      </c>
      <c r="X110" s="629" t="str">
        <f t="shared" si="16"/>
        <v/>
      </c>
      <c r="Y110" s="346" t="str">
        <f t="shared" si="17"/>
        <v>netaik.</v>
      </c>
      <c r="Z110" s="217" t="str">
        <f>IF(E110="","",IF(MATCH(E110,EUConst_TierActivityListNames,0)&gt;40,MAX(Z$68:Z109)+1,""))</f>
        <v/>
      </c>
      <c r="AA110" s="45"/>
      <c r="AB110" s="213" t="b">
        <f t="shared" si="9"/>
        <v>0</v>
      </c>
    </row>
    <row r="111" spans="1:28" s="1" customFormat="1" hidden="1" outlineLevel="1" x14ac:dyDescent="0.2">
      <c r="A111" s="45"/>
      <c r="B111" s="1250"/>
      <c r="C111" s="716"/>
      <c r="D111" s="62" t="s">
        <v>420</v>
      </c>
      <c r="E111" s="1549"/>
      <c r="F111" s="1550"/>
      <c r="G111" s="1550"/>
      <c r="H111" s="1551"/>
      <c r="I111" s="1552"/>
      <c r="J111" s="1553"/>
      <c r="K111" s="1554"/>
      <c r="L111" s="1549"/>
      <c r="M111" s="1551"/>
      <c r="N111" s="1103" t="str">
        <f t="shared" si="10"/>
        <v/>
      </c>
      <c r="O111" s="1264"/>
      <c r="P111" s="45"/>
      <c r="Q111" s="45"/>
      <c r="R111" s="213" t="b">
        <f t="shared" si="11"/>
        <v>0</v>
      </c>
      <c r="S111" s="213" t="str">
        <f t="shared" si="12"/>
        <v>SourceStreamName_</v>
      </c>
      <c r="T111" s="213" t="str">
        <f t="shared" si="13"/>
        <v>SourceStreamClass_</v>
      </c>
      <c r="U111" s="45"/>
      <c r="V111" s="214" t="b">
        <f t="shared" si="14"/>
        <v>0</v>
      </c>
      <c r="W111" s="213" t="str">
        <f t="shared" si="15"/>
        <v/>
      </c>
      <c r="X111" s="629" t="str">
        <f t="shared" si="16"/>
        <v/>
      </c>
      <c r="Y111" s="346" t="str">
        <f t="shared" si="17"/>
        <v>netaik.</v>
      </c>
      <c r="Z111" s="217" t="str">
        <f>IF(E111="","",IF(MATCH(E111,EUConst_TierActivityListNames,0)&gt;40,MAX(Z$68:Z110)+1,""))</f>
        <v/>
      </c>
      <c r="AA111" s="45"/>
      <c r="AB111" s="213" t="b">
        <f t="shared" si="9"/>
        <v>0</v>
      </c>
    </row>
    <row r="112" spans="1:28" s="1" customFormat="1" hidden="1" outlineLevel="1" x14ac:dyDescent="0.2">
      <c r="A112" s="45"/>
      <c r="B112" s="1250"/>
      <c r="C112" s="716"/>
      <c r="D112" s="62" t="s">
        <v>421</v>
      </c>
      <c r="E112" s="1549"/>
      <c r="F112" s="1550"/>
      <c r="G112" s="1550"/>
      <c r="H112" s="1551"/>
      <c r="I112" s="1552"/>
      <c r="J112" s="1553"/>
      <c r="K112" s="1554"/>
      <c r="L112" s="1549"/>
      <c r="M112" s="1551"/>
      <c r="N112" s="1103" t="str">
        <f t="shared" si="10"/>
        <v/>
      </c>
      <c r="O112" s="1264"/>
      <c r="P112" s="45"/>
      <c r="Q112" s="45"/>
      <c r="R112" s="213" t="b">
        <f t="shared" si="11"/>
        <v>0</v>
      </c>
      <c r="S112" s="213" t="str">
        <f t="shared" si="12"/>
        <v>SourceStreamName_</v>
      </c>
      <c r="T112" s="213" t="str">
        <f t="shared" si="13"/>
        <v>SourceStreamClass_</v>
      </c>
      <c r="U112" s="45"/>
      <c r="V112" s="214" t="b">
        <f t="shared" si="14"/>
        <v>0</v>
      </c>
      <c r="W112" s="213" t="str">
        <f t="shared" si="15"/>
        <v/>
      </c>
      <c r="X112" s="629" t="str">
        <f t="shared" si="16"/>
        <v/>
      </c>
      <c r="Y112" s="346" t="str">
        <f t="shared" si="17"/>
        <v>netaik.</v>
      </c>
      <c r="Z112" s="217" t="str">
        <f>IF(E112="","",IF(MATCH(E112,EUConst_TierActivityListNames,0)&gt;40,MAX(Z$68:Z111)+1,""))</f>
        <v/>
      </c>
      <c r="AA112" s="45"/>
      <c r="AB112" s="213" t="b">
        <f t="shared" si="9"/>
        <v>0</v>
      </c>
    </row>
    <row r="113" spans="1:28" s="1" customFormat="1" hidden="1" outlineLevel="1" x14ac:dyDescent="0.2">
      <c r="A113" s="45"/>
      <c r="B113" s="1250"/>
      <c r="C113" s="716"/>
      <c r="D113" s="62" t="s">
        <v>422</v>
      </c>
      <c r="E113" s="1549"/>
      <c r="F113" s="1550"/>
      <c r="G113" s="1550"/>
      <c r="H113" s="1551"/>
      <c r="I113" s="1552"/>
      <c r="J113" s="1553"/>
      <c r="K113" s="1554"/>
      <c r="L113" s="1549"/>
      <c r="M113" s="1551"/>
      <c r="N113" s="1103" t="str">
        <f t="shared" si="10"/>
        <v/>
      </c>
      <c r="O113" s="1264"/>
      <c r="P113" s="45"/>
      <c r="Q113" s="45"/>
      <c r="R113" s="213" t="b">
        <f t="shared" si="11"/>
        <v>0</v>
      </c>
      <c r="S113" s="213" t="str">
        <f t="shared" si="12"/>
        <v>SourceStreamName_</v>
      </c>
      <c r="T113" s="213" t="str">
        <f t="shared" si="13"/>
        <v>SourceStreamClass_</v>
      </c>
      <c r="U113" s="45"/>
      <c r="V113" s="214" t="b">
        <f t="shared" si="14"/>
        <v>0</v>
      </c>
      <c r="W113" s="213" t="str">
        <f t="shared" si="15"/>
        <v/>
      </c>
      <c r="X113" s="629" t="str">
        <f t="shared" si="16"/>
        <v/>
      </c>
      <c r="Y113" s="346" t="str">
        <f t="shared" si="17"/>
        <v>netaik.</v>
      </c>
      <c r="Z113" s="217" t="str">
        <f>IF(E113="","",IF(MATCH(E113,EUConst_TierActivityListNames,0)&gt;40,MAX(Z$68:Z112)+1,""))</f>
        <v/>
      </c>
      <c r="AA113" s="45"/>
      <c r="AB113" s="213" t="b">
        <f t="shared" si="9"/>
        <v>0</v>
      </c>
    </row>
    <row r="114" spans="1:28" s="1" customFormat="1" hidden="1" outlineLevel="1" x14ac:dyDescent="0.2">
      <c r="A114" s="45"/>
      <c r="B114" s="1250"/>
      <c r="C114" s="716"/>
      <c r="D114" s="62" t="s">
        <v>423</v>
      </c>
      <c r="E114" s="1549"/>
      <c r="F114" s="1550"/>
      <c r="G114" s="1550"/>
      <c r="H114" s="1551"/>
      <c r="I114" s="1552"/>
      <c r="J114" s="1553"/>
      <c r="K114" s="1554"/>
      <c r="L114" s="1549"/>
      <c r="M114" s="1551"/>
      <c r="N114" s="1103" t="str">
        <f t="shared" si="10"/>
        <v/>
      </c>
      <c r="O114" s="1264"/>
      <c r="P114" s="45"/>
      <c r="Q114" s="45"/>
      <c r="R114" s="213" t="b">
        <f t="shared" si="11"/>
        <v>0</v>
      </c>
      <c r="S114" s="213" t="str">
        <f t="shared" si="12"/>
        <v>SourceStreamName_</v>
      </c>
      <c r="T114" s="213" t="str">
        <f t="shared" si="13"/>
        <v>SourceStreamClass_</v>
      </c>
      <c r="U114" s="45"/>
      <c r="V114" s="214" t="b">
        <f t="shared" si="14"/>
        <v>0</v>
      </c>
      <c r="W114" s="213" t="str">
        <f t="shared" si="15"/>
        <v/>
      </c>
      <c r="X114" s="629" t="str">
        <f t="shared" si="16"/>
        <v/>
      </c>
      <c r="Y114" s="346" t="str">
        <f t="shared" si="17"/>
        <v>netaik.</v>
      </c>
      <c r="Z114" s="217" t="str">
        <f>IF(E114="","",IF(MATCH(E114,EUConst_TierActivityListNames,0)&gt;40,MAX(Z$68:Z113)+1,""))</f>
        <v/>
      </c>
      <c r="AA114" s="45"/>
      <c r="AB114" s="213" t="b">
        <f t="shared" si="9"/>
        <v>0</v>
      </c>
    </row>
    <row r="115" spans="1:28" s="1" customFormat="1" hidden="1" outlineLevel="1" x14ac:dyDescent="0.2">
      <c r="A115" s="45"/>
      <c r="B115" s="1250"/>
      <c r="C115" s="716"/>
      <c r="D115" s="62" t="s">
        <v>424</v>
      </c>
      <c r="E115" s="1549"/>
      <c r="F115" s="1550"/>
      <c r="G115" s="1550"/>
      <c r="H115" s="1551"/>
      <c r="I115" s="1552"/>
      <c r="J115" s="1553"/>
      <c r="K115" s="1554"/>
      <c r="L115" s="1549"/>
      <c r="M115" s="1551"/>
      <c r="N115" s="1103" t="str">
        <f t="shared" si="10"/>
        <v/>
      </c>
      <c r="O115" s="1264"/>
      <c r="P115" s="47"/>
      <c r="Q115" s="45"/>
      <c r="R115" s="213" t="b">
        <f t="shared" si="11"/>
        <v>0</v>
      </c>
      <c r="S115" s="213" t="str">
        <f t="shared" si="12"/>
        <v>SourceStreamName_</v>
      </c>
      <c r="T115" s="213" t="str">
        <f t="shared" si="13"/>
        <v>SourceStreamClass_</v>
      </c>
      <c r="U115" s="45"/>
      <c r="V115" s="214" t="b">
        <f t="shared" si="14"/>
        <v>0</v>
      </c>
      <c r="W115" s="213" t="str">
        <f t="shared" si="15"/>
        <v/>
      </c>
      <c r="X115" s="629" t="str">
        <f t="shared" si="16"/>
        <v/>
      </c>
      <c r="Y115" s="346" t="str">
        <f t="shared" si="17"/>
        <v>netaik.</v>
      </c>
      <c r="Z115" s="217" t="str">
        <f>IF(E115="","",IF(MATCH(E115,EUConst_TierActivityListNames,0)&gt;40,MAX(Z$68:Z114)+1,""))</f>
        <v/>
      </c>
      <c r="AA115" s="45"/>
      <c r="AB115" s="213" t="b">
        <f t="shared" si="9"/>
        <v>0</v>
      </c>
    </row>
    <row r="116" spans="1:28" s="1" customFormat="1" hidden="1" outlineLevel="1" x14ac:dyDescent="0.2">
      <c r="A116" s="45"/>
      <c r="B116" s="1250"/>
      <c r="C116" s="716"/>
      <c r="D116" s="62" t="s">
        <v>425</v>
      </c>
      <c r="E116" s="1549"/>
      <c r="F116" s="1550"/>
      <c r="G116" s="1550"/>
      <c r="H116" s="1551"/>
      <c r="I116" s="1552"/>
      <c r="J116" s="1553"/>
      <c r="K116" s="1554"/>
      <c r="L116" s="1549"/>
      <c r="M116" s="1551"/>
      <c r="N116" s="1103" t="str">
        <f t="shared" si="10"/>
        <v/>
      </c>
      <c r="O116" s="1264"/>
      <c r="P116" s="45"/>
      <c r="Q116" s="45"/>
      <c r="R116" s="213" t="b">
        <f t="shared" si="11"/>
        <v>0</v>
      </c>
      <c r="S116" s="213" t="str">
        <f t="shared" si="12"/>
        <v>SourceStreamName_</v>
      </c>
      <c r="T116" s="213" t="str">
        <f t="shared" si="13"/>
        <v>SourceStreamClass_</v>
      </c>
      <c r="U116" s="45"/>
      <c r="V116" s="214" t="b">
        <f t="shared" si="14"/>
        <v>0</v>
      </c>
      <c r="W116" s="213" t="str">
        <f t="shared" si="15"/>
        <v/>
      </c>
      <c r="X116" s="629" t="str">
        <f t="shared" si="16"/>
        <v/>
      </c>
      <c r="Y116" s="346" t="str">
        <f t="shared" si="17"/>
        <v>netaik.</v>
      </c>
      <c r="Z116" s="217" t="str">
        <f>IF(E116="","",IF(MATCH(E116,EUConst_TierActivityListNames,0)&gt;40,MAX(Z$68:Z115)+1,""))</f>
        <v/>
      </c>
      <c r="AA116" s="45"/>
      <c r="AB116" s="213" t="b">
        <f t="shared" si="9"/>
        <v>0</v>
      </c>
    </row>
    <row r="117" spans="1:28" s="1" customFormat="1" hidden="1" outlineLevel="1" x14ac:dyDescent="0.2">
      <c r="A117" s="45"/>
      <c r="B117" s="1250"/>
      <c r="C117" s="716"/>
      <c r="D117" s="62" t="s">
        <v>426</v>
      </c>
      <c r="E117" s="1549"/>
      <c r="F117" s="1550"/>
      <c r="G117" s="1550"/>
      <c r="H117" s="1551"/>
      <c r="I117" s="1552"/>
      <c r="J117" s="1553"/>
      <c r="K117" s="1554"/>
      <c r="L117" s="1549"/>
      <c r="M117" s="1551"/>
      <c r="N117" s="1103" t="str">
        <f t="shared" si="10"/>
        <v/>
      </c>
      <c r="O117" s="1264"/>
      <c r="P117" s="45"/>
      <c r="Q117" s="45"/>
      <c r="R117" s="213" t="b">
        <f t="shared" si="11"/>
        <v>0</v>
      </c>
      <c r="S117" s="213" t="str">
        <f t="shared" si="12"/>
        <v>SourceStreamName_</v>
      </c>
      <c r="T117" s="213" t="str">
        <f t="shared" si="13"/>
        <v>SourceStreamClass_</v>
      </c>
      <c r="U117" s="45"/>
      <c r="V117" s="214" t="b">
        <f t="shared" si="14"/>
        <v>0</v>
      </c>
      <c r="W117" s="213" t="str">
        <f t="shared" si="15"/>
        <v/>
      </c>
      <c r="X117" s="629" t="str">
        <f t="shared" si="16"/>
        <v/>
      </c>
      <c r="Y117" s="346" t="str">
        <f t="shared" si="17"/>
        <v>netaik.</v>
      </c>
      <c r="Z117" s="217" t="str">
        <f>IF(E117="","",IF(MATCH(E117,EUConst_TierActivityListNames,0)&gt;40,MAX(Z$68:Z116)+1,""))</f>
        <v/>
      </c>
      <c r="AA117" s="45"/>
      <c r="AB117" s="213" t="b">
        <f t="shared" si="9"/>
        <v>0</v>
      </c>
    </row>
    <row r="118" spans="1:28" s="1" customFormat="1" hidden="1" outlineLevel="1" x14ac:dyDescent="0.2">
      <c r="A118" s="45"/>
      <c r="B118" s="1250"/>
      <c r="C118" s="716"/>
      <c r="D118" s="62" t="s">
        <v>427</v>
      </c>
      <c r="E118" s="1549"/>
      <c r="F118" s="1550"/>
      <c r="G118" s="1550"/>
      <c r="H118" s="1551"/>
      <c r="I118" s="1552"/>
      <c r="J118" s="1553"/>
      <c r="K118" s="1554"/>
      <c r="L118" s="1549"/>
      <c r="M118" s="1551"/>
      <c r="N118" s="1103" t="str">
        <f t="shared" si="10"/>
        <v/>
      </c>
      <c r="O118" s="1264"/>
      <c r="P118" s="45"/>
      <c r="Q118" s="45"/>
      <c r="R118" s="213" t="b">
        <f t="shared" si="11"/>
        <v>0</v>
      </c>
      <c r="S118" s="213" t="str">
        <f t="shared" si="12"/>
        <v>SourceStreamName_</v>
      </c>
      <c r="T118" s="213" t="str">
        <f t="shared" si="13"/>
        <v>SourceStreamClass_</v>
      </c>
      <c r="U118" s="45"/>
      <c r="V118" s="214" t="b">
        <f t="shared" si="14"/>
        <v>0</v>
      </c>
      <c r="W118" s="213" t="str">
        <f t="shared" si="15"/>
        <v/>
      </c>
      <c r="X118" s="629" t="str">
        <f t="shared" si="16"/>
        <v/>
      </c>
      <c r="Y118" s="346" t="str">
        <f t="shared" si="17"/>
        <v>netaik.</v>
      </c>
      <c r="Z118" s="217" t="str">
        <f>IF(E118="","",IF(MATCH(E118,EUConst_TierActivityListNames,0)&gt;40,MAX(Z$68:Z117)+1,""))</f>
        <v/>
      </c>
      <c r="AA118" s="45"/>
      <c r="AB118" s="213" t="b">
        <f t="shared" si="9"/>
        <v>0</v>
      </c>
    </row>
    <row r="119" spans="1:28" s="1" customFormat="1" hidden="1" outlineLevel="1" x14ac:dyDescent="0.2">
      <c r="A119" s="45"/>
      <c r="B119" s="1250"/>
      <c r="C119" s="716"/>
      <c r="D119" s="62" t="s">
        <v>428</v>
      </c>
      <c r="E119" s="1549"/>
      <c r="F119" s="1550"/>
      <c r="G119" s="1550"/>
      <c r="H119" s="1551"/>
      <c r="I119" s="1552"/>
      <c r="J119" s="1553"/>
      <c r="K119" s="1554"/>
      <c r="L119" s="1549"/>
      <c r="M119" s="1551"/>
      <c r="N119" s="1103" t="str">
        <f t="shared" si="10"/>
        <v/>
      </c>
      <c r="O119" s="1264"/>
      <c r="P119" s="45"/>
      <c r="Q119" s="45"/>
      <c r="R119" s="213" t="b">
        <f t="shared" si="11"/>
        <v>0</v>
      </c>
      <c r="S119" s="213" t="str">
        <f t="shared" si="12"/>
        <v>SourceStreamName_</v>
      </c>
      <c r="T119" s="213" t="str">
        <f t="shared" si="13"/>
        <v>SourceStreamClass_</v>
      </c>
      <c r="U119" s="45"/>
      <c r="V119" s="214" t="b">
        <f t="shared" si="14"/>
        <v>0</v>
      </c>
      <c r="W119" s="213" t="str">
        <f t="shared" si="15"/>
        <v/>
      </c>
      <c r="X119" s="629" t="str">
        <f t="shared" si="16"/>
        <v/>
      </c>
      <c r="Y119" s="346" t="str">
        <f t="shared" si="17"/>
        <v>netaik.</v>
      </c>
      <c r="Z119" s="217" t="str">
        <f>IF(E119="","",IF(MATCH(E119,EUConst_TierActivityListNames,0)&gt;40,MAX(Z$68:Z118)+1,""))</f>
        <v/>
      </c>
      <c r="AA119" s="45"/>
      <c r="AB119" s="213" t="b">
        <f t="shared" si="9"/>
        <v>0</v>
      </c>
    </row>
    <row r="120" spans="1:28" s="1" customFormat="1" hidden="1" outlineLevel="1" x14ac:dyDescent="0.2">
      <c r="A120" s="45"/>
      <c r="B120" s="1250"/>
      <c r="C120" s="716"/>
      <c r="D120" s="62" t="s">
        <v>429</v>
      </c>
      <c r="E120" s="1549"/>
      <c r="F120" s="1550"/>
      <c r="G120" s="1550"/>
      <c r="H120" s="1551"/>
      <c r="I120" s="1552"/>
      <c r="J120" s="1553"/>
      <c r="K120" s="1554"/>
      <c r="L120" s="1549"/>
      <c r="M120" s="1551"/>
      <c r="N120" s="1103" t="str">
        <f t="shared" si="10"/>
        <v/>
      </c>
      <c r="O120" s="1264"/>
      <c r="P120" s="47"/>
      <c r="Q120" s="45"/>
      <c r="R120" s="213" t="b">
        <f t="shared" si="11"/>
        <v>0</v>
      </c>
      <c r="S120" s="213" t="str">
        <f t="shared" si="12"/>
        <v>SourceStreamName_</v>
      </c>
      <c r="T120" s="213" t="str">
        <f t="shared" si="13"/>
        <v>SourceStreamClass_</v>
      </c>
      <c r="U120" s="45"/>
      <c r="V120" s="214" t="b">
        <f t="shared" si="14"/>
        <v>0</v>
      </c>
      <c r="W120" s="213" t="str">
        <f t="shared" si="15"/>
        <v/>
      </c>
      <c r="X120" s="629" t="str">
        <f t="shared" si="16"/>
        <v/>
      </c>
      <c r="Y120" s="346" t="str">
        <f t="shared" si="17"/>
        <v>netaik.</v>
      </c>
      <c r="Z120" s="217" t="str">
        <f>IF(E120="","",IF(MATCH(E120,EUConst_TierActivityListNames,0)&gt;40,MAX(Z$68:Z119)+1,""))</f>
        <v/>
      </c>
      <c r="AA120" s="45"/>
      <c r="AB120" s="213" t="b">
        <f t="shared" ref="AB120:AB144" si="18">AB119</f>
        <v>0</v>
      </c>
    </row>
    <row r="121" spans="1:28" s="1" customFormat="1" hidden="1" outlineLevel="1" collapsed="1" x14ac:dyDescent="0.2">
      <c r="A121" s="45"/>
      <c r="B121" s="1250"/>
      <c r="C121" s="716"/>
      <c r="D121" s="62" t="s">
        <v>508</v>
      </c>
      <c r="E121" s="1549"/>
      <c r="F121" s="1550"/>
      <c r="G121" s="1550"/>
      <c r="H121" s="1551"/>
      <c r="I121" s="1552"/>
      <c r="J121" s="1553"/>
      <c r="K121" s="1554"/>
      <c r="L121" s="1549"/>
      <c r="M121" s="1551"/>
      <c r="N121" s="1103" t="str">
        <f t="shared" si="10"/>
        <v/>
      </c>
      <c r="O121" s="1264"/>
      <c r="P121" s="45"/>
      <c r="Q121" s="45"/>
      <c r="R121" s="213" t="b">
        <f t="shared" si="11"/>
        <v>0</v>
      </c>
      <c r="S121" s="213" t="str">
        <f t="shared" si="12"/>
        <v>SourceStreamName_</v>
      </c>
      <c r="T121" s="213" t="str">
        <f t="shared" si="13"/>
        <v>SourceStreamClass_</v>
      </c>
      <c r="U121" s="45"/>
      <c r="V121" s="214" t="b">
        <f t="shared" si="14"/>
        <v>0</v>
      </c>
      <c r="W121" s="213" t="str">
        <f t="shared" si="15"/>
        <v/>
      </c>
      <c r="X121" s="629" t="str">
        <f t="shared" si="16"/>
        <v/>
      </c>
      <c r="Y121" s="346" t="str">
        <f t="shared" si="17"/>
        <v>netaik.</v>
      </c>
      <c r="Z121" s="217" t="str">
        <f>IF(E121="","",IF(MATCH(E121,EUConst_TierActivityListNames,0)&gt;40,MAX(Z$68:Z120)+1,""))</f>
        <v/>
      </c>
      <c r="AA121" s="45"/>
      <c r="AB121" s="213" t="b">
        <f t="shared" si="18"/>
        <v>0</v>
      </c>
    </row>
    <row r="122" spans="1:28" s="1" customFormat="1" hidden="1" outlineLevel="1" x14ac:dyDescent="0.2">
      <c r="A122" s="45"/>
      <c r="B122" s="1250"/>
      <c r="C122" s="716"/>
      <c r="D122" s="62" t="s">
        <v>509</v>
      </c>
      <c r="E122" s="1549"/>
      <c r="F122" s="1550"/>
      <c r="G122" s="1550"/>
      <c r="H122" s="1551"/>
      <c r="I122" s="1552"/>
      <c r="J122" s="1553"/>
      <c r="K122" s="1554"/>
      <c r="L122" s="1549"/>
      <c r="M122" s="1551"/>
      <c r="N122" s="1103" t="str">
        <f t="shared" si="10"/>
        <v/>
      </c>
      <c r="O122" s="1264"/>
      <c r="P122" s="45"/>
      <c r="Q122" s="45"/>
      <c r="R122" s="213" t="b">
        <f t="shared" si="11"/>
        <v>0</v>
      </c>
      <c r="S122" s="213" t="str">
        <f t="shared" si="12"/>
        <v>SourceStreamName_</v>
      </c>
      <c r="T122" s="213" t="str">
        <f t="shared" si="13"/>
        <v>SourceStreamClass_</v>
      </c>
      <c r="U122" s="45"/>
      <c r="V122" s="214" t="b">
        <f t="shared" si="14"/>
        <v>0</v>
      </c>
      <c r="W122" s="213" t="str">
        <f t="shared" si="15"/>
        <v/>
      </c>
      <c r="X122" s="629" t="str">
        <f t="shared" si="16"/>
        <v/>
      </c>
      <c r="Y122" s="346" t="str">
        <f t="shared" si="17"/>
        <v>netaik.</v>
      </c>
      <c r="Z122" s="217" t="str">
        <f>IF(E122="","",IF(MATCH(E122,EUConst_TierActivityListNames,0)&gt;40,MAX(Z$68:Z121)+1,""))</f>
        <v/>
      </c>
      <c r="AA122" s="45"/>
      <c r="AB122" s="213" t="b">
        <f t="shared" si="18"/>
        <v>0</v>
      </c>
    </row>
    <row r="123" spans="1:28" s="1" customFormat="1" hidden="1" outlineLevel="1" x14ac:dyDescent="0.2">
      <c r="A123" s="45"/>
      <c r="B123" s="1250"/>
      <c r="C123" s="716"/>
      <c r="D123" s="62" t="s">
        <v>510</v>
      </c>
      <c r="E123" s="1549"/>
      <c r="F123" s="1550"/>
      <c r="G123" s="1550"/>
      <c r="H123" s="1551"/>
      <c r="I123" s="1552"/>
      <c r="J123" s="1553"/>
      <c r="K123" s="1554"/>
      <c r="L123" s="1549"/>
      <c r="M123" s="1551"/>
      <c r="N123" s="1103" t="str">
        <f t="shared" si="10"/>
        <v/>
      </c>
      <c r="O123" s="1264"/>
      <c r="P123" s="45"/>
      <c r="Q123" s="45"/>
      <c r="R123" s="213" t="b">
        <f t="shared" si="11"/>
        <v>0</v>
      </c>
      <c r="S123" s="213" t="str">
        <f t="shared" si="12"/>
        <v>SourceStreamName_</v>
      </c>
      <c r="T123" s="213" t="str">
        <f t="shared" si="13"/>
        <v>SourceStreamClass_</v>
      </c>
      <c r="U123" s="45"/>
      <c r="V123" s="214" t="b">
        <f t="shared" si="14"/>
        <v>0</v>
      </c>
      <c r="W123" s="213" t="str">
        <f t="shared" si="15"/>
        <v/>
      </c>
      <c r="X123" s="629" t="str">
        <f t="shared" si="16"/>
        <v/>
      </c>
      <c r="Y123" s="346" t="str">
        <f t="shared" si="17"/>
        <v>netaik.</v>
      </c>
      <c r="Z123" s="217" t="str">
        <f>IF(E123="","",IF(MATCH(E123,EUConst_TierActivityListNames,0)&gt;40,MAX(Z$68:Z122)+1,""))</f>
        <v/>
      </c>
      <c r="AA123" s="45"/>
      <c r="AB123" s="213" t="b">
        <f t="shared" si="18"/>
        <v>0</v>
      </c>
    </row>
    <row r="124" spans="1:28" s="1" customFormat="1" hidden="1" outlineLevel="1" x14ac:dyDescent="0.2">
      <c r="A124" s="45"/>
      <c r="B124" s="1250"/>
      <c r="C124" s="716"/>
      <c r="D124" s="62" t="s">
        <v>511</v>
      </c>
      <c r="E124" s="1549"/>
      <c r="F124" s="1550"/>
      <c r="G124" s="1550"/>
      <c r="H124" s="1551"/>
      <c r="I124" s="1552"/>
      <c r="J124" s="1553"/>
      <c r="K124" s="1554"/>
      <c r="L124" s="1549"/>
      <c r="M124" s="1551"/>
      <c r="N124" s="1103" t="str">
        <f t="shared" si="10"/>
        <v/>
      </c>
      <c r="O124" s="1264"/>
      <c r="P124" s="45"/>
      <c r="Q124" s="45"/>
      <c r="R124" s="213" t="b">
        <f t="shared" si="11"/>
        <v>0</v>
      </c>
      <c r="S124" s="213" t="str">
        <f t="shared" si="12"/>
        <v>SourceStreamName_</v>
      </c>
      <c r="T124" s="213" t="str">
        <f t="shared" si="13"/>
        <v>SourceStreamClass_</v>
      </c>
      <c r="U124" s="45"/>
      <c r="V124" s="214" t="b">
        <f t="shared" si="14"/>
        <v>0</v>
      </c>
      <c r="W124" s="213" t="str">
        <f t="shared" si="15"/>
        <v/>
      </c>
      <c r="X124" s="629" t="str">
        <f t="shared" si="16"/>
        <v/>
      </c>
      <c r="Y124" s="346" t="str">
        <f t="shared" si="17"/>
        <v>netaik.</v>
      </c>
      <c r="Z124" s="217" t="str">
        <f>IF(E124="","",IF(MATCH(E124,EUConst_TierActivityListNames,0)&gt;40,MAX(Z$68:Z123)+1,""))</f>
        <v/>
      </c>
      <c r="AA124" s="45"/>
      <c r="AB124" s="213" t="b">
        <f t="shared" si="18"/>
        <v>0</v>
      </c>
    </row>
    <row r="125" spans="1:28" s="1" customFormat="1" hidden="1" outlineLevel="1" x14ac:dyDescent="0.2">
      <c r="A125" s="45"/>
      <c r="B125" s="1250"/>
      <c r="C125" s="716"/>
      <c r="D125" s="62" t="s">
        <v>512</v>
      </c>
      <c r="E125" s="1549"/>
      <c r="F125" s="1550"/>
      <c r="G125" s="1550"/>
      <c r="H125" s="1551"/>
      <c r="I125" s="1552"/>
      <c r="J125" s="1553"/>
      <c r="K125" s="1554"/>
      <c r="L125" s="1549"/>
      <c r="M125" s="1551"/>
      <c r="N125" s="1103" t="str">
        <f t="shared" si="10"/>
        <v/>
      </c>
      <c r="O125" s="1264"/>
      <c r="P125" s="47"/>
      <c r="Q125" s="45"/>
      <c r="R125" s="213" t="b">
        <f t="shared" si="11"/>
        <v>0</v>
      </c>
      <c r="S125" s="213" t="str">
        <f t="shared" si="12"/>
        <v>SourceStreamName_</v>
      </c>
      <c r="T125" s="213" t="str">
        <f t="shared" si="13"/>
        <v>SourceStreamClass_</v>
      </c>
      <c r="U125" s="45"/>
      <c r="V125" s="214" t="b">
        <f t="shared" si="14"/>
        <v>0</v>
      </c>
      <c r="W125" s="213" t="str">
        <f t="shared" si="15"/>
        <v/>
      </c>
      <c r="X125" s="629" t="str">
        <f t="shared" si="16"/>
        <v/>
      </c>
      <c r="Y125" s="346" t="str">
        <f t="shared" si="17"/>
        <v>netaik.</v>
      </c>
      <c r="Z125" s="217" t="str">
        <f>IF(E125="","",IF(MATCH(E125,EUConst_TierActivityListNames,0)&gt;40,MAX(Z$68:Z124)+1,""))</f>
        <v/>
      </c>
      <c r="AA125" s="45"/>
      <c r="AB125" s="213" t="b">
        <f t="shared" si="18"/>
        <v>0</v>
      </c>
    </row>
    <row r="126" spans="1:28" s="1" customFormat="1" hidden="1" outlineLevel="1" x14ac:dyDescent="0.2">
      <c r="A126" s="45"/>
      <c r="B126" s="1250"/>
      <c r="C126" s="716"/>
      <c r="D126" s="62" t="s">
        <v>513</v>
      </c>
      <c r="E126" s="1549"/>
      <c r="F126" s="1550"/>
      <c r="G126" s="1550"/>
      <c r="H126" s="1551"/>
      <c r="I126" s="1552"/>
      <c r="J126" s="1553"/>
      <c r="K126" s="1554"/>
      <c r="L126" s="1549"/>
      <c r="M126" s="1551"/>
      <c r="N126" s="1103" t="str">
        <f t="shared" si="10"/>
        <v/>
      </c>
      <c r="O126" s="1264"/>
      <c r="P126" s="45"/>
      <c r="Q126" s="45"/>
      <c r="R126" s="213" t="b">
        <f t="shared" si="11"/>
        <v>0</v>
      </c>
      <c r="S126" s="213" t="str">
        <f t="shared" si="12"/>
        <v>SourceStreamName_</v>
      </c>
      <c r="T126" s="213" t="str">
        <f t="shared" si="13"/>
        <v>SourceStreamClass_</v>
      </c>
      <c r="U126" s="45"/>
      <c r="V126" s="214" t="b">
        <f t="shared" si="14"/>
        <v>0</v>
      </c>
      <c r="W126" s="213" t="str">
        <f t="shared" si="15"/>
        <v/>
      </c>
      <c r="X126" s="629" t="str">
        <f t="shared" si="16"/>
        <v/>
      </c>
      <c r="Y126" s="346" t="str">
        <f t="shared" si="17"/>
        <v>netaik.</v>
      </c>
      <c r="Z126" s="217" t="str">
        <f>IF(E126="","",IF(MATCH(E126,EUConst_TierActivityListNames,0)&gt;40,MAX(Z$68:Z125)+1,""))</f>
        <v/>
      </c>
      <c r="AA126" s="45"/>
      <c r="AB126" s="213" t="b">
        <f t="shared" si="18"/>
        <v>0</v>
      </c>
    </row>
    <row r="127" spans="1:28" s="1" customFormat="1" hidden="1" outlineLevel="1" x14ac:dyDescent="0.2">
      <c r="A127" s="45"/>
      <c r="B127" s="1250"/>
      <c r="C127" s="716"/>
      <c r="D127" s="62" t="s">
        <v>514</v>
      </c>
      <c r="E127" s="1549"/>
      <c r="F127" s="1550"/>
      <c r="G127" s="1550"/>
      <c r="H127" s="1551"/>
      <c r="I127" s="1552"/>
      <c r="J127" s="1553"/>
      <c r="K127" s="1554"/>
      <c r="L127" s="1549"/>
      <c r="M127" s="1551"/>
      <c r="N127" s="1103" t="str">
        <f t="shared" si="10"/>
        <v/>
      </c>
      <c r="O127" s="1264"/>
      <c r="P127" s="45"/>
      <c r="Q127" s="45"/>
      <c r="R127" s="213" t="b">
        <f t="shared" si="11"/>
        <v>0</v>
      </c>
      <c r="S127" s="213" t="str">
        <f t="shared" si="12"/>
        <v>SourceStreamName_</v>
      </c>
      <c r="T127" s="213" t="str">
        <f t="shared" si="13"/>
        <v>SourceStreamClass_</v>
      </c>
      <c r="U127" s="45"/>
      <c r="V127" s="214" t="b">
        <f t="shared" si="14"/>
        <v>0</v>
      </c>
      <c r="W127" s="213" t="str">
        <f t="shared" si="15"/>
        <v/>
      </c>
      <c r="X127" s="629" t="str">
        <f t="shared" si="16"/>
        <v/>
      </c>
      <c r="Y127" s="346" t="str">
        <f t="shared" si="17"/>
        <v>netaik.</v>
      </c>
      <c r="Z127" s="217" t="str">
        <f>IF(E127="","",IF(MATCH(E127,EUConst_TierActivityListNames,0)&gt;40,MAX(Z$68:Z126)+1,""))</f>
        <v/>
      </c>
      <c r="AA127" s="45"/>
      <c r="AB127" s="213" t="b">
        <f t="shared" si="18"/>
        <v>0</v>
      </c>
    </row>
    <row r="128" spans="1:28" s="1" customFormat="1" hidden="1" outlineLevel="1" x14ac:dyDescent="0.2">
      <c r="A128" s="45"/>
      <c r="B128" s="1250"/>
      <c r="C128" s="716"/>
      <c r="D128" s="62" t="s">
        <v>515</v>
      </c>
      <c r="E128" s="1549"/>
      <c r="F128" s="1550"/>
      <c r="G128" s="1550"/>
      <c r="H128" s="1551"/>
      <c r="I128" s="1552"/>
      <c r="J128" s="1553"/>
      <c r="K128" s="1554"/>
      <c r="L128" s="1549"/>
      <c r="M128" s="1551"/>
      <c r="N128" s="1103" t="str">
        <f t="shared" si="10"/>
        <v/>
      </c>
      <c r="O128" s="1264"/>
      <c r="P128" s="45"/>
      <c r="Q128" s="45"/>
      <c r="R128" s="213" t="b">
        <f t="shared" si="11"/>
        <v>0</v>
      </c>
      <c r="S128" s="213" t="str">
        <f t="shared" si="12"/>
        <v>SourceStreamName_</v>
      </c>
      <c r="T128" s="213" t="str">
        <f t="shared" si="13"/>
        <v>SourceStreamClass_</v>
      </c>
      <c r="U128" s="45"/>
      <c r="V128" s="214" t="b">
        <f t="shared" si="14"/>
        <v>0</v>
      </c>
      <c r="W128" s="213" t="str">
        <f t="shared" si="15"/>
        <v/>
      </c>
      <c r="X128" s="629" t="str">
        <f t="shared" si="16"/>
        <v/>
      </c>
      <c r="Y128" s="346" t="str">
        <f t="shared" si="17"/>
        <v>netaik.</v>
      </c>
      <c r="Z128" s="217" t="str">
        <f>IF(E128="","",IF(MATCH(E128,EUConst_TierActivityListNames,0)&gt;40,MAX(Z$68:Z127)+1,""))</f>
        <v/>
      </c>
      <c r="AA128" s="45"/>
      <c r="AB128" s="213" t="b">
        <f t="shared" si="18"/>
        <v>0</v>
      </c>
    </row>
    <row r="129" spans="1:28" s="1" customFormat="1" hidden="1" outlineLevel="1" x14ac:dyDescent="0.2">
      <c r="A129" s="45"/>
      <c r="B129" s="1250"/>
      <c r="C129" s="716"/>
      <c r="D129" s="62" t="s">
        <v>516</v>
      </c>
      <c r="E129" s="1549"/>
      <c r="F129" s="1550"/>
      <c r="G129" s="1550"/>
      <c r="H129" s="1551"/>
      <c r="I129" s="1552"/>
      <c r="J129" s="1553"/>
      <c r="K129" s="1554"/>
      <c r="L129" s="1549"/>
      <c r="M129" s="1551"/>
      <c r="N129" s="1103" t="str">
        <f t="shared" si="10"/>
        <v/>
      </c>
      <c r="O129" s="1264"/>
      <c r="P129" s="45"/>
      <c r="Q129" s="45"/>
      <c r="R129" s="213" t="b">
        <f t="shared" si="11"/>
        <v>0</v>
      </c>
      <c r="S129" s="213" t="str">
        <f t="shared" si="12"/>
        <v>SourceStreamName_</v>
      </c>
      <c r="T129" s="213" t="str">
        <f t="shared" si="13"/>
        <v>SourceStreamClass_</v>
      </c>
      <c r="U129" s="45"/>
      <c r="V129" s="214" t="b">
        <f t="shared" si="14"/>
        <v>0</v>
      </c>
      <c r="W129" s="213" t="str">
        <f t="shared" si="15"/>
        <v/>
      </c>
      <c r="X129" s="629" t="str">
        <f t="shared" si="16"/>
        <v/>
      </c>
      <c r="Y129" s="346" t="str">
        <f t="shared" si="17"/>
        <v>netaik.</v>
      </c>
      <c r="Z129" s="217" t="str">
        <f>IF(E129="","",IF(MATCH(E129,EUConst_TierActivityListNames,0)&gt;40,MAX(Z$68:Z128)+1,""))</f>
        <v/>
      </c>
      <c r="AA129" s="45"/>
      <c r="AB129" s="213" t="b">
        <f t="shared" si="18"/>
        <v>0</v>
      </c>
    </row>
    <row r="130" spans="1:28" s="1" customFormat="1" hidden="1" outlineLevel="1" x14ac:dyDescent="0.2">
      <c r="A130" s="45"/>
      <c r="B130" s="1250"/>
      <c r="C130" s="716"/>
      <c r="D130" s="62" t="s">
        <v>517</v>
      </c>
      <c r="E130" s="1549"/>
      <c r="F130" s="1550"/>
      <c r="G130" s="1550"/>
      <c r="H130" s="1551"/>
      <c r="I130" s="1552"/>
      <c r="J130" s="1553"/>
      <c r="K130" s="1554"/>
      <c r="L130" s="1549"/>
      <c r="M130" s="1551"/>
      <c r="N130" s="1103" t="str">
        <f t="shared" si="10"/>
        <v/>
      </c>
      <c r="O130" s="1264"/>
      <c r="P130" s="47"/>
      <c r="Q130" s="45"/>
      <c r="R130" s="213" t="b">
        <f t="shared" si="11"/>
        <v>0</v>
      </c>
      <c r="S130" s="213" t="str">
        <f t="shared" si="12"/>
        <v>SourceStreamName_</v>
      </c>
      <c r="T130" s="213" t="str">
        <f t="shared" si="13"/>
        <v>SourceStreamClass_</v>
      </c>
      <c r="U130" s="45"/>
      <c r="V130" s="214" t="b">
        <f t="shared" si="14"/>
        <v>0</v>
      </c>
      <c r="W130" s="213" t="str">
        <f t="shared" si="15"/>
        <v/>
      </c>
      <c r="X130" s="629" t="str">
        <f t="shared" si="16"/>
        <v/>
      </c>
      <c r="Y130" s="346" t="str">
        <f t="shared" si="17"/>
        <v>netaik.</v>
      </c>
      <c r="Z130" s="217" t="str">
        <f>IF(E130="","",IF(MATCH(E130,EUConst_TierActivityListNames,0)&gt;40,MAX(Z$68:Z129)+1,""))</f>
        <v/>
      </c>
      <c r="AA130" s="45"/>
      <c r="AB130" s="213" t="b">
        <f t="shared" si="18"/>
        <v>0</v>
      </c>
    </row>
    <row r="131" spans="1:28" s="1" customFormat="1" hidden="1" outlineLevel="1" x14ac:dyDescent="0.2">
      <c r="A131" s="45"/>
      <c r="B131" s="1250"/>
      <c r="C131" s="716"/>
      <c r="D131" s="62" t="s">
        <v>518</v>
      </c>
      <c r="E131" s="1549"/>
      <c r="F131" s="1550"/>
      <c r="G131" s="1550"/>
      <c r="H131" s="1551"/>
      <c r="I131" s="1552"/>
      <c r="J131" s="1553"/>
      <c r="K131" s="1554"/>
      <c r="L131" s="1549"/>
      <c r="M131" s="1551"/>
      <c r="N131" s="1103" t="str">
        <f t="shared" si="10"/>
        <v/>
      </c>
      <c r="O131" s="1264"/>
      <c r="P131" s="45"/>
      <c r="Q131" s="45"/>
      <c r="R131" s="213" t="b">
        <f t="shared" si="11"/>
        <v>0</v>
      </c>
      <c r="S131" s="213" t="str">
        <f t="shared" si="12"/>
        <v>SourceStreamName_</v>
      </c>
      <c r="T131" s="213" t="str">
        <f t="shared" si="13"/>
        <v>SourceStreamClass_</v>
      </c>
      <c r="U131" s="45"/>
      <c r="V131" s="214" t="b">
        <f t="shared" si="14"/>
        <v>0</v>
      </c>
      <c r="W131" s="213" t="str">
        <f t="shared" si="15"/>
        <v/>
      </c>
      <c r="X131" s="629" t="str">
        <f t="shared" si="16"/>
        <v/>
      </c>
      <c r="Y131" s="346" t="str">
        <f t="shared" si="17"/>
        <v>netaik.</v>
      </c>
      <c r="Z131" s="217" t="str">
        <f>IF(E131="","",IF(MATCH(E131,EUConst_TierActivityListNames,0)&gt;40,MAX(Z$68:Z130)+1,""))</f>
        <v/>
      </c>
      <c r="AA131" s="45"/>
      <c r="AB131" s="213" t="b">
        <f t="shared" si="18"/>
        <v>0</v>
      </c>
    </row>
    <row r="132" spans="1:28" s="1" customFormat="1" hidden="1" outlineLevel="1" x14ac:dyDescent="0.2">
      <c r="A132" s="45"/>
      <c r="B132" s="1250"/>
      <c r="C132" s="716"/>
      <c r="D132" s="62" t="s">
        <v>519</v>
      </c>
      <c r="E132" s="1549"/>
      <c r="F132" s="1550"/>
      <c r="G132" s="1550"/>
      <c r="H132" s="1551"/>
      <c r="I132" s="1552"/>
      <c r="J132" s="1553"/>
      <c r="K132" s="1554"/>
      <c r="L132" s="1549"/>
      <c r="M132" s="1551"/>
      <c r="N132" s="1103" t="str">
        <f t="shared" si="10"/>
        <v/>
      </c>
      <c r="O132" s="1264"/>
      <c r="P132" s="45"/>
      <c r="Q132" s="45"/>
      <c r="R132" s="213" t="b">
        <f t="shared" si="11"/>
        <v>0</v>
      </c>
      <c r="S132" s="213" t="str">
        <f t="shared" si="12"/>
        <v>SourceStreamName_</v>
      </c>
      <c r="T132" s="213" t="str">
        <f t="shared" si="13"/>
        <v>SourceStreamClass_</v>
      </c>
      <c r="U132" s="45"/>
      <c r="V132" s="214" t="b">
        <f t="shared" si="14"/>
        <v>0</v>
      </c>
      <c r="W132" s="213" t="str">
        <f t="shared" si="15"/>
        <v/>
      </c>
      <c r="X132" s="629" t="str">
        <f t="shared" si="16"/>
        <v/>
      </c>
      <c r="Y132" s="346" t="str">
        <f t="shared" si="17"/>
        <v>netaik.</v>
      </c>
      <c r="Z132" s="217" t="str">
        <f>IF(E132="","",IF(MATCH(E132,EUConst_TierActivityListNames,0)&gt;40,MAX(Z$68:Z131)+1,""))</f>
        <v/>
      </c>
      <c r="AA132" s="45"/>
      <c r="AB132" s="213" t="b">
        <f t="shared" si="18"/>
        <v>0</v>
      </c>
    </row>
    <row r="133" spans="1:28" s="1" customFormat="1" hidden="1" outlineLevel="1" x14ac:dyDescent="0.2">
      <c r="A133" s="45"/>
      <c r="B133" s="1250"/>
      <c r="C133" s="716"/>
      <c r="D133" s="62" t="s">
        <v>520</v>
      </c>
      <c r="E133" s="1549"/>
      <c r="F133" s="1550"/>
      <c r="G133" s="1550"/>
      <c r="H133" s="1551"/>
      <c r="I133" s="1552"/>
      <c r="J133" s="1553"/>
      <c r="K133" s="1554"/>
      <c r="L133" s="1549"/>
      <c r="M133" s="1551"/>
      <c r="N133" s="1103" t="str">
        <f t="shared" si="10"/>
        <v/>
      </c>
      <c r="O133" s="1264"/>
      <c r="P133" s="45"/>
      <c r="Q133" s="45"/>
      <c r="R133" s="213" t="b">
        <f t="shared" si="11"/>
        <v>0</v>
      </c>
      <c r="S133" s="213" t="str">
        <f t="shared" si="12"/>
        <v>SourceStreamName_</v>
      </c>
      <c r="T133" s="213" t="str">
        <f t="shared" si="13"/>
        <v>SourceStreamClass_</v>
      </c>
      <c r="U133" s="45"/>
      <c r="V133" s="214" t="b">
        <f t="shared" si="14"/>
        <v>0</v>
      </c>
      <c r="W133" s="213" t="str">
        <f t="shared" si="15"/>
        <v/>
      </c>
      <c r="X133" s="629" t="str">
        <f t="shared" si="16"/>
        <v/>
      </c>
      <c r="Y133" s="346" t="str">
        <f t="shared" si="17"/>
        <v>netaik.</v>
      </c>
      <c r="Z133" s="217" t="str">
        <f>IF(E133="","",IF(MATCH(E133,EUConst_TierActivityListNames,0)&gt;40,MAX(Z$68:Z132)+1,""))</f>
        <v/>
      </c>
      <c r="AA133" s="45"/>
      <c r="AB133" s="213" t="b">
        <f t="shared" si="18"/>
        <v>0</v>
      </c>
    </row>
    <row r="134" spans="1:28" s="1" customFormat="1" hidden="1" outlineLevel="1" x14ac:dyDescent="0.2">
      <c r="A134" s="45"/>
      <c r="B134" s="1250"/>
      <c r="C134" s="716"/>
      <c r="D134" s="62" t="s">
        <v>521</v>
      </c>
      <c r="E134" s="1549"/>
      <c r="F134" s="1550"/>
      <c r="G134" s="1550"/>
      <c r="H134" s="1551"/>
      <c r="I134" s="1552"/>
      <c r="J134" s="1553"/>
      <c r="K134" s="1554"/>
      <c r="L134" s="1549"/>
      <c r="M134" s="1551"/>
      <c r="N134" s="1103" t="str">
        <f t="shared" si="10"/>
        <v/>
      </c>
      <c r="O134" s="1264"/>
      <c r="P134" s="45"/>
      <c r="Q134" s="45"/>
      <c r="R134" s="213" t="b">
        <f t="shared" si="11"/>
        <v>0</v>
      </c>
      <c r="S134" s="213" t="str">
        <f t="shared" si="12"/>
        <v>SourceStreamName_</v>
      </c>
      <c r="T134" s="213" t="str">
        <f t="shared" si="13"/>
        <v>SourceStreamClass_</v>
      </c>
      <c r="U134" s="45"/>
      <c r="V134" s="214" t="b">
        <f t="shared" si="14"/>
        <v>0</v>
      </c>
      <c r="W134" s="213" t="str">
        <f t="shared" si="15"/>
        <v/>
      </c>
      <c r="X134" s="629" t="str">
        <f t="shared" si="16"/>
        <v/>
      </c>
      <c r="Y134" s="346" t="str">
        <f t="shared" si="17"/>
        <v>netaik.</v>
      </c>
      <c r="Z134" s="217" t="str">
        <f>IF(E134="","",IF(MATCH(E134,EUConst_TierActivityListNames,0)&gt;40,MAX(Z$68:Z133)+1,""))</f>
        <v/>
      </c>
      <c r="AA134" s="45"/>
      <c r="AB134" s="213" t="b">
        <f t="shared" si="18"/>
        <v>0</v>
      </c>
    </row>
    <row r="135" spans="1:28" s="1" customFormat="1" hidden="1" outlineLevel="1" x14ac:dyDescent="0.2">
      <c r="A135" s="45"/>
      <c r="B135" s="1250"/>
      <c r="C135" s="716"/>
      <c r="D135" s="62" t="s">
        <v>522</v>
      </c>
      <c r="E135" s="1549"/>
      <c r="F135" s="1550"/>
      <c r="G135" s="1550"/>
      <c r="H135" s="1551"/>
      <c r="I135" s="1552"/>
      <c r="J135" s="1553"/>
      <c r="K135" s="1554"/>
      <c r="L135" s="1549"/>
      <c r="M135" s="1551"/>
      <c r="N135" s="1103" t="str">
        <f t="shared" ref="N135:N145" si="19">IF(R135=TRUE,EUconst_ERR_Inconsistent,IF(E135="","",IF(OR(AND($V135=FALSE,COUNTA(E135:M135)&lt;3),AND($V135=TRUE,COUNTA(E135:K135)&lt;2)),EUconst_ERR_Incomplete,"")))</f>
        <v/>
      </c>
      <c r="O135" s="1264"/>
      <c r="P135" s="47"/>
      <c r="Q135" s="45"/>
      <c r="R135" s="213" t="b">
        <f t="shared" ref="R135:R145" si="20">IF(E135="",FALSE,COUNTIF($I$182:$I$223,E135)=0)</f>
        <v>0</v>
      </c>
      <c r="S135" s="213" t="str">
        <f t="shared" ref="S135:S145" si="21">EUconst_CNTR_SourceStreamName&amp;I135</f>
        <v>SourceStreamName_</v>
      </c>
      <c r="T135" s="213" t="str">
        <f t="shared" ref="T135:T145" si="22">EUconst_CNTR_SourceStreamClass&amp;E135</f>
        <v>SourceStreamClass_</v>
      </c>
      <c r="U135" s="45"/>
      <c r="V135" s="214" t="b">
        <f t="shared" ref="V135:V145" si="23">IF(OR(COUNTA(E135:J135)&lt;2,COUNTIF(MSPara_SourceStreamCategory,I135)=0),FALSE,INDEX(MSPara_NameOptional,MATCH(I135,MSPara_SourceStreamCategory,0)))</f>
        <v>0</v>
      </c>
      <c r="W135" s="213" t="str">
        <f t="shared" ref="W135:W145" si="24">IF(COUNTIF(EUConst_TierActivityListNames,E135)=0,"",INDEX(MSPara_CategoryAddress,MATCH(E135,EUConst_TierActivityListNames,0)))</f>
        <v/>
      </c>
      <c r="X135" s="629" t="str">
        <f t="shared" ref="X135:X145" si="25">IF(ISBLANK(E135),"",E135&amp; IF(ISBLANK(I135),"","; " &amp;I135) &amp; IF(ISBLANK(L135),"","; " &amp;L135))</f>
        <v/>
      </c>
      <c r="Y135" s="346" t="str">
        <f t="shared" ref="Y135:Y145" si="26">IF(ISBLANK(I135),EUconst_NA,D135&amp;". "&amp;I135 &amp;IF(ISBLANK(L135),"","; " &amp; L135))</f>
        <v>netaik.</v>
      </c>
      <c r="Z135" s="217" t="str">
        <f>IF(E135="","",IF(MATCH(E135,EUConst_TierActivityListNames,0)&gt;40,MAX(Z$68:Z134)+1,""))</f>
        <v/>
      </c>
      <c r="AA135" s="45"/>
      <c r="AB135" s="213" t="b">
        <f t="shared" si="18"/>
        <v>0</v>
      </c>
    </row>
    <row r="136" spans="1:28" s="1" customFormat="1" hidden="1" outlineLevel="1" x14ac:dyDescent="0.2">
      <c r="A136" s="45"/>
      <c r="B136" s="1250"/>
      <c r="C136" s="716"/>
      <c r="D136" s="62" t="s">
        <v>523</v>
      </c>
      <c r="E136" s="1549"/>
      <c r="F136" s="1550"/>
      <c r="G136" s="1550"/>
      <c r="H136" s="1551"/>
      <c r="I136" s="1552"/>
      <c r="J136" s="1553"/>
      <c r="K136" s="1554"/>
      <c r="L136" s="1549"/>
      <c r="M136" s="1551"/>
      <c r="N136" s="1103" t="str">
        <f t="shared" si="19"/>
        <v/>
      </c>
      <c r="O136" s="1264"/>
      <c r="P136" s="45"/>
      <c r="Q136" s="45"/>
      <c r="R136" s="213" t="b">
        <f t="shared" si="20"/>
        <v>0</v>
      </c>
      <c r="S136" s="213" t="str">
        <f t="shared" si="21"/>
        <v>SourceStreamName_</v>
      </c>
      <c r="T136" s="213" t="str">
        <f t="shared" si="22"/>
        <v>SourceStreamClass_</v>
      </c>
      <c r="U136" s="45"/>
      <c r="V136" s="214" t="b">
        <f t="shared" si="23"/>
        <v>0</v>
      </c>
      <c r="W136" s="213" t="str">
        <f t="shared" si="24"/>
        <v/>
      </c>
      <c r="X136" s="629" t="str">
        <f t="shared" si="25"/>
        <v/>
      </c>
      <c r="Y136" s="346" t="str">
        <f t="shared" si="26"/>
        <v>netaik.</v>
      </c>
      <c r="Z136" s="217" t="str">
        <f>IF(E136="","",IF(MATCH(E136,EUConst_TierActivityListNames,0)&gt;40,MAX(Z$68:Z135)+1,""))</f>
        <v/>
      </c>
      <c r="AA136" s="45"/>
      <c r="AB136" s="213" t="b">
        <f t="shared" si="18"/>
        <v>0</v>
      </c>
    </row>
    <row r="137" spans="1:28" s="1" customFormat="1" hidden="1" outlineLevel="1" x14ac:dyDescent="0.2">
      <c r="A137" s="45"/>
      <c r="B137" s="1250"/>
      <c r="C137" s="716"/>
      <c r="D137" s="62" t="s">
        <v>524</v>
      </c>
      <c r="E137" s="1549"/>
      <c r="F137" s="1550"/>
      <c r="G137" s="1550"/>
      <c r="H137" s="1551"/>
      <c r="I137" s="1552"/>
      <c r="J137" s="1553"/>
      <c r="K137" s="1554"/>
      <c r="L137" s="1549"/>
      <c r="M137" s="1551"/>
      <c r="N137" s="1103" t="str">
        <f t="shared" si="19"/>
        <v/>
      </c>
      <c r="O137" s="1264"/>
      <c r="P137" s="45"/>
      <c r="Q137" s="45"/>
      <c r="R137" s="213" t="b">
        <f t="shared" si="20"/>
        <v>0</v>
      </c>
      <c r="S137" s="213" t="str">
        <f t="shared" si="21"/>
        <v>SourceStreamName_</v>
      </c>
      <c r="T137" s="213" t="str">
        <f t="shared" si="22"/>
        <v>SourceStreamClass_</v>
      </c>
      <c r="U137" s="45"/>
      <c r="V137" s="214" t="b">
        <f t="shared" si="23"/>
        <v>0</v>
      </c>
      <c r="W137" s="213" t="str">
        <f t="shared" si="24"/>
        <v/>
      </c>
      <c r="X137" s="629" t="str">
        <f t="shared" si="25"/>
        <v/>
      </c>
      <c r="Y137" s="346" t="str">
        <f t="shared" si="26"/>
        <v>netaik.</v>
      </c>
      <c r="Z137" s="217" t="str">
        <f>IF(E137="","",IF(MATCH(E137,EUConst_TierActivityListNames,0)&gt;40,MAX(Z$68:Z136)+1,""))</f>
        <v/>
      </c>
      <c r="AA137" s="45"/>
      <c r="AB137" s="213" t="b">
        <f t="shared" si="18"/>
        <v>0</v>
      </c>
    </row>
    <row r="138" spans="1:28" s="1" customFormat="1" hidden="1" outlineLevel="1" x14ac:dyDescent="0.2">
      <c r="A138" s="45"/>
      <c r="B138" s="1250"/>
      <c r="C138" s="716"/>
      <c r="D138" s="62" t="s">
        <v>525</v>
      </c>
      <c r="E138" s="1549"/>
      <c r="F138" s="1550"/>
      <c r="G138" s="1550"/>
      <c r="H138" s="1551"/>
      <c r="I138" s="1552"/>
      <c r="J138" s="1553"/>
      <c r="K138" s="1554"/>
      <c r="L138" s="1549"/>
      <c r="M138" s="1551"/>
      <c r="N138" s="1103" t="str">
        <f t="shared" si="19"/>
        <v/>
      </c>
      <c r="O138" s="1264"/>
      <c r="P138" s="45"/>
      <c r="Q138" s="45"/>
      <c r="R138" s="213" t="b">
        <f t="shared" si="20"/>
        <v>0</v>
      </c>
      <c r="S138" s="213" t="str">
        <f t="shared" si="21"/>
        <v>SourceStreamName_</v>
      </c>
      <c r="T138" s="213" t="str">
        <f t="shared" si="22"/>
        <v>SourceStreamClass_</v>
      </c>
      <c r="U138" s="45"/>
      <c r="V138" s="214" t="b">
        <f t="shared" si="23"/>
        <v>0</v>
      </c>
      <c r="W138" s="213" t="str">
        <f t="shared" si="24"/>
        <v/>
      </c>
      <c r="X138" s="629" t="str">
        <f t="shared" si="25"/>
        <v/>
      </c>
      <c r="Y138" s="346" t="str">
        <f t="shared" si="26"/>
        <v>netaik.</v>
      </c>
      <c r="Z138" s="217" t="str">
        <f>IF(E138="","",IF(MATCH(E138,EUConst_TierActivityListNames,0)&gt;40,MAX(Z$68:Z137)+1,""))</f>
        <v/>
      </c>
      <c r="AA138" s="45"/>
      <c r="AB138" s="213" t="b">
        <f t="shared" si="18"/>
        <v>0</v>
      </c>
    </row>
    <row r="139" spans="1:28" s="1" customFormat="1" hidden="1" outlineLevel="1" x14ac:dyDescent="0.2">
      <c r="A139" s="45"/>
      <c r="B139" s="1250"/>
      <c r="C139" s="716"/>
      <c r="D139" s="62" t="s">
        <v>526</v>
      </c>
      <c r="E139" s="1549"/>
      <c r="F139" s="1550"/>
      <c r="G139" s="1550"/>
      <c r="H139" s="1551"/>
      <c r="I139" s="1552"/>
      <c r="J139" s="1553"/>
      <c r="K139" s="1554"/>
      <c r="L139" s="1549"/>
      <c r="M139" s="1551"/>
      <c r="N139" s="1103" t="str">
        <f t="shared" si="19"/>
        <v/>
      </c>
      <c r="O139" s="1264"/>
      <c r="P139" s="45"/>
      <c r="Q139" s="45"/>
      <c r="R139" s="213" t="b">
        <f t="shared" si="20"/>
        <v>0</v>
      </c>
      <c r="S139" s="213" t="str">
        <f t="shared" si="21"/>
        <v>SourceStreamName_</v>
      </c>
      <c r="T139" s="213" t="str">
        <f t="shared" si="22"/>
        <v>SourceStreamClass_</v>
      </c>
      <c r="U139" s="45"/>
      <c r="V139" s="214" t="b">
        <f t="shared" si="23"/>
        <v>0</v>
      </c>
      <c r="W139" s="213" t="str">
        <f t="shared" si="24"/>
        <v/>
      </c>
      <c r="X139" s="629" t="str">
        <f t="shared" si="25"/>
        <v/>
      </c>
      <c r="Y139" s="346" t="str">
        <f t="shared" si="26"/>
        <v>netaik.</v>
      </c>
      <c r="Z139" s="217" t="str">
        <f>IF(E139="","",IF(MATCH(E139,EUConst_TierActivityListNames,0)&gt;40,MAX(Z$68:Z138)+1,""))</f>
        <v/>
      </c>
      <c r="AA139" s="45"/>
      <c r="AB139" s="213" t="b">
        <f t="shared" si="18"/>
        <v>0</v>
      </c>
    </row>
    <row r="140" spans="1:28" s="1" customFormat="1" hidden="1" outlineLevel="1" x14ac:dyDescent="0.2">
      <c r="A140" s="45"/>
      <c r="B140" s="1250"/>
      <c r="C140" s="716"/>
      <c r="D140" s="62" t="s">
        <v>527</v>
      </c>
      <c r="E140" s="1549"/>
      <c r="F140" s="1550"/>
      <c r="G140" s="1550"/>
      <c r="H140" s="1551"/>
      <c r="I140" s="1552"/>
      <c r="J140" s="1553"/>
      <c r="K140" s="1554"/>
      <c r="L140" s="1549"/>
      <c r="M140" s="1551"/>
      <c r="N140" s="1103" t="str">
        <f t="shared" si="19"/>
        <v/>
      </c>
      <c r="O140" s="1264"/>
      <c r="P140" s="47"/>
      <c r="Q140" s="45"/>
      <c r="R140" s="213" t="b">
        <f t="shared" si="20"/>
        <v>0</v>
      </c>
      <c r="S140" s="213" t="str">
        <f t="shared" si="21"/>
        <v>SourceStreamName_</v>
      </c>
      <c r="T140" s="213" t="str">
        <f t="shared" si="22"/>
        <v>SourceStreamClass_</v>
      </c>
      <c r="U140" s="45"/>
      <c r="V140" s="214" t="b">
        <f t="shared" si="23"/>
        <v>0</v>
      </c>
      <c r="W140" s="213" t="str">
        <f t="shared" si="24"/>
        <v/>
      </c>
      <c r="X140" s="629" t="str">
        <f t="shared" si="25"/>
        <v/>
      </c>
      <c r="Y140" s="346" t="str">
        <f t="shared" si="26"/>
        <v>netaik.</v>
      </c>
      <c r="Z140" s="217" t="str">
        <f>IF(E140="","",IF(MATCH(E140,EUConst_TierActivityListNames,0)&gt;40,MAX(Z$68:Z139)+1,""))</f>
        <v/>
      </c>
      <c r="AA140" s="45"/>
      <c r="AB140" s="213" t="b">
        <f t="shared" si="18"/>
        <v>0</v>
      </c>
    </row>
    <row r="141" spans="1:28" s="1" customFormat="1" hidden="1" outlineLevel="1" x14ac:dyDescent="0.2">
      <c r="A141" s="45"/>
      <c r="B141" s="1250"/>
      <c r="C141" s="716"/>
      <c r="D141" s="62" t="s">
        <v>528</v>
      </c>
      <c r="E141" s="1549"/>
      <c r="F141" s="1550"/>
      <c r="G141" s="1550"/>
      <c r="H141" s="1551"/>
      <c r="I141" s="1552"/>
      <c r="J141" s="1553"/>
      <c r="K141" s="1554"/>
      <c r="L141" s="1549"/>
      <c r="M141" s="1551"/>
      <c r="N141" s="1103" t="str">
        <f t="shared" si="19"/>
        <v/>
      </c>
      <c r="O141" s="1264"/>
      <c r="P141" s="45"/>
      <c r="Q141" s="45"/>
      <c r="R141" s="213" t="b">
        <f t="shared" si="20"/>
        <v>0</v>
      </c>
      <c r="S141" s="213" t="str">
        <f t="shared" si="21"/>
        <v>SourceStreamName_</v>
      </c>
      <c r="T141" s="213" t="str">
        <f t="shared" si="22"/>
        <v>SourceStreamClass_</v>
      </c>
      <c r="U141" s="45"/>
      <c r="V141" s="214" t="b">
        <f t="shared" si="23"/>
        <v>0</v>
      </c>
      <c r="W141" s="213" t="str">
        <f t="shared" si="24"/>
        <v/>
      </c>
      <c r="X141" s="629" t="str">
        <f t="shared" si="25"/>
        <v/>
      </c>
      <c r="Y141" s="346" t="str">
        <f t="shared" si="26"/>
        <v>netaik.</v>
      </c>
      <c r="Z141" s="217" t="str">
        <f>IF(E141="","",IF(MATCH(E141,EUConst_TierActivityListNames,0)&gt;40,MAX(Z$68:Z140)+1,""))</f>
        <v/>
      </c>
      <c r="AA141" s="45"/>
      <c r="AB141" s="213" t="b">
        <f t="shared" si="18"/>
        <v>0</v>
      </c>
    </row>
    <row r="142" spans="1:28" s="1" customFormat="1" hidden="1" outlineLevel="1" x14ac:dyDescent="0.2">
      <c r="A142" s="45"/>
      <c r="B142" s="1250"/>
      <c r="C142" s="716"/>
      <c r="D142" s="62" t="s">
        <v>529</v>
      </c>
      <c r="E142" s="1549"/>
      <c r="F142" s="1550"/>
      <c r="G142" s="1550"/>
      <c r="H142" s="1551"/>
      <c r="I142" s="1552"/>
      <c r="J142" s="1553"/>
      <c r="K142" s="1554"/>
      <c r="L142" s="1549"/>
      <c r="M142" s="1551"/>
      <c r="N142" s="1103" t="str">
        <f t="shared" si="19"/>
        <v/>
      </c>
      <c r="O142" s="1264"/>
      <c r="P142" s="45"/>
      <c r="Q142" s="45"/>
      <c r="R142" s="213" t="b">
        <f t="shared" si="20"/>
        <v>0</v>
      </c>
      <c r="S142" s="213" t="str">
        <f t="shared" si="21"/>
        <v>SourceStreamName_</v>
      </c>
      <c r="T142" s="213" t="str">
        <f t="shared" si="22"/>
        <v>SourceStreamClass_</v>
      </c>
      <c r="U142" s="45"/>
      <c r="V142" s="214" t="b">
        <f t="shared" si="23"/>
        <v>0</v>
      </c>
      <c r="W142" s="213" t="str">
        <f t="shared" si="24"/>
        <v/>
      </c>
      <c r="X142" s="629" t="str">
        <f t="shared" si="25"/>
        <v/>
      </c>
      <c r="Y142" s="346" t="str">
        <f t="shared" si="26"/>
        <v>netaik.</v>
      </c>
      <c r="Z142" s="217" t="str">
        <f>IF(E142="","",IF(MATCH(E142,EUConst_TierActivityListNames,0)&gt;40,MAX(Z$68:Z141)+1,""))</f>
        <v/>
      </c>
      <c r="AA142" s="45"/>
      <c r="AB142" s="213" t="b">
        <f t="shared" si="18"/>
        <v>0</v>
      </c>
    </row>
    <row r="143" spans="1:28" s="1" customFormat="1" hidden="1" outlineLevel="1" x14ac:dyDescent="0.2">
      <c r="A143" s="45"/>
      <c r="B143" s="1250"/>
      <c r="C143" s="716"/>
      <c r="D143" s="62" t="s">
        <v>530</v>
      </c>
      <c r="E143" s="1549"/>
      <c r="F143" s="1550"/>
      <c r="G143" s="1550"/>
      <c r="H143" s="1551"/>
      <c r="I143" s="1552"/>
      <c r="J143" s="1553"/>
      <c r="K143" s="1554"/>
      <c r="L143" s="1549"/>
      <c r="M143" s="1551"/>
      <c r="N143" s="1103" t="str">
        <f t="shared" si="19"/>
        <v/>
      </c>
      <c r="O143" s="1264"/>
      <c r="P143" s="45"/>
      <c r="Q143" s="45"/>
      <c r="R143" s="213" t="b">
        <f t="shared" si="20"/>
        <v>0</v>
      </c>
      <c r="S143" s="213" t="str">
        <f t="shared" si="21"/>
        <v>SourceStreamName_</v>
      </c>
      <c r="T143" s="213" t="str">
        <f t="shared" si="22"/>
        <v>SourceStreamClass_</v>
      </c>
      <c r="U143" s="45"/>
      <c r="V143" s="214" t="b">
        <f t="shared" si="23"/>
        <v>0</v>
      </c>
      <c r="W143" s="213" t="str">
        <f t="shared" si="24"/>
        <v/>
      </c>
      <c r="X143" s="629" t="str">
        <f t="shared" si="25"/>
        <v/>
      </c>
      <c r="Y143" s="346" t="str">
        <f t="shared" si="26"/>
        <v>netaik.</v>
      </c>
      <c r="Z143" s="217" t="str">
        <f>IF(E143="","",IF(MATCH(E143,EUConst_TierActivityListNames,0)&gt;40,MAX(Z$68:Z142)+1,""))</f>
        <v/>
      </c>
      <c r="AA143" s="45"/>
      <c r="AB143" s="213" t="b">
        <f t="shared" si="18"/>
        <v>0</v>
      </c>
    </row>
    <row r="144" spans="1:28" s="1" customFormat="1" hidden="1" outlineLevel="1" x14ac:dyDescent="0.2">
      <c r="A144" s="45"/>
      <c r="B144" s="1250"/>
      <c r="C144" s="716"/>
      <c r="D144" s="62" t="s">
        <v>531</v>
      </c>
      <c r="E144" s="1549"/>
      <c r="F144" s="1550"/>
      <c r="G144" s="1550"/>
      <c r="H144" s="1551"/>
      <c r="I144" s="1552"/>
      <c r="J144" s="1553"/>
      <c r="K144" s="1554"/>
      <c r="L144" s="1549"/>
      <c r="M144" s="1551"/>
      <c r="N144" s="1103" t="str">
        <f t="shared" si="19"/>
        <v/>
      </c>
      <c r="O144" s="1264"/>
      <c r="P144" s="45"/>
      <c r="Q144" s="45"/>
      <c r="R144" s="213" t="b">
        <f t="shared" si="20"/>
        <v>0</v>
      </c>
      <c r="S144" s="213" t="str">
        <f t="shared" si="21"/>
        <v>SourceStreamName_</v>
      </c>
      <c r="T144" s="213" t="str">
        <f t="shared" si="22"/>
        <v>SourceStreamClass_</v>
      </c>
      <c r="U144" s="45"/>
      <c r="V144" s="214" t="b">
        <f t="shared" si="23"/>
        <v>0</v>
      </c>
      <c r="W144" s="213" t="str">
        <f t="shared" si="24"/>
        <v/>
      </c>
      <c r="X144" s="629" t="str">
        <f t="shared" si="25"/>
        <v/>
      </c>
      <c r="Y144" s="346" t="str">
        <f t="shared" si="26"/>
        <v>netaik.</v>
      </c>
      <c r="Z144" s="217" t="str">
        <f>IF(E144="","",IF(MATCH(E144,EUConst_TierActivityListNames,0)&gt;40,MAX(Z$68:Z143)+1,""))</f>
        <v/>
      </c>
      <c r="AA144" s="45"/>
      <c r="AB144" s="213" t="b">
        <f t="shared" si="18"/>
        <v>0</v>
      </c>
    </row>
    <row r="145" spans="1:28" s="1" customFormat="1" ht="13.5" hidden="1" outlineLevel="1" thickBot="1" x14ac:dyDescent="0.25">
      <c r="A145" s="45"/>
      <c r="B145" s="1250"/>
      <c r="C145" s="716"/>
      <c r="D145" s="62" t="s">
        <v>532</v>
      </c>
      <c r="E145" s="1549"/>
      <c r="F145" s="1550"/>
      <c r="G145" s="1550"/>
      <c r="H145" s="1551"/>
      <c r="I145" s="1552"/>
      <c r="J145" s="1553"/>
      <c r="K145" s="1554"/>
      <c r="L145" s="1549"/>
      <c r="M145" s="1551"/>
      <c r="N145" s="1104" t="str">
        <f t="shared" si="19"/>
        <v/>
      </c>
      <c r="O145" s="1264"/>
      <c r="P145" s="47"/>
      <c r="Q145" s="45"/>
      <c r="R145" s="213" t="b">
        <f t="shared" si="20"/>
        <v>0</v>
      </c>
      <c r="S145" s="213" t="str">
        <f t="shared" si="21"/>
        <v>SourceStreamName_</v>
      </c>
      <c r="T145" s="213" t="str">
        <f t="shared" si="22"/>
        <v>SourceStreamClass_</v>
      </c>
      <c r="U145" s="45"/>
      <c r="V145" s="214" t="b">
        <f t="shared" si="23"/>
        <v>0</v>
      </c>
      <c r="W145" s="213" t="str">
        <f t="shared" si="24"/>
        <v/>
      </c>
      <c r="X145" s="629" t="str">
        <f t="shared" si="25"/>
        <v/>
      </c>
      <c r="Y145" s="347" t="str">
        <f t="shared" si="26"/>
        <v>netaik.</v>
      </c>
      <c r="Z145" s="217" t="str">
        <f>IF(E145="","",IF(MATCH(E145,EUConst_TierActivityListNames,0)&gt;40,MAX(Z$68:Z144)+1,""))</f>
        <v/>
      </c>
      <c r="AA145" s="45"/>
      <c r="AB145" s="213" t="b">
        <f>AB119</f>
        <v>0</v>
      </c>
    </row>
    <row r="146" spans="1:28" s="1" customFormat="1" ht="12.75" customHeight="1" collapsed="1" x14ac:dyDescent="0.2">
      <c r="A146" s="47" t="s">
        <v>274</v>
      </c>
      <c r="B146" s="1250"/>
      <c r="C146" s="716"/>
      <c r="D146" s="720"/>
      <c r="E146" s="200"/>
      <c r="F146" s="200"/>
      <c r="G146" s="200"/>
      <c r="H146" s="200"/>
      <c r="I146" s="200"/>
      <c r="J146" s="200"/>
      <c r="K146" s="200"/>
      <c r="L146" s="200"/>
      <c r="M146" s="201"/>
      <c r="N146" s="200"/>
      <c r="O146" s="1256"/>
      <c r="P146" s="45"/>
      <c r="Q146" s="45"/>
      <c r="R146" s="45"/>
      <c r="S146" s="45"/>
      <c r="T146" s="45"/>
      <c r="U146" s="45"/>
      <c r="V146" s="45"/>
      <c r="W146" s="45"/>
      <c r="X146" s="45"/>
      <c r="Y146" s="45"/>
      <c r="Z146" s="45"/>
      <c r="AA146" s="45"/>
      <c r="AB146" s="169"/>
    </row>
    <row r="147" spans="1:28" s="28" customFormat="1" ht="15" customHeight="1" x14ac:dyDescent="0.2">
      <c r="A147" s="168"/>
      <c r="B147" s="1248"/>
      <c r="C147" s="716"/>
      <c r="D147" s="820" t="s">
        <v>77</v>
      </c>
      <c r="E147" s="1577" t="str">
        <f>Translations!$B$122</f>
        <v>Matavimo taškai, kuriuose įrengtos nuolatinio matavimo sistemos:</v>
      </c>
      <c r="F147" s="1577"/>
      <c r="G147" s="1577"/>
      <c r="H147" s="1577"/>
      <c r="I147" s="1577"/>
      <c r="J147" s="1577"/>
      <c r="K147" s="1578"/>
      <c r="L147" s="1579" t="str">
        <f>IF(OR(CNTR_InstHasMeasurement=TRUE,CNTR_InstHasN2O=TRUE,CNTR_InstHasTransferredCO2=TRUE),EUconst_Relevant,IF(COUNTA(CNTR_ListRelevantSections)&gt;0,EUconst_NotRelevant,EUconst_Relevant))</f>
        <v>nesvarbu</v>
      </c>
      <c r="M147" s="1580"/>
      <c r="N147" s="1581"/>
      <c r="O147" s="1261"/>
      <c r="P147" s="223"/>
      <c r="Q147" s="220"/>
      <c r="R147" s="168"/>
      <c r="S147" s="168"/>
      <c r="T147" s="168"/>
      <c r="U147" s="168"/>
      <c r="V147" s="168"/>
      <c r="W147" s="45"/>
      <c r="X147" s="168"/>
      <c r="Y147" s="168"/>
      <c r="Z147" s="168"/>
      <c r="AA147" s="168"/>
      <c r="AB147" s="168"/>
    </row>
    <row r="148" spans="1:28" s="28" customFormat="1" ht="12.75" customHeight="1" x14ac:dyDescent="0.2">
      <c r="A148" s="168"/>
      <c r="B148" s="1248"/>
      <c r="C148" s="716"/>
      <c r="D148" s="164"/>
      <c r="E148" s="720"/>
      <c r="F148" s="164"/>
      <c r="G148" s="164"/>
      <c r="H148" s="164"/>
      <c r="I148" s="164"/>
      <c r="J148" s="164"/>
      <c r="K148" s="1572" t="str">
        <f>IF(L147=EUconst_NotRelevant,HYPERLINK(R148,EUconst_MsgGoOn),HYPERLINK("",EUconst_MsgEnterThisSection))</f>
        <v>Prašome pildyti tolesnius punktus</v>
      </c>
      <c r="L148" s="1572"/>
      <c r="M148" s="1572"/>
      <c r="N148" s="1572"/>
      <c r="O148" s="1249"/>
      <c r="P148" s="168"/>
      <c r="Q148" s="2" t="s">
        <v>236</v>
      </c>
      <c r="R148" s="224" t="str">
        <f>"#"&amp;ADDRESS(ROW(F169),COLUMN(F169))</f>
        <v>#$F$169</v>
      </c>
      <c r="S148" s="168"/>
      <c r="T148" s="168"/>
      <c r="U148" s="168"/>
      <c r="V148" s="168"/>
      <c r="W148" s="45"/>
      <c r="X148" s="168"/>
      <c r="Y148" s="168"/>
      <c r="Z148" s="168"/>
      <c r="AA148" s="168"/>
      <c r="AB148" s="168"/>
    </row>
    <row r="149" spans="1:28" s="1" customFormat="1" ht="5.0999999999999996" customHeight="1" x14ac:dyDescent="0.2">
      <c r="A149" s="45"/>
      <c r="B149" s="1250"/>
      <c r="C149" s="716"/>
      <c r="D149" s="164"/>
      <c r="E149" s="200"/>
      <c r="F149" s="200"/>
      <c r="G149" s="200"/>
      <c r="H149" s="200"/>
      <c r="I149" s="200"/>
      <c r="J149" s="200"/>
      <c r="K149" s="260"/>
      <c r="L149" s="260"/>
      <c r="M149" s="260"/>
      <c r="N149" s="260"/>
      <c r="O149" s="1251"/>
      <c r="P149" s="45"/>
      <c r="Q149" s="45"/>
      <c r="R149" s="45"/>
      <c r="S149" s="45"/>
      <c r="T149" s="45"/>
      <c r="U149" s="45"/>
      <c r="V149" s="45"/>
      <c r="W149" s="45"/>
      <c r="X149" s="45"/>
      <c r="Y149" s="45"/>
      <c r="Z149" s="45"/>
      <c r="AA149" s="45"/>
      <c r="AB149" s="45"/>
    </row>
    <row r="150" spans="1:28" s="1" customFormat="1" ht="25.5" customHeight="1" x14ac:dyDescent="0.2">
      <c r="A150" s="45"/>
      <c r="B150" s="1250"/>
      <c r="C150" s="716"/>
      <c r="D150" s="720"/>
      <c r="E150" s="1570"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70"/>
      <c r="G150" s="1570"/>
      <c r="H150" s="1570"/>
      <c r="I150" s="1570"/>
      <c r="J150" s="1570"/>
      <c r="K150" s="1570"/>
      <c r="L150" s="1570"/>
      <c r="M150" s="1570"/>
      <c r="N150" s="1570"/>
      <c r="O150" s="1262"/>
      <c r="P150" s="208"/>
      <c r="Q150" s="208"/>
      <c r="R150" s="45"/>
      <c r="S150" s="45"/>
      <c r="T150" s="45"/>
      <c r="U150" s="45"/>
      <c r="V150" s="45"/>
      <c r="W150" s="45"/>
      <c r="X150" s="45"/>
      <c r="Y150" s="45"/>
      <c r="Z150" s="45"/>
      <c r="AA150" s="45"/>
      <c r="AB150" s="45"/>
    </row>
    <row r="151" spans="1:28" s="1" customFormat="1" ht="12.75" customHeight="1" x14ac:dyDescent="0.2">
      <c r="A151" s="45"/>
      <c r="B151" s="1250"/>
      <c r="C151" s="716"/>
      <c r="D151" s="720"/>
      <c r="E151" s="1570" t="str">
        <f>Translations!$B$615</f>
        <v>Jeigu pirmiau esate nurodę, kad netaikoma jokių matavimu grindžiamų metodų, nieko įrašyti nereikia.</v>
      </c>
      <c r="F151" s="1570"/>
      <c r="G151" s="1570"/>
      <c r="H151" s="1570"/>
      <c r="I151" s="1570"/>
      <c r="J151" s="1570"/>
      <c r="K151" s="1570"/>
      <c r="L151" s="1570"/>
      <c r="M151" s="1570"/>
      <c r="N151" s="1570"/>
      <c r="O151" s="1262"/>
      <c r="P151" s="208"/>
      <c r="Q151" s="208"/>
      <c r="R151" s="45"/>
      <c r="S151" s="45"/>
      <c r="T151" s="45"/>
      <c r="U151" s="45"/>
      <c r="V151" s="45"/>
      <c r="W151" s="45"/>
      <c r="X151" s="45"/>
      <c r="Y151" s="45"/>
      <c r="Z151" s="45"/>
      <c r="AA151" s="45"/>
      <c r="AB151" s="45"/>
    </row>
    <row r="152" spans="1:28" s="1" customFormat="1" ht="12.75" customHeight="1" x14ac:dyDescent="0.2">
      <c r="A152" s="45"/>
      <c r="B152" s="1250"/>
      <c r="C152" s="716"/>
      <c r="D152" s="720"/>
      <c r="E152" s="1568" t="str">
        <f>Translations!$B$616</f>
        <v>Svarbu! Nuoseklumo sumetimais matavimo taškus įveskite tokia pat eilės tvarka, kaip pateikta Jūsų naujausiame patvirtintame stebėsenos plane (tokia pat eilės tvarka ir naudodami tokius pat identifikatorius).</v>
      </c>
      <c r="F152" s="1568"/>
      <c r="G152" s="1568"/>
      <c r="H152" s="1568"/>
      <c r="I152" s="1568"/>
      <c r="J152" s="1568"/>
      <c r="K152" s="1568"/>
      <c r="L152" s="1568"/>
      <c r="M152" s="1568"/>
      <c r="N152" s="1568"/>
      <c r="O152" s="1262"/>
      <c r="P152" s="208"/>
      <c r="Q152" s="208"/>
      <c r="R152" s="45"/>
      <c r="S152" s="45"/>
      <c r="T152" s="45"/>
      <c r="U152" s="45"/>
      <c r="V152" s="45"/>
      <c r="W152" s="45"/>
      <c r="X152" s="45"/>
      <c r="Y152" s="45"/>
      <c r="Z152" s="45"/>
      <c r="AA152" s="45"/>
      <c r="AB152" s="45"/>
    </row>
    <row r="153" spans="1:28" s="1" customFormat="1" ht="5.0999999999999996" customHeight="1" x14ac:dyDescent="0.2">
      <c r="A153" s="45"/>
      <c r="B153" s="1250"/>
      <c r="C153" s="716"/>
      <c r="D153" s="720"/>
      <c r="E153" s="764"/>
      <c r="F153" s="200"/>
      <c r="G153" s="200"/>
      <c r="H153" s="200"/>
      <c r="I153" s="200"/>
      <c r="J153" s="200"/>
      <c r="K153" s="200"/>
      <c r="L153" s="200"/>
      <c r="M153" s="201"/>
      <c r="N153" s="200"/>
      <c r="O153" s="1256"/>
      <c r="P153" s="225"/>
      <c r="Q153" s="45"/>
      <c r="R153" s="45"/>
      <c r="S153" s="45"/>
      <c r="T153" s="45"/>
      <c r="U153" s="222"/>
      <c r="V153" s="45"/>
      <c r="W153" s="45"/>
      <c r="X153" s="45"/>
      <c r="Y153" s="45"/>
      <c r="Z153" s="45"/>
      <c r="AA153" s="45"/>
      <c r="AB153" s="45"/>
    </row>
    <row r="154" spans="1:28" s="1" customFormat="1" ht="33.75" x14ac:dyDescent="0.2">
      <c r="A154" s="45"/>
      <c r="B154" s="1250"/>
      <c r="C154" s="716"/>
      <c r="D154" s="720"/>
      <c r="E154" s="240" t="str">
        <f>Translations!$B$124</f>
        <v>matavimo taško nuoroda M1, M2,...</v>
      </c>
      <c r="F154" s="1561" t="str">
        <f>Translations!$B$125</f>
        <v>Apibūdinimas</v>
      </c>
      <c r="G154" s="1562"/>
      <c r="H154" s="1562"/>
      <c r="I154" s="1562"/>
      <c r="J154" s="1562"/>
      <c r="K154" s="1562"/>
      <c r="L154" s="1563"/>
      <c r="M154" s="1588" t="str">
        <f>Translations!$B$126</f>
        <v>Išmatuotas ŠESD kiekis</v>
      </c>
      <c r="N154" s="1588"/>
      <c r="O154" s="1256"/>
      <c r="P154" s="226"/>
      <c r="Q154" s="45"/>
      <c r="R154" s="45"/>
      <c r="S154" s="45"/>
      <c r="T154" s="169"/>
      <c r="U154" s="222"/>
      <c r="V154" s="45"/>
      <c r="W154" s="45"/>
      <c r="X154" s="45"/>
      <c r="Y154" s="327" t="s">
        <v>463</v>
      </c>
      <c r="Z154" s="45"/>
      <c r="AA154" s="45"/>
      <c r="AB154" s="47" t="s">
        <v>329</v>
      </c>
    </row>
    <row r="155" spans="1:28" s="1" customFormat="1" ht="13.5" customHeight="1" thickBot="1" x14ac:dyDescent="0.25">
      <c r="A155" s="47" t="s">
        <v>275</v>
      </c>
      <c r="B155" s="1250"/>
      <c r="C155" s="716"/>
      <c r="D155" s="720"/>
      <c r="E155" s="147" t="str">
        <f>Translations!$B$617</f>
        <v>Pavyzdys M01</v>
      </c>
      <c r="F155" s="1584" t="str">
        <f>Translations!$B$127</f>
        <v>Anglimis kūrenamo katilo kaminas, A matavimo platforma</v>
      </c>
      <c r="G155" s="1585"/>
      <c r="H155" s="1585"/>
      <c r="I155" s="1585"/>
      <c r="J155" s="1585"/>
      <c r="K155" s="1585"/>
      <c r="L155" s="1586"/>
      <c r="M155" s="1589" t="s">
        <v>20</v>
      </c>
      <c r="N155" s="1589"/>
      <c r="O155" s="1256"/>
      <c r="P155" s="226"/>
      <c r="Q155" s="45"/>
      <c r="R155" s="45"/>
      <c r="S155" s="45"/>
      <c r="T155" s="169"/>
      <c r="U155" s="222"/>
      <c r="V155" s="45"/>
      <c r="W155" s="45"/>
      <c r="X155" s="45"/>
      <c r="Y155" s="45"/>
      <c r="Z155" s="45"/>
      <c r="AA155" s="45"/>
      <c r="AB155" s="47"/>
    </row>
    <row r="156" spans="1:28" s="1" customFormat="1" x14ac:dyDescent="0.2">
      <c r="A156" s="45"/>
      <c r="B156" s="1250"/>
      <c r="C156" s="716"/>
      <c r="D156" s="720"/>
      <c r="E156" s="62" t="s">
        <v>130</v>
      </c>
      <c r="F156" s="1552"/>
      <c r="G156" s="1553"/>
      <c r="H156" s="1553"/>
      <c r="I156" s="1553"/>
      <c r="J156" s="1553"/>
      <c r="K156" s="1553"/>
      <c r="L156" s="1554"/>
      <c r="M156" s="1582"/>
      <c r="N156" s="1583"/>
      <c r="O156" s="1256"/>
      <c r="P156" s="226"/>
      <c r="Q156" s="227" t="str">
        <f t="shared" ref="Q156:Q165" si="27">EUconst_CNTR_SourceCategory&amp;E156</f>
        <v>SourceCategory_M1</v>
      </c>
      <c r="R156" s="45"/>
      <c r="S156" s="45"/>
      <c r="T156" s="228"/>
      <c r="U156" s="222"/>
      <c r="V156" s="45"/>
      <c r="W156" s="45"/>
      <c r="X156" s="45"/>
      <c r="Y156" s="345" t="str">
        <f t="shared" ref="Y156:Y165" si="28">IF(COUNTA(F156:N156)=0,EUconst_NA,E156&amp;". "&amp;F156)</f>
        <v>netaik.</v>
      </c>
      <c r="Z156" s="45"/>
      <c r="AA156" s="45"/>
      <c r="AB156" s="213" t="b">
        <f>L147=EUconst_NotRelevant</f>
        <v>1</v>
      </c>
    </row>
    <row r="157" spans="1:28" s="1" customFormat="1" x14ac:dyDescent="0.2">
      <c r="A157" s="45"/>
      <c r="B157" s="1250"/>
      <c r="C157" s="716"/>
      <c r="D157" s="720"/>
      <c r="E157" s="62" t="s">
        <v>131</v>
      </c>
      <c r="F157" s="1552"/>
      <c r="G157" s="1553"/>
      <c r="H157" s="1553"/>
      <c r="I157" s="1553"/>
      <c r="J157" s="1553"/>
      <c r="K157" s="1553"/>
      <c r="L157" s="1554"/>
      <c r="M157" s="1582"/>
      <c r="N157" s="1583"/>
      <c r="O157" s="1256"/>
      <c r="P157" s="226"/>
      <c r="Q157" s="227" t="str">
        <f t="shared" si="27"/>
        <v>SourceCategory_M2</v>
      </c>
      <c r="R157" s="45"/>
      <c r="S157" s="45"/>
      <c r="T157" s="228"/>
      <c r="U157" s="222"/>
      <c r="V157" s="45"/>
      <c r="W157" s="45"/>
      <c r="X157" s="45"/>
      <c r="Y157" s="346" t="str">
        <f t="shared" si="28"/>
        <v>netaik.</v>
      </c>
      <c r="Z157" s="45"/>
      <c r="AA157" s="45"/>
      <c r="AB157" s="213" t="b">
        <f t="shared" ref="AB157:AB165" si="29">AB156</f>
        <v>1</v>
      </c>
    </row>
    <row r="158" spans="1:28" s="1" customFormat="1" x14ac:dyDescent="0.2">
      <c r="A158" s="45"/>
      <c r="B158" s="1250"/>
      <c r="C158" s="716"/>
      <c r="D158" s="720"/>
      <c r="E158" s="62" t="s">
        <v>50</v>
      </c>
      <c r="F158" s="1552"/>
      <c r="G158" s="1553"/>
      <c r="H158" s="1553"/>
      <c r="I158" s="1553"/>
      <c r="J158" s="1553"/>
      <c r="K158" s="1553"/>
      <c r="L158" s="1554"/>
      <c r="M158" s="1582"/>
      <c r="N158" s="1583"/>
      <c r="O158" s="1256"/>
      <c r="P158" s="226"/>
      <c r="Q158" s="227" t="str">
        <f t="shared" si="27"/>
        <v>SourceCategory_M3</v>
      </c>
      <c r="R158" s="45"/>
      <c r="S158" s="45"/>
      <c r="T158" s="228"/>
      <c r="U158" s="222"/>
      <c r="V158" s="45"/>
      <c r="W158" s="45"/>
      <c r="X158" s="45"/>
      <c r="Y158" s="346" t="str">
        <f t="shared" si="28"/>
        <v>netaik.</v>
      </c>
      <c r="Z158" s="45"/>
      <c r="AA158" s="45"/>
      <c r="AB158" s="213" t="b">
        <f t="shared" si="29"/>
        <v>1</v>
      </c>
    </row>
    <row r="159" spans="1:28" s="1" customFormat="1" x14ac:dyDescent="0.2">
      <c r="A159" s="45"/>
      <c r="B159" s="1250"/>
      <c r="C159" s="716"/>
      <c r="D159" s="720"/>
      <c r="E159" s="62" t="s">
        <v>51</v>
      </c>
      <c r="F159" s="1552"/>
      <c r="G159" s="1553"/>
      <c r="H159" s="1553"/>
      <c r="I159" s="1553"/>
      <c r="J159" s="1553"/>
      <c r="K159" s="1553"/>
      <c r="L159" s="1554"/>
      <c r="M159" s="1582"/>
      <c r="N159" s="1583"/>
      <c r="O159" s="1256"/>
      <c r="P159" s="226"/>
      <c r="Q159" s="227" t="str">
        <f t="shared" si="27"/>
        <v>SourceCategory_M4</v>
      </c>
      <c r="R159" s="45"/>
      <c r="S159" s="45"/>
      <c r="T159" s="228"/>
      <c r="U159" s="222"/>
      <c r="V159" s="45"/>
      <c r="W159" s="45"/>
      <c r="X159" s="45"/>
      <c r="Y159" s="346" t="str">
        <f t="shared" si="28"/>
        <v>netaik.</v>
      </c>
      <c r="Z159" s="45"/>
      <c r="AA159" s="45"/>
      <c r="AB159" s="213" t="b">
        <f t="shared" si="29"/>
        <v>1</v>
      </c>
    </row>
    <row r="160" spans="1:28" s="1" customFormat="1" x14ac:dyDescent="0.2">
      <c r="A160" s="45"/>
      <c r="B160" s="1250"/>
      <c r="C160" s="716"/>
      <c r="D160" s="720"/>
      <c r="E160" s="62" t="s">
        <v>52</v>
      </c>
      <c r="F160" s="1552"/>
      <c r="G160" s="1553"/>
      <c r="H160" s="1553"/>
      <c r="I160" s="1553"/>
      <c r="J160" s="1553"/>
      <c r="K160" s="1553"/>
      <c r="L160" s="1554"/>
      <c r="M160" s="1582"/>
      <c r="N160" s="1583"/>
      <c r="O160" s="1256"/>
      <c r="P160" s="226"/>
      <c r="Q160" s="227" t="str">
        <f t="shared" si="27"/>
        <v>SourceCategory_M5</v>
      </c>
      <c r="R160" s="45"/>
      <c r="S160" s="45"/>
      <c r="T160" s="228"/>
      <c r="U160" s="222"/>
      <c r="V160" s="45"/>
      <c r="W160" s="45"/>
      <c r="X160" s="45"/>
      <c r="Y160" s="346" t="str">
        <f t="shared" si="28"/>
        <v>netaik.</v>
      </c>
      <c r="Z160" s="45"/>
      <c r="AA160" s="45"/>
      <c r="AB160" s="213" t="b">
        <f t="shared" si="29"/>
        <v>1</v>
      </c>
    </row>
    <row r="161" spans="1:29" s="1" customFormat="1" x14ac:dyDescent="0.2">
      <c r="A161" s="45"/>
      <c r="B161" s="1250"/>
      <c r="C161" s="716"/>
      <c r="D161" s="720"/>
      <c r="E161" s="62" t="s">
        <v>458</v>
      </c>
      <c r="F161" s="1552"/>
      <c r="G161" s="1553"/>
      <c r="H161" s="1553"/>
      <c r="I161" s="1553"/>
      <c r="J161" s="1553"/>
      <c r="K161" s="1553"/>
      <c r="L161" s="1554"/>
      <c r="M161" s="1582"/>
      <c r="N161" s="1583"/>
      <c r="O161" s="1256"/>
      <c r="P161" s="226"/>
      <c r="Q161" s="227" t="str">
        <f t="shared" si="27"/>
        <v>SourceCategory_M6</v>
      </c>
      <c r="R161" s="45"/>
      <c r="S161" s="45"/>
      <c r="T161" s="228"/>
      <c r="U161" s="222"/>
      <c r="V161" s="45"/>
      <c r="W161" s="45"/>
      <c r="X161" s="45"/>
      <c r="Y161" s="346" t="str">
        <f t="shared" si="28"/>
        <v>netaik.</v>
      </c>
      <c r="Z161" s="45"/>
      <c r="AA161" s="45"/>
      <c r="AB161" s="213" t="b">
        <f t="shared" si="29"/>
        <v>1</v>
      </c>
    </row>
    <row r="162" spans="1:29" s="1" customFormat="1" x14ac:dyDescent="0.2">
      <c r="A162" s="45"/>
      <c r="B162" s="1250"/>
      <c r="C162" s="716"/>
      <c r="D162" s="720"/>
      <c r="E162" s="62" t="s">
        <v>459</v>
      </c>
      <c r="F162" s="1552"/>
      <c r="G162" s="1553"/>
      <c r="H162" s="1553"/>
      <c r="I162" s="1553"/>
      <c r="J162" s="1553"/>
      <c r="K162" s="1553"/>
      <c r="L162" s="1554"/>
      <c r="M162" s="1582"/>
      <c r="N162" s="1583"/>
      <c r="O162" s="1256"/>
      <c r="P162" s="226"/>
      <c r="Q162" s="227" t="str">
        <f t="shared" si="27"/>
        <v>SourceCategory_M7</v>
      </c>
      <c r="R162" s="45"/>
      <c r="S162" s="45"/>
      <c r="T162" s="228"/>
      <c r="U162" s="222"/>
      <c r="V162" s="45"/>
      <c r="W162" s="45"/>
      <c r="X162" s="45"/>
      <c r="Y162" s="346" t="str">
        <f t="shared" si="28"/>
        <v>netaik.</v>
      </c>
      <c r="Z162" s="45"/>
      <c r="AA162" s="45"/>
      <c r="AB162" s="213" t="b">
        <f t="shared" si="29"/>
        <v>1</v>
      </c>
    </row>
    <row r="163" spans="1:29" s="1" customFormat="1" x14ac:dyDescent="0.2">
      <c r="A163" s="45"/>
      <c r="B163" s="1250"/>
      <c r="C163" s="716"/>
      <c r="D163" s="720"/>
      <c r="E163" s="62" t="s">
        <v>460</v>
      </c>
      <c r="F163" s="1552"/>
      <c r="G163" s="1553"/>
      <c r="H163" s="1553"/>
      <c r="I163" s="1553"/>
      <c r="J163" s="1553"/>
      <c r="K163" s="1553"/>
      <c r="L163" s="1554"/>
      <c r="M163" s="1582"/>
      <c r="N163" s="1583"/>
      <c r="O163" s="1256"/>
      <c r="P163" s="226"/>
      <c r="Q163" s="227" t="str">
        <f t="shared" si="27"/>
        <v>SourceCategory_M8</v>
      </c>
      <c r="R163" s="45"/>
      <c r="S163" s="45"/>
      <c r="T163" s="228"/>
      <c r="U163" s="222"/>
      <c r="V163" s="45"/>
      <c r="W163" s="45"/>
      <c r="X163" s="45"/>
      <c r="Y163" s="346" t="str">
        <f t="shared" si="28"/>
        <v>netaik.</v>
      </c>
      <c r="Z163" s="45"/>
      <c r="AA163" s="45"/>
      <c r="AB163" s="213" t="b">
        <f t="shared" si="29"/>
        <v>1</v>
      </c>
    </row>
    <row r="164" spans="1:29" s="1" customFormat="1" x14ac:dyDescent="0.2">
      <c r="A164" s="45"/>
      <c r="B164" s="1250"/>
      <c r="C164" s="716"/>
      <c r="D164" s="720"/>
      <c r="E164" s="62" t="s">
        <v>461</v>
      </c>
      <c r="F164" s="1552"/>
      <c r="G164" s="1553"/>
      <c r="H164" s="1553"/>
      <c r="I164" s="1553"/>
      <c r="J164" s="1553"/>
      <c r="K164" s="1553"/>
      <c r="L164" s="1554"/>
      <c r="M164" s="1582"/>
      <c r="N164" s="1583"/>
      <c r="O164" s="1256"/>
      <c r="P164" s="226"/>
      <c r="Q164" s="227" t="str">
        <f t="shared" si="27"/>
        <v>SourceCategory_M9</v>
      </c>
      <c r="R164" s="45"/>
      <c r="S164" s="45"/>
      <c r="T164" s="228"/>
      <c r="U164" s="222"/>
      <c r="V164" s="45"/>
      <c r="W164" s="45"/>
      <c r="X164" s="45"/>
      <c r="Y164" s="346" t="str">
        <f t="shared" si="28"/>
        <v>netaik.</v>
      </c>
      <c r="Z164" s="45"/>
      <c r="AA164" s="45"/>
      <c r="AB164" s="213" t="b">
        <f t="shared" si="29"/>
        <v>1</v>
      </c>
    </row>
    <row r="165" spans="1:29" s="1" customFormat="1" ht="13.5" thickBot="1" x14ac:dyDescent="0.25">
      <c r="A165" s="45"/>
      <c r="B165" s="1250"/>
      <c r="C165" s="716"/>
      <c r="D165" s="720"/>
      <c r="E165" s="62" t="s">
        <v>462</v>
      </c>
      <c r="F165" s="1552"/>
      <c r="G165" s="1553"/>
      <c r="H165" s="1553"/>
      <c r="I165" s="1553"/>
      <c r="J165" s="1553"/>
      <c r="K165" s="1553"/>
      <c r="L165" s="1554"/>
      <c r="M165" s="1582"/>
      <c r="N165" s="1583"/>
      <c r="O165" s="1256"/>
      <c r="P165" s="226"/>
      <c r="Q165" s="227" t="str">
        <f t="shared" si="27"/>
        <v>SourceCategory_M10</v>
      </c>
      <c r="R165" s="45"/>
      <c r="S165" s="45"/>
      <c r="T165" s="228"/>
      <c r="U165" s="222"/>
      <c r="V165" s="45"/>
      <c r="W165" s="45"/>
      <c r="X165" s="45"/>
      <c r="Y165" s="347" t="str">
        <f t="shared" si="28"/>
        <v>netaik.</v>
      </c>
      <c r="Z165" s="45"/>
      <c r="AA165" s="45"/>
      <c r="AB165" s="213" t="b">
        <f t="shared" si="29"/>
        <v>1</v>
      </c>
    </row>
    <row r="166" spans="1:29" s="1" customFormat="1" ht="12.75" customHeight="1" x14ac:dyDescent="0.2">
      <c r="A166" s="47" t="s">
        <v>137</v>
      </c>
      <c r="B166" s="1250"/>
      <c r="C166" s="716"/>
      <c r="D166" s="720"/>
      <c r="E166" s="200"/>
      <c r="F166" s="200"/>
      <c r="G166" s="200"/>
      <c r="H166" s="200"/>
      <c r="I166" s="200"/>
      <c r="J166" s="200"/>
      <c r="K166" s="200"/>
      <c r="L166" s="200"/>
      <c r="M166" s="200"/>
      <c r="N166" s="200"/>
      <c r="O166" s="1256"/>
      <c r="P166" s="45"/>
      <c r="Q166" s="45"/>
      <c r="R166" s="45"/>
      <c r="S166" s="45"/>
      <c r="T166" s="169"/>
      <c r="U166" s="222"/>
      <c r="V166" s="45"/>
      <c r="W166" s="45"/>
      <c r="X166" s="45"/>
      <c r="Y166" s="45"/>
      <c r="Z166" s="45"/>
      <c r="AA166" s="45"/>
      <c r="AB166" s="45"/>
    </row>
    <row r="167" spans="1:29" s="1" customFormat="1" ht="12.75" customHeight="1" thickBot="1" x14ac:dyDescent="0.25">
      <c r="A167" s="56"/>
      <c r="B167" s="1254"/>
      <c r="C167" s="709"/>
      <c r="D167" s="491"/>
      <c r="E167" s="38"/>
      <c r="F167" s="36"/>
      <c r="G167" s="39"/>
      <c r="H167" s="39"/>
      <c r="I167" s="39"/>
      <c r="J167" s="39"/>
      <c r="K167" s="39"/>
      <c r="L167" s="39"/>
      <c r="M167" s="39"/>
      <c r="N167" s="39"/>
      <c r="O167" s="1255"/>
      <c r="P167" s="383"/>
      <c r="Q167" s="56"/>
      <c r="R167" s="56"/>
      <c r="S167" s="73"/>
      <c r="T167" s="56"/>
      <c r="U167" s="56"/>
      <c r="V167" s="56"/>
      <c r="W167" s="45"/>
      <c r="X167" s="56"/>
      <c r="Y167" s="56"/>
      <c r="Z167" s="56"/>
      <c r="AA167" s="56"/>
      <c r="AB167" s="56"/>
    </row>
    <row r="168" spans="1:29" s="1" customFormat="1" ht="12.75" customHeight="1" x14ac:dyDescent="0.2">
      <c r="A168" s="56"/>
      <c r="B168" s="1265"/>
      <c r="C168" s="1266"/>
      <c r="D168" s="1267"/>
      <c r="E168" s="1268"/>
      <c r="F168" s="399"/>
      <c r="G168" s="1269"/>
      <c r="H168" s="1269"/>
      <c r="I168" s="1269"/>
      <c r="J168" s="1269"/>
      <c r="K168" s="1269"/>
      <c r="L168" s="1269"/>
      <c r="M168" s="1269"/>
      <c r="N168" s="1269"/>
      <c r="O168" s="1270"/>
      <c r="P168" s="383"/>
      <c r="Q168" s="56"/>
      <c r="R168" s="56"/>
      <c r="S168" s="73"/>
      <c r="T168" s="56"/>
      <c r="U168" s="56"/>
      <c r="V168" s="56"/>
      <c r="W168" s="45"/>
      <c r="X168" s="56"/>
      <c r="Y168" s="56"/>
      <c r="Z168" s="56"/>
      <c r="AA168" s="56"/>
      <c r="AB168" s="56"/>
    </row>
    <row r="169" spans="1:29" s="7" customFormat="1" ht="15" customHeight="1" x14ac:dyDescent="0.2">
      <c r="A169" s="2"/>
      <c r="B169" s="765"/>
      <c r="C169" s="710"/>
      <c r="D169" s="766"/>
      <c r="E169" s="767"/>
      <c r="F169" s="1452" t="str">
        <f>EUconst_MsgNextSheet</f>
        <v xml:space="preserve">&lt;&lt;&lt; Į kitą lapą pereisite paspaudę čia &gt;&gt;&gt; </v>
      </c>
      <c r="G169" s="1452"/>
      <c r="H169" s="1452"/>
      <c r="I169" s="1452"/>
      <c r="J169" s="1452"/>
      <c r="K169" s="1452"/>
      <c r="L169" s="1452"/>
      <c r="P169" s="2"/>
      <c r="Q169" s="45"/>
      <c r="R169" s="45"/>
      <c r="S169" s="45"/>
      <c r="T169" s="45"/>
      <c r="U169" s="45"/>
      <c r="V169" s="45"/>
      <c r="W169" s="45"/>
      <c r="X169" s="45"/>
      <c r="Y169" s="45"/>
      <c r="Z169" s="45"/>
      <c r="AA169" s="45"/>
      <c r="AB169" s="45"/>
    </row>
    <row r="170" spans="1:29" s="1" customFormat="1" ht="12.75" customHeight="1" x14ac:dyDescent="0.2">
      <c r="A170" s="45"/>
      <c r="B170" s="763"/>
      <c r="C170" s="716"/>
      <c r="D170" s="720"/>
      <c r="E170" s="201"/>
      <c r="F170" s="201"/>
      <c r="G170" s="201"/>
      <c r="H170" s="200"/>
      <c r="I170" s="200"/>
      <c r="J170" s="200"/>
      <c r="K170" s="201"/>
      <c r="L170" s="201"/>
      <c r="M170" s="201"/>
      <c r="N170" s="200"/>
      <c r="O170" s="201"/>
      <c r="P170" s="45"/>
      <c r="Q170" s="45"/>
      <c r="R170" s="45"/>
      <c r="S170" s="45"/>
      <c r="T170" s="45"/>
      <c r="U170" s="45"/>
      <c r="V170" s="45"/>
      <c r="W170" s="45"/>
      <c r="X170" s="45"/>
      <c r="Y170" s="45"/>
      <c r="Z170" s="45"/>
      <c r="AA170" s="45"/>
      <c r="AB170" s="45"/>
      <c r="AC170" s="200"/>
    </row>
    <row r="171" spans="1:29" s="1" customFormat="1" ht="12.75" customHeight="1" x14ac:dyDescent="0.2">
      <c r="A171" s="45"/>
      <c r="B171" s="200"/>
      <c r="C171" s="716"/>
      <c r="D171" s="164"/>
      <c r="E171" s="1587"/>
      <c r="F171" s="1587">
        <v>10</v>
      </c>
      <c r="G171" s="1587"/>
      <c r="H171" s="1587"/>
      <c r="I171" s="1587"/>
      <c r="J171" s="200"/>
      <c r="K171" s="200"/>
      <c r="L171" s="200"/>
      <c r="M171" s="200"/>
      <c r="N171" s="200"/>
      <c r="O171" s="200"/>
      <c r="P171" s="45"/>
      <c r="Q171" s="45"/>
      <c r="R171" s="45"/>
      <c r="S171" s="45"/>
      <c r="T171" s="45"/>
      <c r="U171" s="45"/>
      <c r="V171" s="45"/>
      <c r="W171" s="45"/>
      <c r="X171" s="45"/>
      <c r="Y171" s="45"/>
      <c r="Z171" s="45"/>
      <c r="AA171" s="45"/>
      <c r="AB171" s="45"/>
    </row>
    <row r="172" spans="1:29" s="1" customFormat="1" ht="12.75" hidden="1" customHeight="1" x14ac:dyDescent="0.2">
      <c r="A172" s="47" t="s">
        <v>85</v>
      </c>
      <c r="B172" s="55" t="s">
        <v>72</v>
      </c>
      <c r="C172" s="677" t="s">
        <v>72</v>
      </c>
      <c r="D172" s="482" t="s">
        <v>72</v>
      </c>
      <c r="E172" s="55" t="s">
        <v>72</v>
      </c>
      <c r="F172" s="55" t="s">
        <v>72</v>
      </c>
      <c r="G172" s="55" t="s">
        <v>72</v>
      </c>
      <c r="H172" s="55" t="s">
        <v>72</v>
      </c>
      <c r="I172" s="55" t="s">
        <v>72</v>
      </c>
      <c r="J172" s="55" t="s">
        <v>72</v>
      </c>
      <c r="K172" s="55" t="s">
        <v>72</v>
      </c>
      <c r="L172" s="55" t="s">
        <v>72</v>
      </c>
      <c r="M172" s="55" t="s">
        <v>72</v>
      </c>
      <c r="N172" s="55" t="s">
        <v>72</v>
      </c>
      <c r="O172" s="71"/>
      <c r="P172" s="47" t="s">
        <v>72</v>
      </c>
      <c r="Q172" s="47" t="s">
        <v>72</v>
      </c>
      <c r="R172" s="47" t="s">
        <v>72</v>
      </c>
      <c r="S172" s="47" t="s">
        <v>72</v>
      </c>
      <c r="T172" s="47" t="s">
        <v>72</v>
      </c>
      <c r="U172" s="47" t="s">
        <v>72</v>
      </c>
      <c r="V172" s="47" t="s">
        <v>72</v>
      </c>
      <c r="W172" s="47" t="s">
        <v>72</v>
      </c>
      <c r="X172" s="47" t="s">
        <v>72</v>
      </c>
      <c r="Y172" s="47" t="s">
        <v>72</v>
      </c>
      <c r="Z172" s="47" t="s">
        <v>72</v>
      </c>
      <c r="AA172" s="47" t="s">
        <v>72</v>
      </c>
      <c r="AB172" s="47" t="s">
        <v>72</v>
      </c>
    </row>
    <row r="173" spans="1:29" s="1" customFormat="1" ht="12.75" hidden="1" customHeight="1" x14ac:dyDescent="0.2">
      <c r="A173" s="47" t="s">
        <v>85</v>
      </c>
      <c r="B173" s="243"/>
      <c r="C173" s="711"/>
      <c r="D173" s="244"/>
      <c r="E173" s="243"/>
      <c r="F173" s="243"/>
      <c r="G173" s="243"/>
      <c r="H173" s="243"/>
      <c r="I173" s="243"/>
      <c r="J173" s="243"/>
      <c r="K173" s="243"/>
      <c r="L173" s="243"/>
      <c r="M173" s="243"/>
      <c r="N173" s="243"/>
      <c r="O173" s="260"/>
      <c r="P173" s="45"/>
      <c r="Q173" s="45"/>
      <c r="R173" s="45"/>
      <c r="S173" s="45"/>
      <c r="T173" s="45"/>
      <c r="U173" s="45"/>
      <c r="V173" s="45"/>
      <c r="W173" s="45"/>
      <c r="X173" s="45"/>
      <c r="Y173" s="45"/>
      <c r="Z173" s="45"/>
      <c r="AA173" s="45"/>
      <c r="AB173" s="45"/>
    </row>
    <row r="174" spans="1:29" s="1" customFormat="1" ht="12.75" hidden="1" customHeight="1" x14ac:dyDescent="0.2">
      <c r="A174" s="47" t="s">
        <v>85</v>
      </c>
      <c r="B174" s="243"/>
      <c r="C174" s="711"/>
      <c r="D174" s="244"/>
      <c r="E174" s="243"/>
      <c r="F174" s="243"/>
      <c r="G174" s="243"/>
      <c r="H174" s="243"/>
      <c r="I174" s="243"/>
      <c r="J174" s="243"/>
      <c r="K174" s="243"/>
      <c r="L174" s="243"/>
      <c r="M174" s="243"/>
      <c r="N174" s="243"/>
      <c r="O174" s="260"/>
      <c r="P174" s="45"/>
      <c r="Q174" s="45"/>
      <c r="R174" s="45"/>
      <c r="S174" s="45"/>
      <c r="T174" s="45"/>
      <c r="U174" s="45"/>
      <c r="V174" s="45"/>
      <c r="W174" s="45"/>
      <c r="X174" s="45"/>
      <c r="Y174" s="45"/>
      <c r="Z174" s="45"/>
      <c r="AA174" s="45"/>
      <c r="AB174" s="45"/>
    </row>
    <row r="175" spans="1:29" s="1" customFormat="1" ht="12.75" hidden="1" customHeight="1" x14ac:dyDescent="0.2">
      <c r="A175" s="47" t="s">
        <v>85</v>
      </c>
      <c r="B175" s="243"/>
      <c r="C175" s="711"/>
      <c r="D175" s="244"/>
      <c r="E175" s="7"/>
      <c r="F175" s="64" t="str">
        <f>IF(ISBLANK(E26),"",E26)</f>
        <v>Kuro deginimas</v>
      </c>
      <c r="G175" s="64">
        <f>IF($F175="","",INDEX(EUwideConstants!E$274:E$301,MATCH($F175,AnnexIActivities,0)))</f>
        <v>0</v>
      </c>
      <c r="H175" s="64">
        <f>IF($F175="","",INDEX(EUwideConstants!F$274:F$301,MATCH($F175,AnnexIActivities,0)))</f>
        <v>0</v>
      </c>
      <c r="I175" s="64">
        <f>IF($F175="","",INDEX(EUwideConstants!G$274:G$301,MATCH($F175,AnnexIActivities,0)))</f>
        <v>0</v>
      </c>
      <c r="J175" s="64">
        <f>IF($F175="","",INDEX(EUwideConstants!H$274:H$301,MATCH($F175,AnnexIActivities,0)))</f>
        <v>0</v>
      </c>
      <c r="K175" s="243"/>
      <c r="L175" s="7"/>
      <c r="M175" s="7"/>
      <c r="N175" s="7"/>
      <c r="O175" s="7"/>
      <c r="P175" s="45"/>
      <c r="Q175" s="45"/>
      <c r="R175" s="45"/>
      <c r="S175" s="45"/>
      <c r="T175" s="45"/>
      <c r="U175" s="45"/>
      <c r="V175" s="45"/>
      <c r="W175" s="45"/>
      <c r="X175" s="45"/>
      <c r="Y175" s="45"/>
      <c r="Z175" s="45"/>
      <c r="AA175" s="45"/>
      <c r="AB175" s="45"/>
    </row>
    <row r="176" spans="1:29" s="1" customFormat="1" ht="12.75" hidden="1" customHeight="1" x14ac:dyDescent="0.2">
      <c r="A176" s="47" t="s">
        <v>85</v>
      </c>
      <c r="B176" s="243"/>
      <c r="C176" s="711"/>
      <c r="D176" s="244"/>
      <c r="E176" s="7"/>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3"/>
      <c r="L176" s="7"/>
      <c r="M176" s="7"/>
      <c r="N176" s="7"/>
      <c r="O176" s="7"/>
      <c r="P176" s="45"/>
      <c r="Q176" s="45"/>
      <c r="R176" s="45"/>
      <c r="S176" s="45"/>
      <c r="T176" s="45"/>
      <c r="U176" s="45"/>
      <c r="V176" s="45"/>
      <c r="W176" s="45"/>
      <c r="X176" s="45"/>
      <c r="Y176" s="45"/>
      <c r="Z176" s="45"/>
      <c r="AA176" s="45"/>
      <c r="AB176" s="45"/>
    </row>
    <row r="177" spans="1:28" s="1" customFormat="1" ht="12.75" hidden="1" customHeight="1" x14ac:dyDescent="0.2">
      <c r="A177" s="47" t="s">
        <v>85</v>
      </c>
      <c r="B177" s="243"/>
      <c r="C177" s="711"/>
      <c r="D177" s="244"/>
      <c r="E177" s="7"/>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3"/>
      <c r="L177" s="7"/>
      <c r="M177" s="7"/>
      <c r="N177" s="7"/>
      <c r="O177" s="7"/>
      <c r="P177" s="45"/>
      <c r="Q177" s="45"/>
      <c r="R177" s="45"/>
      <c r="S177" s="45"/>
      <c r="T177" s="45"/>
      <c r="U177" s="45"/>
      <c r="V177" s="45"/>
      <c r="W177" s="45"/>
      <c r="X177" s="45"/>
      <c r="Y177" s="45"/>
      <c r="Z177" s="45"/>
      <c r="AA177" s="45"/>
      <c r="AB177" s="45"/>
    </row>
    <row r="178" spans="1:28" s="1" customFormat="1" ht="12.75" hidden="1" customHeight="1" x14ac:dyDescent="0.2">
      <c r="A178" s="47" t="s">
        <v>85</v>
      </c>
      <c r="B178" s="243"/>
      <c r="C178" s="711"/>
      <c r="D178" s="244"/>
      <c r="E178" s="7"/>
      <c r="F178" s="64" t="str">
        <f>IF(ISBLANK(E29),"",E29)</f>
        <v/>
      </c>
      <c r="G178" s="64" t="str">
        <f>IF($F178="","",INDEX(EUwideConstants!E$274:E$301,MATCH($F178,AnnexIActivities,0)))</f>
        <v/>
      </c>
      <c r="H178" s="64" t="str">
        <f>IF($F178="","",INDEX(EUwideConstants!F$274:F$301,MATCH($F178,AnnexIActivities,0)))</f>
        <v/>
      </c>
      <c r="I178" s="64" t="str">
        <f>IF($F178="","",INDEX(EUwideConstants!G$274:G$301,MATCH($F178,AnnexIActivities,0)))</f>
        <v/>
      </c>
      <c r="J178" s="64" t="str">
        <f>IF($F178="","",INDEX(EUwideConstants!H$274:H$301,MATCH($F178,AnnexIActivities,0)))</f>
        <v/>
      </c>
      <c r="K178" s="243"/>
      <c r="L178" s="7"/>
      <c r="M178" s="7"/>
      <c r="N178" s="7"/>
      <c r="O178" s="7"/>
      <c r="P178" s="45"/>
      <c r="Q178" s="45"/>
      <c r="R178" s="45"/>
      <c r="S178" s="45"/>
      <c r="T178" s="45"/>
      <c r="U178" s="45"/>
      <c r="V178" s="45"/>
      <c r="W178" s="45"/>
      <c r="X178" s="45"/>
      <c r="Y178" s="45"/>
      <c r="Z178" s="45"/>
      <c r="AA178" s="45"/>
      <c r="AB178" s="45"/>
    </row>
    <row r="179" spans="1:28" s="1" customFormat="1" ht="12.75" hidden="1" customHeight="1" x14ac:dyDescent="0.2">
      <c r="A179" s="47" t="s">
        <v>85</v>
      </c>
      <c r="B179" s="243"/>
      <c r="C179" s="711"/>
      <c r="D179" s="244"/>
      <c r="E179" s="7"/>
      <c r="F179" s="64" t="str">
        <f>IF(ISBLANK(E30),"",E30)</f>
        <v/>
      </c>
      <c r="G179" s="64" t="str">
        <f>IF($F179="","",INDEX(EUwideConstants!E$274:E$301,MATCH($F179,AnnexIActivities,0)))</f>
        <v/>
      </c>
      <c r="H179" s="64" t="str">
        <f>IF($F179="","",INDEX(EUwideConstants!F$274:F$301,MATCH($F179,AnnexIActivities,0)))</f>
        <v/>
      </c>
      <c r="I179" s="64" t="str">
        <f>IF($F179="","",INDEX(EUwideConstants!G$274:G$301,MATCH($F179,AnnexIActivities,0)))</f>
        <v/>
      </c>
      <c r="J179" s="64" t="str">
        <f>IF($F179="","",INDEX(EUwideConstants!H$274:H$301,MATCH($F179,AnnexIActivities,0)))</f>
        <v/>
      </c>
      <c r="K179" s="243"/>
      <c r="L179" s="7"/>
      <c r="M179" s="7"/>
      <c r="N179" s="7"/>
      <c r="O179" s="7"/>
      <c r="P179" s="45"/>
      <c r="Q179" s="45"/>
      <c r="R179" s="45"/>
      <c r="S179" s="45"/>
      <c r="T179" s="45"/>
      <c r="U179" s="45"/>
      <c r="V179" s="45"/>
      <c r="W179" s="45"/>
      <c r="X179" s="45"/>
      <c r="Y179" s="45"/>
      <c r="Z179" s="45"/>
      <c r="AA179" s="45"/>
      <c r="AB179" s="45"/>
    </row>
    <row r="180" spans="1:28" s="1" customFormat="1" ht="12.75" hidden="1" customHeight="1" thickBot="1" x14ac:dyDescent="0.25">
      <c r="A180" s="47" t="s">
        <v>85</v>
      </c>
      <c r="B180" s="243"/>
      <c r="C180" s="711"/>
      <c r="D180" s="244"/>
      <c r="E180" s="7"/>
      <c r="F180" s="139"/>
      <c r="G180" s="7"/>
      <c r="H180" s="7"/>
      <c r="I180" s="7"/>
      <c r="J180" s="7"/>
      <c r="K180" s="7"/>
      <c r="L180" s="7"/>
      <c r="M180" s="7"/>
      <c r="N180" s="7"/>
      <c r="O180" s="7"/>
      <c r="P180" s="45"/>
      <c r="Q180" s="45"/>
      <c r="R180" s="45"/>
      <c r="S180" s="45"/>
      <c r="T180" s="45"/>
      <c r="U180" s="45"/>
      <c r="V180" s="45"/>
      <c r="W180" s="45"/>
      <c r="X180" s="45"/>
      <c r="Y180" s="45"/>
      <c r="Z180" s="45"/>
      <c r="AA180" s="45"/>
      <c r="AB180" s="45"/>
    </row>
    <row r="181" spans="1:28" s="1" customFormat="1" ht="12.75" hidden="1" customHeight="1" thickBot="1" x14ac:dyDescent="0.25">
      <c r="A181" s="47" t="s">
        <v>85</v>
      </c>
      <c r="B181" s="243"/>
      <c r="C181" s="711"/>
      <c r="D181" s="244"/>
      <c r="E181" s="7"/>
      <c r="F181" s="245"/>
      <c r="G181" s="246"/>
      <c r="H181" s="246"/>
      <c r="I181" s="246" t="s">
        <v>430</v>
      </c>
      <c r="J181" s="246"/>
      <c r="K181" s="246" t="s">
        <v>335</v>
      </c>
      <c r="L181" s="246"/>
      <c r="M181" s="626" t="s">
        <v>431</v>
      </c>
      <c r="N181" s="7"/>
      <c r="O181" s="7"/>
      <c r="P181" s="45"/>
      <c r="Q181" s="45"/>
      <c r="R181" s="45"/>
      <c r="S181" s="45"/>
      <c r="T181" s="45"/>
      <c r="U181" s="45"/>
      <c r="V181" s="45"/>
      <c r="W181" s="45"/>
      <c r="X181" s="45"/>
      <c r="Y181" s="45"/>
      <c r="Z181" s="45"/>
      <c r="AA181" s="45"/>
      <c r="AB181" s="45"/>
    </row>
    <row r="182" spans="1:28" s="1" customFormat="1" ht="12.75" hidden="1" customHeight="1" x14ac:dyDescent="0.2">
      <c r="A182" s="47" t="s">
        <v>85</v>
      </c>
      <c r="B182" s="243"/>
      <c r="C182" s="711"/>
      <c r="D182" s="244"/>
      <c r="E182" s="7"/>
      <c r="F182" s="247">
        <v>1</v>
      </c>
      <c r="G182" s="248" t="str">
        <f>INDEX(EUConst_TierActivityListNames,F182)</f>
        <v>Degimas: Komercinis standartinių rūšių kuras</v>
      </c>
      <c r="H182" s="248">
        <f t="shared" ref="H182:H188" si="30">F182</f>
        <v>1</v>
      </c>
      <c r="I182" s="16" t="str">
        <f>IF(ISERROR(INDEX(EUConst_TierActivityListNames,MATCH(F182,$H$182:$H$223,0))),"",INDEX(EUConst_TierActivityListNames,MATCH(F182,$H$182:$H$223,0)))</f>
        <v>Degimas: Komercinis standartinių rūšių kuras</v>
      </c>
      <c r="J182" s="248"/>
      <c r="K182" s="248"/>
      <c r="L182" s="248"/>
      <c r="M182" s="627" t="str">
        <f>"$i$" &amp; ROW($I$182) &amp; ":$i$" &amp; ROW($I$182)-1+MAX($H$182:$H$223)</f>
        <v>$i$182:$i$188</v>
      </c>
      <c r="N182" s="7"/>
      <c r="O182" s="7"/>
      <c r="P182" s="45"/>
      <c r="Q182" s="45"/>
      <c r="R182" s="45"/>
      <c r="S182" s="45"/>
      <c r="T182" s="45"/>
      <c r="U182" s="45"/>
      <c r="V182" s="45"/>
      <c r="W182" s="45"/>
      <c r="X182" s="45"/>
      <c r="Y182" s="45"/>
      <c r="Z182" s="45"/>
      <c r="AA182" s="45"/>
      <c r="AB182" s="45"/>
    </row>
    <row r="183" spans="1:28" s="1" customFormat="1" ht="12.75" hidden="1" customHeight="1" x14ac:dyDescent="0.2">
      <c r="A183" s="47" t="s">
        <v>85</v>
      </c>
      <c r="B183" s="243"/>
      <c r="C183" s="711"/>
      <c r="D183" s="244"/>
      <c r="E183" s="7"/>
      <c r="F183" s="249">
        <v>2</v>
      </c>
      <c r="G183" s="250" t="str">
        <f t="shared" ref="G183:G223" si="31">INDEX(EUConst_TierActivityListNames,F183)</f>
        <v>Degimas: Kitas dujinis ir skystasis kuras</v>
      </c>
      <c r="H183" s="250">
        <f t="shared" si="30"/>
        <v>2</v>
      </c>
      <c r="I183" s="17" t="str">
        <f>IF(ISERROR(INDEX(EUConst_TierActivityListNames,MATCH(F183,$H$182:$H$223,0))),"",INDEX(EUConst_TierActivityListNames,MATCH(F183,$H$182:$H$223,0)))</f>
        <v>Degimas: Kitas dujinis ir skystasis kuras</v>
      </c>
      <c r="J183" s="250"/>
      <c r="K183" s="250"/>
      <c r="L183" s="250"/>
      <c r="M183" s="251"/>
      <c r="N183" s="7"/>
      <c r="O183" s="7"/>
      <c r="P183" s="45"/>
      <c r="Q183" s="45"/>
      <c r="R183" s="45"/>
      <c r="S183" s="45"/>
      <c r="T183" s="45"/>
      <c r="U183" s="45"/>
      <c r="V183" s="45"/>
      <c r="W183" s="45"/>
      <c r="X183" s="45"/>
      <c r="Y183" s="45"/>
      <c r="Z183" s="45"/>
      <c r="AA183" s="45"/>
      <c r="AB183" s="45"/>
    </row>
    <row r="184" spans="1:28" s="1" customFormat="1" ht="12.75" hidden="1" customHeight="1" x14ac:dyDescent="0.2">
      <c r="A184" s="47" t="s">
        <v>85</v>
      </c>
      <c r="B184" s="243"/>
      <c r="C184" s="711"/>
      <c r="D184" s="244"/>
      <c r="E184" s="7"/>
      <c r="F184" s="249">
        <v>3</v>
      </c>
      <c r="G184" s="250" t="str">
        <f t="shared" si="31"/>
        <v>Degimas: Kietasis kuras</v>
      </c>
      <c r="H184" s="250">
        <f t="shared" si="30"/>
        <v>3</v>
      </c>
      <c r="I184" s="17" t="str">
        <f t="shared" ref="I184:I223" si="32">IF(ISERROR(INDEX(EUConst_TierActivityListNames,MATCH(F184,$H$182:$H$223,0))),"",INDEX(EUConst_TierActivityListNames,MATCH(F184,$H$182:$H$223,0)))</f>
        <v>Degimas: Kietasis kuras</v>
      </c>
      <c r="J184" s="250"/>
      <c r="K184" s="250"/>
      <c r="L184" s="250"/>
      <c r="M184" s="251"/>
      <c r="N184" s="7"/>
      <c r="O184" s="7"/>
      <c r="P184" s="45"/>
      <c r="Q184" s="45"/>
      <c r="R184" s="45"/>
      <c r="S184" s="45"/>
      <c r="T184" s="45"/>
      <c r="U184" s="45"/>
      <c r="V184" s="45"/>
      <c r="W184" s="45"/>
      <c r="X184" s="45"/>
      <c r="Y184" s="45"/>
      <c r="Z184" s="45"/>
      <c r="AA184" s="45"/>
      <c r="AB184" s="45"/>
    </row>
    <row r="185" spans="1:28" s="1" customFormat="1" ht="12.75" hidden="1" customHeight="1" x14ac:dyDescent="0.2">
      <c r="A185" s="47" t="s">
        <v>85</v>
      </c>
      <c r="B185" s="243"/>
      <c r="C185" s="711"/>
      <c r="D185" s="244"/>
      <c r="E185" s="7"/>
      <c r="F185" s="249">
        <v>4</v>
      </c>
      <c r="G185" s="250" t="str">
        <f t="shared" si="31"/>
        <v>Degimas: Dujų perdirbimo terminalai</v>
      </c>
      <c r="H185" s="250">
        <f t="shared" si="30"/>
        <v>4</v>
      </c>
      <c r="I185" s="17" t="str">
        <f t="shared" si="32"/>
        <v>Degimas: Dujų perdirbimo terminalai</v>
      </c>
      <c r="J185" s="250"/>
      <c r="K185" s="250"/>
      <c r="L185" s="250"/>
      <c r="M185" s="251"/>
      <c r="N185" s="7"/>
      <c r="O185" s="7"/>
      <c r="P185" s="45"/>
      <c r="Q185" s="45"/>
      <c r="R185" s="45"/>
      <c r="S185" s="45"/>
      <c r="T185" s="45"/>
      <c r="U185" s="45"/>
      <c r="V185" s="45"/>
      <c r="W185" s="45"/>
      <c r="X185" s="45"/>
      <c r="Y185" s="45"/>
      <c r="Z185" s="45"/>
      <c r="AA185" s="45"/>
      <c r="AB185" s="45"/>
    </row>
    <row r="186" spans="1:28" s="1" customFormat="1" ht="12.75" hidden="1" customHeight="1" x14ac:dyDescent="0.2">
      <c r="A186" s="47" t="s">
        <v>85</v>
      </c>
      <c r="B186" s="243"/>
      <c r="C186" s="711"/>
      <c r="D186" s="244"/>
      <c r="E186" s="7"/>
      <c r="F186" s="249">
        <v>5</v>
      </c>
      <c r="G186" s="250" t="str">
        <f t="shared" si="31"/>
        <v>Degimas: Fakelai</v>
      </c>
      <c r="H186" s="250">
        <f t="shared" si="30"/>
        <v>5</v>
      </c>
      <c r="I186" s="17" t="str">
        <f t="shared" si="32"/>
        <v>Degimas: Fakelai</v>
      </c>
      <c r="J186" s="250"/>
      <c r="K186" s="250"/>
      <c r="L186" s="250"/>
      <c r="M186" s="251"/>
      <c r="N186" s="7"/>
      <c r="O186" s="7"/>
      <c r="P186" s="45"/>
      <c r="Q186" s="45"/>
      <c r="R186" s="45"/>
      <c r="S186" s="45"/>
      <c r="T186" s="45"/>
      <c r="U186" s="45"/>
      <c r="V186" s="45"/>
      <c r="W186" s="45"/>
      <c r="X186" s="45"/>
      <c r="Y186" s="45"/>
      <c r="Z186" s="45"/>
      <c r="AA186" s="45"/>
      <c r="AB186" s="45"/>
    </row>
    <row r="187" spans="1:28" s="1" customFormat="1" ht="12.75" hidden="1" customHeight="1" x14ac:dyDescent="0.2">
      <c r="A187" s="47" t="s">
        <v>85</v>
      </c>
      <c r="B187" s="243"/>
      <c r="C187" s="711"/>
      <c r="D187" s="244"/>
      <c r="E187" s="7"/>
      <c r="F187" s="249">
        <v>6</v>
      </c>
      <c r="G187" s="250" t="str">
        <f t="shared" si="31"/>
        <v>Degimas: Dujų plovimas (karbonatai)</v>
      </c>
      <c r="H187" s="250">
        <f t="shared" si="30"/>
        <v>6</v>
      </c>
      <c r="I187" s="17" t="str">
        <f t="shared" si="32"/>
        <v>Degimas: Dujų plovimas (karbonatai)</v>
      </c>
      <c r="J187" s="250"/>
      <c r="K187" s="250"/>
      <c r="L187" s="250"/>
      <c r="M187" s="251"/>
      <c r="N187" s="7"/>
      <c r="O187" s="7"/>
      <c r="P187" s="45"/>
      <c r="Q187" s="45"/>
      <c r="R187" s="45"/>
      <c r="S187" s="45"/>
      <c r="T187" s="45"/>
      <c r="U187" s="45"/>
      <c r="V187" s="45"/>
      <c r="W187" s="45"/>
      <c r="X187" s="45"/>
      <c r="Y187" s="45"/>
      <c r="Z187" s="45"/>
      <c r="AA187" s="45"/>
      <c r="AB187" s="45"/>
    </row>
    <row r="188" spans="1:28" s="1" customFormat="1" ht="12.75" hidden="1" customHeight="1" thickBot="1" x14ac:dyDescent="0.25">
      <c r="A188" s="47" t="s">
        <v>85</v>
      </c>
      <c r="B188" s="243"/>
      <c r="C188" s="711"/>
      <c r="D188" s="244"/>
      <c r="E188" s="7"/>
      <c r="F188" s="252">
        <v>7</v>
      </c>
      <c r="G188" s="253" t="str">
        <f t="shared" si="31"/>
        <v>Degimas: Dujų plovimas (gipsas)</v>
      </c>
      <c r="H188" s="253">
        <f t="shared" si="30"/>
        <v>7</v>
      </c>
      <c r="I188" s="18" t="str">
        <f t="shared" si="32"/>
        <v>Degimas: Dujų plovimas (gipsas)</v>
      </c>
      <c r="J188" s="253"/>
      <c r="K188" s="253"/>
      <c r="L188" s="253"/>
      <c r="M188" s="254"/>
      <c r="N188" s="7"/>
      <c r="O188" s="7"/>
      <c r="P188" s="45"/>
      <c r="Q188" s="45"/>
      <c r="R188" s="45"/>
      <c r="S188" s="45"/>
      <c r="T188" s="45"/>
      <c r="U188" s="45"/>
      <c r="V188" s="45"/>
      <c r="W188" s="45"/>
      <c r="X188" s="45"/>
      <c r="Y188" s="45"/>
      <c r="Z188" s="45"/>
      <c r="AA188" s="45"/>
      <c r="AB188" s="45"/>
    </row>
    <row r="189" spans="1:28" s="1" customFormat="1" ht="12.75" hidden="1" customHeight="1" x14ac:dyDescent="0.2">
      <c r="A189" s="47" t="s">
        <v>85</v>
      </c>
      <c r="B189" s="243"/>
      <c r="C189" s="711"/>
      <c r="D189" s="244"/>
      <c r="E189" s="7"/>
      <c r="F189" s="255">
        <v>8</v>
      </c>
      <c r="G189" s="256" t="str">
        <f t="shared" si="31"/>
        <v>Naftos perdirbimo įrenginiai: Masės balansas</v>
      </c>
      <c r="H189" s="256" t="str">
        <f>IF(COUNTIF($G$175:$J$179,G189)&gt;0,MAX(H$188:H188)+1,"")</f>
        <v/>
      </c>
      <c r="I189" s="170" t="str">
        <f t="shared" si="32"/>
        <v/>
      </c>
      <c r="J189" s="256"/>
      <c r="K189" s="256"/>
      <c r="L189" s="256"/>
      <c r="M189" s="257"/>
      <c r="N189" s="7"/>
      <c r="O189" s="7"/>
      <c r="P189" s="45"/>
      <c r="Q189" s="45"/>
      <c r="R189" s="45"/>
      <c r="S189" s="45"/>
      <c r="T189" s="45"/>
      <c r="U189" s="45"/>
      <c r="V189" s="45"/>
      <c r="W189" s="45"/>
      <c r="X189" s="45"/>
      <c r="Y189" s="45"/>
      <c r="Z189" s="45"/>
      <c r="AA189" s="45"/>
      <c r="AB189" s="45"/>
    </row>
    <row r="190" spans="1:28" s="1" customFormat="1" ht="12.75" hidden="1" customHeight="1" x14ac:dyDescent="0.2">
      <c r="A190" s="47" t="s">
        <v>85</v>
      </c>
      <c r="B190" s="243"/>
      <c r="C190" s="711"/>
      <c r="D190" s="244"/>
      <c r="E190" s="7"/>
      <c r="F190" s="249">
        <v>9</v>
      </c>
      <c r="G190" s="250" t="str">
        <f>INDEX(EUConst_TierActivityListNames,F190)</f>
        <v>Naftos perdirbimo įrenginiai: Regeneravimas katalizinio krekingo įrenginiu</v>
      </c>
      <c r="H190" s="250" t="str">
        <f>IF(COUNTIF($G$175:$J$179,G190)&gt;0,MAX(H$188:H189)+1,"")</f>
        <v/>
      </c>
      <c r="I190" s="17" t="str">
        <f>IF(ISERROR(INDEX(EUConst_TierActivityListNames,MATCH(F190,$H$182:$H$223,0))),"",INDEX(EUConst_TierActivityListNames,MATCH(F190,$H$182:$H$223,0)))</f>
        <v/>
      </c>
      <c r="J190" s="250"/>
      <c r="K190" s="250"/>
      <c r="L190" s="250"/>
      <c r="M190" s="251"/>
      <c r="N190" s="7"/>
      <c r="O190" s="7"/>
      <c r="P190" s="45"/>
      <c r="Q190" s="45"/>
      <c r="R190" s="45"/>
      <c r="S190" s="45"/>
      <c r="T190" s="45"/>
      <c r="U190" s="45"/>
      <c r="V190" s="45"/>
      <c r="W190" s="45"/>
      <c r="X190" s="45"/>
      <c r="Y190" s="45"/>
      <c r="Z190" s="45"/>
      <c r="AA190" s="45"/>
      <c r="AB190" s="45"/>
    </row>
    <row r="191" spans="1:28" s="1" customFormat="1" ht="12.75" hidden="1" customHeight="1" x14ac:dyDescent="0.2">
      <c r="A191" s="47" t="s">
        <v>85</v>
      </c>
      <c r="B191" s="243"/>
      <c r="C191" s="711"/>
      <c r="D191" s="244"/>
      <c r="E191" s="7"/>
      <c r="F191" s="249">
        <v>10</v>
      </c>
      <c r="G191" s="250" t="str">
        <f t="shared" si="31"/>
        <v>Naftos perdirbimo įrenginiai: Vandenilio gamyba</v>
      </c>
      <c r="H191" s="250" t="str">
        <f>IF(COUNTIF($G$175:$J$179,G191)&gt;0,MAX(H$188:H190)+1,"")</f>
        <v/>
      </c>
      <c r="I191" s="17" t="str">
        <f t="shared" si="32"/>
        <v/>
      </c>
      <c r="J191" s="250"/>
      <c r="K191" s="250"/>
      <c r="L191" s="250"/>
      <c r="M191" s="251"/>
      <c r="N191" s="7"/>
      <c r="O191" s="7"/>
      <c r="P191" s="45"/>
      <c r="Q191" s="45"/>
      <c r="R191" s="45"/>
      <c r="S191" s="45"/>
      <c r="T191" s="45"/>
      <c r="U191" s="45"/>
      <c r="V191" s="45"/>
      <c r="W191" s="45"/>
      <c r="X191" s="45"/>
      <c r="Y191" s="45"/>
      <c r="Z191" s="45"/>
      <c r="AA191" s="45"/>
      <c r="AB191" s="45"/>
    </row>
    <row r="192" spans="1:28" s="1" customFormat="1" ht="12.75" hidden="1" customHeight="1" x14ac:dyDescent="0.2">
      <c r="A192" s="47" t="s">
        <v>85</v>
      </c>
      <c r="B192" s="243"/>
      <c r="C192" s="711"/>
      <c r="D192" s="244"/>
      <c r="E192" s="7"/>
      <c r="F192" s="249">
        <v>11</v>
      </c>
      <c r="G192" s="250" t="str">
        <f t="shared" si="31"/>
        <v>Koksas: Kuras kaip proceso žaliava</v>
      </c>
      <c r="H192" s="250" t="str">
        <f>IF(COUNTIF($G$175:$J$179,G192)&gt;0,MAX(H$188:H191)+1,"")</f>
        <v/>
      </c>
      <c r="I192" s="17" t="str">
        <f t="shared" si="32"/>
        <v/>
      </c>
      <c r="J192" s="250"/>
      <c r="K192" s="250"/>
      <c r="L192" s="250"/>
      <c r="M192" s="251"/>
      <c r="N192" s="7"/>
      <c r="O192" s="7"/>
      <c r="P192" s="45"/>
      <c r="Q192" s="45"/>
      <c r="R192" s="45"/>
      <c r="S192" s="45"/>
      <c r="T192" s="45"/>
      <c r="U192" s="45"/>
      <c r="V192" s="45"/>
      <c r="W192" s="45"/>
      <c r="X192" s="45"/>
      <c r="Y192" s="45"/>
      <c r="Z192" s="45"/>
      <c r="AA192" s="45"/>
      <c r="AB192" s="45"/>
    </row>
    <row r="193" spans="1:28" s="1" customFormat="1" ht="12.75" hidden="1" customHeight="1" x14ac:dyDescent="0.2">
      <c r="A193" s="47" t="s">
        <v>85</v>
      </c>
      <c r="B193" s="243"/>
      <c r="C193" s="711"/>
      <c r="D193" s="244"/>
      <c r="E193" s="7"/>
      <c r="F193" s="249">
        <v>12</v>
      </c>
      <c r="G193" s="250" t="str">
        <f t="shared" si="31"/>
        <v>Koksas: Karbonatų sąnaudos (A metodas)</v>
      </c>
      <c r="H193" s="250" t="str">
        <f>IF(COUNTIF($G$175:$J$179,G193)&gt;0,MAX(H$188:H192)+1,"")</f>
        <v/>
      </c>
      <c r="I193" s="17" t="str">
        <f t="shared" si="32"/>
        <v/>
      </c>
      <c r="J193" s="250"/>
      <c r="K193" s="250"/>
      <c r="L193" s="250"/>
      <c r="M193" s="251"/>
      <c r="N193" s="7"/>
      <c r="O193" s="7"/>
      <c r="P193" s="45"/>
      <c r="Q193" s="45"/>
      <c r="R193" s="45"/>
      <c r="S193" s="45"/>
      <c r="T193" s="45"/>
      <c r="U193" s="45"/>
      <c r="V193" s="45"/>
      <c r="W193" s="45"/>
      <c r="X193" s="45"/>
      <c r="Y193" s="45"/>
      <c r="Z193" s="45"/>
      <c r="AA193" s="45"/>
      <c r="AB193" s="45"/>
    </row>
    <row r="194" spans="1:28" s="1" customFormat="1" ht="12.75" hidden="1" customHeight="1" x14ac:dyDescent="0.2">
      <c r="A194" s="47" t="s">
        <v>85</v>
      </c>
      <c r="B194" s="243"/>
      <c r="C194" s="711"/>
      <c r="D194" s="244"/>
      <c r="E194" s="7"/>
      <c r="F194" s="249">
        <v>13</v>
      </c>
      <c r="G194" s="250" t="str">
        <f t="shared" si="31"/>
        <v>Koksas: Oksido išeiga (B metodas)</v>
      </c>
      <c r="H194" s="250" t="str">
        <f>IF(COUNTIF($G$175:$J$179,G194)&gt;0,MAX(H$188:H193)+1,"")</f>
        <v/>
      </c>
      <c r="I194" s="17" t="str">
        <f t="shared" si="32"/>
        <v/>
      </c>
      <c r="J194" s="250"/>
      <c r="K194" s="250"/>
      <c r="L194" s="250"/>
      <c r="M194" s="251"/>
      <c r="N194" s="7"/>
      <c r="O194" s="7"/>
      <c r="P194" s="45"/>
      <c r="Q194" s="45"/>
      <c r="R194" s="45"/>
      <c r="S194" s="45"/>
      <c r="T194" s="45"/>
      <c r="U194" s="45"/>
      <c r="V194" s="45"/>
      <c r="W194" s="45"/>
      <c r="X194" s="45"/>
      <c r="Y194" s="45"/>
      <c r="Z194" s="45"/>
      <c r="AA194" s="45"/>
      <c r="AB194" s="45"/>
    </row>
    <row r="195" spans="1:28" s="1" customFormat="1" ht="12.75" hidden="1" customHeight="1" x14ac:dyDescent="0.2">
      <c r="A195" s="47" t="s">
        <v>85</v>
      </c>
      <c r="B195" s="243"/>
      <c r="C195" s="711"/>
      <c r="D195" s="244"/>
      <c r="E195" s="7"/>
      <c r="F195" s="249">
        <v>14</v>
      </c>
      <c r="G195" s="250" t="str">
        <f t="shared" si="31"/>
        <v>Koksas: Masės balansas</v>
      </c>
      <c r="H195" s="250" t="str">
        <f>IF(COUNTIF($G$175:$J$179,G195)&gt;0,MAX(H$188:H194)+1,"")</f>
        <v/>
      </c>
      <c r="I195" s="17" t="str">
        <f t="shared" si="32"/>
        <v/>
      </c>
      <c r="J195" s="250"/>
      <c r="K195" s="250"/>
      <c r="L195" s="250"/>
      <c r="M195" s="251"/>
      <c r="N195" s="7"/>
      <c r="O195" s="7"/>
      <c r="P195" s="45"/>
      <c r="Q195" s="45"/>
      <c r="R195" s="45"/>
      <c r="S195" s="45"/>
      <c r="T195" s="45"/>
      <c r="U195" s="45"/>
      <c r="V195" s="45"/>
      <c r="W195" s="45"/>
      <c r="X195" s="45"/>
      <c r="Y195" s="45"/>
      <c r="Z195" s="45"/>
      <c r="AA195" s="45"/>
      <c r="AB195" s="45"/>
    </row>
    <row r="196" spans="1:28" s="1" customFormat="1" ht="12.75" hidden="1" customHeight="1" x14ac:dyDescent="0.2">
      <c r="A196" s="47" t="s">
        <v>85</v>
      </c>
      <c r="B196" s="243"/>
      <c r="C196" s="711"/>
      <c r="D196" s="244"/>
      <c r="E196" s="7"/>
      <c r="F196" s="249">
        <v>15</v>
      </c>
      <c r="G196" s="250" t="str">
        <f t="shared" si="31"/>
        <v>Metalų rūda: Karbonatų sąnaudos</v>
      </c>
      <c r="H196" s="250" t="str">
        <f>IF(COUNTIF($G$175:$J$179,G196)&gt;0,MAX(H$188:H195)+1,"")</f>
        <v/>
      </c>
      <c r="I196" s="17" t="str">
        <f t="shared" si="32"/>
        <v/>
      </c>
      <c r="J196" s="250"/>
      <c r="K196" s="250"/>
      <c r="L196" s="250"/>
      <c r="M196" s="251"/>
      <c r="N196" s="7"/>
      <c r="O196" s="7"/>
      <c r="P196" s="45"/>
      <c r="Q196" s="45"/>
      <c r="R196" s="45"/>
      <c r="S196" s="45"/>
      <c r="T196" s="45"/>
      <c r="U196" s="45"/>
      <c r="V196" s="45"/>
      <c r="W196" s="45"/>
      <c r="X196" s="45"/>
      <c r="Y196" s="45"/>
      <c r="Z196" s="45"/>
      <c r="AA196" s="45"/>
      <c r="AB196" s="45"/>
    </row>
    <row r="197" spans="1:28" s="1" customFormat="1" ht="12.75" hidden="1" customHeight="1" x14ac:dyDescent="0.2">
      <c r="A197" s="47" t="s">
        <v>85</v>
      </c>
      <c r="B197" s="243"/>
      <c r="C197" s="711"/>
      <c r="D197" s="244"/>
      <c r="E197" s="7"/>
      <c r="F197" s="249">
        <v>16</v>
      </c>
      <c r="G197" s="250" t="str">
        <f t="shared" si="31"/>
        <v>Metalų rūda: Masės balansas</v>
      </c>
      <c r="H197" s="250" t="str">
        <f>IF(COUNTIF($G$175:$J$179,G197)&gt;0,MAX(H$188:H196)+1,"")</f>
        <v/>
      </c>
      <c r="I197" s="17" t="str">
        <f t="shared" si="32"/>
        <v/>
      </c>
      <c r="J197" s="250"/>
      <c r="K197" s="250"/>
      <c r="L197" s="250"/>
      <c r="M197" s="251"/>
      <c r="N197" s="7"/>
      <c r="O197" s="7"/>
      <c r="P197" s="45"/>
      <c r="Q197" s="45"/>
      <c r="R197" s="45"/>
      <c r="S197" s="45"/>
      <c r="T197" s="45"/>
      <c r="U197" s="45"/>
      <c r="V197" s="45"/>
      <c r="W197" s="45"/>
      <c r="X197" s="45"/>
      <c r="Y197" s="45"/>
      <c r="Z197" s="45"/>
      <c r="AA197" s="45"/>
      <c r="AB197" s="45"/>
    </row>
    <row r="198" spans="1:28" s="1" customFormat="1" ht="12.75" hidden="1" customHeight="1" x14ac:dyDescent="0.2">
      <c r="A198" s="47" t="s">
        <v>85</v>
      </c>
      <c r="B198" s="243"/>
      <c r="C198" s="711"/>
      <c r="D198" s="244"/>
      <c r="E198" s="7"/>
      <c r="F198" s="249">
        <v>17</v>
      </c>
      <c r="G198" s="250" t="str">
        <f t="shared" si="31"/>
        <v>Geležis ir plienas: Kuras kaip proceso žaliava</v>
      </c>
      <c r="H198" s="250" t="str">
        <f>IF(COUNTIF($G$175:$J$179,G198)&gt;0,MAX(H$188:H197)+1,"")</f>
        <v/>
      </c>
      <c r="I198" s="17" t="str">
        <f t="shared" si="32"/>
        <v/>
      </c>
      <c r="J198" s="250"/>
      <c r="K198" s="250"/>
      <c r="L198" s="250"/>
      <c r="M198" s="251"/>
      <c r="N198" s="7"/>
      <c r="O198" s="7"/>
      <c r="P198" s="45"/>
      <c r="Q198" s="45"/>
      <c r="R198" s="45"/>
      <c r="S198" s="45"/>
      <c r="T198" s="45"/>
      <c r="U198" s="45"/>
      <c r="V198" s="45"/>
      <c r="W198" s="45"/>
      <c r="X198" s="45"/>
      <c r="Y198" s="45"/>
      <c r="Z198" s="45"/>
      <c r="AA198" s="45"/>
      <c r="AB198" s="45"/>
    </row>
    <row r="199" spans="1:28" s="1" customFormat="1" ht="12.75" hidden="1" customHeight="1" x14ac:dyDescent="0.2">
      <c r="A199" s="47" t="s">
        <v>85</v>
      </c>
      <c r="B199" s="243"/>
      <c r="C199" s="711"/>
      <c r="D199" s="244"/>
      <c r="E199" s="7"/>
      <c r="F199" s="249">
        <v>18</v>
      </c>
      <c r="G199" s="250" t="str">
        <f t="shared" si="31"/>
        <v>Geležis ir plienas: Karbonatų sąnaudos</v>
      </c>
      <c r="H199" s="250" t="str">
        <f>IF(COUNTIF($G$175:$J$179,G199)&gt;0,MAX(H$188:H198)+1,"")</f>
        <v/>
      </c>
      <c r="I199" s="17" t="str">
        <f t="shared" si="32"/>
        <v/>
      </c>
      <c r="J199" s="250"/>
      <c r="K199" s="250"/>
      <c r="L199" s="250"/>
      <c r="M199" s="251"/>
      <c r="N199" s="7"/>
      <c r="O199" s="7"/>
      <c r="P199" s="45"/>
      <c r="Q199" s="45"/>
      <c r="R199" s="45"/>
      <c r="S199" s="45"/>
      <c r="T199" s="45"/>
      <c r="U199" s="45"/>
      <c r="V199" s="45"/>
      <c r="W199" s="45"/>
      <c r="X199" s="45"/>
      <c r="Y199" s="45"/>
      <c r="Z199" s="45"/>
      <c r="AA199" s="45"/>
      <c r="AB199" s="45"/>
    </row>
    <row r="200" spans="1:28" s="1" customFormat="1" ht="12.75" hidden="1" customHeight="1" x14ac:dyDescent="0.2">
      <c r="A200" s="47" t="s">
        <v>85</v>
      </c>
      <c r="B200" s="243"/>
      <c r="C200" s="711"/>
      <c r="D200" s="244"/>
      <c r="E200" s="7"/>
      <c r="F200" s="249">
        <v>19</v>
      </c>
      <c r="G200" s="250" t="str">
        <f t="shared" si="31"/>
        <v>Geležis ir plienas: Masės balansas</v>
      </c>
      <c r="H200" s="250" t="str">
        <f>IF(COUNTIF($G$175:$J$179,G200)&gt;0,MAX(H$188:H199)+1,"")</f>
        <v/>
      </c>
      <c r="I200" s="17" t="str">
        <f t="shared" si="32"/>
        <v/>
      </c>
      <c r="J200" s="250"/>
      <c r="K200" s="250"/>
      <c r="L200" s="250"/>
      <c r="M200" s="251"/>
      <c r="N200" s="7"/>
      <c r="O200" s="7"/>
      <c r="P200" s="45"/>
      <c r="Q200" s="45"/>
      <c r="R200" s="45"/>
      <c r="S200" s="45"/>
      <c r="T200" s="45"/>
      <c r="U200" s="45"/>
      <c r="V200" s="45"/>
      <c r="W200" s="45"/>
      <c r="X200" s="45"/>
      <c r="Y200" s="45"/>
      <c r="Z200" s="45"/>
      <c r="AA200" s="45"/>
      <c r="AB200" s="45"/>
    </row>
    <row r="201" spans="1:28" s="1" customFormat="1" ht="12.75" hidden="1" customHeight="1" x14ac:dyDescent="0.2">
      <c r="A201" s="47" t="s">
        <v>85</v>
      </c>
      <c r="B201" s="243"/>
      <c r="C201" s="711"/>
      <c r="D201" s="244"/>
      <c r="E201" s="7"/>
      <c r="F201" s="249">
        <v>20</v>
      </c>
      <c r="G201" s="250" t="str">
        <f t="shared" si="31"/>
        <v>Cemento klinkeriai: Grindžiamas krosnies žaliava (A metodas)</v>
      </c>
      <c r="H201" s="250" t="str">
        <f>IF(COUNTIF($G$175:$J$179,G201)&gt;0,MAX(H$188:H200)+1,"")</f>
        <v/>
      </c>
      <c r="I201" s="17" t="str">
        <f t="shared" si="32"/>
        <v/>
      </c>
      <c r="J201" s="250"/>
      <c r="K201" s="250"/>
      <c r="L201" s="250"/>
      <c r="M201" s="251"/>
      <c r="N201" s="7"/>
      <c r="O201" s="7"/>
      <c r="P201" s="45"/>
      <c r="Q201" s="45"/>
      <c r="R201" s="45"/>
      <c r="S201" s="45"/>
      <c r="T201" s="45"/>
      <c r="U201" s="45"/>
      <c r="V201" s="45"/>
      <c r="W201" s="45"/>
      <c r="X201" s="45"/>
      <c r="Y201" s="45"/>
      <c r="Z201" s="45"/>
      <c r="AA201" s="45"/>
      <c r="AB201" s="45"/>
    </row>
    <row r="202" spans="1:28" s="1" customFormat="1" ht="12.75" hidden="1" customHeight="1" x14ac:dyDescent="0.2">
      <c r="A202" s="47" t="s">
        <v>85</v>
      </c>
      <c r="B202" s="243"/>
      <c r="C202" s="711"/>
      <c r="D202" s="244"/>
      <c r="E202" s="7"/>
      <c r="F202" s="249">
        <v>21</v>
      </c>
      <c r="G202" s="250" t="str">
        <f t="shared" si="31"/>
        <v>Cemento klinkeriai: Klinkerio išeiga (B metodas)</v>
      </c>
      <c r="H202" s="250" t="str">
        <f>IF(COUNTIF($G$175:$J$179,G202)&gt;0,MAX(H$188:H201)+1,"")</f>
        <v/>
      </c>
      <c r="I202" s="17" t="str">
        <f t="shared" si="32"/>
        <v/>
      </c>
      <c r="J202" s="250"/>
      <c r="K202" s="250"/>
      <c r="L202" s="250"/>
      <c r="M202" s="251"/>
      <c r="N202" s="7"/>
      <c r="O202" s="7"/>
      <c r="P202" s="45"/>
      <c r="Q202" s="45"/>
      <c r="R202" s="45"/>
      <c r="S202" s="45"/>
      <c r="T202" s="45"/>
      <c r="U202" s="45"/>
      <c r="V202" s="45"/>
      <c r="W202" s="45"/>
      <c r="X202" s="45"/>
      <c r="Y202" s="45"/>
      <c r="Z202" s="45"/>
      <c r="AA202" s="45"/>
      <c r="AB202" s="45"/>
    </row>
    <row r="203" spans="1:28" s="1" customFormat="1" ht="12.75" hidden="1" customHeight="1" x14ac:dyDescent="0.2">
      <c r="A203" s="47" t="s">
        <v>85</v>
      </c>
      <c r="B203" s="243"/>
      <c r="C203" s="711"/>
      <c r="D203" s="244"/>
      <c r="E203" s="7"/>
      <c r="F203" s="249">
        <v>22</v>
      </c>
      <c r="G203" s="250" t="str">
        <f t="shared" si="31"/>
        <v>Cemento klinkeriai: Cemento degimo krosnių dulkės</v>
      </c>
      <c r="H203" s="250" t="str">
        <f>IF(COUNTIF($G$175:$J$179,G203)&gt;0,MAX(H$188:H202)+1,"")</f>
        <v/>
      </c>
      <c r="I203" s="17" t="str">
        <f t="shared" si="32"/>
        <v/>
      </c>
      <c r="J203" s="250"/>
      <c r="K203" s="250"/>
      <c r="L203" s="250"/>
      <c r="M203" s="251"/>
      <c r="N203" s="7"/>
      <c r="O203" s="7"/>
      <c r="P203" s="45"/>
      <c r="Q203" s="45"/>
      <c r="R203" s="45"/>
      <c r="S203" s="45"/>
      <c r="T203" s="45"/>
      <c r="U203" s="45"/>
      <c r="V203" s="45"/>
      <c r="W203" s="45"/>
      <c r="X203" s="45"/>
      <c r="Y203" s="45"/>
      <c r="Z203" s="45"/>
      <c r="AA203" s="45"/>
      <c r="AB203" s="45"/>
    </row>
    <row r="204" spans="1:28" s="1" customFormat="1" ht="12.75" hidden="1" customHeight="1" x14ac:dyDescent="0.2">
      <c r="A204" s="47" t="s">
        <v>85</v>
      </c>
      <c r="B204" s="243"/>
      <c r="C204" s="711"/>
      <c r="D204" s="244"/>
      <c r="E204" s="7"/>
      <c r="F204" s="249">
        <v>23</v>
      </c>
      <c r="G204" s="250" t="str">
        <f t="shared" si="31"/>
        <v>Cemento klinkeriai: Nekarbonatinė anglis</v>
      </c>
      <c r="H204" s="250" t="str">
        <f>IF(COUNTIF($G$175:$J$179,G204)&gt;0,MAX(H$188:H203)+1,"")</f>
        <v/>
      </c>
      <c r="I204" s="17" t="str">
        <f t="shared" si="32"/>
        <v/>
      </c>
      <c r="J204" s="250"/>
      <c r="K204" s="250"/>
      <c r="L204" s="250"/>
      <c r="M204" s="251"/>
      <c r="N204" s="7"/>
      <c r="O204" s="7"/>
      <c r="P204" s="45"/>
      <c r="Q204" s="45"/>
      <c r="R204" s="45"/>
      <c r="S204" s="45"/>
      <c r="T204" s="45"/>
      <c r="U204" s="45"/>
      <c r="V204" s="45"/>
      <c r="W204" s="45"/>
      <c r="X204" s="45"/>
      <c r="Y204" s="45"/>
      <c r="Z204" s="45"/>
      <c r="AA204" s="45"/>
      <c r="AB204" s="45"/>
    </row>
    <row r="205" spans="1:28" s="1" customFormat="1" ht="12.75" hidden="1" customHeight="1" x14ac:dyDescent="0.2">
      <c r="A205" s="47" t="s">
        <v>85</v>
      </c>
      <c r="B205" s="243"/>
      <c r="C205" s="711"/>
      <c r="D205" s="244"/>
      <c r="E205" s="7"/>
      <c r="F205" s="249">
        <v>24</v>
      </c>
      <c r="G205" s="250" t="str">
        <f t="shared" si="31"/>
        <v>Kalkės, dolomitas, magnezitas: Karbonatai (A metodas)</v>
      </c>
      <c r="H205" s="250" t="str">
        <f>IF(COUNTIF($G$175:$J$179,G205)&gt;0,MAX(H$188:H204)+1,"")</f>
        <v/>
      </c>
      <c r="I205" s="17" t="str">
        <f t="shared" si="32"/>
        <v/>
      </c>
      <c r="J205" s="250"/>
      <c r="K205" s="250"/>
      <c r="L205" s="250"/>
      <c r="M205" s="251"/>
      <c r="N205" s="7"/>
      <c r="O205" s="7"/>
      <c r="P205" s="45"/>
      <c r="Q205" s="45"/>
      <c r="R205" s="45"/>
      <c r="S205" s="45"/>
      <c r="T205" s="45"/>
      <c r="U205" s="45"/>
      <c r="V205" s="45"/>
      <c r="W205" s="45"/>
      <c r="X205" s="45"/>
      <c r="Y205" s="45"/>
      <c r="Z205" s="45"/>
      <c r="AA205" s="45"/>
      <c r="AB205" s="45"/>
    </row>
    <row r="206" spans="1:28" s="1" customFormat="1" ht="12.75" hidden="1" customHeight="1" x14ac:dyDescent="0.2">
      <c r="A206" s="47" t="s">
        <v>85</v>
      </c>
      <c r="B206" s="243"/>
      <c r="C206" s="711"/>
      <c r="D206" s="244"/>
      <c r="E206" s="7"/>
      <c r="F206" s="249">
        <v>25</v>
      </c>
      <c r="G206" s="250" t="str">
        <f t="shared" si="31"/>
        <v>Kalkės, dolomitas, magnezitas: Šarminių žemių metalų oksidas (B metodas)</v>
      </c>
      <c r="H206" s="250" t="str">
        <f>IF(COUNTIF($G$175:$J$179,G206)&gt;0,MAX(H$188:H205)+1,"")</f>
        <v/>
      </c>
      <c r="I206" s="17" t="str">
        <f t="shared" si="32"/>
        <v/>
      </c>
      <c r="J206" s="250"/>
      <c r="K206" s="250"/>
      <c r="L206" s="250"/>
      <c r="M206" s="251"/>
      <c r="N206" s="7"/>
      <c r="O206" s="7"/>
      <c r="P206" s="45"/>
      <c r="Q206" s="45"/>
      <c r="R206" s="45"/>
      <c r="S206" s="45"/>
      <c r="T206" s="45"/>
      <c r="U206" s="45"/>
      <c r="V206" s="45"/>
      <c r="W206" s="45"/>
      <c r="X206" s="45"/>
      <c r="Y206" s="45"/>
      <c r="Z206" s="45"/>
      <c r="AA206" s="45"/>
      <c r="AB206" s="45"/>
    </row>
    <row r="207" spans="1:28" s="1" customFormat="1" ht="12.75" hidden="1" customHeight="1" x14ac:dyDescent="0.2">
      <c r="A207" s="47" t="s">
        <v>85</v>
      </c>
      <c r="B207" s="243"/>
      <c r="C207" s="711"/>
      <c r="D207" s="244"/>
      <c r="E207" s="7"/>
      <c r="F207" s="249">
        <v>26</v>
      </c>
      <c r="G207" s="250" t="str">
        <f t="shared" si="31"/>
        <v>Kalkės, dolomitas, magnezitas: Degimo krosnių dulkės (B metodas)</v>
      </c>
      <c r="H207" s="250" t="str">
        <f>IF(COUNTIF($G$175:$J$179,G207)&gt;0,MAX(H$188:H206)+1,"")</f>
        <v/>
      </c>
      <c r="I207" s="17" t="str">
        <f t="shared" si="32"/>
        <v/>
      </c>
      <c r="J207" s="250"/>
      <c r="K207" s="250"/>
      <c r="L207" s="250"/>
      <c r="M207" s="251"/>
      <c r="N207" s="7"/>
      <c r="O207" s="7"/>
      <c r="P207" s="45"/>
      <c r="Q207" s="45"/>
      <c r="R207" s="45"/>
      <c r="S207" s="45"/>
      <c r="T207" s="45"/>
      <c r="U207" s="45"/>
      <c r="V207" s="45"/>
      <c r="W207" s="45"/>
      <c r="X207" s="45"/>
      <c r="Y207" s="45"/>
      <c r="Z207" s="45"/>
      <c r="AA207" s="45"/>
      <c r="AB207" s="45"/>
    </row>
    <row r="208" spans="1:28" s="1" customFormat="1" ht="12.75" hidden="1" customHeight="1" x14ac:dyDescent="0.2">
      <c r="A208" s="47" t="s">
        <v>85</v>
      </c>
      <c r="B208" s="243"/>
      <c r="C208" s="711"/>
      <c r="D208" s="244"/>
      <c r="E208" s="7"/>
      <c r="F208" s="249">
        <v>27</v>
      </c>
      <c r="G208" s="250" t="str">
        <f t="shared" si="31"/>
        <v>Stiklas ir mineralinė vata: Karbonatai (žaliava)</v>
      </c>
      <c r="H208" s="250" t="str">
        <f>IF(COUNTIF($G$175:$J$179,G208)&gt;0,MAX(H$188:H207)+1,"")</f>
        <v/>
      </c>
      <c r="I208" s="17" t="str">
        <f t="shared" si="32"/>
        <v/>
      </c>
      <c r="J208" s="250"/>
      <c r="K208" s="250"/>
      <c r="L208" s="250"/>
      <c r="M208" s="251"/>
      <c r="N208" s="7"/>
      <c r="O208" s="7"/>
      <c r="P208" s="45"/>
      <c r="Q208" s="45"/>
      <c r="R208" s="45"/>
      <c r="S208" s="45"/>
      <c r="T208" s="45"/>
      <c r="U208" s="45"/>
      <c r="V208" s="45"/>
      <c r="W208" s="45"/>
      <c r="X208" s="45"/>
      <c r="Y208" s="45"/>
      <c r="Z208" s="45"/>
      <c r="AA208" s="45"/>
      <c r="AB208" s="45"/>
    </row>
    <row r="209" spans="1:28" s="1" customFormat="1" ht="12.75" hidden="1" customHeight="1" x14ac:dyDescent="0.2">
      <c r="A209" s="47" t="s">
        <v>85</v>
      </c>
      <c r="B209" s="243"/>
      <c r="C209" s="711"/>
      <c r="D209" s="244"/>
      <c r="E209" s="7"/>
      <c r="F209" s="249">
        <v>28</v>
      </c>
      <c r="G209" s="250" t="str">
        <f t="shared" si="31"/>
        <v>Keramikos dirbiniai.: Anglies sąnaudos (A metodas)</v>
      </c>
      <c r="H209" s="250" t="str">
        <f>IF(COUNTIF($G$175:$J$179,G209)&gt;0,MAX(H$188:H208)+1,"")</f>
        <v/>
      </c>
      <c r="I209" s="17" t="str">
        <f t="shared" si="32"/>
        <v/>
      </c>
      <c r="J209" s="250"/>
      <c r="K209" s="250"/>
      <c r="L209" s="250"/>
      <c r="M209" s="251"/>
      <c r="N209" s="7"/>
      <c r="O209" s="7"/>
      <c r="P209" s="45"/>
      <c r="Q209" s="45"/>
      <c r="R209" s="45"/>
      <c r="S209" s="45"/>
      <c r="T209" s="45"/>
      <c r="U209" s="45"/>
      <c r="V209" s="45"/>
      <c r="W209" s="45"/>
      <c r="X209" s="45"/>
      <c r="Y209" s="45"/>
      <c r="Z209" s="45"/>
      <c r="AA209" s="45"/>
      <c r="AB209" s="45"/>
    </row>
    <row r="210" spans="1:28" s="1" customFormat="1" ht="12.75" hidden="1" customHeight="1" x14ac:dyDescent="0.2">
      <c r="A210" s="47" t="s">
        <v>85</v>
      </c>
      <c r="B210" s="243"/>
      <c r="C210" s="711"/>
      <c r="D210" s="244"/>
      <c r="E210" s="7"/>
      <c r="F210" s="249">
        <v>29</v>
      </c>
      <c r="G210" s="250" t="str">
        <f t="shared" si="31"/>
        <v>Keramikos dirbiniai.: Šarminių metalų oksidas (B metodas)</v>
      </c>
      <c r="H210" s="250" t="str">
        <f>IF(COUNTIF($G$175:$J$179,G210)&gt;0,MAX(H$188:H209)+1,"")</f>
        <v/>
      </c>
      <c r="I210" s="17" t="str">
        <f t="shared" si="32"/>
        <v/>
      </c>
      <c r="J210" s="250"/>
      <c r="K210" s="250"/>
      <c r="L210" s="250"/>
      <c r="M210" s="251"/>
      <c r="N210" s="7"/>
      <c r="O210" s="7"/>
      <c r="P210" s="45"/>
      <c r="Q210" s="45"/>
      <c r="R210" s="45"/>
      <c r="S210" s="45"/>
      <c r="T210" s="45"/>
      <c r="U210" s="45"/>
      <c r="V210" s="45"/>
      <c r="W210" s="45"/>
      <c r="X210" s="45"/>
      <c r="Y210" s="45"/>
      <c r="Z210" s="45"/>
      <c r="AA210" s="45"/>
      <c r="AB210" s="45"/>
    </row>
    <row r="211" spans="1:28" s="1" customFormat="1" ht="12.75" hidden="1" customHeight="1" x14ac:dyDescent="0.2">
      <c r="A211" s="47" t="s">
        <v>85</v>
      </c>
      <c r="B211" s="243"/>
      <c r="C211" s="711"/>
      <c r="D211" s="244"/>
      <c r="E211" s="7"/>
      <c r="F211" s="249">
        <v>30</v>
      </c>
      <c r="G211" s="250" t="str">
        <f t="shared" si="31"/>
        <v>Keramikos dirbiniai.: Dujų plovimas</v>
      </c>
      <c r="H211" s="250" t="str">
        <f>IF(COUNTIF($G$175:$J$179,G211)&gt;0,MAX(H$188:H210)+1,"")</f>
        <v/>
      </c>
      <c r="I211" s="17" t="str">
        <f t="shared" si="32"/>
        <v/>
      </c>
      <c r="J211" s="250"/>
      <c r="K211" s="250"/>
      <c r="L211" s="250"/>
      <c r="M211" s="251"/>
      <c r="N211" s="7"/>
      <c r="O211" s="7"/>
      <c r="P211" s="45"/>
      <c r="Q211" s="45"/>
      <c r="R211" s="45"/>
      <c r="S211" s="45"/>
      <c r="T211" s="45"/>
      <c r="U211" s="45"/>
      <c r="V211" s="45"/>
      <c r="W211" s="45"/>
      <c r="X211" s="45"/>
      <c r="Y211" s="45"/>
      <c r="Z211" s="45"/>
      <c r="AA211" s="45"/>
      <c r="AB211" s="45"/>
    </row>
    <row r="212" spans="1:28" s="1" customFormat="1" ht="12.75" hidden="1" customHeight="1" x14ac:dyDescent="0.2">
      <c r="A212" s="47" t="s">
        <v>85</v>
      </c>
      <c r="B212" s="243"/>
      <c r="C212" s="711"/>
      <c r="D212" s="244"/>
      <c r="E212" s="7"/>
      <c r="F212" s="249">
        <v>31</v>
      </c>
      <c r="G212" s="250" t="str">
        <f t="shared" si="31"/>
        <v>Celiuliozė ir popierius: Sudėtinės cheminės medžiagos</v>
      </c>
      <c r="H212" s="250" t="str">
        <f>IF(COUNTIF($G$175:$J$179,G212)&gt;0,MAX(H$188:H211)+1,"")</f>
        <v/>
      </c>
      <c r="I212" s="17" t="str">
        <f t="shared" si="32"/>
        <v/>
      </c>
      <c r="J212" s="250"/>
      <c r="K212" s="250"/>
      <c r="L212" s="250"/>
      <c r="M212" s="251"/>
      <c r="N212" s="7"/>
      <c r="O212" s="7"/>
      <c r="P212" s="45"/>
      <c r="Q212" s="45"/>
      <c r="R212" s="45"/>
      <c r="S212" s="45"/>
      <c r="T212" s="45"/>
      <c r="U212" s="45"/>
      <c r="V212" s="45"/>
      <c r="W212" s="45"/>
      <c r="X212" s="45"/>
      <c r="Y212" s="45"/>
      <c r="Z212" s="45"/>
      <c r="AA212" s="45"/>
      <c r="AB212" s="45"/>
    </row>
    <row r="213" spans="1:28" s="1" customFormat="1" ht="12.75" hidden="1" customHeight="1" x14ac:dyDescent="0.2">
      <c r="A213" s="47" t="s">
        <v>85</v>
      </c>
      <c r="B213" s="243"/>
      <c r="C213" s="711"/>
      <c r="D213" s="244"/>
      <c r="E213" s="7"/>
      <c r="F213" s="249">
        <v>32</v>
      </c>
      <c r="G213" s="250" t="str">
        <f t="shared" si="31"/>
        <v>Padengtas kartonas Suodžiai: Masės balanso metodika</v>
      </c>
      <c r="H213" s="250" t="str">
        <f>IF(COUNTIF($G$175:$J$179,G213)&gt;0,MAX(H$188:H212)+1,"")</f>
        <v/>
      </c>
      <c r="I213" s="17" t="str">
        <f t="shared" si="32"/>
        <v/>
      </c>
      <c r="J213" s="250"/>
      <c r="K213" s="250"/>
      <c r="L213" s="250"/>
      <c r="M213" s="251"/>
      <c r="N213" s="7"/>
      <c r="O213" s="7"/>
      <c r="P213" s="45"/>
      <c r="Q213" s="45"/>
      <c r="R213" s="45"/>
      <c r="S213" s="45"/>
      <c r="T213" s="45"/>
      <c r="U213" s="45"/>
      <c r="V213" s="45"/>
      <c r="W213" s="45"/>
      <c r="X213" s="45"/>
      <c r="Y213" s="45"/>
      <c r="Z213" s="45"/>
      <c r="AA213" s="45"/>
      <c r="AB213" s="45"/>
    </row>
    <row r="214" spans="1:28" s="1" customFormat="1" ht="12.75" hidden="1" customHeight="1" x14ac:dyDescent="0.2">
      <c r="A214" s="47" t="s">
        <v>85</v>
      </c>
      <c r="B214" s="243"/>
      <c r="C214" s="711"/>
      <c r="D214" s="244"/>
      <c r="E214" s="7"/>
      <c r="F214" s="249">
        <v>33</v>
      </c>
      <c r="G214" s="250" t="str">
        <f t="shared" si="31"/>
        <v>Amoniakas: Kuras kaip proceso žaliava</v>
      </c>
      <c r="H214" s="250" t="str">
        <f>IF(COUNTIF($G$175:$J$179,G214)&gt;0,MAX(H$188:H213)+1,"")</f>
        <v/>
      </c>
      <c r="I214" s="17" t="str">
        <f t="shared" si="32"/>
        <v/>
      </c>
      <c r="J214" s="250"/>
      <c r="K214" s="250"/>
      <c r="L214" s="250"/>
      <c r="M214" s="251"/>
      <c r="N214" s="7"/>
      <c r="O214" s="7"/>
      <c r="P214" s="45"/>
      <c r="Q214" s="45"/>
      <c r="R214" s="45"/>
      <c r="S214" s="45"/>
      <c r="T214" s="45"/>
      <c r="U214" s="45"/>
      <c r="V214" s="45"/>
      <c r="W214" s="45"/>
      <c r="X214" s="45"/>
      <c r="Y214" s="45"/>
      <c r="Z214" s="45"/>
      <c r="AA214" s="45"/>
      <c r="AB214" s="45"/>
    </row>
    <row r="215" spans="1:28" s="1" customFormat="1" ht="12.75" hidden="1" customHeight="1" x14ac:dyDescent="0.2">
      <c r="A215" s="47" t="s">
        <v>85</v>
      </c>
      <c r="B215" s="243"/>
      <c r="C215" s="711"/>
      <c r="D215" s="244"/>
      <c r="E215" s="7"/>
      <c r="F215" s="249">
        <v>34</v>
      </c>
      <c r="G215" s="250" t="str">
        <f t="shared" si="31"/>
        <v>Vandenilis ir sintezės dujos: Kuras kaip proceso žaliava</v>
      </c>
      <c r="H215" s="250" t="str">
        <f>IF(COUNTIF($G$175:$J$179,G215)&gt;0,MAX(H$188:H214)+1,"")</f>
        <v/>
      </c>
      <c r="I215" s="17" t="str">
        <f t="shared" si="32"/>
        <v/>
      </c>
      <c r="J215" s="250"/>
      <c r="K215" s="250"/>
      <c r="L215" s="250"/>
      <c r="M215" s="251"/>
      <c r="N215" s="7"/>
      <c r="O215" s="7"/>
      <c r="P215" s="45"/>
      <c r="Q215" s="45"/>
      <c r="R215" s="45"/>
      <c r="S215" s="45"/>
      <c r="T215" s="45"/>
      <c r="U215" s="45"/>
      <c r="V215" s="45"/>
      <c r="W215" s="45"/>
      <c r="X215" s="45"/>
      <c r="Y215" s="45"/>
      <c r="Z215" s="45"/>
      <c r="AA215" s="45"/>
      <c r="AB215" s="45"/>
    </row>
    <row r="216" spans="1:28" s="1" customFormat="1" ht="12.75" hidden="1" customHeight="1" x14ac:dyDescent="0.2">
      <c r="A216" s="47" t="s">
        <v>85</v>
      </c>
      <c r="B216" s="243"/>
      <c r="C216" s="711"/>
      <c r="D216" s="244"/>
      <c r="E216" s="7"/>
      <c r="F216" s="249">
        <v>35</v>
      </c>
      <c r="G216" s="250" t="str">
        <f t="shared" si="31"/>
        <v>Vandenilis ir sintezės dujos: Masės balanso metodika</v>
      </c>
      <c r="H216" s="250" t="str">
        <f>IF(COUNTIF($G$175:$J$179,G216)&gt;0,MAX(H$188:H215)+1,"")</f>
        <v/>
      </c>
      <c r="I216" s="17" t="str">
        <f t="shared" si="32"/>
        <v/>
      </c>
      <c r="J216" s="250"/>
      <c r="K216" s="250"/>
      <c r="L216" s="250"/>
      <c r="M216" s="251"/>
      <c r="N216" s="7"/>
      <c r="O216" s="7"/>
      <c r="P216" s="45"/>
      <c r="Q216" s="45"/>
      <c r="R216" s="45"/>
      <c r="S216" s="45"/>
      <c r="T216" s="45"/>
      <c r="U216" s="45"/>
      <c r="V216" s="45"/>
      <c r="W216" s="45"/>
      <c r="X216" s="45"/>
      <c r="Y216" s="45"/>
      <c r="Z216" s="45"/>
      <c r="AA216" s="45"/>
      <c r="AB216" s="45"/>
    </row>
    <row r="217" spans="1:28" s="1" customFormat="1" ht="12.75" hidden="1" customHeight="1" x14ac:dyDescent="0.2">
      <c r="A217" s="47" t="s">
        <v>85</v>
      </c>
      <c r="B217" s="243"/>
      <c r="C217" s="711"/>
      <c r="D217" s="244"/>
      <c r="E217" s="7"/>
      <c r="F217" s="249">
        <v>36</v>
      </c>
      <c r="G217" s="250" t="str">
        <f t="shared" si="31"/>
        <v>Didelio masto organinių cheminių medžiagų gamyba: Masės balanso metodika</v>
      </c>
      <c r="H217" s="250" t="str">
        <f>IF(COUNTIF($G$175:$J$179,G217)&gt;0,MAX(H$188:H216)+1,"")</f>
        <v/>
      </c>
      <c r="I217" s="17" t="str">
        <f t="shared" si="32"/>
        <v/>
      </c>
      <c r="J217" s="250"/>
      <c r="K217" s="250"/>
      <c r="L217" s="250"/>
      <c r="M217" s="251"/>
      <c r="N217" s="7"/>
      <c r="O217" s="7"/>
      <c r="P217" s="45"/>
      <c r="Q217" s="45"/>
      <c r="R217" s="45"/>
      <c r="S217" s="45"/>
      <c r="T217" s="45"/>
      <c r="U217" s="45"/>
      <c r="V217" s="45"/>
      <c r="W217" s="45"/>
      <c r="X217" s="45"/>
      <c r="Y217" s="45"/>
      <c r="Z217" s="45"/>
      <c r="AA217" s="45"/>
      <c r="AB217" s="45"/>
    </row>
    <row r="218" spans="1:28" s="1" customFormat="1" ht="12.75" hidden="1" customHeight="1" x14ac:dyDescent="0.2">
      <c r="A218" s="47" t="s">
        <v>85</v>
      </c>
      <c r="B218" s="243"/>
      <c r="C218" s="711"/>
      <c r="D218" s="244"/>
      <c r="E218" s="7"/>
      <c r="F218" s="249">
        <v>37</v>
      </c>
      <c r="G218" s="250" t="str">
        <f t="shared" si="31"/>
        <v>(Ne)spalvotieji, antrinis aliuminis: Proceso metu išsiskiriančios ŠESD</v>
      </c>
      <c r="H218" s="250" t="str">
        <f>IF(COUNTIF($G$175:$J$179,G218)&gt;0,MAX(H$188:H217)+1,"")</f>
        <v/>
      </c>
      <c r="I218" s="17" t="str">
        <f t="shared" si="32"/>
        <v/>
      </c>
      <c r="J218" s="250"/>
      <c r="K218" s="250"/>
      <c r="L218" s="250"/>
      <c r="M218" s="251"/>
      <c r="N218" s="7"/>
      <c r="O218" s="7"/>
      <c r="P218" s="45"/>
      <c r="Q218" s="45"/>
      <c r="R218" s="45"/>
      <c r="S218" s="45"/>
      <c r="T218" s="45"/>
      <c r="U218" s="45"/>
      <c r="V218" s="45"/>
      <c r="W218" s="45"/>
      <c r="X218" s="45"/>
      <c r="Y218" s="45"/>
      <c r="Z218" s="45"/>
      <c r="AA218" s="45"/>
      <c r="AB218" s="45"/>
    </row>
    <row r="219" spans="1:28" s="1" customFormat="1" ht="12.75" hidden="1" customHeight="1" x14ac:dyDescent="0.2">
      <c r="A219" s="47" t="s">
        <v>85</v>
      </c>
      <c r="B219" s="243"/>
      <c r="C219" s="711"/>
      <c r="D219" s="244"/>
      <c r="E219" s="7"/>
      <c r="F219" s="249">
        <v>38</v>
      </c>
      <c r="G219" s="250" t="str">
        <f t="shared" si="31"/>
        <v>(Ne)spalvotieji, antrinis aliuminis: Masės balanso metodika</v>
      </c>
      <c r="H219" s="250" t="str">
        <f>IF(COUNTIF($G$175:$J$179,G219)&gt;0,MAX(H$188:H218)+1,"")</f>
        <v/>
      </c>
      <c r="I219" s="17" t="str">
        <f t="shared" si="32"/>
        <v/>
      </c>
      <c r="J219" s="250"/>
      <c r="K219" s="250"/>
      <c r="L219" s="250"/>
      <c r="M219" s="251"/>
      <c r="N219" s="7"/>
      <c r="O219" s="7"/>
      <c r="P219" s="45"/>
      <c r="Q219" s="45"/>
      <c r="R219" s="45"/>
      <c r="S219" s="45"/>
      <c r="T219" s="45"/>
      <c r="U219" s="45"/>
      <c r="V219" s="45"/>
      <c r="W219" s="45"/>
      <c r="X219" s="45"/>
      <c r="Y219" s="45"/>
      <c r="Z219" s="45"/>
      <c r="AA219" s="45"/>
      <c r="AB219" s="45"/>
    </row>
    <row r="220" spans="1:28" s="1" customFormat="1" ht="12.75" hidden="1" customHeight="1" x14ac:dyDescent="0.2">
      <c r="A220" s="47" t="s">
        <v>85</v>
      </c>
      <c r="B220" s="243"/>
      <c r="C220" s="711"/>
      <c r="D220" s="244"/>
      <c r="E220" s="7"/>
      <c r="F220" s="249">
        <v>39</v>
      </c>
      <c r="G220" s="250" t="str">
        <f>INDEX(EUConst_TierActivityListNames,F220)</f>
        <v>Natrio karbonatas / natrio hidrokarbonatas: Masės balanso metodika</v>
      </c>
      <c r="H220" s="250" t="str">
        <f>IF(COUNTIF($G$175:$J$179,G220)&gt;0,MAX(H$188:H219)+1,"")</f>
        <v/>
      </c>
      <c r="I220" s="17" t="str">
        <f t="shared" si="32"/>
        <v/>
      </c>
      <c r="J220" s="250"/>
      <c r="K220" s="250"/>
      <c r="L220" s="250"/>
      <c r="M220" s="251"/>
      <c r="N220" s="7"/>
      <c r="O220" s="7"/>
      <c r="P220" s="45"/>
      <c r="Q220" s="45"/>
      <c r="R220" s="45"/>
      <c r="S220" s="45"/>
      <c r="T220" s="45"/>
      <c r="U220" s="45"/>
      <c r="V220" s="45"/>
      <c r="W220" s="45"/>
      <c r="X220" s="45"/>
      <c r="Y220" s="45"/>
      <c r="Z220" s="45"/>
      <c r="AA220" s="45"/>
      <c r="AB220" s="45"/>
    </row>
    <row r="221" spans="1:28" s="1" customFormat="1" ht="12.75" hidden="1" customHeight="1" x14ac:dyDescent="0.2">
      <c r="A221" s="47" t="s">
        <v>85</v>
      </c>
      <c r="B221" s="243"/>
      <c r="C221" s="711"/>
      <c r="D221" s="244"/>
      <c r="E221" s="7"/>
      <c r="F221" s="249">
        <v>40</v>
      </c>
      <c r="G221" s="250" t="str">
        <f>INDEX(EUConst_TierActivityListNames,F221)</f>
        <v>Pirminis aliuminis: Masės balanso metodika</v>
      </c>
      <c r="H221" s="250" t="str">
        <f>IF(COUNTIF($G$175:$J$179,G221)&gt;0,MAX(H$188:H220)+1,"")</f>
        <v/>
      </c>
      <c r="I221" s="17" t="str">
        <f t="shared" si="32"/>
        <v/>
      </c>
      <c r="J221" s="250"/>
      <c r="K221" s="250"/>
      <c r="L221" s="250"/>
      <c r="M221" s="251"/>
      <c r="N221" s="7"/>
      <c r="O221" s="7"/>
      <c r="P221" s="45"/>
      <c r="Q221" s="45"/>
      <c r="R221" s="45"/>
      <c r="S221" s="45"/>
      <c r="T221" s="45"/>
      <c r="U221" s="45"/>
      <c r="V221" s="45"/>
      <c r="W221" s="45"/>
      <c r="X221" s="45"/>
      <c r="Y221" s="45"/>
      <c r="Z221" s="45"/>
      <c r="AA221" s="45"/>
      <c r="AB221" s="45"/>
    </row>
    <row r="222" spans="1:28" s="1" customFormat="1" ht="12.75" hidden="1" customHeight="1" x14ac:dyDescent="0.2">
      <c r="A222" s="47" t="s">
        <v>85</v>
      </c>
      <c r="B222" s="243"/>
      <c r="C222" s="711"/>
      <c r="D222" s="244"/>
      <c r="E222" s="7"/>
      <c r="F222" s="249">
        <v>41</v>
      </c>
      <c r="G222" s="250" t="str">
        <f t="shared" si="31"/>
        <v>Pirminis aliuminis: Išmetamas PFC kiekis (nuolydžio metodas)</v>
      </c>
      <c r="H222" s="250" t="str">
        <f>IF(COUNTIF($G$175:$J$179,G222)&gt;0,MAX(H$188:H221)+1,"")</f>
        <v/>
      </c>
      <c r="I222" s="17" t="str">
        <f t="shared" si="32"/>
        <v/>
      </c>
      <c r="J222" s="250"/>
      <c r="K222" s="250"/>
      <c r="L222" s="250"/>
      <c r="M222" s="251"/>
      <c r="N222" s="7"/>
      <c r="O222" s="7"/>
      <c r="P222" s="45"/>
      <c r="Q222" s="45"/>
      <c r="R222" s="45"/>
      <c r="S222" s="45"/>
      <c r="T222" s="45"/>
      <c r="U222" s="45"/>
      <c r="V222" s="45"/>
      <c r="W222" s="45"/>
      <c r="X222" s="45"/>
      <c r="Y222" s="45"/>
      <c r="Z222" s="45"/>
      <c r="AA222" s="45"/>
      <c r="AB222" s="45"/>
    </row>
    <row r="223" spans="1:28" s="1" customFormat="1" ht="12.75" hidden="1" customHeight="1" thickBot="1" x14ac:dyDescent="0.25">
      <c r="A223" s="47" t="s">
        <v>85</v>
      </c>
      <c r="B223" s="243"/>
      <c r="C223" s="711"/>
      <c r="D223" s="244"/>
      <c r="E223" s="7"/>
      <c r="F223" s="252">
        <v>42</v>
      </c>
      <c r="G223" s="253" t="str">
        <f t="shared" si="31"/>
        <v>Pirminis aliuminis: Išmetamas PFC kiekis (viršįtampio metodas)</v>
      </c>
      <c r="H223" s="253" t="str">
        <f>IF(COUNTIF($G$175:$J$179,G223)&gt;0,MAX(H$188:H222)+1,"")</f>
        <v/>
      </c>
      <c r="I223" s="18" t="str">
        <f t="shared" si="32"/>
        <v/>
      </c>
      <c r="J223" s="253"/>
      <c r="K223" s="253"/>
      <c r="L223" s="253"/>
      <c r="M223" s="254"/>
      <c r="N223" s="7"/>
      <c r="O223" s="7"/>
      <c r="P223" s="45"/>
      <c r="Q223" s="45"/>
      <c r="R223" s="45"/>
      <c r="S223" s="45"/>
      <c r="T223" s="45"/>
      <c r="U223" s="45"/>
      <c r="V223" s="45"/>
      <c r="W223" s="45"/>
      <c r="X223" s="45"/>
      <c r="Y223" s="45"/>
      <c r="Z223" s="45"/>
      <c r="AA223" s="45"/>
      <c r="AB223" s="45"/>
    </row>
    <row r="224" spans="1:28" s="1" customFormat="1" ht="12.75" hidden="1" customHeight="1" x14ac:dyDescent="0.2">
      <c r="A224" s="47" t="s">
        <v>85</v>
      </c>
      <c r="B224" s="243"/>
      <c r="C224" s="711"/>
      <c r="D224" s="244"/>
      <c r="E224" s="243"/>
      <c r="F224" s="243"/>
      <c r="G224" s="243"/>
      <c r="H224" s="243"/>
      <c r="I224" s="243"/>
      <c r="J224" s="243"/>
      <c r="K224" s="243"/>
      <c r="L224" s="243"/>
      <c r="M224" s="243"/>
      <c r="N224" s="243"/>
      <c r="O224" s="260"/>
      <c r="P224" s="45"/>
      <c r="Q224" s="45"/>
      <c r="R224" s="45"/>
      <c r="S224" s="45"/>
      <c r="T224" s="45"/>
      <c r="U224" s="45"/>
      <c r="V224" s="45"/>
      <c r="W224" s="45"/>
      <c r="X224" s="45"/>
      <c r="Y224" s="45"/>
      <c r="Z224" s="45"/>
      <c r="AA224" s="45"/>
      <c r="AB224" s="45"/>
    </row>
  </sheetData>
  <sheetProtection formatCells="0" formatColumns="0" formatRows="0"/>
  <mergeCells count="360">
    <mergeCell ref="M156:N156"/>
    <mergeCell ref="L147:N147"/>
    <mergeCell ref="E23:G23"/>
    <mergeCell ref="J24:K24"/>
    <mergeCell ref="J25:K25"/>
    <mergeCell ref="E26:G26"/>
    <mergeCell ref="H23:I23"/>
    <mergeCell ref="H24:I24"/>
    <mergeCell ref="H25:I25"/>
    <mergeCell ref="H26:I26"/>
    <mergeCell ref="E27:G27"/>
    <mergeCell ref="E28:G28"/>
    <mergeCell ref="E29:G29"/>
    <mergeCell ref="H29:I29"/>
    <mergeCell ref="H30:I30"/>
    <mergeCell ref="J23:K23"/>
    <mergeCell ref="E30:G30"/>
    <mergeCell ref="E24:G24"/>
    <mergeCell ref="E25:G25"/>
    <mergeCell ref="I2:J2"/>
    <mergeCell ref="E4:F4"/>
    <mergeCell ref="I3:J3"/>
    <mergeCell ref="G4:H4"/>
    <mergeCell ref="G3:H3"/>
    <mergeCell ref="J46:N46"/>
    <mergeCell ref="F13:N13"/>
    <mergeCell ref="E16:N16"/>
    <mergeCell ref="F14:N14"/>
    <mergeCell ref="M2:N2"/>
    <mergeCell ref="K4:L4"/>
    <mergeCell ref="J26:K26"/>
    <mergeCell ref="E10:N10"/>
    <mergeCell ref="H27:I27"/>
    <mergeCell ref="H28:I28"/>
    <mergeCell ref="J30:K30"/>
    <mergeCell ref="E21:N21"/>
    <mergeCell ref="F63:N63"/>
    <mergeCell ref="M154:N154"/>
    <mergeCell ref="M155:N155"/>
    <mergeCell ref="F156:L156"/>
    <mergeCell ref="G2:H2"/>
    <mergeCell ref="I4:J4"/>
    <mergeCell ref="M3:N3"/>
    <mergeCell ref="M4:N4"/>
    <mergeCell ref="E46:H46"/>
    <mergeCell ref="E17:N17"/>
    <mergeCell ref="E37:N37"/>
    <mergeCell ref="J28:K28"/>
    <mergeCell ref="E40:N40"/>
    <mergeCell ref="D32:N32"/>
    <mergeCell ref="B2:D4"/>
    <mergeCell ref="K3:L3"/>
    <mergeCell ref="E2:F2"/>
    <mergeCell ref="K2:L2"/>
    <mergeCell ref="E3:F3"/>
    <mergeCell ref="E39:N39"/>
    <mergeCell ref="J27:K27"/>
    <mergeCell ref="D8:N8"/>
    <mergeCell ref="E15:N15"/>
    <mergeCell ref="E34:N34"/>
    <mergeCell ref="M160:N160"/>
    <mergeCell ref="F160:L160"/>
    <mergeCell ref="F159:L159"/>
    <mergeCell ref="E150:N150"/>
    <mergeCell ref="M159:N159"/>
    <mergeCell ref="F154:L154"/>
    <mergeCell ref="F155:L155"/>
    <mergeCell ref="M158:N158"/>
    <mergeCell ref="E171:I171"/>
    <mergeCell ref="F169:L169"/>
    <mergeCell ref="F158:L158"/>
    <mergeCell ref="F165:L165"/>
    <mergeCell ref="E151:N151"/>
    <mergeCell ref="M165:N165"/>
    <mergeCell ref="F161:L161"/>
    <mergeCell ref="M161:N161"/>
    <mergeCell ref="F162:L162"/>
    <mergeCell ref="M162:N162"/>
    <mergeCell ref="F163:L163"/>
    <mergeCell ref="M163:N163"/>
    <mergeCell ref="F164:L164"/>
    <mergeCell ref="M164:N164"/>
    <mergeCell ref="M157:N157"/>
    <mergeCell ref="F157:L157"/>
    <mergeCell ref="C6:N6"/>
    <mergeCell ref="L71:M71"/>
    <mergeCell ref="L72:M72"/>
    <mergeCell ref="J29:K29"/>
    <mergeCell ref="K50:N50"/>
    <mergeCell ref="J47:N47"/>
    <mergeCell ref="E38:N38"/>
    <mergeCell ref="E11:N11"/>
    <mergeCell ref="E12:N12"/>
    <mergeCell ref="E18:N18"/>
    <mergeCell ref="E36:N36"/>
    <mergeCell ref="E47:H47"/>
    <mergeCell ref="E45:H45"/>
    <mergeCell ref="E43:H43"/>
    <mergeCell ref="J44:N44"/>
    <mergeCell ref="E44:H44"/>
    <mergeCell ref="E49:K49"/>
    <mergeCell ref="J42:N42"/>
    <mergeCell ref="E42:H42"/>
    <mergeCell ref="J43:N43"/>
    <mergeCell ref="L49:N49"/>
    <mergeCell ref="F56:N56"/>
    <mergeCell ref="E53:N53"/>
    <mergeCell ref="F54:N54"/>
    <mergeCell ref="E20:N20"/>
    <mergeCell ref="E152:N152"/>
    <mergeCell ref="F61:N61"/>
    <mergeCell ref="E64:N64"/>
    <mergeCell ref="L133:M133"/>
    <mergeCell ref="L134:M134"/>
    <mergeCell ref="E125:H125"/>
    <mergeCell ref="I125:K125"/>
    <mergeCell ref="E126:H126"/>
    <mergeCell ref="I126:K126"/>
    <mergeCell ref="E124:H124"/>
    <mergeCell ref="I124:K124"/>
    <mergeCell ref="F55:N55"/>
    <mergeCell ref="E52:N52"/>
    <mergeCell ref="F57:N57"/>
    <mergeCell ref="F58:N58"/>
    <mergeCell ref="F60:N60"/>
    <mergeCell ref="F59:N59"/>
    <mergeCell ref="L73:M73"/>
    <mergeCell ref="L74:M74"/>
    <mergeCell ref="K148:N148"/>
    <mergeCell ref="J45:N45"/>
    <mergeCell ref="E147:K147"/>
    <mergeCell ref="F62:N62"/>
    <mergeCell ref="L81:M81"/>
    <mergeCell ref="L82:M82"/>
    <mergeCell ref="L83:M83"/>
    <mergeCell ref="L84:M84"/>
    <mergeCell ref="L85:M85"/>
    <mergeCell ref="L86:M86"/>
    <mergeCell ref="L75:M75"/>
    <mergeCell ref="L76:M76"/>
    <mergeCell ref="L77:M77"/>
    <mergeCell ref="L78:M78"/>
    <mergeCell ref="L79:M79"/>
    <mergeCell ref="L80:M80"/>
    <mergeCell ref="L93:M93"/>
    <mergeCell ref="L94:M94"/>
    <mergeCell ref="L95:M95"/>
    <mergeCell ref="L96:M96"/>
    <mergeCell ref="L97:M97"/>
    <mergeCell ref="L98:M98"/>
    <mergeCell ref="L87:M87"/>
    <mergeCell ref="L88:M88"/>
    <mergeCell ref="L89:M89"/>
    <mergeCell ref="L90:M90"/>
    <mergeCell ref="L91:M91"/>
    <mergeCell ref="L92:M92"/>
    <mergeCell ref="L105:M105"/>
    <mergeCell ref="L106:M106"/>
    <mergeCell ref="L107:M107"/>
    <mergeCell ref="L108:M108"/>
    <mergeCell ref="L109:M109"/>
    <mergeCell ref="L110:M110"/>
    <mergeCell ref="L99:M99"/>
    <mergeCell ref="L100:M100"/>
    <mergeCell ref="L101:M101"/>
    <mergeCell ref="L102:M102"/>
    <mergeCell ref="L103:M103"/>
    <mergeCell ref="L104:M104"/>
    <mergeCell ref="L127:M127"/>
    <mergeCell ref="L128:M128"/>
    <mergeCell ref="L117:M117"/>
    <mergeCell ref="L118:M118"/>
    <mergeCell ref="L119:M119"/>
    <mergeCell ref="L120:M120"/>
    <mergeCell ref="L121:M121"/>
    <mergeCell ref="L122:M122"/>
    <mergeCell ref="L111:M111"/>
    <mergeCell ref="L112:M112"/>
    <mergeCell ref="L113:M113"/>
    <mergeCell ref="L114:M114"/>
    <mergeCell ref="L115:M115"/>
    <mergeCell ref="L116:M116"/>
    <mergeCell ref="L143:M143"/>
    <mergeCell ref="L144:M144"/>
    <mergeCell ref="L145:M145"/>
    <mergeCell ref="L66:M66"/>
    <mergeCell ref="L67:M67"/>
    <mergeCell ref="L68:M68"/>
    <mergeCell ref="L69:M69"/>
    <mergeCell ref="L70:M70"/>
    <mergeCell ref="L137:M137"/>
    <mergeCell ref="L138:M138"/>
    <mergeCell ref="L139:M139"/>
    <mergeCell ref="L140:M140"/>
    <mergeCell ref="L141:M141"/>
    <mergeCell ref="L142:M142"/>
    <mergeCell ref="L129:M129"/>
    <mergeCell ref="L130:M130"/>
    <mergeCell ref="L131:M131"/>
    <mergeCell ref="L132:M132"/>
    <mergeCell ref="L135:M135"/>
    <mergeCell ref="L136:M136"/>
    <mergeCell ref="L123:M123"/>
    <mergeCell ref="L124:M124"/>
    <mergeCell ref="L125:M125"/>
    <mergeCell ref="L126:M126"/>
    <mergeCell ref="E73:H73"/>
    <mergeCell ref="I73:K73"/>
    <mergeCell ref="E74:H74"/>
    <mergeCell ref="I74:K74"/>
    <mergeCell ref="E75:H75"/>
    <mergeCell ref="I75:K75"/>
    <mergeCell ref="I66:K66"/>
    <mergeCell ref="E66:H66"/>
    <mergeCell ref="I71:K71"/>
    <mergeCell ref="E71:H71"/>
    <mergeCell ref="E72:H72"/>
    <mergeCell ref="I72:K72"/>
    <mergeCell ref="E79:H79"/>
    <mergeCell ref="I79:K79"/>
    <mergeCell ref="E80:H80"/>
    <mergeCell ref="I80:K80"/>
    <mergeCell ref="E81:H81"/>
    <mergeCell ref="I81:K81"/>
    <mergeCell ref="E76:H76"/>
    <mergeCell ref="I76:K76"/>
    <mergeCell ref="E77:H77"/>
    <mergeCell ref="I77:K77"/>
    <mergeCell ref="E78:H78"/>
    <mergeCell ref="I78:K78"/>
    <mergeCell ref="E85:H85"/>
    <mergeCell ref="I85:K85"/>
    <mergeCell ref="E86:H86"/>
    <mergeCell ref="I86:K86"/>
    <mergeCell ref="E87:H87"/>
    <mergeCell ref="I87:K87"/>
    <mergeCell ref="E82:H82"/>
    <mergeCell ref="I82:K82"/>
    <mergeCell ref="E83:H83"/>
    <mergeCell ref="I83:K83"/>
    <mergeCell ref="E84:H84"/>
    <mergeCell ref="I84:K84"/>
    <mergeCell ref="E91:H91"/>
    <mergeCell ref="I91:K91"/>
    <mergeCell ref="E92:H92"/>
    <mergeCell ref="I92:K92"/>
    <mergeCell ref="E93:H93"/>
    <mergeCell ref="I93:K93"/>
    <mergeCell ref="E88:H88"/>
    <mergeCell ref="I88:K88"/>
    <mergeCell ref="E89:H89"/>
    <mergeCell ref="I89:K89"/>
    <mergeCell ref="E90:H90"/>
    <mergeCell ref="I90:K90"/>
    <mergeCell ref="E97:H97"/>
    <mergeCell ref="I97:K97"/>
    <mergeCell ref="E98:H98"/>
    <mergeCell ref="I98:K98"/>
    <mergeCell ref="E99:H99"/>
    <mergeCell ref="I99:K99"/>
    <mergeCell ref="E94:H94"/>
    <mergeCell ref="I94:K94"/>
    <mergeCell ref="E95:H95"/>
    <mergeCell ref="I95:K95"/>
    <mergeCell ref="E96:H96"/>
    <mergeCell ref="I96:K96"/>
    <mergeCell ref="E103:H103"/>
    <mergeCell ref="I103:K103"/>
    <mergeCell ref="E104:H104"/>
    <mergeCell ref="I104:K104"/>
    <mergeCell ref="E105:H105"/>
    <mergeCell ref="I105:K105"/>
    <mergeCell ref="E100:H100"/>
    <mergeCell ref="I100:K100"/>
    <mergeCell ref="E101:H101"/>
    <mergeCell ref="I101:K101"/>
    <mergeCell ref="E102:H102"/>
    <mergeCell ref="I102:K102"/>
    <mergeCell ref="E109:H109"/>
    <mergeCell ref="I109:K109"/>
    <mergeCell ref="E110:H110"/>
    <mergeCell ref="I110:K110"/>
    <mergeCell ref="E111:H111"/>
    <mergeCell ref="I111:K111"/>
    <mergeCell ref="E106:H106"/>
    <mergeCell ref="I106:K106"/>
    <mergeCell ref="E107:H107"/>
    <mergeCell ref="I107:K107"/>
    <mergeCell ref="E108:H108"/>
    <mergeCell ref="I108:K108"/>
    <mergeCell ref="E115:H115"/>
    <mergeCell ref="I115:K115"/>
    <mergeCell ref="E116:H116"/>
    <mergeCell ref="I116:K116"/>
    <mergeCell ref="E117:H117"/>
    <mergeCell ref="I117:K117"/>
    <mergeCell ref="E112:H112"/>
    <mergeCell ref="I112:K112"/>
    <mergeCell ref="E113:H113"/>
    <mergeCell ref="I113:K113"/>
    <mergeCell ref="E114:H114"/>
    <mergeCell ref="I114:K114"/>
    <mergeCell ref="E121:H121"/>
    <mergeCell ref="I121:K121"/>
    <mergeCell ref="E122:H122"/>
    <mergeCell ref="I122:K122"/>
    <mergeCell ref="E123:H123"/>
    <mergeCell ref="I123:K123"/>
    <mergeCell ref="E118:H118"/>
    <mergeCell ref="I118:K118"/>
    <mergeCell ref="E119:H119"/>
    <mergeCell ref="I119:K119"/>
    <mergeCell ref="E120:H120"/>
    <mergeCell ref="I120:K120"/>
    <mergeCell ref="E130:H130"/>
    <mergeCell ref="I130:K130"/>
    <mergeCell ref="E131:H131"/>
    <mergeCell ref="I131:K131"/>
    <mergeCell ref="E132:H132"/>
    <mergeCell ref="I132:K132"/>
    <mergeCell ref="E127:H127"/>
    <mergeCell ref="I127:K127"/>
    <mergeCell ref="E128:H128"/>
    <mergeCell ref="I128:K128"/>
    <mergeCell ref="E129:H129"/>
    <mergeCell ref="I129:K129"/>
    <mergeCell ref="E137:H137"/>
    <mergeCell ref="I137:K137"/>
    <mergeCell ref="E138:H138"/>
    <mergeCell ref="I138:K138"/>
    <mergeCell ref="E133:H133"/>
    <mergeCell ref="I133:K133"/>
    <mergeCell ref="E134:H134"/>
    <mergeCell ref="I134:K134"/>
    <mergeCell ref="E135:H135"/>
    <mergeCell ref="I135:K135"/>
    <mergeCell ref="E145:H145"/>
    <mergeCell ref="I145:K145"/>
    <mergeCell ref="E67:H67"/>
    <mergeCell ref="I67:K67"/>
    <mergeCell ref="E68:H68"/>
    <mergeCell ref="I68:K68"/>
    <mergeCell ref="E69:H69"/>
    <mergeCell ref="I69:K69"/>
    <mergeCell ref="E70:H70"/>
    <mergeCell ref="I70:K70"/>
    <mergeCell ref="E142:H142"/>
    <mergeCell ref="I142:K142"/>
    <mergeCell ref="E143:H143"/>
    <mergeCell ref="I143:K143"/>
    <mergeCell ref="E144:H144"/>
    <mergeCell ref="I144:K144"/>
    <mergeCell ref="E139:H139"/>
    <mergeCell ref="I139:K139"/>
    <mergeCell ref="E140:H140"/>
    <mergeCell ref="I140:K140"/>
    <mergeCell ref="E141:H141"/>
    <mergeCell ref="I141:K141"/>
    <mergeCell ref="E136:H136"/>
    <mergeCell ref="I136:K136"/>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&amp;A&amp;R&amp;D, &amp;T</oddHeader>
    <oddFooter>&amp;C&amp;P / &amp;N</oddFooter>
  </headerFooter>
  <rowBreaks count="1" manualBreakCount="1">
    <brk id="146"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opLeftCell="B1" zoomScaleNormal="100" zoomScaleSheetLayoutView="80" workbookViewId="0">
      <pane ySplit="4" topLeftCell="A191" activePane="bottomLeft" state="frozen"/>
      <selection activeCell="B2" sqref="B2"/>
      <selection pane="bottomLeft" activeCell="L129" sqref="L129"/>
    </sheetView>
  </sheetViews>
  <sheetFormatPr defaultColWidth="11.42578125" defaultRowHeight="12.75" x14ac:dyDescent="0.2"/>
  <cols>
    <col min="1" max="1" width="2.7109375" style="1" hidden="1" customWidth="1"/>
    <col min="2" max="2" width="5.7109375" style="7" customWidth="1"/>
    <col min="3" max="3" width="5.7109375" style="486" customWidth="1"/>
    <col min="4" max="4" width="5.7109375" style="139" customWidth="1"/>
    <col min="5" max="5" width="14.140625" style="486" customWidth="1"/>
    <col min="6" max="6" width="12.7109375" style="7" customWidth="1"/>
    <col min="7" max="7" width="14.85546875" style="7" customWidth="1"/>
    <col min="8" max="8" width="12.7109375" style="7" customWidth="1"/>
    <col min="9" max="9" width="14.28515625" style="7" customWidth="1"/>
    <col min="10" max="10" width="12.7109375" style="7" customWidth="1"/>
    <col min="11" max="11" width="16.5703125" style="7" customWidth="1"/>
    <col min="12" max="12" width="12.7109375" style="7" customWidth="1"/>
    <col min="13" max="13" width="26.140625" style="7" customWidth="1"/>
    <col min="14" max="14" width="12.7109375" style="7" customWidth="1"/>
    <col min="15" max="15" width="7.7109375" style="7" customWidth="1"/>
    <col min="16" max="16" width="22.85546875" style="7" hidden="1" customWidth="1"/>
    <col min="17" max="18" width="12.7109375" style="7" hidden="1" customWidth="1"/>
    <col min="19" max="78" width="11.42578125" style="1" hidden="1" customWidth="1"/>
    <col min="79" max="79" width="4.7109375" style="1" customWidth="1"/>
    <col min="80" max="16384" width="11.42578125" style="1"/>
  </cols>
  <sheetData>
    <row r="1" spans="1:78" ht="13.5" hidden="1" thickBot="1" x14ac:dyDescent="0.25">
      <c r="A1" s="771" t="s">
        <v>85</v>
      </c>
      <c r="B1" s="772"/>
      <c r="C1" s="773"/>
      <c r="D1" s="774"/>
      <c r="E1" s="773"/>
      <c r="F1" s="772"/>
      <c r="G1" s="772"/>
      <c r="H1" s="772"/>
      <c r="I1" s="772"/>
      <c r="J1" s="772"/>
      <c r="K1" s="772"/>
      <c r="L1" s="772"/>
      <c r="M1" s="772"/>
      <c r="N1" s="772"/>
      <c r="O1" s="775"/>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c r="BL1" s="55" t="s">
        <v>85</v>
      </c>
      <c r="BM1" s="55" t="s">
        <v>85</v>
      </c>
      <c r="BN1" s="55" t="s">
        <v>85</v>
      </c>
      <c r="BO1" s="55" t="s">
        <v>85</v>
      </c>
      <c r="BP1" s="55" t="s">
        <v>85</v>
      </c>
      <c r="BQ1" s="55" t="s">
        <v>85</v>
      </c>
      <c r="BR1" s="55" t="s">
        <v>85</v>
      </c>
      <c r="BS1" s="55" t="s">
        <v>85</v>
      </c>
      <c r="BT1" s="55" t="s">
        <v>85</v>
      </c>
      <c r="BU1" s="55" t="s">
        <v>85</v>
      </c>
      <c r="BV1" s="55" t="s">
        <v>85</v>
      </c>
      <c r="BW1" s="55" t="s">
        <v>85</v>
      </c>
      <c r="BX1" s="55" t="s">
        <v>85</v>
      </c>
      <c r="BY1" s="55" t="s">
        <v>85</v>
      </c>
      <c r="BZ1" s="55" t="s">
        <v>85</v>
      </c>
    </row>
    <row r="2" spans="1:78" ht="24.95" customHeight="1" thickBot="1" x14ac:dyDescent="0.25">
      <c r="A2" s="776"/>
      <c r="B2" s="1476" t="str">
        <f>Translations!$B$618</f>
        <v>C.
Source streams (Sukėlikliai)</v>
      </c>
      <c r="C2" s="1637"/>
      <c r="D2" s="1638"/>
      <c r="E2" s="1488" t="str">
        <f>Translations!$B$23</f>
        <v>Naršymo laukas</v>
      </c>
      <c r="F2" s="1444"/>
      <c r="G2" s="1426" t="str">
        <f>Translations!$B$24</f>
        <v>Turinys</v>
      </c>
      <c r="H2" s="1427"/>
      <c r="I2" s="1426" t="str">
        <f>Translations!$B$25</f>
        <v>Ankstesnis lapas</v>
      </c>
      <c r="J2" s="1427"/>
      <c r="K2" s="1426" t="str">
        <f>Translations!$B$26</f>
        <v>Kitas lapas</v>
      </c>
      <c r="L2" s="1427"/>
      <c r="M2" s="1426"/>
      <c r="N2" s="1427"/>
      <c r="O2" s="721"/>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ht="24.95" customHeight="1" x14ac:dyDescent="0.2">
      <c r="A3" s="776"/>
      <c r="B3" s="1639"/>
      <c r="C3" s="1640"/>
      <c r="D3" s="1641"/>
      <c r="E3" s="1431" t="str">
        <f>Translations!$B$27</f>
        <v>Lapo viršus</v>
      </c>
      <c r="F3" s="1431"/>
      <c r="G3" s="1431"/>
      <c r="H3" s="1431"/>
      <c r="I3" s="1431"/>
      <c r="J3" s="1431"/>
      <c r="K3" s="1431"/>
      <c r="L3" s="1431"/>
      <c r="M3" s="1431"/>
      <c r="N3" s="1431"/>
      <c r="O3" s="721"/>
      <c r="P3" s="15"/>
      <c r="Q3" s="15"/>
      <c r="R3" s="15"/>
      <c r="S3" s="56"/>
      <c r="T3" s="56"/>
      <c r="U3" s="1101" t="s">
        <v>595</v>
      </c>
      <c r="V3" s="832" t="str">
        <f>ADDRESS(ROW($B$5),COLUMN($B$5)) &amp; ":" &amp; ADDRESS(IF(CNTR_CalcRelevant=EUconst_NotRelevant,ROW(P62),MATCH("PRINT",$P:$P,0))+ROW($P$87)-ROW($P$62),COLUMN($O$5))</f>
        <v>$B$5:$O$141</v>
      </c>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24.95" customHeight="1" x14ac:dyDescent="0.2">
      <c r="A4" s="776"/>
      <c r="B4" s="1639"/>
      <c r="C4" s="1640"/>
      <c r="D4" s="1641"/>
      <c r="E4" s="1455" t="str">
        <f>Translations!$B$28</f>
        <v>Lapo galas</v>
      </c>
      <c r="F4" s="1442"/>
      <c r="G4" s="1453"/>
      <c r="H4" s="1442"/>
      <c r="I4" s="1439"/>
      <c r="J4" s="1439"/>
      <c r="K4" s="1439"/>
      <c r="L4" s="1439"/>
      <c r="M4" s="1439"/>
      <c r="N4" s="1439"/>
      <c r="O4" s="721"/>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thickBot="1" x14ac:dyDescent="0.25">
      <c r="A5" s="757"/>
      <c r="B5" s="1241"/>
      <c r="C5" s="1304"/>
      <c r="D5" s="1245"/>
      <c r="E5" s="1289"/>
      <c r="F5" s="1245"/>
      <c r="G5" s="1245"/>
      <c r="H5" s="1245"/>
      <c r="I5" s="1244"/>
      <c r="J5" s="1244"/>
      <c r="K5" s="1244"/>
      <c r="L5" s="1244"/>
      <c r="M5" s="1246"/>
      <c r="N5" s="1246"/>
      <c r="O5" s="1247"/>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38" customFormat="1" ht="25.5" customHeight="1" thickBot="1" x14ac:dyDescent="0.25">
      <c r="A6" s="777"/>
      <c r="B6" s="1248"/>
      <c r="C6" s="1492" t="str">
        <f>Translations!$B$498</f>
        <v>C. Sukėlikliai</v>
      </c>
      <c r="D6" s="1492"/>
      <c r="E6" s="1492"/>
      <c r="F6" s="1492"/>
      <c r="G6" s="1492"/>
      <c r="H6" s="1492"/>
      <c r="I6" s="1492"/>
      <c r="J6" s="1492"/>
      <c r="K6" s="1492"/>
      <c r="L6" s="1642" t="str">
        <f>IF(CNTR_InstHasCalculation=TRUE,EUconst_Relevant,IF(COUNTA(CNTR_ListRelevantSections)&gt;0,EUconst_NotRelevant,EUconst_Relevant))</f>
        <v>svarbu</v>
      </c>
      <c r="M6" s="1643"/>
      <c r="N6" s="1644"/>
      <c r="O6" s="1305"/>
      <c r="P6" s="15"/>
      <c r="Q6" s="15"/>
      <c r="R6" s="15"/>
      <c r="S6" s="403" t="s">
        <v>23</v>
      </c>
      <c r="T6" s="58"/>
      <c r="U6" s="56"/>
      <c r="V6" s="56"/>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ht="5.0999999999999996" customHeight="1" x14ac:dyDescent="0.2">
      <c r="A7" s="757"/>
      <c r="B7" s="1280"/>
      <c r="C7" s="164"/>
      <c r="D7" s="6"/>
      <c r="E7" s="164"/>
      <c r="F7" s="5"/>
      <c r="G7" s="5"/>
      <c r="H7" s="5"/>
      <c r="I7" s="5"/>
      <c r="J7" s="5"/>
      <c r="K7" s="5"/>
      <c r="L7" s="5"/>
      <c r="M7" s="335"/>
      <c r="N7" s="335"/>
      <c r="O7" s="1281"/>
      <c r="P7" s="15"/>
      <c r="Q7" s="15"/>
      <c r="R7" s="15"/>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x14ac:dyDescent="0.2">
      <c r="A8" s="757"/>
      <c r="B8" s="1250"/>
      <c r="C8" s="164"/>
      <c r="D8" s="200"/>
      <c r="E8" s="164"/>
      <c r="F8" s="200"/>
      <c r="G8" s="200"/>
      <c r="H8" s="200"/>
      <c r="I8" s="200"/>
      <c r="J8" s="200"/>
      <c r="K8" s="1572" t="str">
        <f>IF(L6=EUconst_NotRelevant,HYPERLINK("#JUMP_F_Top",EUconst_MsgNextSheet),HYPERLINK("",EUconst_MsgEnterThisSection))</f>
        <v>Įvesti duomenis į šį skirsnį</v>
      </c>
      <c r="L8" s="1572"/>
      <c r="M8" s="1572"/>
      <c r="N8" s="1572"/>
      <c r="O8" s="1251"/>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5.0999999999999996" customHeight="1" x14ac:dyDescent="0.2">
      <c r="A9" s="757"/>
      <c r="B9" s="1280"/>
      <c r="C9" s="164"/>
      <c r="D9" s="6"/>
      <c r="E9" s="164"/>
      <c r="F9" s="5"/>
      <c r="G9" s="5"/>
      <c r="H9" s="5"/>
      <c r="I9" s="5"/>
      <c r="J9" s="5"/>
      <c r="K9" s="5"/>
      <c r="L9" s="5"/>
      <c r="M9" s="335"/>
      <c r="N9" s="335"/>
      <c r="O9" s="1281"/>
      <c r="P9" s="15"/>
      <c r="Q9" s="15"/>
      <c r="R9" s="15"/>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28" customFormat="1" ht="18.75" customHeight="1" x14ac:dyDescent="0.2">
      <c r="A10" s="777"/>
      <c r="B10" s="1306"/>
      <c r="C10" s="708">
        <v>8</v>
      </c>
      <c r="D10" s="35" t="str">
        <f>Translations!$B$619</f>
        <v>Pagal sukėliklius išmetamas ŠESD kiekis</v>
      </c>
      <c r="E10" s="35"/>
      <c r="F10" s="35"/>
      <c r="G10" s="35"/>
      <c r="H10" s="35"/>
      <c r="I10" s="35"/>
      <c r="J10" s="35"/>
      <c r="K10" s="35"/>
      <c r="L10" s="35"/>
      <c r="M10" s="35"/>
      <c r="N10" s="35"/>
      <c r="O10" s="1276"/>
      <c r="P10" s="383"/>
      <c r="Q10" s="383"/>
      <c r="R10" s="383"/>
      <c r="S10" s="56"/>
      <c r="T10" s="56"/>
      <c r="U10" s="58"/>
      <c r="V10" s="58"/>
      <c r="W10" s="58"/>
      <c r="X10" s="58"/>
      <c r="Y10" s="58"/>
      <c r="Z10" s="58"/>
      <c r="AA10" s="58"/>
      <c r="AB10" s="58"/>
      <c r="AC10" s="58"/>
      <c r="AD10" s="58"/>
      <c r="AE10" s="58"/>
      <c r="AF10" s="58"/>
      <c r="AG10" s="58"/>
      <c r="AH10" s="58"/>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row>
    <row r="11" spans="1:78" ht="5.0999999999999996" customHeight="1" x14ac:dyDescent="0.2">
      <c r="A11" s="757"/>
      <c r="B11" s="1254"/>
      <c r="D11" s="9"/>
      <c r="E11" s="487"/>
      <c r="G11" s="11"/>
      <c r="H11" s="11"/>
      <c r="I11" s="11"/>
      <c r="J11" s="11"/>
      <c r="L11" s="11"/>
      <c r="M11" s="11"/>
      <c r="N11" s="11"/>
      <c r="O11" s="1255"/>
      <c r="P11" s="383"/>
      <c r="Q11" s="383"/>
      <c r="R11" s="383"/>
      <c r="S11" s="56"/>
      <c r="T11" s="56"/>
      <c r="U11" s="58"/>
      <c r="V11" s="58"/>
      <c r="W11" s="58"/>
      <c r="X11" s="58"/>
      <c r="Y11" s="58"/>
      <c r="Z11" s="58"/>
      <c r="AA11" s="58"/>
      <c r="AB11" s="58"/>
      <c r="AC11" s="58"/>
      <c r="AD11" s="58"/>
      <c r="AE11" s="58"/>
      <c r="AF11" s="58"/>
      <c r="AG11" s="58"/>
      <c r="AH11" s="58"/>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25.5" customHeight="1" x14ac:dyDescent="0.2">
      <c r="A12" s="757"/>
      <c r="B12" s="1254"/>
      <c r="D12" s="9"/>
      <c r="E12" s="1614" t="str">
        <f>Translations!$B$620</f>
        <v>Svarbu! Nuoseklumo sumetimais sukėliklius įveskite tokia pat eilės tvarka, kaip pateikta 7 dalies b punkte ir Jūsų naujausiame patvirtintame stebėsenos plane (tokia pat eilės tvarka ir naudodami tokius pat identifikatorius).</v>
      </c>
      <c r="F12" s="1614"/>
      <c r="G12" s="1614"/>
      <c r="H12" s="1614"/>
      <c r="I12" s="1614"/>
      <c r="J12" s="1614"/>
      <c r="K12" s="1614"/>
      <c r="L12" s="1614"/>
      <c r="M12" s="1614"/>
      <c r="N12" s="1614"/>
      <c r="O12" s="1307"/>
      <c r="P12" s="383"/>
      <c r="Q12" s="383"/>
      <c r="R12" s="383"/>
      <c r="S12" s="56"/>
      <c r="T12" s="56"/>
      <c r="U12" s="58"/>
      <c r="V12" s="58"/>
      <c r="W12" s="58"/>
      <c r="X12" s="58"/>
      <c r="Y12" s="58"/>
      <c r="Z12" s="58"/>
      <c r="AA12" s="58"/>
      <c r="AB12" s="58"/>
      <c r="AC12" s="58"/>
      <c r="AD12" s="58"/>
      <c r="AE12" s="58"/>
      <c r="AF12" s="58"/>
      <c r="AG12" s="58"/>
      <c r="AH12" s="58"/>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5.0999999999999996" customHeight="1" x14ac:dyDescent="0.2">
      <c r="A13" s="757"/>
      <c r="B13" s="1254"/>
      <c r="D13" s="9"/>
      <c r="E13" s="487"/>
      <c r="G13" s="11"/>
      <c r="H13" s="11"/>
      <c r="I13" s="11"/>
      <c r="J13" s="11"/>
      <c r="L13" s="11"/>
      <c r="M13" s="11"/>
      <c r="N13" s="11"/>
      <c r="O13" s="1255"/>
      <c r="P13" s="383"/>
      <c r="Q13" s="383"/>
      <c r="R13" s="383"/>
      <c r="S13" s="56"/>
      <c r="T13" s="56"/>
      <c r="U13" s="58"/>
      <c r="V13" s="58"/>
      <c r="W13" s="58"/>
      <c r="X13" s="58"/>
      <c r="Y13" s="58"/>
      <c r="Z13" s="58"/>
      <c r="AA13" s="58"/>
      <c r="AB13" s="58"/>
      <c r="AC13" s="58"/>
      <c r="AD13" s="58"/>
      <c r="AE13" s="58"/>
      <c r="AF13" s="58"/>
      <c r="AG13" s="58"/>
      <c r="AH13" s="58"/>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82" customFormat="1" ht="15" customHeight="1" x14ac:dyDescent="0.2">
      <c r="A14" s="778"/>
      <c r="B14" s="1308"/>
      <c r="C14" s="140"/>
      <c r="D14" s="779"/>
      <c r="E14" s="1633" t="str">
        <f>Translations!$B$621</f>
        <v>Santrumpos:</v>
      </c>
      <c r="F14" s="1633"/>
      <c r="G14" s="1633"/>
      <c r="H14" s="1633"/>
      <c r="I14" s="1633"/>
      <c r="J14" s="1633"/>
      <c r="K14" s="1633"/>
      <c r="L14" s="1633"/>
      <c r="M14" s="1633"/>
      <c r="N14" s="1633"/>
      <c r="O14" s="1309"/>
      <c r="P14" s="25"/>
      <c r="Q14" s="25"/>
      <c r="R14" s="25"/>
      <c r="S14" s="25"/>
      <c r="T14" s="25"/>
      <c r="U14" s="25"/>
      <c r="V14" s="23"/>
      <c r="W14" s="23"/>
      <c r="X14" s="25"/>
      <c r="Y14" s="2"/>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row>
    <row r="15" spans="1:78" ht="25.5" customHeight="1" x14ac:dyDescent="0.2">
      <c r="A15" s="757"/>
      <c r="B15" s="1250"/>
      <c r="C15" s="164"/>
      <c r="D15" s="200"/>
      <c r="E15" s="232" t="str">
        <f>Translations!$B$622</f>
        <v>VD:</v>
      </c>
      <c r="F15" s="1617"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17"/>
      <c r="H15" s="1617"/>
      <c r="I15" s="1617"/>
      <c r="J15" s="1617"/>
      <c r="K15" s="1617"/>
      <c r="L15" s="1617"/>
      <c r="M15" s="1617"/>
      <c r="N15" s="1617"/>
      <c r="O15" s="1310"/>
      <c r="P15" s="25"/>
      <c r="Q15" s="25"/>
      <c r="R15" s="25"/>
      <c r="S15" s="7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row>
    <row r="16" spans="1:78" ht="12.75" customHeight="1" x14ac:dyDescent="0.2">
      <c r="A16" s="757"/>
      <c r="B16" s="1250"/>
      <c r="C16" s="164"/>
      <c r="D16" s="200"/>
      <c r="E16" s="234"/>
      <c r="F16" s="1570" t="str">
        <f>Translations!$B$624</f>
        <v>Jeigu sukėlikliui taikoma masės balanso metodika, veiklos duomenys pagal kiekvieną pagaminamą medžiagą turėtų būti įvedami kaip neigiamas skaičius, pvz., „-10 000“.</v>
      </c>
      <c r="G16" s="1570"/>
      <c r="H16" s="1570"/>
      <c r="I16" s="1570"/>
      <c r="J16" s="1570"/>
      <c r="K16" s="1570"/>
      <c r="L16" s="1570"/>
      <c r="M16" s="1570"/>
      <c r="N16" s="1570"/>
      <c r="O16" s="1310"/>
      <c r="P16" s="25"/>
      <c r="Q16" s="25"/>
      <c r="R16" s="25"/>
      <c r="S16" s="7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80" ht="25.5" customHeight="1" x14ac:dyDescent="0.2">
      <c r="A17" s="757"/>
      <c r="B17" s="1250"/>
      <c r="C17" s="164"/>
      <c r="D17" s="200"/>
      <c r="E17" s="234"/>
      <c r="F17" s="1570" t="str">
        <f>Translations!$B$625</f>
        <v>Jeigu veiklos duomenys gaunami sudedant atskirai išmatuotus kiekius, nustatytus atsižvelgiant į atitinkamus atsargų pokyčius (27 straipsnio 1 dalies b punktas), toliau i punkte pasirinkite „TAIP“). Tokiu atveju svarbūs šie parametrai:</v>
      </c>
      <c r="G17" s="1570"/>
      <c r="H17" s="1570"/>
      <c r="I17" s="1570"/>
      <c r="J17" s="1570"/>
      <c r="K17" s="1570"/>
      <c r="L17" s="1570"/>
      <c r="M17" s="1570"/>
      <c r="N17" s="1570"/>
      <c r="O17" s="1310"/>
      <c r="P17" s="25"/>
      <c r="Q17" s="25"/>
      <c r="R17" s="25"/>
      <c r="S17" s="7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80" ht="12.75" customHeight="1" x14ac:dyDescent="0.2">
      <c r="A18" s="757"/>
      <c r="B18" s="1250"/>
      <c r="C18" s="164"/>
      <c r="D18" s="200"/>
      <c r="E18" s="234"/>
      <c r="F18" s="1121" t="str">
        <f>Translations!$B$626</f>
        <v>Pradinis kiekis</v>
      </c>
      <c r="G18" s="1570" t="str">
        <f>Translations!$B$627</f>
        <v>Kuro arba medžiagos atsargų kiekis ataskaitinio laikotarpio pradžioje.</v>
      </c>
      <c r="H18" s="1570"/>
      <c r="I18" s="1570"/>
      <c r="J18" s="1570"/>
      <c r="K18" s="1570"/>
      <c r="L18" s="1570"/>
      <c r="M18" s="1570"/>
      <c r="N18" s="1570"/>
      <c r="O18" s="1310"/>
      <c r="P18" s="25"/>
      <c r="Q18" s="25"/>
      <c r="R18" s="25"/>
      <c r="S18" s="7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80" ht="12.75" customHeight="1" x14ac:dyDescent="0.2">
      <c r="A19" s="757"/>
      <c r="B19" s="1250"/>
      <c r="C19" s="164"/>
      <c r="D19" s="200"/>
      <c r="E19" s="234"/>
      <c r="F19" s="1121" t="str">
        <f>Translations!$B$628</f>
        <v>Galutinis kiekis</v>
      </c>
      <c r="G19" s="1570" t="str">
        <f>Translations!$B$629</f>
        <v>Kuro arba medžiagos atsargų kiekis ataskaitinio laikotarpio pabaigoje.</v>
      </c>
      <c r="H19" s="1570"/>
      <c r="I19" s="1570"/>
      <c r="J19" s="1570"/>
      <c r="K19" s="1570"/>
      <c r="L19" s="1570"/>
      <c r="M19" s="1570"/>
      <c r="N19" s="1570"/>
      <c r="O19" s="1310"/>
      <c r="P19" s="25"/>
      <c r="Q19" s="25"/>
      <c r="R19" s="25"/>
      <c r="S19" s="7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row>
    <row r="20" spans="1:80" ht="12.75" customHeight="1" x14ac:dyDescent="0.2">
      <c r="A20" s="757"/>
      <c r="B20" s="1250"/>
      <c r="C20" s="164"/>
      <c r="D20" s="200"/>
      <c r="E20" s="234"/>
      <c r="F20" s="1121" t="str">
        <f>Translations!$B$630</f>
        <v>Įsigytas kiekis</v>
      </c>
      <c r="G20" s="1570" t="str">
        <f>Translations!$B$631</f>
        <v>Per ataskaitinį laikotarpį įsigytas kuro arba medžiagos kiekis.</v>
      </c>
      <c r="H20" s="1570"/>
      <c r="I20" s="1570"/>
      <c r="J20" s="1570"/>
      <c r="K20" s="1570"/>
      <c r="L20" s="1570"/>
      <c r="M20" s="1570"/>
      <c r="N20" s="1570"/>
      <c r="O20" s="1310"/>
      <c r="P20" s="25"/>
      <c r="Q20" s="25"/>
      <c r="R20" s="25"/>
      <c r="S20" s="7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row>
    <row r="21" spans="1:80" ht="12.75" customHeight="1" x14ac:dyDescent="0.2">
      <c r="A21" s="757"/>
      <c r="B21" s="1250"/>
      <c r="C21" s="164"/>
      <c r="D21" s="200"/>
      <c r="E21" s="234"/>
      <c r="F21" s="1121" t="str">
        <f>Translations!$B$632</f>
        <v>Perduotas kiekis</v>
      </c>
      <c r="G21" s="1570" t="str">
        <f>Translations!$B$633</f>
        <v>Iš įrenginio perduotas kuro arba medžiagos kiekis.</v>
      </c>
      <c r="H21" s="1570"/>
      <c r="I21" s="1570"/>
      <c r="J21" s="1570"/>
      <c r="K21" s="1570"/>
      <c r="L21" s="1570"/>
      <c r="M21" s="1570"/>
      <c r="N21" s="1570"/>
      <c r="O21" s="1310"/>
      <c r="P21" s="25"/>
      <c r="Q21" s="25"/>
      <c r="R21" s="25"/>
      <c r="S21" s="7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row>
    <row r="22" spans="1:80" ht="25.5" customHeight="1" x14ac:dyDescent="0.2">
      <c r="A22" s="757"/>
      <c r="B22" s="1250"/>
      <c r="C22" s="164"/>
      <c r="D22" s="200"/>
      <c r="E22" s="231" t="str">
        <f>Translations!$B$634</f>
        <v>(prelim.) ITF:</v>
      </c>
      <c r="F22" s="1632"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32"/>
      <c r="H22" s="1632"/>
      <c r="I22" s="1632"/>
      <c r="J22" s="1632"/>
      <c r="K22" s="1632"/>
      <c r="L22" s="1632"/>
      <c r="M22" s="1632"/>
      <c r="N22" s="1632"/>
      <c r="O22" s="1310"/>
      <c r="P22" s="25"/>
      <c r="Q22" s="25"/>
      <c r="R22" s="25"/>
      <c r="S22" s="7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row>
    <row r="23" spans="1:80" s="4" customFormat="1" ht="25.5" customHeight="1" x14ac:dyDescent="0.2">
      <c r="A23" s="780"/>
      <c r="B23" s="1280"/>
      <c r="C23" s="164"/>
      <c r="D23" s="5"/>
      <c r="E23" s="232" t="str">
        <f>Translations!$B$636</f>
        <v>GŠV:</v>
      </c>
      <c r="F23" s="1617" t="str">
        <f>Translations!$B$637</f>
        <v>Grynojo šilumingumo vertė yra tam tikras kaip šiluma išskirtos energijos kiekis, kai kuras ar medžiaga visiškai sudega reaguodami su deguonimi įprastomis sąlygomis, atėmus bet kokio susidariusio vandens garavimo šilumą.</v>
      </c>
      <c r="G23" s="1617"/>
      <c r="H23" s="1617"/>
      <c r="I23" s="1617"/>
      <c r="J23" s="1617"/>
      <c r="K23" s="1617"/>
      <c r="L23" s="1617"/>
      <c r="M23" s="1617"/>
      <c r="N23" s="1617"/>
      <c r="O23" s="1311"/>
      <c r="P23" s="25"/>
      <c r="Q23" s="25"/>
      <c r="R23" s="25"/>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
      <c r="A24" s="757"/>
      <c r="B24" s="1250"/>
      <c r="C24" s="164"/>
      <c r="D24" s="200"/>
      <c r="E24" s="231" t="str">
        <f>Translations!$B$638</f>
        <v>Oksidacijos koef.:</v>
      </c>
      <c r="F24" s="1632" t="str">
        <f>Translations!$B$153</f>
        <v>Oksidacijos faktorius</v>
      </c>
      <c r="G24" s="1632"/>
      <c r="H24" s="1632"/>
      <c r="I24" s="1632"/>
      <c r="J24" s="1632"/>
      <c r="K24" s="1632"/>
      <c r="L24" s="1632"/>
      <c r="M24" s="1632"/>
      <c r="N24" s="1632"/>
      <c r="O24" s="1310"/>
      <c r="P24" s="25"/>
      <c r="Q24" s="25"/>
      <c r="R24" s="25"/>
      <c r="S24" s="7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row>
    <row r="25" spans="1:80" ht="12.75" customHeight="1" x14ac:dyDescent="0.2">
      <c r="A25" s="757"/>
      <c r="B25" s="1250"/>
      <c r="C25" s="164"/>
      <c r="D25" s="200"/>
      <c r="E25" s="231" t="str">
        <f>Translations!$B$639</f>
        <v>Konversijos koef.:</v>
      </c>
      <c r="F25" s="1632" t="str">
        <f>Translations!$B$154</f>
        <v>Perskaičiavimo koeficientas</v>
      </c>
      <c r="G25" s="1632"/>
      <c r="H25" s="1632"/>
      <c r="I25" s="1632"/>
      <c r="J25" s="1632"/>
      <c r="K25" s="1632"/>
      <c r="L25" s="1632"/>
      <c r="M25" s="1632"/>
      <c r="N25" s="1632"/>
      <c r="O25" s="1310"/>
      <c r="P25" s="25"/>
      <c r="Q25" s="25"/>
      <c r="R25" s="25"/>
      <c r="S25" s="7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row>
    <row r="26" spans="1:80" s="382" customFormat="1" ht="12.75" customHeight="1" x14ac:dyDescent="0.2">
      <c r="A26" s="778"/>
      <c r="B26" s="1280"/>
      <c r="C26" s="164"/>
      <c r="D26" s="31"/>
      <c r="E26" s="231" t="str">
        <f>Translations!$B$640</f>
        <v>Anglies kiekis (C):</v>
      </c>
      <c r="F26" s="1617" t="str">
        <f>Translations!$B$155</f>
        <v>Anglies kiekis</v>
      </c>
      <c r="G26" s="1617"/>
      <c r="H26" s="1617"/>
      <c r="I26" s="1617"/>
      <c r="J26" s="1617"/>
      <c r="K26" s="1617"/>
      <c r="L26" s="1617"/>
      <c r="M26" s="1617"/>
      <c r="N26" s="1617"/>
      <c r="O26" s="1281"/>
      <c r="P26" s="25"/>
      <c r="Q26" s="25"/>
      <c r="R26" s="25"/>
      <c r="S26" s="14"/>
      <c r="T26" s="25"/>
      <c r="U26" s="25"/>
      <c r="V26" s="23"/>
      <c r="W26" s="23"/>
      <c r="X26" s="25"/>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row>
    <row r="27" spans="1:80" s="382" customFormat="1" ht="12.75" customHeight="1" x14ac:dyDescent="0.2">
      <c r="A27" s="778"/>
      <c r="B27" s="1308"/>
      <c r="C27" s="140"/>
      <c r="D27" s="9"/>
      <c r="E27" s="234" t="str">
        <f>Translations!$B$641</f>
        <v>Biomasės dalis (BioC):</v>
      </c>
      <c r="F27" s="1617" t="str">
        <f>Translations!$B$642</f>
        <v>Biomasės dalis – trupmena išreikštas iš biomasės susidariusios anglies kiekio ir kuro arba medžiagos viso anglies kiekio santykis.</v>
      </c>
      <c r="G27" s="1617"/>
      <c r="H27" s="1617"/>
      <c r="I27" s="1617"/>
      <c r="J27" s="1617"/>
      <c r="K27" s="1617"/>
      <c r="L27" s="1617"/>
      <c r="M27" s="1617"/>
      <c r="N27" s="1617"/>
      <c r="O27" s="1309"/>
      <c r="P27" s="149"/>
      <c r="Q27" s="149"/>
      <c r="R27" s="149"/>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row>
    <row r="28" spans="1:80" s="382" customFormat="1" ht="12.75" customHeight="1" x14ac:dyDescent="0.2">
      <c r="A28" s="778"/>
      <c r="B28" s="1308"/>
      <c r="C28" s="140"/>
      <c r="D28" s="9"/>
      <c r="E28" s="234"/>
      <c r="F28" s="1570" t="str">
        <f>Translations!$B$643</f>
        <v>Ši vertė turėtų būti susijusi su visa biomase, atitinkančia šias sąlygas:</v>
      </c>
      <c r="G28" s="1570"/>
      <c r="H28" s="1570"/>
      <c r="I28" s="1570"/>
      <c r="J28" s="1570"/>
      <c r="K28" s="1570"/>
      <c r="L28" s="1570"/>
      <c r="M28" s="1570"/>
      <c r="N28" s="1570"/>
      <c r="O28" s="1309"/>
      <c r="P28" s="149"/>
      <c r="Q28" s="149"/>
      <c r="R28" s="149"/>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B28" s="7"/>
    </row>
    <row r="29" spans="1:80" s="382" customFormat="1" ht="12.75" customHeight="1" x14ac:dyDescent="0.2">
      <c r="A29" s="778"/>
      <c r="B29" s="1308"/>
      <c r="C29" s="140"/>
      <c r="D29" s="9"/>
      <c r="E29" s="234"/>
      <c r="F29" s="235" t="s">
        <v>258</v>
      </c>
      <c r="G29" s="1570" t="str">
        <f>Translations!$B$644</f>
        <v>jai netaikomi tvarumo kriterijai (pvz., jeigu tai kietasis kuras) ARBA</v>
      </c>
      <c r="H29" s="1570"/>
      <c r="I29" s="1570"/>
      <c r="J29" s="1570"/>
      <c r="K29" s="1570"/>
      <c r="L29" s="1570"/>
      <c r="M29" s="1570"/>
      <c r="N29" s="1570"/>
      <c r="O29" s="1309"/>
      <c r="P29" s="149"/>
      <c r="Q29" s="149"/>
      <c r="R29" s="149"/>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B29" s="7"/>
    </row>
    <row r="30" spans="1:80" s="382" customFormat="1" ht="12.75" customHeight="1" x14ac:dyDescent="0.2">
      <c r="A30" s="778"/>
      <c r="B30" s="1308"/>
      <c r="C30" s="140"/>
      <c r="D30" s="9"/>
      <c r="E30" s="234"/>
      <c r="F30" s="235" t="s">
        <v>258</v>
      </c>
      <c r="G30" s="1570" t="str">
        <f>Translations!$B$645</f>
        <v>jai taikomi tvarumo kriterijai ir ji tuos kriterijus atitinka.</v>
      </c>
      <c r="H30" s="1570"/>
      <c r="I30" s="1570"/>
      <c r="J30" s="1570"/>
      <c r="K30" s="1570"/>
      <c r="L30" s="1570"/>
      <c r="M30" s="1570"/>
      <c r="N30" s="1570"/>
      <c r="O30" s="1309"/>
      <c r="P30" s="149"/>
      <c r="Q30" s="149"/>
      <c r="R30" s="149"/>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B30" s="7"/>
    </row>
    <row r="31" spans="1:80" s="382" customFormat="1" ht="12.75" customHeight="1" x14ac:dyDescent="0.2">
      <c r="A31" s="778"/>
      <c r="B31" s="1308"/>
      <c r="C31" s="140"/>
      <c r="D31" s="9"/>
      <c r="E31" s="234"/>
      <c r="F31" s="1570" t="str">
        <f>Translations!$B$646</f>
        <v>Daugiau informacijos pateikta rekomendaciniame dokumente Nr. 3 „Biomasės aspektai“ (žr. toliau pateiktą nuorodą).</v>
      </c>
      <c r="G31" s="1570"/>
      <c r="H31" s="1570"/>
      <c r="I31" s="1570"/>
      <c r="J31" s="1570"/>
      <c r="K31" s="1570"/>
      <c r="L31" s="1570"/>
      <c r="M31" s="1570"/>
      <c r="N31" s="1570"/>
      <c r="O31" s="1309"/>
      <c r="P31" s="149"/>
      <c r="Q31" s="149"/>
      <c r="R31" s="149"/>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B31" s="7"/>
    </row>
    <row r="32" spans="1:80" s="382" customFormat="1" ht="12.75" customHeight="1" x14ac:dyDescent="0.2">
      <c r="A32" s="778"/>
      <c r="B32" s="1308"/>
      <c r="C32" s="140"/>
      <c r="D32" s="9"/>
      <c r="E32" s="230"/>
      <c r="F32" s="1616" t="str">
        <f>Translations!$B$521</f>
        <v>http://ec.europa.eu/clima/policies/ets/monitoring/documentation_en.htm</v>
      </c>
      <c r="G32" s="1615"/>
      <c r="H32" s="1615"/>
      <c r="I32" s="1615"/>
      <c r="J32" s="1615"/>
      <c r="K32" s="1615"/>
      <c r="L32" s="1615"/>
      <c r="M32" s="1615"/>
      <c r="N32" s="1615"/>
      <c r="O32" s="1309"/>
      <c r="P32" s="149"/>
      <c r="Q32" s="149"/>
      <c r="R32" s="149"/>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B32" s="7"/>
    </row>
    <row r="33" spans="1:78" s="382" customFormat="1" ht="25.5" customHeight="1" x14ac:dyDescent="0.2">
      <c r="A33" s="778"/>
      <c r="B33" s="1308"/>
      <c r="C33" s="140"/>
      <c r="D33" s="9"/>
      <c r="E33" s="234" t="str">
        <f>Translations!$B$647</f>
        <v>Netvarios BioC dalis:</v>
      </c>
      <c r="F33" s="1617" t="str">
        <f>Translations!$B$648</f>
        <v>„Netvarios“ biomasės dalis – trupmena išreikštas iš netvarios biomasės susidariusios anglies kiekio ir kuro arba medžiagos viso anglies kiekio santykis.</v>
      </c>
      <c r="G33" s="1617"/>
      <c r="H33" s="1617"/>
      <c r="I33" s="1617"/>
      <c r="J33" s="1617"/>
      <c r="K33" s="1617"/>
      <c r="L33" s="1617"/>
      <c r="M33" s="1617"/>
      <c r="N33" s="1617"/>
      <c r="O33" s="1309"/>
      <c r="P33" s="149"/>
      <c r="Q33" s="149"/>
      <c r="R33" s="149"/>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row>
    <row r="34" spans="1:78" s="382" customFormat="1" ht="12.75" customHeight="1" x14ac:dyDescent="0.2">
      <c r="A34" s="778"/>
      <c r="B34" s="1308"/>
      <c r="C34" s="140"/>
      <c r="D34" s="9"/>
      <c r="E34" s="234"/>
      <c r="F34" s="1570" t="str">
        <f>Translations!$B$649</f>
        <v>Ši vertė turėtų būti susijusi tik su tokia biomase, kuriai taikomi tvarumo kriterijai ir kuri tų kriterijų neatitinka.</v>
      </c>
      <c r="G34" s="1570"/>
      <c r="H34" s="1570"/>
      <c r="I34" s="1570"/>
      <c r="J34" s="1570"/>
      <c r="K34" s="1570"/>
      <c r="L34" s="1570"/>
      <c r="M34" s="1570"/>
      <c r="N34" s="1570"/>
      <c r="O34" s="1309"/>
      <c r="P34" s="149"/>
      <c r="Q34" s="149"/>
      <c r="R34" s="149"/>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row>
    <row r="35" spans="1:78" s="382" customFormat="1" ht="12.75" customHeight="1" x14ac:dyDescent="0.2">
      <c r="A35" s="778"/>
      <c r="B35" s="1308"/>
      <c r="C35" s="140"/>
      <c r="D35" s="9"/>
      <c r="E35" s="234"/>
      <c r="F35" s="1570" t="str">
        <f>Translations!$B$646</f>
        <v>Daugiau informacijos pateikta rekomendaciniame dokumente Nr. 3 „Biomasės aspektai“ (žr. toliau pateiktą nuorodą).</v>
      </c>
      <c r="G35" s="1570"/>
      <c r="H35" s="1570"/>
      <c r="I35" s="1570"/>
      <c r="J35" s="1570"/>
      <c r="K35" s="1570"/>
      <c r="L35" s="1570"/>
      <c r="M35" s="1570"/>
      <c r="N35" s="1570"/>
      <c r="O35" s="1309"/>
      <c r="P35" s="149"/>
      <c r="Q35" s="149"/>
      <c r="R35" s="149"/>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row>
    <row r="36" spans="1:78" s="382" customFormat="1" ht="12.75" customHeight="1" x14ac:dyDescent="0.2">
      <c r="A36" s="778"/>
      <c r="B36" s="1308"/>
      <c r="C36" s="140"/>
      <c r="D36" s="9"/>
      <c r="E36" s="230"/>
      <c r="F36" s="1616" t="str">
        <f>Translations!$B$521</f>
        <v>http://ec.europa.eu/clima/policies/ets/monitoring/documentation_en.htm</v>
      </c>
      <c r="G36" s="1615"/>
      <c r="H36" s="1615"/>
      <c r="I36" s="1615"/>
      <c r="J36" s="1615"/>
      <c r="K36" s="1615"/>
      <c r="L36" s="1615"/>
      <c r="M36" s="1615"/>
      <c r="N36" s="1615"/>
      <c r="O36" s="1309"/>
      <c r="P36" s="149"/>
      <c r="Q36" s="149"/>
      <c r="R36" s="149"/>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row>
    <row r="37" spans="1:78" s="382" customFormat="1" ht="5.0999999999999996" customHeight="1" x14ac:dyDescent="0.2">
      <c r="A37" s="778"/>
      <c r="B37" s="1308"/>
      <c r="C37" s="140"/>
      <c r="D37" s="781"/>
      <c r="E37" s="781"/>
      <c r="F37" s="781"/>
      <c r="G37" s="781"/>
      <c r="H37" s="781"/>
      <c r="I37" s="781"/>
      <c r="J37" s="781"/>
      <c r="K37" s="781"/>
      <c r="L37" s="781"/>
      <c r="M37" s="781"/>
      <c r="N37" s="781"/>
      <c r="O37" s="1309"/>
      <c r="P37" s="25"/>
      <c r="Q37" s="25"/>
      <c r="R37" s="25"/>
      <c r="S37" s="25"/>
      <c r="T37" s="25"/>
      <c r="U37" s="25"/>
      <c r="V37" s="23"/>
      <c r="W37" s="23"/>
      <c r="X37" s="25"/>
      <c r="Y37" s="2"/>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row>
    <row r="38" spans="1:78" s="382" customFormat="1" ht="15" customHeight="1" x14ac:dyDescent="0.2">
      <c r="A38" s="778"/>
      <c r="B38" s="1308"/>
      <c r="C38" s="140"/>
      <c r="D38" s="779"/>
      <c r="E38" s="1577" t="str">
        <f>Translations!$B$650</f>
        <v>Apskaičiavimo faktorių pakopos:</v>
      </c>
      <c r="F38" s="1577"/>
      <c r="G38" s="1577"/>
      <c r="H38" s="1577"/>
      <c r="I38" s="1577"/>
      <c r="J38" s="1577"/>
      <c r="K38" s="1577"/>
      <c r="L38" s="1577"/>
      <c r="M38" s="1577"/>
      <c r="N38" s="1577"/>
      <c r="O38" s="1309"/>
      <c r="P38" s="25"/>
      <c r="Q38" s="25"/>
      <c r="R38" s="25"/>
      <c r="S38" s="25"/>
      <c r="T38" s="25"/>
      <c r="U38" s="25"/>
      <c r="V38" s="23"/>
      <c r="W38" s="23"/>
      <c r="X38" s="25"/>
      <c r="Y38" s="2"/>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row>
    <row r="39" spans="1:78" s="382" customFormat="1" ht="5.0999999999999996" customHeight="1" x14ac:dyDescent="0.2">
      <c r="A39" s="778"/>
      <c r="B39" s="1308"/>
      <c r="C39" s="140"/>
      <c r="D39" s="781"/>
      <c r="E39" s="781"/>
      <c r="F39" s="781"/>
      <c r="G39" s="781"/>
      <c r="H39" s="781"/>
      <c r="I39" s="781"/>
      <c r="J39" s="781"/>
      <c r="K39" s="781"/>
      <c r="L39" s="781"/>
      <c r="M39" s="781"/>
      <c r="N39" s="781"/>
      <c r="O39" s="1309"/>
      <c r="P39" s="25"/>
      <c r="Q39" s="25"/>
      <c r="R39" s="25"/>
      <c r="S39" s="25"/>
      <c r="T39" s="25"/>
      <c r="U39" s="25"/>
      <c r="V39" s="23"/>
      <c r="W39" s="23"/>
      <c r="X39" s="25"/>
      <c r="Y39" s="2"/>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row>
    <row r="40" spans="1:78" s="382" customFormat="1" ht="25.5" customHeight="1" x14ac:dyDescent="0.2">
      <c r="A40" s="778"/>
      <c r="B40" s="1308"/>
      <c r="C40" s="140"/>
      <c r="D40" s="9"/>
      <c r="E40" s="1570" t="str">
        <f>Translations!$B$651</f>
        <v>Pagal 30 straipsnio 1 dalį apskaičiavimo faktoriai gali būti nustatomi kaip numatytosios vertės arba laboratorinės analizės būdu. Tai, kuris variantas turėtų būti taikomas, priklauso nuo taikomos pakopos.</v>
      </c>
      <c r="F40" s="1570"/>
      <c r="G40" s="1570"/>
      <c r="H40" s="1570"/>
      <c r="I40" s="1570"/>
      <c r="J40" s="1570"/>
      <c r="K40" s="1570"/>
      <c r="L40" s="1570"/>
      <c r="M40" s="1570"/>
      <c r="N40" s="1570"/>
      <c r="O40" s="1309"/>
      <c r="P40" s="25"/>
      <c r="Q40" s="25"/>
      <c r="R40" s="25"/>
      <c r="S40" s="25"/>
      <c r="T40" s="25"/>
      <c r="U40" s="25"/>
      <c r="V40" s="23"/>
      <c r="W40" s="23"/>
      <c r="X40" s="25"/>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row>
    <row r="41" spans="1:78" s="382" customFormat="1" ht="12.75" customHeight="1" x14ac:dyDescent="0.2">
      <c r="A41" s="778"/>
      <c r="B41" s="1308"/>
      <c r="C41" s="140"/>
      <c r="D41" s="9"/>
      <c r="E41" s="1570" t="str">
        <f>Translations!$B$652</f>
        <v>Galima rinktis iš šių pakopų kategorijų (pagal rekomendacinį dokumentą Nr. 1):</v>
      </c>
      <c r="F41" s="1570"/>
      <c r="G41" s="1570"/>
      <c r="H41" s="1570"/>
      <c r="I41" s="1570"/>
      <c r="J41" s="1570"/>
      <c r="K41" s="1570"/>
      <c r="L41" s="1570"/>
      <c r="M41" s="1570"/>
      <c r="N41" s="1570"/>
      <c r="O41" s="1309"/>
      <c r="P41" s="25"/>
      <c r="Q41" s="25"/>
      <c r="R41" s="25"/>
      <c r="S41" s="25"/>
      <c r="T41" s="25"/>
      <c r="U41" s="25"/>
      <c r="V41" s="23"/>
      <c r="W41" s="23"/>
      <c r="X41" s="25"/>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row>
    <row r="42" spans="1:78" s="382" customFormat="1" ht="12.75" customHeight="1" x14ac:dyDescent="0.2">
      <c r="A42" s="778"/>
      <c r="B42" s="1308"/>
      <c r="C42" s="140"/>
      <c r="D42" s="9"/>
      <c r="E42" s="1616" t="str">
        <f>Translations!$B$521</f>
        <v>http://ec.europa.eu/clima/policies/ets/monitoring/documentation_en.htm</v>
      </c>
      <c r="F42" s="1615"/>
      <c r="G42" s="1615"/>
      <c r="H42" s="1615"/>
      <c r="I42" s="1615"/>
      <c r="J42" s="1615"/>
      <c r="K42" s="1615"/>
      <c r="L42" s="1615"/>
      <c r="M42" s="1615"/>
      <c r="N42" s="1615"/>
      <c r="O42" s="1309"/>
      <c r="P42" s="25"/>
      <c r="Q42" s="25"/>
      <c r="R42" s="25"/>
      <c r="S42" s="25"/>
      <c r="T42" s="25"/>
      <c r="U42" s="25"/>
      <c r="V42" s="23"/>
      <c r="W42" s="23"/>
      <c r="X42" s="25"/>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row>
    <row r="43" spans="1:78" ht="25.5" customHeight="1" x14ac:dyDescent="0.2">
      <c r="A43" s="757"/>
      <c r="B43" s="1250"/>
      <c r="C43" s="164"/>
      <c r="D43" s="200"/>
      <c r="E43" s="231" t="str">
        <f>Translations!$B$653</f>
        <v>I tipas</v>
      </c>
      <c r="F43" s="1632"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32"/>
      <c r="H43" s="1632"/>
      <c r="I43" s="1632"/>
      <c r="J43" s="1632"/>
      <c r="K43" s="1632"/>
      <c r="L43" s="1632"/>
      <c r="M43" s="1632"/>
      <c r="N43" s="1632"/>
      <c r="O43" s="1310"/>
      <c r="P43" s="75"/>
      <c r="Q43" s="75"/>
      <c r="R43" s="75"/>
      <c r="S43" s="7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row>
    <row r="44" spans="1:78" ht="25.5" customHeight="1" x14ac:dyDescent="0.2">
      <c r="A44" s="757"/>
      <c r="B44" s="1250"/>
      <c r="C44" s="164"/>
      <c r="D44" s="200"/>
      <c r="E44" s="232" t="str">
        <f>Translations!$B$654</f>
        <v>II tipas</v>
      </c>
      <c r="F44" s="1617"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17"/>
      <c r="H44" s="1617"/>
      <c r="I44" s="1617"/>
      <c r="J44" s="1617"/>
      <c r="K44" s="1617"/>
      <c r="L44" s="1617"/>
      <c r="M44" s="1617"/>
      <c r="N44" s="1617"/>
      <c r="O44" s="1310"/>
      <c r="P44" s="75"/>
      <c r="Q44" s="75"/>
      <c r="R44" s="75"/>
      <c r="S44" s="7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row>
    <row r="45" spans="1:78" ht="38.85" customHeight="1" x14ac:dyDescent="0.2">
      <c r="A45" s="757"/>
      <c r="B45" s="1250"/>
      <c r="C45" s="164"/>
      <c r="D45" s="200"/>
      <c r="E45" s="234"/>
      <c r="F45" s="1615"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615"/>
      <c r="H45" s="1615"/>
      <c r="I45" s="1615"/>
      <c r="J45" s="1615"/>
      <c r="K45" s="1615"/>
      <c r="L45" s="1615"/>
      <c r="M45" s="1615"/>
      <c r="N45" s="1615"/>
      <c r="O45" s="1310"/>
      <c r="P45" s="75"/>
      <c r="Q45" s="75"/>
      <c r="R45" s="75"/>
      <c r="S45" s="7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row>
    <row r="46" spans="1:78" s="4" customFormat="1" ht="38.85" customHeight="1" x14ac:dyDescent="0.2">
      <c r="A46" s="780"/>
      <c r="B46" s="1280"/>
      <c r="C46" s="164"/>
      <c r="D46" s="5"/>
      <c r="E46" s="232" t="str">
        <f>Translations!$B$657</f>
        <v>Pakaitinės vertės</v>
      </c>
      <c r="F46" s="1617"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17"/>
      <c r="H46" s="1617"/>
      <c r="I46" s="1617"/>
      <c r="J46" s="1617"/>
      <c r="K46" s="1617"/>
      <c r="L46" s="1617"/>
      <c r="M46" s="1617"/>
      <c r="N46" s="1617"/>
      <c r="O46" s="1311"/>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
      <c r="A47" s="757"/>
      <c r="B47" s="1250"/>
      <c r="C47" s="164"/>
      <c r="D47" s="200"/>
      <c r="E47" s="234"/>
      <c r="F47" s="235" t="s">
        <v>258</v>
      </c>
      <c r="G47" s="1570" t="str">
        <f>Translations!$B$145</f>
        <v>konkrečių naftos ar dujų rūšių, įskaitant įprastas naftos perdirbimo arba plieno pramonėje, tankio matavimu; arba</v>
      </c>
      <c r="H47" s="1570"/>
      <c r="I47" s="1570"/>
      <c r="J47" s="1570"/>
      <c r="K47" s="1570"/>
      <c r="L47" s="1570"/>
      <c r="M47" s="1570"/>
      <c r="N47" s="1570"/>
      <c r="O47" s="1310"/>
      <c r="P47" s="75"/>
      <c r="Q47" s="75"/>
      <c r="R47" s="75"/>
      <c r="S47" s="7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row>
    <row r="48" spans="1:78" ht="12.75" customHeight="1" x14ac:dyDescent="0.2">
      <c r="A48" s="757"/>
      <c r="B48" s="1250"/>
      <c r="C48" s="164"/>
      <c r="D48" s="200"/>
      <c r="E48" s="230"/>
      <c r="F48" s="233" t="s">
        <v>258</v>
      </c>
      <c r="G48" s="1615" t="str">
        <f>Translations!$B$146</f>
        <v>konkrečių anglių rūšių grynąja šilumingumo verte.</v>
      </c>
      <c r="H48" s="1615"/>
      <c r="I48" s="1615"/>
      <c r="J48" s="1615"/>
      <c r="K48" s="1615"/>
      <c r="L48" s="1615"/>
      <c r="M48" s="1615"/>
      <c r="N48" s="1615"/>
      <c r="O48" s="1310"/>
      <c r="P48" s="75"/>
      <c r="Q48" s="75"/>
      <c r="R48" s="75"/>
      <c r="S48" s="7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row>
    <row r="49" spans="1:78" ht="25.5" customHeight="1" x14ac:dyDescent="0.2">
      <c r="A49" s="757"/>
      <c r="B49" s="1250"/>
      <c r="C49" s="164"/>
      <c r="D49" s="200"/>
      <c r="E49" s="231" t="str">
        <f>Translations!$B$658</f>
        <v>Pirkimo dokumentai</v>
      </c>
      <c r="F49" s="1632" t="str">
        <f>Translations!$B$147</f>
        <v>Grynojo šilumingumo vertė gali būti pirkimo dokumentuose kuro tiekėjo nurodyta vertė, jei ji nustatyta remiantis pripažintais nacionaliniais ar tarptautiniais standartais. (Taikoma tik komerciniu būdu įsigyjama kurui).</v>
      </c>
      <c r="G49" s="1632"/>
      <c r="H49" s="1632"/>
      <c r="I49" s="1632"/>
      <c r="J49" s="1632"/>
      <c r="K49" s="1632"/>
      <c r="L49" s="1632"/>
      <c r="M49" s="1632"/>
      <c r="N49" s="1632"/>
      <c r="O49" s="1310"/>
      <c r="P49" s="75"/>
      <c r="Q49" s="75"/>
      <c r="R49" s="75"/>
      <c r="S49" s="7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row>
    <row r="50" spans="1:78" ht="25.5" customHeight="1" x14ac:dyDescent="0.2">
      <c r="A50" s="757"/>
      <c r="B50" s="1250"/>
      <c r="C50" s="164"/>
      <c r="D50" s="200"/>
      <c r="E50" s="231" t="str">
        <f>Translations!$B$156</f>
        <v>Laboratoriniai tyrimai</v>
      </c>
      <c r="F50" s="1632" t="str">
        <f>Translations!$B$148</f>
        <v>Šiuo atveju taikomi visi 32–35 str. reikalavimai tyrimams.</v>
      </c>
      <c r="G50" s="1632"/>
      <c r="H50" s="1632"/>
      <c r="I50" s="1632"/>
      <c r="J50" s="1632"/>
      <c r="K50" s="1632"/>
      <c r="L50" s="1632"/>
      <c r="M50" s="1632"/>
      <c r="N50" s="1632"/>
      <c r="O50" s="1310"/>
      <c r="P50" s="75"/>
      <c r="Q50" s="75"/>
      <c r="R50" s="75"/>
      <c r="S50" s="7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row>
    <row r="51" spans="1:78" s="382" customFormat="1" ht="12.75" customHeight="1" x14ac:dyDescent="0.2">
      <c r="A51" s="778"/>
      <c r="B51" s="1280"/>
      <c r="C51" s="164"/>
      <c r="D51" s="31"/>
      <c r="E51" s="234" t="str">
        <f>Translations!$B$659</f>
        <v>I tipas, biol.</v>
      </c>
      <c r="F51" s="1617" t="str">
        <f>Translations!$B$149</f>
        <v>Taikomas vienas iš toliau nurodytų metodų (jie laikomi lygiaverčiais):</v>
      </c>
      <c r="G51" s="1617"/>
      <c r="H51" s="1617"/>
      <c r="I51" s="1617"/>
      <c r="J51" s="1617"/>
      <c r="K51" s="1617"/>
      <c r="L51" s="1617"/>
      <c r="M51" s="1617"/>
      <c r="N51" s="1617"/>
      <c r="O51" s="1281"/>
      <c r="P51" s="15"/>
      <c r="Q51" s="15"/>
      <c r="R51" s="15"/>
      <c r="S51" s="14"/>
      <c r="T51" s="25"/>
      <c r="U51" s="25"/>
      <c r="V51" s="23"/>
      <c r="W51" s="23"/>
      <c r="X51" s="25"/>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row>
    <row r="52" spans="1:78" s="4" customFormat="1" ht="12.75" customHeight="1" x14ac:dyDescent="0.2">
      <c r="A52" s="780"/>
      <c r="B52" s="1280"/>
      <c r="C52" s="164"/>
      <c r="D52" s="5"/>
      <c r="E52" s="234"/>
      <c r="F52" s="235" t="s">
        <v>258</v>
      </c>
      <c r="G52" s="1570" t="str">
        <f>Translations!$B$150</f>
        <v>Numatytosios vertės arba pagal 39 str. 2 dalį Komisijos paskelbto nustatymo metodo naudojimas;</v>
      </c>
      <c r="H52" s="1570"/>
      <c r="I52" s="1570"/>
      <c r="J52" s="1570"/>
      <c r="K52" s="1570"/>
      <c r="L52" s="1570"/>
      <c r="M52" s="1570"/>
      <c r="N52" s="1570"/>
      <c r="O52" s="1311"/>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
      <c r="A53" s="757"/>
      <c r="B53" s="1250"/>
      <c r="C53" s="164"/>
      <c r="D53" s="200"/>
      <c r="E53" s="234"/>
      <c r="F53" s="235" t="s">
        <v>258</v>
      </c>
      <c r="G53" s="1570" t="str">
        <f>Translations!$B$151</f>
        <v>Naudoti vertę, nustatytą pagal 39 str. 2 dalies 2 pastraipą, t. y. daryti prielaidą, kad medžiaga yra tik iškastinė (BF=0), arba naudoti kompetentingos institucijos patvirtintą matavimo metodą;</v>
      </c>
      <c r="H53" s="1570"/>
      <c r="I53" s="1570"/>
      <c r="J53" s="1570"/>
      <c r="K53" s="1570"/>
      <c r="L53" s="1570"/>
      <c r="M53" s="1570"/>
      <c r="N53" s="1570"/>
      <c r="O53" s="1310"/>
      <c r="P53" s="75"/>
      <c r="Q53" s="75"/>
      <c r="R53" s="75"/>
      <c r="S53" s="7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row>
    <row r="54" spans="1:78" ht="25.5" customHeight="1" x14ac:dyDescent="0.2">
      <c r="A54" s="757"/>
      <c r="B54" s="1250"/>
      <c r="C54" s="164"/>
      <c r="D54" s="200"/>
      <c r="E54" s="230"/>
      <c r="F54" s="233" t="s">
        <v>258</v>
      </c>
      <c r="G54" s="1615"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615"/>
      <c r="I54" s="1615"/>
      <c r="J54" s="1615"/>
      <c r="K54" s="1615"/>
      <c r="L54" s="1615"/>
      <c r="M54" s="1615"/>
      <c r="N54" s="1615"/>
      <c r="O54" s="1310"/>
      <c r="P54" s="75"/>
      <c r="Q54" s="75"/>
      <c r="R54" s="75"/>
      <c r="S54" s="7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row>
    <row r="55" spans="1:78" s="382" customFormat="1" ht="31.5" customHeight="1" x14ac:dyDescent="0.2">
      <c r="A55" s="778"/>
      <c r="B55" s="1308"/>
      <c r="C55" s="140"/>
      <c r="D55" s="9"/>
      <c r="E55" s="230" t="str">
        <f>Translations!$B$661</f>
        <v>II tipas, biol.</v>
      </c>
      <c r="F55" s="1632" t="str">
        <f>Translations!$B$152</f>
        <v>Biomasės dalis nustatoma pagal 39 str. 1 dalį, t.y. laboratoriniais tyrimais. Tokiu atveju kompetentinga institucija turi aiškiai patvirtinti atitinkamus standartus ir tam naudosimus tyrimo metodus.</v>
      </c>
      <c r="G55" s="1632"/>
      <c r="H55" s="1632"/>
      <c r="I55" s="1632"/>
      <c r="J55" s="1632"/>
      <c r="K55" s="1632"/>
      <c r="L55" s="1632"/>
      <c r="M55" s="1632"/>
      <c r="N55" s="1632"/>
      <c r="O55" s="1309"/>
      <c r="P55" s="149"/>
      <c r="Q55" s="149"/>
      <c r="R55" s="149"/>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row>
    <row r="56" spans="1:78" ht="12.75" customHeight="1" x14ac:dyDescent="0.2">
      <c r="A56" s="757"/>
      <c r="B56" s="1254"/>
      <c r="C56" s="164"/>
      <c r="D56" s="200"/>
      <c r="E56" s="164"/>
      <c r="F56" s="200"/>
      <c r="G56" s="200"/>
      <c r="H56" s="200"/>
      <c r="I56" s="200"/>
      <c r="J56" s="200"/>
      <c r="K56" s="200"/>
      <c r="L56" s="200"/>
      <c r="M56" s="200"/>
      <c r="N56" s="200"/>
      <c r="O56" s="1255"/>
      <c r="P56" s="383"/>
      <c r="Q56" s="383"/>
      <c r="R56" s="383"/>
      <c r="S56" s="56"/>
      <c r="T56" s="56"/>
      <c r="U56" s="73"/>
      <c r="V56" s="23"/>
      <c r="W56" s="23"/>
      <c r="X56" s="23"/>
      <c r="Y56" s="23"/>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row>
    <row r="57" spans="1:78" s="382" customFormat="1" ht="15" customHeight="1" x14ac:dyDescent="0.2">
      <c r="A57" s="778"/>
      <c r="B57" s="1308"/>
      <c r="C57" s="140"/>
      <c r="D57" s="779"/>
      <c r="E57" s="1633" t="str">
        <f>Translations!$B$662</f>
        <v>Pranešimai apie klaidas:</v>
      </c>
      <c r="F57" s="1633"/>
      <c r="G57" s="1633"/>
      <c r="H57" s="1633"/>
      <c r="I57" s="1633"/>
      <c r="J57" s="1633"/>
      <c r="K57" s="1633"/>
      <c r="L57" s="1633"/>
      <c r="M57" s="1633"/>
      <c r="N57" s="1633"/>
      <c r="O57" s="1309"/>
      <c r="P57" s="25"/>
      <c r="Q57" s="25"/>
      <c r="R57" s="25"/>
      <c r="S57" s="25"/>
      <c r="T57" s="25"/>
      <c r="U57" s="25"/>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row>
    <row r="58" spans="1:78" ht="25.5" customHeight="1" x14ac:dyDescent="0.2">
      <c r="A58" s="757"/>
      <c r="B58" s="1250"/>
      <c r="C58" s="164"/>
      <c r="D58" s="200"/>
      <c r="E58" s="231" t="str">
        <f>EUconst_ERR_Incomplete</f>
        <v>Nebaigta!</v>
      </c>
      <c r="F58" s="1632" t="str">
        <f>Translations!$B$663</f>
        <v>Šis pranešimas apie klaidą reiškia, kad įrašai šioje eilutėje yra privalomi, bet jų nėra.</v>
      </c>
      <c r="G58" s="1632"/>
      <c r="H58" s="1632"/>
      <c r="I58" s="1632"/>
      <c r="J58" s="1632"/>
      <c r="K58" s="1632"/>
      <c r="L58" s="1632"/>
      <c r="M58" s="1632"/>
      <c r="N58" s="1632"/>
      <c r="O58" s="1310"/>
      <c r="P58" s="25"/>
      <c r="Q58" s="25"/>
      <c r="R58" s="25"/>
      <c r="S58" s="76"/>
      <c r="T58" s="76"/>
      <c r="U58" s="76"/>
      <c r="V58" s="23"/>
      <c r="W58" s="23"/>
      <c r="X58" s="23"/>
      <c r="Y58" s="23"/>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row>
    <row r="59" spans="1:78" ht="25.5" customHeight="1" x14ac:dyDescent="0.2">
      <c r="A59" s="757"/>
      <c r="B59" s="1250"/>
      <c r="C59" s="164"/>
      <c r="D59" s="200"/>
      <c r="E59" s="231" t="str">
        <f>EUconst_ERR_Inconsistent</f>
        <v>Nenuoseklu!</v>
      </c>
      <c r="F59" s="1632"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32"/>
      <c r="H59" s="1632"/>
      <c r="I59" s="1632"/>
      <c r="J59" s="1632"/>
      <c r="K59" s="1632"/>
      <c r="L59" s="1632"/>
      <c r="M59" s="1632"/>
      <c r="N59" s="1632"/>
      <c r="O59" s="1310"/>
      <c r="P59" s="25"/>
      <c r="Q59" s="25"/>
      <c r="R59" s="25"/>
      <c r="S59" s="23"/>
      <c r="T59" s="23"/>
      <c r="U59" s="23"/>
      <c r="V59" s="23"/>
      <c r="W59" s="23"/>
      <c r="X59" s="23"/>
      <c r="Y59" s="23"/>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row>
    <row r="60" spans="1:78" ht="12.75" customHeight="1" thickBot="1" x14ac:dyDescent="0.25">
      <c r="A60" s="757"/>
      <c r="B60" s="1254"/>
      <c r="C60" s="490"/>
      <c r="D60" s="37"/>
      <c r="E60" s="492"/>
      <c r="F60" s="36"/>
      <c r="G60" s="39"/>
      <c r="H60" s="39"/>
      <c r="I60" s="39"/>
      <c r="J60" s="39"/>
      <c r="K60" s="39"/>
      <c r="L60" s="39"/>
      <c r="M60" s="39"/>
      <c r="N60" s="39"/>
      <c r="O60" s="1255"/>
      <c r="P60" s="383"/>
      <c r="Q60" s="383"/>
      <c r="R60" s="383"/>
      <c r="S60" s="23"/>
      <c r="T60" s="23"/>
      <c r="U60" s="23"/>
      <c r="V60" s="23"/>
      <c r="W60" s="23"/>
      <c r="X60" s="23"/>
      <c r="Y60" s="23"/>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row>
    <row r="61" spans="1:78" s="28" customFormat="1" ht="12.75" customHeight="1" thickBot="1" x14ac:dyDescent="0.25">
      <c r="A61" s="782"/>
      <c r="B61" s="1312"/>
      <c r="C61" s="486"/>
      <c r="D61" s="178"/>
      <c r="E61" s="487"/>
      <c r="F61" s="486"/>
      <c r="G61" s="478"/>
      <c r="H61" s="478"/>
      <c r="I61" s="478"/>
      <c r="J61" s="478"/>
      <c r="K61" s="486"/>
      <c r="L61" s="478"/>
      <c r="M61" s="478"/>
      <c r="N61" s="478"/>
      <c r="O61" s="1313"/>
      <c r="P61" s="485"/>
      <c r="Q61" s="485"/>
      <c r="R61" s="485"/>
      <c r="S61" s="23"/>
      <c r="T61" s="27">
        <f>IF(ISBLANK(E62),"",MATCH(E62,CNTR_SourceStreamNames,0))</f>
        <v>1</v>
      </c>
      <c r="U61" s="609" t="str">
        <f>IF(ISBLANK(E62),"",INDEX(B_InstallationDescription!$D$71:$D$145,MATCH(E62,CNTR_SourceStreamNames,0)))</f>
        <v>F1</v>
      </c>
      <c r="V61" s="76"/>
      <c r="W61" s="56"/>
      <c r="X61" s="56"/>
      <c r="Y61" s="56"/>
      <c r="Z61" s="58"/>
      <c r="AA61" s="58"/>
      <c r="AB61" s="58"/>
      <c r="AC61" s="58"/>
      <c r="AD61" s="58"/>
      <c r="AE61" s="58"/>
      <c r="AF61" s="58"/>
      <c r="AG61" s="58"/>
      <c r="AH61" s="58"/>
      <c r="AI61" s="58"/>
      <c r="AJ61" s="58"/>
      <c r="AK61" s="482"/>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84" t="s">
        <v>259</v>
      </c>
    </row>
    <row r="62" spans="1:78" s="140" customFormat="1" ht="15" customHeight="1" thickBot="1" x14ac:dyDescent="0.25">
      <c r="A62" s="1302" t="str">
        <f>IF(E62="","","PRINT")</f>
        <v>PRINT</v>
      </c>
      <c r="B62" s="1248"/>
      <c r="C62" s="608">
        <v>1</v>
      </c>
      <c r="D62" s="164"/>
      <c r="E62" s="1610" t="s">
        <v>1813</v>
      </c>
      <c r="F62" s="1611"/>
      <c r="G62" s="1611"/>
      <c r="H62" s="1611"/>
      <c r="I62" s="1611"/>
      <c r="J62" s="1612"/>
      <c r="K62" s="1623" t="str">
        <f>IF(E63="","",INDEX(EUwideConstants!$F$353:$F$394,MATCH(E63,EUConst_TierActivityListNames,0)))</f>
        <v>Degimas</v>
      </c>
      <c r="L62" s="1624"/>
      <c r="M62" s="494" t="str">
        <f>Translations!$B$665</f>
        <v>CO2, iškastinio kuro kilmės:</v>
      </c>
      <c r="N62" s="1012">
        <f>IF(OR(K62="",T63=TRUE),"",INDEX(BC76:BE76,MATCH(K62,BC72:BE72,0)))</f>
        <v>10958.264152093439</v>
      </c>
      <c r="O62" s="1314" t="s">
        <v>257</v>
      </c>
      <c r="P62" s="1303" t="str">
        <f>IF(AND(E62&lt;&gt;"",COUNTIF(P63:$P$2089,"PRINT")=0),"PRINT","")</f>
        <v/>
      </c>
      <c r="Q62" s="343" t="str">
        <f>EUconst_SumCO2 &amp; "_" &amp; K62</f>
        <v>SUM_CO2_Degimas</v>
      </c>
      <c r="R62" s="485"/>
      <c r="S62" s="23"/>
      <c r="T62" s="500" t="s">
        <v>387</v>
      </c>
      <c r="U62" s="23"/>
      <c r="V62" s="76"/>
      <c r="W62" s="56"/>
      <c r="X62" s="58"/>
      <c r="Y62" s="58"/>
      <c r="Z62" s="58"/>
      <c r="AA62" s="58"/>
      <c r="AB62" s="58"/>
      <c r="AC62" s="58"/>
      <c r="AD62" s="58"/>
      <c r="AE62" s="58"/>
      <c r="AF62" s="58"/>
      <c r="AG62" s="58"/>
      <c r="AH62" s="58"/>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834">
        <f>AR72</f>
        <v>5852.2520000000004</v>
      </c>
      <c r="BI62" s="834" t="str">
        <f>AJ72</f>
        <v>1 000 Nm3</v>
      </c>
      <c r="BJ62" s="834">
        <f>AR74</f>
        <v>55.57</v>
      </c>
      <c r="BK62" s="834" t="str">
        <f>AJ74</f>
        <v>tCO2/TJ</v>
      </c>
      <c r="BL62" s="834">
        <f>AR75</f>
        <v>33.695999999999998</v>
      </c>
      <c r="BM62" s="834" t="str">
        <f>AJ75</f>
        <v>GJ/1 000 Nm3</v>
      </c>
      <c r="BN62" s="834">
        <f>AR76</f>
        <v>1</v>
      </c>
      <c r="BO62" s="834">
        <f>AR77</f>
        <v>1</v>
      </c>
      <c r="BP62" s="834">
        <f>AR78</f>
        <v>0</v>
      </c>
      <c r="BQ62" s="834" t="str">
        <f>AJ78</f>
        <v/>
      </c>
      <c r="BR62" s="834">
        <f>AR79</f>
        <v>0</v>
      </c>
      <c r="BS62" s="834">
        <f>AR80</f>
        <v>0</v>
      </c>
      <c r="BT62" s="834">
        <f>N62</f>
        <v>10958.264152093439</v>
      </c>
      <c r="BU62" s="834">
        <f>N63</f>
        <v>0</v>
      </c>
      <c r="BV62" s="834">
        <f>R65</f>
        <v>0</v>
      </c>
      <c r="BW62" s="834">
        <f>R71</f>
        <v>197.19748339199998</v>
      </c>
      <c r="BX62" s="834">
        <f>R72</f>
        <v>0</v>
      </c>
      <c r="BY62" s="56"/>
      <c r="BZ62" s="610" t="b">
        <f>CNTR_CalcRelevant=EUconst_NotRelevant</f>
        <v>0</v>
      </c>
    </row>
    <row r="63" spans="1:78" s="140" customFormat="1" ht="15" customHeight="1" thickBot="1" x14ac:dyDescent="0.25">
      <c r="A63" s="777"/>
      <c r="B63" s="1248"/>
      <c r="C63" s="164"/>
      <c r="D63" s="164"/>
      <c r="E63" s="1625" t="str">
        <f>IF(ISBLANK(E62),"",IF(INDEX(B_InstallationDescription!$E$71:$E$145,MATCH(U61,B_InstallationDescription!$D$71:$D$145,0))&gt;0,INDEX(B_InstallationDescription!$E$71:$E$145,MATCH(U61,B_InstallationDescription!$D$71:$D$145,0)),""))</f>
        <v>Degimas: Kitas dujinis ir skystasis kuras</v>
      </c>
      <c r="F63" s="1626"/>
      <c r="G63" s="1626"/>
      <c r="H63" s="1626"/>
      <c r="I63" s="1626"/>
      <c r="J63" s="1627"/>
      <c r="M63" s="337" t="str">
        <f>Translations!$B$666</f>
        <v>CO2, biomasės kilmės.:</v>
      </c>
      <c r="N63" s="1013">
        <f>IF(OR(K62="",T63=TRUE),"",INDEX(BC75:BE75,MATCH(K62,BC72:BE72,0)))</f>
        <v>0</v>
      </c>
      <c r="O63" s="1315" t="s">
        <v>257</v>
      </c>
      <c r="P63" s="485"/>
      <c r="Q63" s="343" t="str">
        <f>EUconst_SumBioCO2 &amp; "_" &amp; K62</f>
        <v>SUM_bioCO2_Degimas</v>
      </c>
      <c r="R63" s="485"/>
      <c r="S63" s="23"/>
      <c r="T63" s="48" t="b">
        <f>IF(E63="","",MATCH(E63,EUConst_TierActivityListNames,0)&gt;40)</f>
        <v>0</v>
      </c>
      <c r="U63" s="23"/>
      <c r="V63" s="76"/>
      <c r="W63" s="56"/>
      <c r="X63" s="58"/>
      <c r="Y63" s="27" t="s">
        <v>91</v>
      </c>
      <c r="Z63" s="30"/>
      <c r="AA63" s="30"/>
      <c r="AB63" s="30"/>
      <c r="AC63" s="30"/>
      <c r="AD63" s="30"/>
      <c r="AE63" s="27" t="s">
        <v>297</v>
      </c>
      <c r="AF63" s="58"/>
      <c r="AG63" s="495"/>
      <c r="AH63" s="30"/>
      <c r="AI63" s="30"/>
      <c r="AJ63" s="495"/>
      <c r="AK63" s="495"/>
      <c r="AL63" s="333"/>
      <c r="AM63" s="27" t="s">
        <v>303</v>
      </c>
      <c r="AN63" s="496"/>
      <c r="AO63" s="496"/>
      <c r="AP63" s="30"/>
      <c r="AQ63" s="30"/>
      <c r="AR63" s="30"/>
      <c r="AS63" s="30"/>
      <c r="AT63" s="30"/>
      <c r="AU63" s="30"/>
      <c r="AV63" s="27" t="s">
        <v>310</v>
      </c>
      <c r="AW63" s="30"/>
      <c r="AX63" s="483"/>
      <c r="AY63" s="30"/>
      <c r="AZ63" s="30"/>
      <c r="BA63" s="30"/>
      <c r="BB63" s="27" t="s">
        <v>217</v>
      </c>
      <c r="BC63" s="30"/>
      <c r="BD63" s="30"/>
      <c r="BE63" s="30"/>
      <c r="BF63" s="30"/>
      <c r="BG63" s="27" t="s">
        <v>486</v>
      </c>
      <c r="BH63" s="833" t="s">
        <v>552</v>
      </c>
      <c r="BI63" s="833" t="s">
        <v>487</v>
      </c>
      <c r="BJ63" s="833" t="s">
        <v>211</v>
      </c>
      <c r="BK63" s="833" t="s">
        <v>488</v>
      </c>
      <c r="BL63" s="833" t="s">
        <v>68</v>
      </c>
      <c r="BM63" s="833" t="s">
        <v>489</v>
      </c>
      <c r="BN63" s="833" t="s">
        <v>490</v>
      </c>
      <c r="BO63" s="833" t="s">
        <v>491</v>
      </c>
      <c r="BP63" s="833" t="s">
        <v>214</v>
      </c>
      <c r="BQ63" s="833" t="s">
        <v>492</v>
      </c>
      <c r="BR63" s="833" t="s">
        <v>493</v>
      </c>
      <c r="BS63" s="833" t="s">
        <v>494</v>
      </c>
      <c r="BT63" s="833" t="s">
        <v>287</v>
      </c>
      <c r="BU63" s="833" t="s">
        <v>495</v>
      </c>
      <c r="BV63" s="833" t="s">
        <v>498</v>
      </c>
      <c r="BW63" s="833" t="s">
        <v>496</v>
      </c>
      <c r="BX63" s="833" t="s">
        <v>497</v>
      </c>
      <c r="BY63" s="30"/>
      <c r="BZ63" s="30"/>
    </row>
    <row r="64" spans="1:78" s="140" customFormat="1" ht="5.0999999999999996" customHeight="1" thickBot="1" x14ac:dyDescent="0.25">
      <c r="A64" s="777"/>
      <c r="B64" s="1248"/>
      <c r="C64" s="164"/>
      <c r="D64" s="164"/>
      <c r="E64" s="164"/>
      <c r="F64" s="164"/>
      <c r="G64" s="164"/>
      <c r="M64" s="141"/>
      <c r="N64" s="141"/>
      <c r="O64" s="1305"/>
      <c r="P64" s="33"/>
      <c r="Q64" s="33"/>
      <c r="R64" s="33"/>
      <c r="S64" s="23"/>
      <c r="T64" s="23"/>
      <c r="U64" s="23"/>
      <c r="V64" s="76"/>
      <c r="W64" s="30"/>
      <c r="X64" s="30"/>
      <c r="Y64" s="485"/>
      <c r="Z64" s="30"/>
      <c r="AA64" s="30"/>
      <c r="AB64" s="30"/>
      <c r="AC64" s="30"/>
      <c r="AD64" s="30"/>
      <c r="AE64" s="30"/>
      <c r="AF64" s="58"/>
      <c r="AG64" s="30"/>
      <c r="AH64" s="30"/>
      <c r="AI64" s="30"/>
      <c r="AJ64" s="495"/>
      <c r="AK64" s="495"/>
      <c r="AL64" s="333"/>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row>
    <row r="65" spans="1:78" s="140" customFormat="1" ht="12.75" customHeight="1" thickBot="1" x14ac:dyDescent="0.25">
      <c r="A65" s="777"/>
      <c r="B65" s="1248"/>
      <c r="C65" s="164"/>
      <c r="D65" s="164"/>
      <c r="E65" s="1628" t="str">
        <f>IF(E62="","",IF(T63=TRUE,HYPERLINK("#JUMP_14",EUconst_MsgGoOnPFC),HYPERLINK("#JUMP_E_8",EUconst_FurtherGuidancePoint1)))</f>
        <v xml:space="preserve">Išsamios duomenų įvedimo naudojantis šia priemone instrukcijos pateiktos šio lapo viršuje. </v>
      </c>
      <c r="F65" s="1628"/>
      <c r="G65" s="1628"/>
      <c r="H65" s="1628"/>
      <c r="I65" s="1628"/>
      <c r="J65" s="1628"/>
      <c r="K65" s="1628"/>
      <c r="L65" s="1628"/>
      <c r="M65" s="1628"/>
      <c r="N65" s="141"/>
      <c r="O65" s="1305"/>
      <c r="P65" s="33"/>
      <c r="Q65" s="343" t="str">
        <f>EUconst_SumNonSustBioCO2 &amp; "_" &amp; K62</f>
        <v>SUM_bioNonSustCO2_Degimas</v>
      </c>
      <c r="R65" s="698">
        <f>IF(OR(K62="",T63=TRUE),"",ROUND(INDEX(BC74:BE74,MATCH(K62,BC72:BE72,0)),0))</f>
        <v>0</v>
      </c>
      <c r="S65" s="23"/>
      <c r="T65" s="23"/>
      <c r="U65" s="23"/>
      <c r="V65" s="30"/>
      <c r="W65" s="30"/>
      <c r="X65" s="30"/>
      <c r="Y65" s="58"/>
      <c r="Z65" s="30"/>
      <c r="AA65" s="30"/>
      <c r="AB65" s="30"/>
      <c r="AC65" s="30"/>
      <c r="AD65" s="30"/>
      <c r="AE65" s="30"/>
      <c r="AF65" s="58"/>
      <c r="AG65" s="30"/>
      <c r="AH65" s="30"/>
      <c r="AI65" s="30"/>
      <c r="AJ65" s="495"/>
      <c r="AK65" s="495"/>
      <c r="AL65" s="333"/>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row>
    <row r="66" spans="1:78" s="140" customFormat="1" ht="5.0999999999999996" customHeight="1" thickBot="1" x14ac:dyDescent="0.25">
      <c r="A66" s="777"/>
      <c r="B66" s="1248"/>
      <c r="C66" s="164"/>
      <c r="D66" s="164"/>
      <c r="E66" s="164"/>
      <c r="F66" s="164"/>
      <c r="G66" s="164"/>
      <c r="M66" s="141"/>
      <c r="N66" s="141"/>
      <c r="O66" s="1305"/>
      <c r="P66" s="23"/>
      <c r="Q66" s="23"/>
      <c r="R66" s="23"/>
      <c r="S66" s="23"/>
      <c r="T66" s="23"/>
      <c r="U66" s="23"/>
      <c r="V66" s="30"/>
      <c r="W66" s="30"/>
      <c r="X66" s="30"/>
      <c r="Y66" s="485"/>
      <c r="Z66" s="30"/>
      <c r="AA66" s="30"/>
      <c r="AB66" s="30"/>
      <c r="AC66" s="30"/>
      <c r="AD66" s="30"/>
      <c r="AE66" s="30"/>
      <c r="AF66" s="58"/>
      <c r="AG66" s="30"/>
      <c r="AH66" s="30"/>
      <c r="AI66" s="30"/>
      <c r="AJ66" s="495"/>
      <c r="AK66" s="495"/>
      <c r="AL66" s="333"/>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row>
    <row r="67" spans="1:78" s="140" customFormat="1" ht="12.75" customHeight="1" thickBot="1" x14ac:dyDescent="0.25">
      <c r="A67" s="777"/>
      <c r="B67" s="1248"/>
      <c r="C67" s="783" t="s">
        <v>4</v>
      </c>
      <c r="D67" s="503" t="str">
        <f>Translations!$B$622</f>
        <v>VD:</v>
      </c>
      <c r="E67" s="1631" t="str">
        <f>Translations!$B$667</f>
        <v>Ar veiklos duomenys gaunami sudedant išmatuotus kiekius (t. y. ne atliekant nuolatinius matavimus)?</v>
      </c>
      <c r="F67" s="1631"/>
      <c r="G67" s="1631"/>
      <c r="H67" s="1631"/>
      <c r="I67" s="1631"/>
      <c r="J67" s="1631"/>
      <c r="K67" s="1631"/>
      <c r="L67" s="1122" t="b">
        <v>0</v>
      </c>
      <c r="M67" s="498"/>
      <c r="O67" s="1305"/>
      <c r="P67" s="23"/>
      <c r="Q67" s="23"/>
      <c r="R67" s="23"/>
      <c r="S67" s="23"/>
      <c r="T67" s="23"/>
      <c r="U67" s="23"/>
      <c r="V67" s="30"/>
      <c r="W67" s="30"/>
      <c r="X67" s="30"/>
      <c r="Y67" s="485"/>
      <c r="Z67" s="30"/>
      <c r="AA67" s="30"/>
      <c r="AB67" s="30"/>
      <c r="AC67" s="1115" t="b">
        <f>AND(E62&lt;&gt;"",T63&lt;&gt;TRUE)</f>
        <v>1</v>
      </c>
      <c r="AD67" s="30"/>
      <c r="AE67" s="30"/>
      <c r="AF67" s="58"/>
      <c r="AG67" s="30"/>
      <c r="AH67" s="30"/>
      <c r="AI67" s="30"/>
      <c r="AJ67" s="495"/>
      <c r="AK67" s="495"/>
      <c r="AL67" s="333"/>
      <c r="AM67" s="30"/>
      <c r="AN67" s="30"/>
      <c r="AO67" s="30"/>
      <c r="AP67" s="30"/>
      <c r="AQ67" s="30"/>
      <c r="AR67" s="30"/>
      <c r="AS67" s="30"/>
      <c r="AT67" s="1115" t="b">
        <f>MSPara_BatchReportingMandatory&lt;&gt;TRUE</f>
        <v>0</v>
      </c>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1115" t="b">
        <f>OR(CNTR_CalcRelevant=EUconst_NotRelevant,AND(COUNTA(CNTR_ListRelevantSections)&gt;0,OR(T63=TRUE,E62="")))</f>
        <v>0</v>
      </c>
    </row>
    <row r="68" spans="1:78" s="140" customFormat="1" ht="5.0999999999999996" customHeight="1" thickBot="1" x14ac:dyDescent="0.25">
      <c r="A68" s="777"/>
      <c r="B68" s="1248"/>
      <c r="C68" s="164"/>
      <c r="D68" s="164"/>
      <c r="E68" s="164"/>
      <c r="F68" s="164"/>
      <c r="G68" s="164"/>
      <c r="H68" s="486"/>
      <c r="I68" s="486"/>
      <c r="J68" s="486"/>
      <c r="K68" s="486"/>
      <c r="L68" s="486"/>
      <c r="M68" s="498"/>
      <c r="O68" s="1305"/>
      <c r="P68" s="23"/>
      <c r="Q68" s="23"/>
      <c r="R68" s="23"/>
      <c r="S68" s="23"/>
      <c r="T68" s="23"/>
      <c r="U68" s="23"/>
      <c r="V68" s="30"/>
      <c r="W68" s="30"/>
      <c r="X68" s="30"/>
      <c r="Y68" s="485"/>
      <c r="Z68" s="30"/>
      <c r="AA68" s="30"/>
      <c r="AB68" s="30"/>
      <c r="AC68" s="483"/>
      <c r="AD68" s="30"/>
      <c r="AE68" s="30"/>
      <c r="AF68" s="58"/>
      <c r="AG68" s="30"/>
      <c r="AH68" s="30"/>
      <c r="AI68" s="30"/>
      <c r="AJ68" s="495"/>
      <c r="AK68" s="495"/>
      <c r="AL68" s="333"/>
      <c r="AM68" s="30"/>
      <c r="AN68" s="30"/>
      <c r="AO68" s="30"/>
      <c r="AP68" s="30"/>
      <c r="AQ68" s="30"/>
      <c r="AR68" s="30"/>
      <c r="AS68" s="30"/>
      <c r="AT68" s="483"/>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483"/>
    </row>
    <row r="69" spans="1:78" s="140" customFormat="1" ht="12.75" customHeight="1" thickBot="1" x14ac:dyDescent="0.25">
      <c r="A69" s="777"/>
      <c r="B69" s="1248"/>
      <c r="C69" s="783" t="s">
        <v>5</v>
      </c>
      <c r="D69" s="503" t="str">
        <f>Translations!$B$622</f>
        <v>VD:</v>
      </c>
      <c r="E69" s="1105" t="str">
        <f>Translations!$B$668</f>
        <v>Pradinis kiekis:</v>
      </c>
      <c r="F69" s="1123"/>
      <c r="G69" s="1106" t="str">
        <f>Translations!$B$669</f>
        <v>Galutinis kiekis:</v>
      </c>
      <c r="H69" s="1123"/>
      <c r="I69" s="1106" t="str">
        <f>Translations!$B$670</f>
        <v>Įsigytas kiekis:</v>
      </c>
      <c r="J69" s="1123"/>
      <c r="K69" s="1106" t="str">
        <f>Translations!$B$671</f>
        <v>Perduotas kiekis:</v>
      </c>
      <c r="L69" s="1123"/>
      <c r="M69" s="1107" t="str">
        <f>IF(AND(L67=TRUE,COUNT(F69,H69,J69,L69)&lt;4),EUconst_ERR_Incomplete,"")</f>
        <v/>
      </c>
      <c r="O69" s="1305"/>
      <c r="P69" s="23"/>
      <c r="Q69" s="23"/>
      <c r="R69" s="23"/>
      <c r="S69" s="23"/>
      <c r="T69" s="23"/>
      <c r="U69" s="23"/>
      <c r="V69" s="30"/>
      <c r="W69" s="30"/>
      <c r="X69" s="30"/>
      <c r="Y69" s="485"/>
      <c r="Z69" s="30"/>
      <c r="AA69" s="30"/>
      <c r="AB69" s="30"/>
      <c r="AC69" s="1115" t="b">
        <f>AC67</f>
        <v>1</v>
      </c>
      <c r="AD69" s="30"/>
      <c r="AE69" s="30"/>
      <c r="AF69" s="58"/>
      <c r="AG69" s="30"/>
      <c r="AH69" s="30"/>
      <c r="AI69" s="30"/>
      <c r="AJ69" s="495"/>
      <c r="AK69" s="495"/>
      <c r="AL69" s="333"/>
      <c r="AM69" s="30"/>
      <c r="AN69" s="30"/>
      <c r="AO69" s="30"/>
      <c r="AP69" s="30"/>
      <c r="AQ69" s="30"/>
      <c r="AR69" s="30"/>
      <c r="AS69" s="30"/>
      <c r="AT69" s="1115" t="b">
        <f>AND(AT67=TRUE,L67="")</f>
        <v>0</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1115" t="b">
        <f>OR(BZ67,AND(NOT(ISBLANK(L67)),L67=FALSE))</f>
        <v>1</v>
      </c>
    </row>
    <row r="70" spans="1:78" s="140" customFormat="1" ht="5.0999999999999996" customHeight="1" thickBot="1" x14ac:dyDescent="0.25">
      <c r="A70" s="777"/>
      <c r="B70" s="1248"/>
      <c r="C70" s="164"/>
      <c r="D70" s="164"/>
      <c r="E70" s="164"/>
      <c r="F70" s="164"/>
      <c r="G70" s="164"/>
      <c r="M70" s="141"/>
      <c r="N70" s="141"/>
      <c r="O70" s="1305"/>
      <c r="P70" s="23"/>
      <c r="Q70" s="23"/>
      <c r="R70" s="23"/>
      <c r="S70" s="23"/>
      <c r="T70" s="23"/>
      <c r="U70" s="23"/>
      <c r="V70" s="30"/>
      <c r="W70" s="30"/>
      <c r="X70" s="30"/>
      <c r="Y70" s="485"/>
      <c r="Z70" s="30"/>
      <c r="AA70" s="30"/>
      <c r="AB70" s="30"/>
      <c r="AC70" s="30"/>
      <c r="AD70" s="30"/>
      <c r="AE70" s="30"/>
      <c r="AF70" s="58"/>
      <c r="AG70" s="30"/>
      <c r="AH70" s="30"/>
      <c r="AI70" s="30"/>
      <c r="AJ70" s="495"/>
      <c r="AK70" s="495"/>
      <c r="AL70" s="333"/>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row>
    <row r="71" spans="1:78" s="140" customFormat="1" ht="12.75" customHeight="1" thickBot="1" x14ac:dyDescent="0.25">
      <c r="A71" s="777"/>
      <c r="B71" s="1248"/>
      <c r="C71" s="164"/>
      <c r="D71" s="164"/>
      <c r="E71" s="164"/>
      <c r="F71" s="497" t="str">
        <f>Translations!$B$333</f>
        <v>Pakopa</v>
      </c>
      <c r="G71" s="1613" t="str">
        <f>Translations!$B$672</f>
        <v>pakopos aprašas</v>
      </c>
      <c r="H71" s="1613"/>
      <c r="I71" s="1608" t="str">
        <f>Translations!$B$158</f>
        <v>Vienetas</v>
      </c>
      <c r="J71" s="1608"/>
      <c r="K71" s="1608" t="str">
        <f>Translations!$B$673</f>
        <v>Vertė</v>
      </c>
      <c r="L71" s="1608"/>
      <c r="M71" s="498" t="str">
        <f>Translations!$B$610</f>
        <v>klaida</v>
      </c>
      <c r="O71" s="1305"/>
      <c r="P71" s="499"/>
      <c r="Q71" s="343" t="str">
        <f>EUconst_SumEnergyIN &amp; "_" &amp; K62</f>
        <v>SUM_EnergyIN_Degimas</v>
      </c>
      <c r="R71" s="390">
        <f>IF(OR(K62="",T63)=TRUE,"",INDEX(BC77:BE77,MATCH(K62,BC72:BE72,0)))</f>
        <v>197.19748339199998</v>
      </c>
      <c r="S71" s="30"/>
      <c r="T71" s="480"/>
      <c r="U71" s="30"/>
      <c r="V71" s="500" t="s">
        <v>298</v>
      </c>
      <c r="W71" s="30"/>
      <c r="X71" s="30"/>
      <c r="Y71" s="485" t="s">
        <v>560</v>
      </c>
      <c r="Z71" s="485" t="s">
        <v>313</v>
      </c>
      <c r="AA71" s="30"/>
      <c r="AB71" s="30"/>
      <c r="AC71" s="496" t="s">
        <v>304</v>
      </c>
      <c r="AD71" s="30"/>
      <c r="AE71" s="30"/>
      <c r="AF71" s="483" t="s">
        <v>300</v>
      </c>
      <c r="AG71" s="483" t="s">
        <v>301</v>
      </c>
      <c r="AH71" s="485" t="s">
        <v>299</v>
      </c>
      <c r="AI71" s="495" t="s">
        <v>302</v>
      </c>
      <c r="AJ71" s="495" t="s">
        <v>561</v>
      </c>
      <c r="AK71" s="501" t="s">
        <v>306</v>
      </c>
      <c r="AL71" s="333"/>
      <c r="AM71" s="30"/>
      <c r="AN71" s="483" t="s">
        <v>300</v>
      </c>
      <c r="AO71" s="483" t="s">
        <v>301</v>
      </c>
      <c r="AP71" s="502" t="s">
        <v>305</v>
      </c>
      <c r="AQ71" s="495" t="s">
        <v>563</v>
      </c>
      <c r="AR71" s="495" t="s">
        <v>562</v>
      </c>
      <c r="AS71" s="501" t="s">
        <v>306</v>
      </c>
      <c r="AT71" s="501" t="s">
        <v>306</v>
      </c>
      <c r="AU71" s="30"/>
      <c r="AV71" s="483"/>
      <c r="AW71" s="483"/>
      <c r="AX71" s="483" t="s">
        <v>316</v>
      </c>
      <c r="AY71" s="483"/>
      <c r="AZ71" s="483"/>
      <c r="BA71" s="483"/>
      <c r="BB71" s="483"/>
      <c r="BC71" s="483"/>
      <c r="BD71" s="483"/>
      <c r="BE71" s="30"/>
      <c r="BF71" s="30"/>
      <c r="BG71" s="30"/>
      <c r="BH71" s="30"/>
      <c r="BI71" s="30"/>
      <c r="BJ71" s="30"/>
      <c r="BK71" s="30"/>
      <c r="BL71" s="30"/>
      <c r="BM71" s="30"/>
      <c r="BN71" s="30"/>
      <c r="BO71" s="30"/>
      <c r="BP71" s="30"/>
      <c r="BQ71" s="30"/>
      <c r="BR71" s="30"/>
      <c r="BS71" s="30"/>
      <c r="BT71" s="30"/>
      <c r="BU71" s="30"/>
      <c r="BV71" s="30"/>
      <c r="BW71" s="30"/>
      <c r="BX71" s="30"/>
      <c r="BY71" s="30"/>
      <c r="BZ71" s="484" t="s">
        <v>259</v>
      </c>
    </row>
    <row r="72" spans="1:78" s="140" customFormat="1" ht="12.75" customHeight="1" thickBot="1" x14ac:dyDescent="0.25">
      <c r="A72" s="777"/>
      <c r="B72" s="1248"/>
      <c r="C72" s="753" t="s">
        <v>194</v>
      </c>
      <c r="D72" s="503" t="str">
        <f>Translations!$B$622</f>
        <v>VD:</v>
      </c>
      <c r="E72" s="504"/>
      <c r="F72" s="393">
        <v>4</v>
      </c>
      <c r="G72" s="1603" t="str">
        <f>IF(OR(ISBLANK(F72),F72=EUconst_NoTier),"",IF(Z72=0,EUconst_NA,IF(ISERROR(Z72),"",Z72)))</f>
        <v>± 1,5%</v>
      </c>
      <c r="H72" s="1604"/>
      <c r="I72" s="1108" t="str">
        <f>IF(J72&lt;&gt;"","",AI72)</f>
        <v/>
      </c>
      <c r="J72" s="1109" t="s">
        <v>938</v>
      </c>
      <c r="K72" s="1116" t="str">
        <f>IF(L72="",AQ72,"")</f>
        <v/>
      </c>
      <c r="L72" s="1199">
        <v>5852.2520000000004</v>
      </c>
      <c r="M72" s="700" t="str">
        <f>IF(AND(E63&lt;&gt;"",OR(F72="",COUNT(K72:L72)=0),Y72&lt;&gt;EUconst_NA,T63&lt;&gt;TRUE),EUconst_ERR_Incomplete,IF(COUNTIF(AX72:AZ72,TRUE)&gt;0,EUconst_ERR_Inconsistent,""))</f>
        <v/>
      </c>
      <c r="O72" s="1305"/>
      <c r="P72" s="635"/>
      <c r="Q72" s="343" t="str">
        <f>EUconst_SumBioEnergyIN &amp; "_" &amp; K62</f>
        <v>SUM_BioEnergyIN_Degimas</v>
      </c>
      <c r="R72" s="390">
        <f>IF(OR(K62="",T63)=TRUE,"",INDEX(BC78:BE78,MATCH(K62,BC72:BE72,0)))</f>
        <v>0</v>
      </c>
      <c r="S72" s="30"/>
      <c r="T72" s="505" t="str">
        <f>EUconst_CNTR_ActivityData&amp;E63</f>
        <v>ActivityData_Degimas: Kitas dujinis ir skystasis kuras</v>
      </c>
      <c r="U72" s="488"/>
      <c r="V72" s="505" t="str">
        <f>IF(E62="","",INDEX(B_InstallationDescription!$I$71:$I$145,MATCH(U61,B_InstallationDescription!$D$71:$D$145,0)))</f>
        <v>Dujinis – Gamtinės dujos</v>
      </c>
      <c r="W72" s="495" t="s">
        <v>533</v>
      </c>
      <c r="X72" s="488"/>
      <c r="Y72" s="506">
        <f>IF(OR(T63=TRUE,E63=""),"",INDEX(EUwideConstants!$N:$N,MATCH(T72,EUwideConstants!$Q:$Q,0)))</f>
        <v>4</v>
      </c>
      <c r="Z72" s="507" t="str">
        <f>IF(ISBLANK(F72),"",IF(F72=EUconst_NA,"",INDEX(EUwideConstants!$H:$M,MATCH(T72,EUwideConstants!$Q:$Q,0),MATCH(F72,CNTR_TierList,0))))</f>
        <v>± 1,5%</v>
      </c>
      <c r="AA72" s="508" t="s">
        <v>299</v>
      </c>
      <c r="AB72" s="495"/>
      <c r="AC72" s="509" t="b">
        <f>AC67</f>
        <v>1</v>
      </c>
      <c r="AD72" s="30"/>
      <c r="AE72" s="510" t="str">
        <f>EUconst_CNTR_ActivityData&amp;EUconst_Unit</f>
        <v>ActivityData_Vienetas</v>
      </c>
      <c r="AF72" s="511" t="str">
        <f>IF(AC72=TRUE, IF(COUNTIF(MSPara_SourceStreamCategory,V72)=0,"",INDEX(MSPara_CalcFactorsMatrix,MATCH(V72,MSPara_SourceStreamCategory,0),MATCH(AE72&amp;"_"&amp;2,MSPara_CalcFactors,0))),"")</f>
        <v>netaik.</v>
      </c>
      <c r="AG72" s="512" t="str">
        <f>IF(AC72=TRUE, IF(COUNTIF(MSPara_SourceStreamCategory,V72)=0,"",INDEX(MSPara_CalcFactorsMatrix,MATCH(V72,MSPara_SourceStreamCategory,0),MATCH(AE72&amp;"_"&amp;1,MSPara_CalcFactors,0))),"")</f>
        <v>t</v>
      </c>
      <c r="AH72" s="509" t="str">
        <f>IF(OR(AF72="",AF72=EUconst_NA),IF(OR(AG72=EUconst_NA,AG72=""),"",AG72),AF72)</f>
        <v>t</v>
      </c>
      <c r="AI72" s="506" t="str">
        <f>IF(AC72=TRUE,IF(AH72="",EUconst_t,AH72),"")</f>
        <v>t</v>
      </c>
      <c r="AJ72" s="513" t="str">
        <f>IF(J72="",AI72,J72)</f>
        <v>1 000 Nm3</v>
      </c>
      <c r="AK72" s="514" t="b">
        <f>IF(K62=EUconst_Fuel,J72&lt;&gt;"",FALSE)</f>
        <v>1</v>
      </c>
      <c r="AL72" s="333"/>
      <c r="AM72" s="505" t="str">
        <f>EUconst_CNTR_ActivityData&amp;EUconst_Value</f>
        <v>ActivityData_Vertė</v>
      </c>
      <c r="AN72" s="496"/>
      <c r="AO72" s="496"/>
      <c r="AP72" s="509" t="b">
        <f>AND(AND(AH72&lt;&gt;"",AJ72&lt;&gt;""),AJ72=AH72)</f>
        <v>0</v>
      </c>
      <c r="AQ72" s="610" t="str">
        <f>IF(L67=TRUE,SUM(F69)-SUM(H69)+SUM(J69)-SUM(L69),"")</f>
        <v/>
      </c>
      <c r="AR72" s="509">
        <f>IF(Y72=EUconst_NA,0,IF(COUNT(K72:L72)=0,0,IF(L72="",K72,L72)))</f>
        <v>5852.2520000000004</v>
      </c>
      <c r="AS72" s="1115" t="b">
        <f>AND(AC72=TRUE,OR(L72&lt;&gt;"",AQ72=""))</f>
        <v>1</v>
      </c>
      <c r="AT72" s="1115" t="b">
        <f>AND(AC72=TRUE,NOT(AS72))</f>
        <v>0</v>
      </c>
      <c r="AU72" s="30"/>
      <c r="AV72" s="483" t="s">
        <v>309</v>
      </c>
      <c r="AW72" s="483" t="s">
        <v>314</v>
      </c>
      <c r="AX72" s="515"/>
      <c r="AY72" s="30" t="s">
        <v>536</v>
      </c>
      <c r="AZ72" s="30"/>
      <c r="BA72" s="30"/>
      <c r="BB72" s="495"/>
      <c r="BC72" s="484" t="str">
        <f>EUconst_Fuel</f>
        <v>Degimas</v>
      </c>
      <c r="BD72" s="484" t="str">
        <f>EUconst_ProcessCarbonate</f>
        <v>Proceso metu išsiskiriančios ŠESD</v>
      </c>
      <c r="BE72" s="484" t="str">
        <f>EUconst_MassBalance</f>
        <v>Masės balansas</v>
      </c>
      <c r="BF72" s="30"/>
      <c r="BG72" s="30"/>
      <c r="BH72" s="30"/>
      <c r="BI72" s="30"/>
      <c r="BJ72" s="30"/>
      <c r="BK72" s="30"/>
      <c r="BL72" s="30"/>
      <c r="BM72" s="30"/>
      <c r="BN72" s="30"/>
      <c r="BO72" s="30"/>
      <c r="BP72" s="30"/>
      <c r="BQ72" s="30"/>
      <c r="BR72" s="30"/>
      <c r="BS72" s="30"/>
      <c r="BT72" s="30"/>
      <c r="BU72" s="30"/>
      <c r="BV72" s="30"/>
      <c r="BW72" s="30"/>
      <c r="BX72" s="30"/>
      <c r="BY72" s="30"/>
      <c r="BZ72" s="515" t="b">
        <f>BZ67</f>
        <v>0</v>
      </c>
    </row>
    <row r="73" spans="1:78" s="140" customFormat="1" ht="5.0999999999999996" customHeight="1" thickBot="1" x14ac:dyDescent="0.25">
      <c r="A73" s="777"/>
      <c r="B73" s="1248"/>
      <c r="C73" s="783"/>
      <c r="D73" s="298"/>
      <c r="F73" s="141"/>
      <c r="G73" s="141"/>
      <c r="H73" s="141" t="s">
        <v>233</v>
      </c>
      <c r="I73" s="516"/>
      <c r="J73" s="516"/>
      <c r="K73" s="141"/>
      <c r="L73" s="141"/>
      <c r="M73" s="701"/>
      <c r="O73" s="1305"/>
      <c r="P73" s="33"/>
      <c r="Q73" s="33"/>
      <c r="R73" s="33"/>
      <c r="S73" s="30"/>
      <c r="T73" s="153"/>
      <c r="U73" s="488"/>
      <c r="V73" s="30"/>
      <c r="W73" s="30"/>
      <c r="X73" s="488"/>
      <c r="Y73" s="517"/>
      <c r="Z73" s="30"/>
      <c r="AA73" s="30"/>
      <c r="AB73" s="30"/>
      <c r="AC73" s="30"/>
      <c r="AD73" s="30"/>
      <c r="AE73" s="30"/>
      <c r="AF73" s="30"/>
      <c r="AG73" s="30"/>
      <c r="AH73" s="30"/>
      <c r="AI73" s="30"/>
      <c r="AJ73" s="30"/>
      <c r="AK73" s="30"/>
      <c r="AL73" s="333"/>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484"/>
    </row>
    <row r="74" spans="1:78" s="140" customFormat="1" ht="12.75" customHeight="1" thickBot="1" x14ac:dyDescent="0.25">
      <c r="A74" s="777"/>
      <c r="B74" s="1248"/>
      <c r="C74" s="783" t="s">
        <v>195</v>
      </c>
      <c r="D74" s="503" t="str">
        <f>Translations!$B$634</f>
        <v>(prelim.) ITF:</v>
      </c>
      <c r="E74" s="504"/>
      <c r="F74" s="518" t="s">
        <v>262</v>
      </c>
      <c r="G74" s="1603" t="str">
        <f t="shared" ref="G74:G80" si="0">IF(OR(ISBLANK(F74),F74=EUconst_NoTier),"",IF(Z74=0,EUconst_NotApplicable,IF(ISERROR(Z74),"",Z74)))</f>
        <v>II tipas</v>
      </c>
      <c r="H74" s="1609"/>
      <c r="I74" s="1110" t="str">
        <f>IF(J74&lt;&gt;"","",AI74)</f>
        <v/>
      </c>
      <c r="J74" s="1111" t="s">
        <v>1814</v>
      </c>
      <c r="K74" s="519" t="str">
        <f t="shared" ref="K74:K80" si="1">IF(L74="",AQ74,"")</f>
        <v/>
      </c>
      <c r="L74" s="520">
        <v>55.57</v>
      </c>
      <c r="M74" s="700" t="str">
        <f>IF(AND(E63&lt;&gt;"",OR(F74="",COUNT(K74:L74)=0),Y74&lt;&gt;EUconst_NA,T63&lt;&gt;TRUE),EUconst_ERR_Incomplete,IF(COUNTIF(AX74:AZ74,TRUE)&gt;0,EUconst_ERR_Inconsistent,""))</f>
        <v/>
      </c>
      <c r="N74" s="486"/>
      <c r="O74" s="1305"/>
      <c r="P74" s="33"/>
      <c r="Q74" s="33"/>
      <c r="R74" s="33"/>
      <c r="S74" s="30"/>
      <c r="T74" s="521" t="str">
        <f>EUconst_CNTR_EF&amp;E63</f>
        <v>EF_Degimas: Kitas dujinis ir skystasis kuras</v>
      </c>
      <c r="U74" s="488"/>
      <c r="V74" s="522" t="str">
        <f>V72</f>
        <v>Dujinis – Gamtinės dujos</v>
      </c>
      <c r="W74" s="30"/>
      <c r="X74" s="488"/>
      <c r="Y74" s="523">
        <f>IF(OR(T63=TRUE,E63=""),"",IF(F74=EUconst_NA,EUconst_NA,INDEX(EUwideConstants!$N:$N,MATCH(T74,EUwideConstants!$Q:$Q,0))))</f>
        <v>3</v>
      </c>
      <c r="Z74" s="524" t="str">
        <f>IF(ISBLANK(F74),"",IF(F74=EUconst_NA,"",INDEX(EUwideConstants!$H:$M,MATCH(T74,EUwideConstants!$Q:$Q,0),MATCH(F74,CNTR_TierList,0))))</f>
        <v>II tipas</v>
      </c>
      <c r="AA74" s="525">
        <f>IF(COUNTIF(EUconst_DefaultValues,Z74)&gt;0,MATCH(Z74,EUconst_DefaultValues,0),"")</f>
        <v>2</v>
      </c>
      <c r="AB74" s="30"/>
      <c r="AC74" s="526" t="b">
        <f>AND(AC72,Y74&lt;&gt;EUconst_NA)</f>
        <v>1</v>
      </c>
      <c r="AD74" s="30"/>
      <c r="AE74" s="510" t="str">
        <f>EUconst_CNTR_EF&amp;EUconst_Unit</f>
        <v>EF_Vienetas</v>
      </c>
      <c r="AF74" s="527" t="str">
        <f>IF(AC74=TRUE, IF(COUNTIF(MSPara_SourceStreamCategory,V74)=0,"",INDEX(MSPara_CalcFactorsMatrix,MATCH(V74,MSPara_SourceStreamCategory,0),MATCH(AE74&amp;"_"&amp;2,MSPara_CalcFactors,0))),"")</f>
        <v>tCO2/TJ</v>
      </c>
      <c r="AG74" s="528" t="str">
        <f>IF(AC74=TRUE, IF(COUNTIF(MSPara_SourceStreamCategory,V74)=0,"",INDEX(MSPara_CalcFactorsMatrix,MATCH(V74,MSPara_SourceStreamCategory,0),MATCH(AE74&amp;"_"&amp;1,MSPara_CalcFactors,0))),"")</f>
        <v>tCO2/TJ</v>
      </c>
      <c r="AH74" s="529" t="str">
        <f>IF(AA74="","",INDEX(AF74:AG74,3-AA74))</f>
        <v>tCO2/TJ</v>
      </c>
      <c r="AI74" s="530" t="str">
        <f>IF(AC74=TRUE,IF(OR(AH74="",AH74=EUconst_NA),IF(K62=EUconst_Fuel,EUconst_tCO2pTJ,EUconst_tCO2pt),AH74),"")</f>
        <v>tCO2/TJ</v>
      </c>
      <c r="AJ74" s="526" t="str">
        <f>IF(J74="",AI74,J74)</f>
        <v>tCO2/TJ</v>
      </c>
      <c r="AK74" s="531" t="b">
        <f>IF(K62=EUconst_Fuel,J74&lt;&gt;"",FALSE)</f>
        <v>1</v>
      </c>
      <c r="AL74" s="333"/>
      <c r="AM74" s="510" t="str">
        <f>EUconst_CNTR_EF&amp;EUconst_Value</f>
        <v>EF_Vertė</v>
      </c>
      <c r="AN74" s="532" t="str">
        <f>IF(AC74=TRUE,IF(COUNTIF(MSPara_SourceStreamCategory,V74)=0,"",INDEX(MSPara_CalcFactorsMatrix,MATCH(V74,MSPara_SourceStreamCategory,0),MATCH(AM74&amp;"_"&amp;2,MSPara_CalcFactors,0))),"")</f>
        <v>netaik.</v>
      </c>
      <c r="AO74" s="533">
        <f>IF(AC74=TRUE,IF(COUNTIF(MSPara_SourceStreamCategory,V74)=0,"",INDEX(MSPara_CalcFactorsMatrix,MATCH(V74,MSPara_SourceStreamCategory,0),MATCH(AM74&amp;"_"&amp;1,MSPara_CalcFactors,0))),"")</f>
        <v>56.1</v>
      </c>
      <c r="AP74" s="526" t="b">
        <f>AND(AND(AH74&lt;&gt;"",AJ74&lt;&gt;""),AJ74=AH74)</f>
        <v>1</v>
      </c>
      <c r="AQ74" s="534" t="str">
        <f>IF(AND(AA74&lt;&gt;"",AP74=TRUE),IF(OR(INDEX(AN74:AO74,3-AA74)=EUconst_NA,INDEX(AN74:AO74,3-AA74)=0),"",INDEX(AN74:AO74,3-AA74)),"")</f>
        <v/>
      </c>
      <c r="AR74" s="526">
        <f>IF(AC74=TRUE,IF(COUNT(K74:L74)=0,0,IF(L74="",K74,L74)),0)</f>
        <v>55.57</v>
      </c>
      <c r="AS74" s="522" t="b">
        <f>AND(AC74=TRUE,OR(AND(F74&lt;&gt;"",NOT(ISNUMBER(AA74))),L74&lt;&gt;"",F74="",AQ74=""))</f>
        <v>1</v>
      </c>
      <c r="AT74" s="522" t="b">
        <f t="shared" ref="AT74:AT80" si="2">AND(AC74=TRUE,NOT(AS74))</f>
        <v>0</v>
      </c>
      <c r="AU74" s="30"/>
      <c r="AV74" s="535" t="b">
        <f t="shared" ref="AV74:AV80" si="3">AND(ISNUMBER(AA74),AQ74="")</f>
        <v>1</v>
      </c>
      <c r="AW74" s="536" t="b">
        <f t="shared" ref="AW74:AW80" si="4">AND(ISNUMBER(AA74),AQ74&lt;&gt;AR74)</f>
        <v>1</v>
      </c>
      <c r="AX74" s="537" t="b">
        <f>OR(AND(AJ72=EUconst_kNm3,AJ74=EUconst_tCO2pt),AND(AJ72=EUconst_t,AJ74=EUconst_tCO2pkNm3))</f>
        <v>0</v>
      </c>
      <c r="AY74" s="522" t="b">
        <f t="shared" ref="AY74:AY80" si="5">AND(L74&lt;&gt;"",Y74=EUconst_NA)</f>
        <v>0</v>
      </c>
      <c r="AZ74" s="30"/>
      <c r="BA74" s="30"/>
      <c r="BB74" s="538" t="s">
        <v>588</v>
      </c>
      <c r="BC74" s="537">
        <f>IF(K62=BC72,AR72*IF(AJ74=EUconst_tCO2pTJ,(AR75/1000),1)*AR74*AR76*AR80,"")</f>
        <v>0</v>
      </c>
      <c r="BD74" s="515" t="str">
        <f>IF(K62=BD72,AR72*AR74*AR77*AR80,"")</f>
        <v/>
      </c>
      <c r="BE74" s="514" t="str">
        <f>IF(K62=BE72,3.664*AR72*AR78*AR80,"")</f>
        <v/>
      </c>
      <c r="BF74" s="30"/>
      <c r="BG74" s="30"/>
      <c r="BH74" s="30"/>
      <c r="BI74" s="30"/>
      <c r="BJ74" s="30"/>
      <c r="BK74" s="30"/>
      <c r="BL74" s="30"/>
      <c r="BM74" s="30"/>
      <c r="BN74" s="30"/>
      <c r="BO74" s="30"/>
      <c r="BP74" s="30"/>
      <c r="BQ74" s="30"/>
      <c r="BR74" s="30"/>
      <c r="BS74" s="30"/>
      <c r="BT74" s="30"/>
      <c r="BU74" s="30"/>
      <c r="BV74" s="30"/>
      <c r="BW74" s="30"/>
      <c r="BX74" s="30"/>
      <c r="BY74" s="30"/>
      <c r="BZ74" s="522" t="b">
        <f>OR(BZ72,Y74=EUconst_NA)</f>
        <v>0</v>
      </c>
    </row>
    <row r="75" spans="1:78" s="140" customFormat="1" ht="12.75" customHeight="1" thickBot="1" x14ac:dyDescent="0.25">
      <c r="A75" s="777"/>
      <c r="B75" s="1248"/>
      <c r="C75" s="783" t="s">
        <v>196</v>
      </c>
      <c r="D75" s="503" t="str">
        <f>Translations!$B$636</f>
        <v>GŠV:</v>
      </c>
      <c r="E75" s="504"/>
      <c r="F75" s="539" t="s">
        <v>262</v>
      </c>
      <c r="G75" s="1603" t="str">
        <f t="shared" si="0"/>
        <v>II tipas</v>
      </c>
      <c r="H75" s="1604"/>
      <c r="I75" s="1112" t="str">
        <f>AJ75</f>
        <v>GJ/1 000 Nm3</v>
      </c>
      <c r="J75" s="540"/>
      <c r="K75" s="541" t="str">
        <f t="shared" si="1"/>
        <v/>
      </c>
      <c r="L75" s="1339">
        <v>33.695999999999998</v>
      </c>
      <c r="M75" s="700" t="str">
        <f>IF(AND(E63&lt;&gt;"",OR(F75="",COUNT(K75:L75)=0),Y75&lt;&gt;EUconst_NA,T63&lt;&gt;TRUE),EUconst_ERR_Incomplete,IF(COUNTIF(AX75:AZ75,TRUE)&gt;0,EUconst_ERR_Inconsistent,""))</f>
        <v/>
      </c>
      <c r="O75" s="1305"/>
      <c r="P75" s="33"/>
      <c r="Q75" s="33"/>
      <c r="R75" s="33"/>
      <c r="S75" s="30"/>
      <c r="T75" s="543" t="str">
        <f>EUconst_CNTR_NCV&amp;E63</f>
        <v>NCV_Degimas: Kitas dujinis ir skystasis kuras</v>
      </c>
      <c r="U75" s="488"/>
      <c r="V75" s="544" t="str">
        <f t="shared" ref="V75:V80" si="6">V74</f>
        <v>Dujinis – Gamtinės dujos</v>
      </c>
      <c r="W75" s="30"/>
      <c r="X75" s="488"/>
      <c r="Y75" s="545">
        <f>IF(OR(T63=TRUE,E63=""),"",IF(F75=EUconst_NA,EUconst_NA,INDEX(EUwideConstants!$N:$N,MATCH(T75,EUwideConstants!$Q:$Q,0))))</f>
        <v>3</v>
      </c>
      <c r="Z75" s="546" t="str">
        <f>IF(ISBLANK(F75),"",IF(F75=EUconst_NA,"",INDEX(EUwideConstants!$H:$M,MATCH(T75,EUwideConstants!$Q:$Q,0),MATCH(F75,CNTR_TierList,0))))</f>
        <v>II tipas</v>
      </c>
      <c r="AA75" s="547">
        <f>IF(COUNTIF(EUconst_DefaultValues,Z75)&gt;0,MATCH(Z75,EUconst_DefaultValues,0),"")</f>
        <v>2</v>
      </c>
      <c r="AB75" s="30"/>
      <c r="AC75" s="548" t="b">
        <f>AND(AC72,Y75&lt;&gt;EUconst_NA)</f>
        <v>1</v>
      </c>
      <c r="AD75" s="30"/>
      <c r="AE75" s="549" t="str">
        <f>EUconst_CNTR_NCV&amp;EUconst_Unit</f>
        <v>NCV_Vienetas</v>
      </c>
      <c r="AF75" s="550" t="str">
        <f>IF(AC75=TRUE, IF(COUNTIF(MSPara_SourceStreamCategory,V75)=0,"",INDEX(MSPara_CalcFactorsMatrix,MATCH(V75,MSPara_SourceStreamCategory,0),MATCH(AE75&amp;"_"&amp;2,MSPara_CalcFactors,0))),"")</f>
        <v>netaik.</v>
      </c>
      <c r="AG75" s="551" t="str">
        <f>IF(AC75=TRUE, IF(COUNTIF(MSPara_SourceStreamCategory,V75)=0,"",INDEX(MSPara_CalcFactorsMatrix,MATCH(V75,MSPara_SourceStreamCategory,0),MATCH(AE75&amp;"_"&amp;1,MSPara_CalcFactors,0))),"")</f>
        <v>GJ/t</v>
      </c>
      <c r="AH75" s="552" t="str">
        <f>IF(AA75="","",INDEX(AF75:AG75,3-AA75))</f>
        <v>netaik.</v>
      </c>
      <c r="AI75" s="553"/>
      <c r="AJ75" s="548" t="str">
        <f>IF(AC75=TRUE,IF(AJ72="","",IF(AJ72=EUconst_kNm3,EUconst_GJpkNm3,EUconst_GJpt)),"")</f>
        <v>GJ/1 000 Nm3</v>
      </c>
      <c r="AK75" s="554"/>
      <c r="AL75" s="333"/>
      <c r="AM75" s="549" t="str">
        <f>EUconst_CNTR_NCV&amp;EUconst_Value</f>
        <v>NCV_Vertė</v>
      </c>
      <c r="AN75" s="555" t="str">
        <f>IF(AC75=TRUE,IF(COUNTIF(MSPara_SourceStreamCategory,V75)=0,"",INDEX(MSPara_CalcFactorsMatrix,MATCH(V75,MSPara_SourceStreamCategory,0),MATCH(AM75&amp;"_"&amp;2,MSPara_CalcFactors,0))),"")</f>
        <v>netaik.</v>
      </c>
      <c r="AO75" s="556">
        <f>IF(AC75=TRUE,IF(COUNTIF(MSPara_SourceStreamCategory,V75)=0,"",INDEX(MSPara_CalcFactorsMatrix,MATCH(V75,MSPara_SourceStreamCategory,0),MATCH(AM75&amp;"_"&amp;1,MSPara_CalcFactors,0))),"")</f>
        <v>48</v>
      </c>
      <c r="AP75" s="548" t="b">
        <f>AND(AND(AH75&lt;&gt;"",AJ75&lt;&gt;""),AJ75=AH75)</f>
        <v>0</v>
      </c>
      <c r="AQ75" s="557" t="str">
        <f>IF(AND(AA75&lt;&gt;"",AP75=TRUE),IF(OR(INDEX(AN75:AO75,3-AA75)=EUconst_NA,INDEX(AN75:AO75,3-AA75)=0),"",INDEX(AN75:AO75,3-AA75)),"")</f>
        <v/>
      </c>
      <c r="AR75" s="548">
        <f>IF(AC75=TRUE,IF(COUNT(K75:L75)=0,0,IF(L75="",K75,L75)),0)</f>
        <v>33.695999999999998</v>
      </c>
      <c r="AS75" s="544" t="b">
        <f>AND(AC75=TRUE,OR(AND(F75&lt;&gt;"",NOT(ISNUMBER(AA75))),L75&lt;&gt;"",F75="",AQ75=""))</f>
        <v>1</v>
      </c>
      <c r="AT75" s="544" t="b">
        <f t="shared" si="2"/>
        <v>0</v>
      </c>
      <c r="AU75" s="30"/>
      <c r="AV75" s="558" t="b">
        <f t="shared" si="3"/>
        <v>1</v>
      </c>
      <c r="AW75" s="559" t="b">
        <f t="shared" si="4"/>
        <v>1</v>
      </c>
      <c r="AX75" s="30"/>
      <c r="AY75" s="544" t="b">
        <f t="shared" si="5"/>
        <v>0</v>
      </c>
      <c r="AZ75" s="30"/>
      <c r="BA75" s="30"/>
      <c r="BB75" s="538" t="s">
        <v>589</v>
      </c>
      <c r="BC75" s="537">
        <f>IF(K62=BC72,AR72*IF(AJ74=EUconst_tCO2pTJ,(AR75/1000),1)*AR74*AR76*AR79,"")</f>
        <v>0</v>
      </c>
      <c r="BD75" s="515" t="str">
        <f>IF(K62=BD72,AR72*AR74*AR77*AR79,"")</f>
        <v/>
      </c>
      <c r="BE75" s="514" t="str">
        <f>IF(K62=BE72,3.664*AR72*AR78*AR79,"")</f>
        <v/>
      </c>
      <c r="BF75" s="30"/>
      <c r="BG75" s="30"/>
      <c r="BH75" s="30"/>
      <c r="BI75" s="30"/>
      <c r="BJ75" s="30"/>
      <c r="BK75" s="30"/>
      <c r="BL75" s="30"/>
      <c r="BM75" s="30"/>
      <c r="BN75" s="30"/>
      <c r="BO75" s="30"/>
      <c r="BP75" s="30"/>
      <c r="BQ75" s="30"/>
      <c r="BR75" s="30"/>
      <c r="BS75" s="30"/>
      <c r="BT75" s="30"/>
      <c r="BU75" s="30"/>
      <c r="BV75" s="30"/>
      <c r="BW75" s="30"/>
      <c r="BX75" s="30"/>
      <c r="BY75" s="30"/>
      <c r="BZ75" s="544" t="b">
        <f>OR(BZ72,Y75=EUconst_NA)</f>
        <v>0</v>
      </c>
    </row>
    <row r="76" spans="1:78" s="140" customFormat="1" ht="12.75" customHeight="1" thickBot="1" x14ac:dyDescent="0.25">
      <c r="A76" s="777"/>
      <c r="B76" s="1248"/>
      <c r="C76" s="783" t="s">
        <v>197</v>
      </c>
      <c r="D76" s="503" t="str">
        <f>Translations!$B$638</f>
        <v>Oksidacijos koef.:</v>
      </c>
      <c r="E76" s="504"/>
      <c r="F76" s="539">
        <v>1</v>
      </c>
      <c r="G76" s="1603" t="str">
        <f t="shared" si="0"/>
        <v>OksK = 1</v>
      </c>
      <c r="H76" s="1604"/>
      <c r="I76" s="1113" t="str">
        <f>IF(OR(AC76=FALSE,Y76=EUconst_NA),"","-")</f>
        <v>-</v>
      </c>
      <c r="J76" s="560"/>
      <c r="K76" s="561">
        <f t="shared" si="1"/>
        <v>1</v>
      </c>
      <c r="L76" s="694"/>
      <c r="M76" s="700" t="str">
        <f>IF(AND(E63&lt;&gt;"",OR(F76="",COUNT(K76:L76)=0),Y76&lt;&gt;EUconst_NA,T63&lt;&gt;TRUE),EUconst_ERR_Incomplete,IF(COUNTIF(AX76:AZ76,TRUE)&gt;0,EUconst_ERR_Inconsistent,""))</f>
        <v/>
      </c>
      <c r="O76" s="1305"/>
      <c r="P76" s="33"/>
      <c r="Q76" s="33"/>
      <c r="R76" s="33"/>
      <c r="S76" s="30"/>
      <c r="T76" s="543" t="str">
        <f>EUconst_CNTR_OxidationFactor&amp;E63</f>
        <v>OxF_Degimas: Kitas dujinis ir skystasis kuras</v>
      </c>
      <c r="U76" s="488"/>
      <c r="V76" s="544" t="str">
        <f t="shared" si="6"/>
        <v>Dujinis – Gamtinės dujos</v>
      </c>
      <c r="W76" s="30"/>
      <c r="X76" s="488"/>
      <c r="Y76" s="545">
        <f>IF(OR(T63=TRUE,E63=""),"",INDEX(EUwideConstants!$N:$N,MATCH(T76,EUwideConstants!$Q:$Q,0)))</f>
        <v>1</v>
      </c>
      <c r="Z76" s="546" t="str">
        <f>IF(ISBLANK(F76),"",IF(F76=EUconst_NA,"",INDEX(EUwideConstants!$H:$M,MATCH(T76,EUwideConstants!$Q:$Q,0),MATCH(F76,CNTR_TierList,0))))</f>
        <v>OksK = 1</v>
      </c>
      <c r="AA76" s="525">
        <f>IF(F76=1,1,"")</f>
        <v>1</v>
      </c>
      <c r="AB76" s="30"/>
      <c r="AC76" s="548" t="b">
        <f>AND(AC72,Y76&lt;&gt;EUconst_NA)</f>
        <v>1</v>
      </c>
      <c r="AD76" s="30"/>
      <c r="AE76" s="563"/>
      <c r="AG76" s="564"/>
      <c r="AH76" s="553"/>
      <c r="AI76" s="565"/>
      <c r="AJ76" s="553"/>
      <c r="AK76" s="566"/>
      <c r="AL76" s="333"/>
      <c r="AM76" s="549" t="str">
        <f>EUconst_CNTR_OxidationFactor&amp;EUconst_Value</f>
        <v>OxF_Vertė</v>
      </c>
      <c r="AN76" s="567"/>
      <c r="AO76" s="525">
        <v>1</v>
      </c>
      <c r="AP76" s="553"/>
      <c r="AQ76" s="568">
        <f>IF(AA76="","",AO76)</f>
        <v>1</v>
      </c>
      <c r="AR76" s="548">
        <f>IF(AC76=TRUE,IF(COUNT(K76:L76)=0,0,IF(L76="",K76,L76)),1)</f>
        <v>1</v>
      </c>
      <c r="AS76" s="544" t="b">
        <f>AND(AC76=TRUE,OR(ISNUMBER(L76),NOT(ISNUMBER(AA76))))</f>
        <v>0</v>
      </c>
      <c r="AT76" s="544" t="b">
        <f t="shared" si="2"/>
        <v>1</v>
      </c>
      <c r="AU76" s="30"/>
      <c r="AV76" s="558" t="b">
        <f t="shared" si="3"/>
        <v>0</v>
      </c>
      <c r="AW76" s="559" t="b">
        <f t="shared" si="4"/>
        <v>0</v>
      </c>
      <c r="AX76" s="30"/>
      <c r="AY76" s="585" t="b">
        <f t="shared" si="5"/>
        <v>0</v>
      </c>
      <c r="AZ76" s="522" t="b">
        <f>AR76&gt;100%</f>
        <v>0</v>
      </c>
      <c r="BA76" s="30"/>
      <c r="BB76" s="538" t="s">
        <v>287</v>
      </c>
      <c r="BC76" s="537">
        <f>IF(K62=BC72,AR72*IF(AJ74=EUconst_tCO2pTJ,(AR75/1000),1)*AR74*AR76*(1-AR79),"")</f>
        <v>10958.264152093439</v>
      </c>
      <c r="BD76" s="515" t="str">
        <f>IF(K62=BD72,AR72*AR74*AR77*(1-AR79),"")</f>
        <v/>
      </c>
      <c r="BE76" s="514" t="str">
        <f>IF(K62=BE72,3.664*AR72*AR78*(1-AR79),"")</f>
        <v/>
      </c>
      <c r="BF76" s="30"/>
      <c r="BG76" s="30"/>
      <c r="BH76" s="30"/>
      <c r="BI76" s="30"/>
      <c r="BJ76" s="30"/>
      <c r="BK76" s="30"/>
      <c r="BL76" s="30"/>
      <c r="BM76" s="30"/>
      <c r="BN76" s="30"/>
      <c r="BO76" s="30"/>
      <c r="BP76" s="30"/>
      <c r="BQ76" s="30"/>
      <c r="BR76" s="30"/>
      <c r="BS76" s="30"/>
      <c r="BT76" s="30"/>
      <c r="BU76" s="30"/>
      <c r="BV76" s="30"/>
      <c r="BW76" s="30"/>
      <c r="BX76" s="30"/>
      <c r="BY76" s="30"/>
      <c r="BZ76" s="544" t="b">
        <f>OR(BZ72,Y76=EUconst_NA)</f>
        <v>0</v>
      </c>
    </row>
    <row r="77" spans="1:78" s="140" customFormat="1" ht="12.75" customHeight="1" thickBot="1" x14ac:dyDescent="0.25">
      <c r="A77" s="777"/>
      <c r="B77" s="1248"/>
      <c r="C77" s="783" t="s">
        <v>198</v>
      </c>
      <c r="D77" s="503" t="str">
        <f>Translations!$B$639</f>
        <v>Konversijos koef.:</v>
      </c>
      <c r="E77" s="504"/>
      <c r="F77" s="539"/>
      <c r="G77" s="1603" t="str">
        <f t="shared" si="0"/>
        <v/>
      </c>
      <c r="H77" s="1604"/>
      <c r="I77" s="1113" t="str">
        <f>IF(OR(AC77=FALSE,Y77=EUconst_NA),"","-")</f>
        <v/>
      </c>
      <c r="J77" s="560"/>
      <c r="K77" s="561" t="str">
        <f t="shared" si="1"/>
        <v/>
      </c>
      <c r="L77" s="694"/>
      <c r="M77" s="700" t="str">
        <f>IF(AND(E63&lt;&gt;"",OR(F77="",COUNT(K77:L77)=0),Y77&lt;&gt;EUconst_NA,T63&lt;&gt;TRUE),EUconst_ERR_Incomplete,IF(COUNTIF(AX77:AZ77,TRUE)&gt;0,EUconst_ERR_Inconsistent,""))</f>
        <v/>
      </c>
      <c r="O77" s="1305"/>
      <c r="P77" s="33"/>
      <c r="Q77" s="33"/>
      <c r="R77" s="33"/>
      <c r="S77" s="30"/>
      <c r="T77" s="543" t="str">
        <f>EUconst_CNTR_ConversionFactor&amp;E63</f>
        <v>ConvF_Degimas: Kitas dujinis ir skystasis kuras</v>
      </c>
      <c r="U77" s="488"/>
      <c r="V77" s="544" t="str">
        <f t="shared" si="6"/>
        <v>Dujinis – Gamtinės dujos</v>
      </c>
      <c r="W77" s="30"/>
      <c r="X77" s="488"/>
      <c r="Y77" s="545" t="str">
        <f>IF(OR(T63=TRUE,E63=""),"",INDEX(EUwideConstants!$N:$N,MATCH(T77,EUwideConstants!$Q:$Q,0)))</f>
        <v>netaik.</v>
      </c>
      <c r="Z77" s="546" t="str">
        <f>IF(ISBLANK(F77),"",IF(F77=EUconst_NA,"",INDEX(EUwideConstants!$H:$M,MATCH(T77,EUwideConstants!$Q:$Q,0),MATCH(F77,CNTR_TierList,0))))</f>
        <v/>
      </c>
      <c r="AA77" s="573" t="str">
        <f>IF(F77=1,1,"")</f>
        <v/>
      </c>
      <c r="AB77" s="30"/>
      <c r="AC77" s="548" t="b">
        <f>AND(AC72,Y77&lt;&gt;EUconst_NA)</f>
        <v>0</v>
      </c>
      <c r="AD77" s="30"/>
      <c r="AE77" s="563"/>
      <c r="AG77" s="564"/>
      <c r="AH77" s="574"/>
      <c r="AI77" s="565"/>
      <c r="AJ77" s="574"/>
      <c r="AK77" s="566"/>
      <c r="AL77" s="333"/>
      <c r="AM77" s="549" t="str">
        <f>EUconst_CNTR_ConversionFactor&amp;EUconst_Value</f>
        <v>ConvF_Vertė</v>
      </c>
      <c r="AN77" s="575"/>
      <c r="AO77" s="573">
        <v>1</v>
      </c>
      <c r="AP77" s="574"/>
      <c r="AQ77" s="576" t="str">
        <f>IF(AA77="","",AO77)</f>
        <v/>
      </c>
      <c r="AR77" s="548">
        <f>IF(AC77=TRUE,IF(COUNT(K77:L77)=0,0,IF(L77="",K77,L77)),1)</f>
        <v>1</v>
      </c>
      <c r="AS77" s="544" t="b">
        <f>AND(AC77=TRUE,OR(ISNUMBER(L77),NOT(ISNUMBER(AA77))))</f>
        <v>0</v>
      </c>
      <c r="AT77" s="544" t="b">
        <f t="shared" si="2"/>
        <v>0</v>
      </c>
      <c r="AU77" s="30"/>
      <c r="AV77" s="558" t="b">
        <f>AND(ISNUMBER(AA77),AQ77="")</f>
        <v>0</v>
      </c>
      <c r="AW77" s="559" t="b">
        <f t="shared" si="4"/>
        <v>0</v>
      </c>
      <c r="AX77" s="30"/>
      <c r="AY77" s="585" t="b">
        <f t="shared" si="5"/>
        <v>0</v>
      </c>
      <c r="AZ77" s="571" t="b">
        <f>AR77&gt;100%</f>
        <v>0</v>
      </c>
      <c r="BA77" s="30"/>
      <c r="BB77" s="569" t="s">
        <v>481</v>
      </c>
      <c r="BC77" s="570">
        <f>AR72*AR75/1000*(1-AR79)</f>
        <v>197.19748339199998</v>
      </c>
      <c r="BD77" s="571">
        <f>BC77</f>
        <v>197.19748339199998</v>
      </c>
      <c r="BE77" s="572">
        <f>BC77</f>
        <v>197.19748339199998</v>
      </c>
      <c r="BF77" s="30"/>
      <c r="BG77" s="30"/>
      <c r="BH77" s="30"/>
      <c r="BI77" s="30"/>
      <c r="BJ77" s="30"/>
      <c r="BK77" s="30"/>
      <c r="BL77" s="30"/>
      <c r="BM77" s="30"/>
      <c r="BN77" s="30"/>
      <c r="BO77" s="30"/>
      <c r="BP77" s="30"/>
      <c r="BQ77" s="30"/>
      <c r="BR77" s="30"/>
      <c r="BS77" s="30"/>
      <c r="BT77" s="30"/>
      <c r="BU77" s="30"/>
      <c r="BV77" s="30"/>
      <c r="BW77" s="30"/>
      <c r="BX77" s="30"/>
      <c r="BY77" s="30"/>
      <c r="BZ77" s="544" t="b">
        <f>OR(BZ72,Y77=EUconst_NA)</f>
        <v>1</v>
      </c>
    </row>
    <row r="78" spans="1:78" s="140" customFormat="1" ht="12.75" customHeight="1" thickBot="1" x14ac:dyDescent="0.25">
      <c r="A78" s="777"/>
      <c r="B78" s="1248"/>
      <c r="C78" s="783" t="s">
        <v>324</v>
      </c>
      <c r="D78" s="503" t="str">
        <f>Translations!$B$640</f>
        <v>Anglies kiekis (C):</v>
      </c>
      <c r="E78" s="504"/>
      <c r="F78" s="539"/>
      <c r="G78" s="1603" t="str">
        <f t="shared" si="0"/>
        <v/>
      </c>
      <c r="H78" s="1604"/>
      <c r="I78" s="1113" t="str">
        <f>AJ78</f>
        <v/>
      </c>
      <c r="J78" s="577"/>
      <c r="K78" s="578" t="str">
        <f t="shared" si="1"/>
        <v/>
      </c>
      <c r="L78" s="579"/>
      <c r="M78" s="700" t="str">
        <f>IF(AND(E63&lt;&gt;"",OR(F78="",COUNT(K78:L78)=0),Y78&lt;&gt;EUconst_NA,T63&lt;&gt;TRUE),EUconst_ERR_Incomplete,IF(COUNTIF(AX78:AZ78,TRUE)&gt;0,EUconst_ERR_Inconsistent,""))</f>
        <v/>
      </c>
      <c r="O78" s="1305"/>
      <c r="P78" s="33"/>
      <c r="Q78" s="33"/>
      <c r="R78" s="33"/>
      <c r="S78" s="30"/>
      <c r="T78" s="543" t="str">
        <f>EUconst_CNTR_CarbonContent&amp;E63</f>
        <v>CarbC_Degimas: Kitas dujinis ir skystasis kuras</v>
      </c>
      <c r="U78" s="488"/>
      <c r="V78" s="544" t="str">
        <f t="shared" si="6"/>
        <v>Dujinis – Gamtinės dujos</v>
      </c>
      <c r="W78" s="30"/>
      <c r="X78" s="488"/>
      <c r="Y78" s="545" t="str">
        <f>IF(OR(T63=TRUE,E63=""),"",INDEX(EUwideConstants!$N:$N,MATCH(T78,EUwideConstants!$Q:$Q,0)))</f>
        <v>netaik.</v>
      </c>
      <c r="Z78" s="546" t="str">
        <f>IF(ISBLANK(F78),"",IF(F78=EUconst_NA,"",INDEX(EUwideConstants!$H:$M,MATCH(T78,EUwideConstants!$Q:$Q,0),MATCH(F78,CNTR_TierList,0))))</f>
        <v/>
      </c>
      <c r="AA78" s="580" t="str">
        <f>IF(COUNTIF(EUconst_DefaultValues,Z78)&gt;0,MATCH(Z78,EUconst_DefaultValues,0),"")</f>
        <v/>
      </c>
      <c r="AB78" s="30"/>
      <c r="AC78" s="548" t="b">
        <f>AND(AC72,Y78&lt;&gt;EUconst_NA)</f>
        <v>0</v>
      </c>
      <c r="AD78" s="30"/>
      <c r="AE78" s="549" t="str">
        <f>EUconst_CNTR_CarbonContent&amp;EUconst_Unit</f>
        <v>CarbC_Vienetas</v>
      </c>
      <c r="AF78" s="550" t="str">
        <f>IF(AC78=TRUE, IF(COUNTIF(MSPara_SourceStreamCategory,V78)=0,"",INDEX(MSPara_CalcFactorsMatrix,MATCH(V78,MSPara_SourceStreamCategory,0),MATCH(AE78&amp;"_"&amp;2,MSPara_CalcFactors,0))),"")</f>
        <v/>
      </c>
      <c r="AG78" s="551" t="str">
        <f>IF(AC78=TRUE, IF(COUNTIF(MSPara_SourceStreamCategory,V78)=0,"",INDEX(MSPara_CalcFactorsMatrix,MATCH(V78,MSPara_SourceStreamCategory,0),MATCH(AE78&amp;"_"&amp;1,MSPara_CalcFactors,0))),"")</f>
        <v/>
      </c>
      <c r="AH78" s="581" t="str">
        <f>IF(AA78="","",INDEX(AF78:AG78,3-AA78))</f>
        <v/>
      </c>
      <c r="AI78" s="565"/>
      <c r="AJ78" s="582" t="str">
        <f>IF(AC78=TRUE,IF(AJ72="","",IF(AJ72=EUconst_kNm3,EUconst_tCpkNm3,EUconst_tCpt)),"")</f>
        <v/>
      </c>
      <c r="AK78" s="566"/>
      <c r="AL78" s="333"/>
      <c r="AM78" s="549" t="str">
        <f>EUconst_CNTR_CarbonContent&amp;EUconst_Value</f>
        <v>CarbC_Vertė</v>
      </c>
      <c r="AN78" s="555" t="str">
        <f>IF(AC78=TRUE,IF(COUNTIF(MSPara_SourceStreamCategory,V78)=0,"",INDEX(MSPara_CalcFactorsMatrix,MATCH(V78,MSPara_SourceStreamCategory,0),MATCH(AM78&amp;"_"&amp;2,MSPara_CalcFactors,0))),"")</f>
        <v/>
      </c>
      <c r="AO78" s="583" t="str">
        <f>IF(AC78=TRUE,IF(COUNTIF(MSPara_SourceStreamCategory,V78)=0,"",INDEX(MSPara_CalcFactorsMatrix,MATCH(V78,MSPara_SourceStreamCategory,0),MATCH(AM78&amp;"_"&amp;1,MSPara_CalcFactors,0))),"")</f>
        <v/>
      </c>
      <c r="AP78" s="548" t="b">
        <f>AND(AND(AH78&lt;&gt;"",AJ78&lt;&gt;""),AJ78=AH78)</f>
        <v>0</v>
      </c>
      <c r="AQ78" s="584" t="str">
        <f>IF(AND(AA78&lt;&gt;"",AP78=TRUE),IF(OR(INDEX(AN78:AO78,3-AA78)=EUconst_NA,INDEX(AN78:AO78,3-AA78)=0),"",INDEX(AN78:AO78,3-AA78)),"")</f>
        <v/>
      </c>
      <c r="AR78" s="548">
        <f>IF(AC78=TRUE,IF(COUNT(K78:L78)=0,0,IF(L78="",K78,L78)),0)</f>
        <v>0</v>
      </c>
      <c r="AS78" s="544" t="b">
        <f>AND(AC78=TRUE,OR(AND(F78&lt;&gt;"",NOT(ISNUMBER(AA78))),L78&lt;&gt;"",F78="",AQ78=""))</f>
        <v>0</v>
      </c>
      <c r="AT78" s="544" t="b">
        <f t="shared" si="2"/>
        <v>0</v>
      </c>
      <c r="AU78" s="30"/>
      <c r="AV78" s="558" t="b">
        <f t="shared" si="3"/>
        <v>0</v>
      </c>
      <c r="AW78" s="559" t="b">
        <f t="shared" si="4"/>
        <v>0</v>
      </c>
      <c r="AX78" s="537" t="b">
        <f>OR(AND(AJ72=EUconst_kNm3,AJ78=EUconst_tCpt),AND(AJ72=EUconst_t,AJ78=EUconst_tCpkNm3))</f>
        <v>0</v>
      </c>
      <c r="AY78" s="544" t="b">
        <f t="shared" si="5"/>
        <v>0</v>
      </c>
      <c r="AZ78" s="30"/>
      <c r="BA78" s="30"/>
      <c r="BB78" s="569" t="s">
        <v>482</v>
      </c>
      <c r="BC78" s="570">
        <f>AR72*AR75/1000*AR79</f>
        <v>0</v>
      </c>
      <c r="BD78" s="571">
        <f>BC78</f>
        <v>0</v>
      </c>
      <c r="BE78" s="572">
        <f>BC78</f>
        <v>0</v>
      </c>
      <c r="BF78" s="30"/>
      <c r="BG78" s="30"/>
      <c r="BH78" s="30"/>
      <c r="BI78" s="30"/>
      <c r="BJ78" s="30"/>
      <c r="BK78" s="30"/>
      <c r="BL78" s="30"/>
      <c r="BM78" s="30"/>
      <c r="BN78" s="30"/>
      <c r="BO78" s="30"/>
      <c r="BP78" s="30"/>
      <c r="BQ78" s="30"/>
      <c r="BR78" s="30"/>
      <c r="BS78" s="30"/>
      <c r="BT78" s="30"/>
      <c r="BU78" s="30"/>
      <c r="BV78" s="30"/>
      <c r="BW78" s="30"/>
      <c r="BX78" s="30"/>
      <c r="BY78" s="30"/>
      <c r="BZ78" s="544" t="b">
        <f>OR(BZ72,Y78=EUconst_NA)</f>
        <v>1</v>
      </c>
    </row>
    <row r="79" spans="1:78" s="140" customFormat="1" ht="12.75" customHeight="1" x14ac:dyDescent="0.2">
      <c r="A79" s="777"/>
      <c r="B79" s="1248"/>
      <c r="C79" s="753" t="s">
        <v>325</v>
      </c>
      <c r="D79" s="503" t="str">
        <f>Translations!$B$641</f>
        <v>Biomasės dalis (BioC):</v>
      </c>
      <c r="E79" s="504"/>
      <c r="F79" s="539"/>
      <c r="G79" s="1603" t="str">
        <f t="shared" si="0"/>
        <v/>
      </c>
      <c r="H79" s="1604"/>
      <c r="I79" s="1113" t="str">
        <f>IF(OR(AC79=FALSE,Y79=EUconst_NA),"","-")</f>
        <v/>
      </c>
      <c r="J79" s="560"/>
      <c r="K79" s="561" t="str">
        <f t="shared" si="1"/>
        <v/>
      </c>
      <c r="L79" s="694"/>
      <c r="M79" s="700" t="str">
        <f>IF(AND(E63&lt;&gt;"",OR(F79="",COUNT(K79:L79)=0),Y79&lt;&gt;EUconst_NA,T63&lt;&gt;TRUE),EUconst_ERR_Incomplete,IF(COUNTIF(AX79:AZ79,TRUE)&gt;0,EUconst_ERR_Inconsistent,""))</f>
        <v/>
      </c>
      <c r="O79" s="1305"/>
      <c r="P79" s="635"/>
      <c r="Q79" s="635"/>
      <c r="R79" s="635"/>
      <c r="S79" s="30"/>
      <c r="T79" s="543" t="str">
        <f>EUconst_CNTR_BiomassContent&amp;E63</f>
        <v>BioC_Degimas: Kitas dujinis ir skystasis kuras</v>
      </c>
      <c r="U79" s="488"/>
      <c r="V79" s="585" t="str">
        <f t="shared" si="6"/>
        <v>Dujinis – Gamtinės dujos</v>
      </c>
      <c r="W79" s="522" t="b">
        <f>IF(COUNTIF(MSPara_SourceStreamCategory,V79)=0,"",INDEX(MSPara_IsFossil,MATCH(V79,MSPara_SourceStreamCategory,0)))</f>
        <v>1</v>
      </c>
      <c r="X79" s="488"/>
      <c r="Y79" s="545" t="str">
        <f>IF(OR(T63=TRUE,E63=""),"",IF(OR(W79=TRUE,F79=EUconst_NA),EUconst_NA,INDEX(EUwideConstants!$N:$N,MATCH(T79,EUwideConstants!$Q:$Q,0))))</f>
        <v>netaik.</v>
      </c>
      <c r="Z79" s="546" t="str">
        <f>IF(ISBLANK(F79),"",IF(F79=EUconst_NA,"",INDEX(EUwideConstants!$H:$M,MATCH(T79,EUwideConstants!$Q:$Q,0),MATCH(F79,CNTR_TierList,0))))</f>
        <v/>
      </c>
      <c r="AA79" s="586" t="str">
        <f>IF(F79=1,1,"")</f>
        <v/>
      </c>
      <c r="AB79" s="30"/>
      <c r="AC79" s="548" t="b">
        <f>AND(AC72,Y79&lt;&gt;EUconst_NA)</f>
        <v>0</v>
      </c>
      <c r="AD79" s="30"/>
      <c r="AE79" s="563"/>
      <c r="AG79" s="564"/>
      <c r="AH79" s="553"/>
      <c r="AI79" s="565"/>
      <c r="AJ79" s="553"/>
      <c r="AK79" s="566"/>
      <c r="AL79" s="333"/>
      <c r="AM79" s="549" t="str">
        <f>EUconst_CNTR_BiomassContent&amp;EUconst_Value</f>
        <v>BioC_Vertė</v>
      </c>
      <c r="AO79" s="587" t="str">
        <f>IF(AC79=TRUE,IF(COUNTIF(MSPara_SourceStreamCategory,V79)=0,"",INDEX(MSPara_CalcFactorsMatrix,MATCH(V79,MSPara_SourceStreamCategory,0),MATCH(AM79&amp;"_"&amp;2,MSPara_CalcFactors,0))),"")</f>
        <v/>
      </c>
      <c r="AP79" s="553"/>
      <c r="AQ79" s="568" t="str">
        <f>IF(OR(AA79="",AO79=EUconst_NA),"",AO79)</f>
        <v/>
      </c>
      <c r="AR79" s="548">
        <f>IF(AC79=TRUE,IF(COUNT(K79:L79)=0,0,IF(L79="",K79,L79)),0)</f>
        <v>0</v>
      </c>
      <c r="AS79" s="544" t="b">
        <f>AND(AC79=TRUE,OR(AND(F79&lt;&gt;"",NOT(ISNUMBER(AA79))),L79&lt;&gt;"",F79="",AQ79=""))</f>
        <v>0</v>
      </c>
      <c r="AT79" s="544" t="b">
        <f t="shared" si="2"/>
        <v>0</v>
      </c>
      <c r="AU79" s="30"/>
      <c r="AV79" s="558" t="b">
        <f t="shared" si="3"/>
        <v>0</v>
      </c>
      <c r="AW79" s="559" t="b">
        <f t="shared" si="4"/>
        <v>0</v>
      </c>
      <c r="AX79" s="30"/>
      <c r="AY79" s="585" t="b">
        <f t="shared" si="5"/>
        <v>0</v>
      </c>
      <c r="AZ79" s="522" t="b">
        <f>OR(AR79&gt;100%,(AR79+AR80)&gt;100%)</f>
        <v>0</v>
      </c>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544" t="b">
        <f>OR(BZ72,Y79=EUconst_NA)</f>
        <v>1</v>
      </c>
    </row>
    <row r="80" spans="1:78" s="140" customFormat="1" ht="12.75" customHeight="1" thickBot="1" x14ac:dyDescent="0.25">
      <c r="A80" s="777"/>
      <c r="B80" s="1248"/>
      <c r="C80" s="753" t="s">
        <v>448</v>
      </c>
      <c r="D80" s="503" t="str">
        <f>Translations!$B$647</f>
        <v>Netvarios BioC dalis:</v>
      </c>
      <c r="E80" s="504"/>
      <c r="F80" s="588"/>
      <c r="G80" s="1603" t="str">
        <f t="shared" si="0"/>
        <v/>
      </c>
      <c r="H80" s="1604"/>
      <c r="I80" s="1114" t="str">
        <f>IF(OR(AC80=FALSE,Y80=EUconst_NA),"","-")</f>
        <v/>
      </c>
      <c r="J80" s="560"/>
      <c r="K80" s="589" t="str">
        <f t="shared" si="1"/>
        <v/>
      </c>
      <c r="L80" s="1100"/>
      <c r="M80" s="700" t="str">
        <f>IF(AND(E63&lt;&gt;"",OR(F80="",COUNT(K80:L80)=0),Y80&lt;&gt;EUconst_NA,T63&lt;&gt;TRUE),EUconst_ERR_Incomplete,IF(COUNTIF(AX80:AZ80,TRUE)&gt;0,EUconst_ERR_Inconsistent,""))</f>
        <v/>
      </c>
      <c r="O80" s="1305"/>
      <c r="P80" s="635"/>
      <c r="Q80" s="635"/>
      <c r="R80" s="635"/>
      <c r="S80" s="30"/>
      <c r="T80" s="590" t="str">
        <f>EUconst_CNTR_BiomassContent&amp;E63</f>
        <v>BioC_Degimas: Kitas dujinis ir skystasis kuras</v>
      </c>
      <c r="U80" s="488"/>
      <c r="V80" s="570" t="str">
        <f t="shared" si="6"/>
        <v>Dujinis – Gamtinės dujos</v>
      </c>
      <c r="W80" s="571" t="b">
        <f>IF(COUNTIF(MSPara_SourceStreamCategory,V80)=0,"",INDEX(MSPara_IsFossil,MATCH(V80,MSPara_SourceStreamCategory,0)))</f>
        <v>1</v>
      </c>
      <c r="X80" s="488"/>
      <c r="Y80" s="591" t="str">
        <f>IF(OR(T63=TRUE,E63=""),"",IF(OR(W80=TRUE,F80=EUconst_NA),EUconst_NA,INDEX(EUwideConstants!$N:$N,MATCH(T80,EUwideConstants!$Q:$Q,0))))</f>
        <v>netaik.</v>
      </c>
      <c r="Z80" s="592" t="str">
        <f>IF(ISBLANK(F80),"",IF(F80=EUconst_NA,"",INDEX(EUwideConstants!$H:$M,MATCH(T80,EUwideConstants!$Q:$Q,0),MATCH(F80,CNTR_TierList,0))))</f>
        <v/>
      </c>
      <c r="AA80" s="593" t="str">
        <f>IF(F80=1,1,"")</f>
        <v/>
      </c>
      <c r="AB80" s="30"/>
      <c r="AC80" s="594" t="b">
        <f>AND(AC72,Y80&lt;&gt;EUconst_NA)</f>
        <v>0</v>
      </c>
      <c r="AD80" s="30"/>
      <c r="AE80" s="595"/>
      <c r="AF80" s="596"/>
      <c r="AG80" s="597"/>
      <c r="AH80" s="598"/>
      <c r="AI80" s="598"/>
      <c r="AJ80" s="598"/>
      <c r="AK80" s="599"/>
      <c r="AL80" s="333"/>
      <c r="AM80" s="600" t="str">
        <f>EUconst_CNTR_BiomassContent&amp;EUconst_Value</f>
        <v>BioC_Vertė</v>
      </c>
      <c r="AN80" s="596"/>
      <c r="AO80" s="601" t="str">
        <f>IF(AC80=TRUE,IF(COUNTIF(MSPara_SourceStreamCategory,V80)=0,"",INDEX(MSPara_CalcFactorsMatrix,MATCH(V80,MSPara_SourceStreamCategory,0),MATCH(AM80&amp;"_"&amp;2,MSPara_CalcFactors,0))),"")</f>
        <v/>
      </c>
      <c r="AP80" s="598"/>
      <c r="AQ80" s="602" t="str">
        <f>IF(OR(AA80="",AO80=EUconst_NA),"",AO80)</f>
        <v/>
      </c>
      <c r="AR80" s="594">
        <f>IF(AC80=TRUE,IF(COUNT(K80:L80)=0,0,IF(L80="",K80,L80)),0)</f>
        <v>0</v>
      </c>
      <c r="AS80" s="603" t="b">
        <f>AND(AC80=TRUE,OR(AND(F80&lt;&gt;"",NOT(ISNUMBER(AA80))),L80&lt;&gt;"",F80="",AQ80=""))</f>
        <v>0</v>
      </c>
      <c r="AT80" s="603" t="b">
        <f t="shared" si="2"/>
        <v>0</v>
      </c>
      <c r="AU80" s="30"/>
      <c r="AV80" s="604" t="b">
        <f t="shared" si="3"/>
        <v>0</v>
      </c>
      <c r="AW80" s="605" t="b">
        <f t="shared" si="4"/>
        <v>0</v>
      </c>
      <c r="AX80" s="30"/>
      <c r="AY80" s="570" t="b">
        <f t="shared" si="5"/>
        <v>0</v>
      </c>
      <c r="AZ80" s="571" t="b">
        <f>OR(AR79&gt;100%,(AR79+AR80)&gt;100%)</f>
        <v>0</v>
      </c>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571" t="b">
        <f>OR(BZ72,Y80=EUconst_NA)</f>
        <v>1</v>
      </c>
    </row>
    <row r="81" spans="1:78" s="140" customFormat="1" ht="5.0999999999999996" customHeight="1" x14ac:dyDescent="0.2">
      <c r="A81" s="777"/>
      <c r="B81" s="1248"/>
      <c r="C81" s="164"/>
      <c r="D81" s="178"/>
      <c r="O81" s="1305"/>
      <c r="P81" s="33"/>
      <c r="Q81" s="33"/>
      <c r="R81" s="33"/>
      <c r="S81" s="172"/>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row>
    <row r="82" spans="1:78" s="140" customFormat="1" ht="12.75" customHeight="1" x14ac:dyDescent="0.2">
      <c r="A82" s="777"/>
      <c r="B82" s="1248"/>
      <c r="C82" s="164"/>
      <c r="D82" s="1629" t="str">
        <f>Translations!$B$674</f>
        <v>Pakopos galioja nuo:</v>
      </c>
      <c r="E82" s="1629"/>
      <c r="F82" s="1630"/>
      <c r="G82" s="1014"/>
      <c r="H82" s="606" t="str">
        <f>Translations!$B$675</f>
        <v>iki:</v>
      </c>
      <c r="I82" s="1014"/>
      <c r="J82" s="1620" t="str">
        <f>Translations!$B$676</f>
        <v>Atliekų katalogo numeris (jeigu taikytina):</v>
      </c>
      <c r="K82" s="1621"/>
      <c r="L82" s="1621"/>
      <c r="M82" s="1622"/>
      <c r="N82" s="1232"/>
      <c r="O82" s="1305"/>
      <c r="P82" s="33"/>
      <c r="Q82" s="33"/>
      <c r="R82" s="33"/>
      <c r="S82" s="1233"/>
      <c r="T82" s="483"/>
      <c r="U82" s="483"/>
      <c r="V82" s="48" t="b">
        <f>IF(V72="",FALSE,INDEX(CNTR_IsWaste,MATCH(V72,MSParameters!$A$218:$A$376,0)))</f>
        <v>0</v>
      </c>
      <c r="W82" s="1233" t="s">
        <v>1689</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2" t="b">
        <f>BZ72</f>
        <v>0</v>
      </c>
    </row>
    <row r="83" spans="1:78" s="140" customFormat="1" ht="5.0999999999999996" customHeight="1" x14ac:dyDescent="0.2">
      <c r="A83" s="777"/>
      <c r="B83" s="1248"/>
      <c r="C83" s="164"/>
      <c r="D83" s="606"/>
      <c r="E83" s="486"/>
      <c r="F83" s="486"/>
      <c r="G83" s="486"/>
      <c r="H83" s="486"/>
      <c r="I83" s="486"/>
      <c r="J83" s="486"/>
      <c r="K83" s="486"/>
      <c r="L83" s="486"/>
      <c r="M83" s="486"/>
      <c r="N83" s="486"/>
      <c r="O83" s="1305"/>
      <c r="P83" s="33"/>
      <c r="Q83" s="33"/>
      <c r="R83" s="33"/>
      <c r="S83" s="172"/>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row>
    <row r="84" spans="1:78" s="140" customFormat="1" ht="12.75" customHeight="1" x14ac:dyDescent="0.2">
      <c r="A84" s="777"/>
      <c r="B84" s="1248"/>
      <c r="C84" s="164"/>
      <c r="D84" s="486"/>
      <c r="E84" s="486"/>
      <c r="F84" s="486"/>
      <c r="G84" s="486"/>
      <c r="H84" s="486"/>
      <c r="I84" s="486"/>
      <c r="J84" s="486"/>
      <c r="K84" s="486"/>
      <c r="L84" s="486"/>
      <c r="M84" s="606" t="str">
        <f>Translations!$B$677</f>
        <v>Stebėsenos plane šiam sukėlikliui suteiktas identifikatorius:</v>
      </c>
      <c r="N84" s="705"/>
      <c r="O84" s="1305"/>
      <c r="P84" s="33"/>
      <c r="Q84" s="33"/>
      <c r="R84" s="33"/>
      <c r="S84" s="172"/>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2" t="b">
        <f>BZ82</f>
        <v>0</v>
      </c>
    </row>
    <row r="85" spans="1:78" s="140" customFormat="1" ht="5.0999999999999996" customHeight="1" x14ac:dyDescent="0.2">
      <c r="A85" s="784"/>
      <c r="B85" s="1316"/>
      <c r="D85" s="178"/>
      <c r="O85" s="1317"/>
      <c r="P85" s="488"/>
      <c r="Q85" s="488"/>
      <c r="R85" s="488"/>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row>
    <row r="86" spans="1:78" s="140" customFormat="1" x14ac:dyDescent="0.2">
      <c r="A86" s="784"/>
      <c r="B86" s="1316"/>
      <c r="D86" s="1618" t="str">
        <f>Translations!$B$160</f>
        <v>Pastabos:</v>
      </c>
      <c r="E86" s="1619"/>
      <c r="F86" s="1605"/>
      <c r="G86" s="1606"/>
      <c r="H86" s="1606"/>
      <c r="I86" s="1606"/>
      <c r="J86" s="1606"/>
      <c r="K86" s="1606"/>
      <c r="L86" s="1606"/>
      <c r="M86" s="1606"/>
      <c r="N86" s="1607"/>
      <c r="O86" s="1317"/>
      <c r="P86" s="488"/>
      <c r="Q86" s="488"/>
      <c r="R86" s="488"/>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2" t="b">
        <f>BZ82</f>
        <v>0</v>
      </c>
    </row>
    <row r="87" spans="1:78" s="28" customFormat="1" ht="12.75" customHeight="1" thickBot="1" x14ac:dyDescent="0.25">
      <c r="A87" s="777"/>
      <c r="B87" s="1312"/>
      <c r="C87" s="490"/>
      <c r="D87" s="491"/>
      <c r="E87" s="492"/>
      <c r="F87" s="490"/>
      <c r="G87" s="493"/>
      <c r="H87" s="493"/>
      <c r="I87" s="493"/>
      <c r="J87" s="493"/>
      <c r="K87" s="493"/>
      <c r="L87" s="493"/>
      <c r="M87" s="493"/>
      <c r="N87" s="493"/>
      <c r="O87" s="1313"/>
      <c r="P87" s="485"/>
      <c r="Q87" s="485"/>
      <c r="R87" s="485"/>
      <c r="S87" s="58"/>
      <c r="T87" s="58"/>
      <c r="U87" s="489"/>
      <c r="V87" s="58"/>
      <c r="W87" s="58"/>
      <c r="X87" s="489"/>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30"/>
      <c r="BJ87" s="30"/>
      <c r="BK87" s="30"/>
      <c r="BL87" s="58"/>
      <c r="BM87" s="58"/>
      <c r="BN87" s="58"/>
      <c r="BO87" s="58"/>
      <c r="BP87" s="58"/>
      <c r="BQ87" s="58"/>
      <c r="BR87" s="58"/>
      <c r="BS87" s="58"/>
      <c r="BT87" s="58"/>
      <c r="BU87" s="58"/>
      <c r="BV87" s="58"/>
      <c r="BW87" s="58"/>
      <c r="BX87" s="58"/>
      <c r="BY87" s="58"/>
      <c r="BZ87" s="58"/>
    </row>
    <row r="88" spans="1:78" s="28" customFormat="1" ht="12.75" customHeight="1" thickBot="1" x14ac:dyDescent="0.25">
      <c r="A88" s="782"/>
      <c r="B88" s="1312"/>
      <c r="C88" s="486"/>
      <c r="D88" s="178"/>
      <c r="E88" s="487"/>
      <c r="F88" s="486"/>
      <c r="G88" s="478"/>
      <c r="H88" s="478"/>
      <c r="I88" s="478"/>
      <c r="J88" s="478"/>
      <c r="K88" s="486"/>
      <c r="L88" s="478"/>
      <c r="M88" s="478"/>
      <c r="N88" s="478"/>
      <c r="O88" s="1313"/>
      <c r="P88" s="485"/>
      <c r="Q88" s="485"/>
      <c r="R88" s="485"/>
      <c r="S88" s="23"/>
      <c r="T88" s="27">
        <f>IF(ISBLANK(E89),"",MATCH(E89,CNTR_SourceStreamNames,0))</f>
        <v>2</v>
      </c>
      <c r="U88" s="609" t="str">
        <f>IF(ISBLANK(E89),"",INDEX(B_InstallationDescription!$D$71:$D$145,MATCH(E89,CNTR_SourceStreamNames,0)))</f>
        <v>F2</v>
      </c>
      <c r="V88" s="76"/>
      <c r="W88" s="56"/>
      <c r="X88" s="56"/>
      <c r="Y88" s="56"/>
      <c r="Z88" s="58"/>
      <c r="AA88" s="58"/>
      <c r="AB88" s="58"/>
      <c r="AC88" s="58"/>
      <c r="AD88" s="58"/>
      <c r="AE88" s="58"/>
      <c r="AF88" s="58"/>
      <c r="AG88" s="58"/>
      <c r="AH88" s="58"/>
      <c r="AI88" s="58"/>
      <c r="AJ88" s="58"/>
      <c r="AK88" s="482"/>
      <c r="AL88" s="58"/>
      <c r="AM88" s="58"/>
      <c r="AN88" s="58"/>
      <c r="AO88" s="58"/>
      <c r="AP88" s="58"/>
      <c r="AQ88" s="58"/>
      <c r="AR88" s="58"/>
      <c r="AS88" s="58"/>
      <c r="AT88" s="58"/>
      <c r="AU88" s="58"/>
      <c r="AV88" s="58"/>
      <c r="AW88" s="58"/>
      <c r="AX88" s="58"/>
      <c r="AY88" s="58"/>
      <c r="AZ88" s="58"/>
      <c r="BA88" s="58"/>
      <c r="BB88" s="58"/>
      <c r="BC88" s="58"/>
      <c r="BD88" s="58"/>
      <c r="BE88" s="58"/>
      <c r="BF88" s="58"/>
      <c r="BG88" s="58"/>
      <c r="BH88" s="56"/>
      <c r="BI88" s="56"/>
      <c r="BJ88" s="56"/>
      <c r="BK88" s="56"/>
      <c r="BL88" s="56"/>
      <c r="BM88" s="56"/>
      <c r="BN88" s="56"/>
      <c r="BO88" s="56"/>
      <c r="BP88" s="56"/>
      <c r="BQ88" s="56"/>
      <c r="BR88" s="56"/>
      <c r="BS88" s="56"/>
      <c r="BT88" s="56"/>
      <c r="BU88" s="56"/>
      <c r="BV88" s="56"/>
      <c r="BW88" s="56"/>
      <c r="BX88" s="56"/>
      <c r="BY88" s="56"/>
      <c r="BZ88" s="484" t="s">
        <v>259</v>
      </c>
    </row>
    <row r="89" spans="1:78" s="140" customFormat="1" ht="15" customHeight="1" thickBot="1" x14ac:dyDescent="0.25">
      <c r="A89" s="1302" t="str">
        <f>IF(E89="","","PRINT")</f>
        <v>PRINT</v>
      </c>
      <c r="B89" s="1248"/>
      <c r="C89" s="608">
        <f>C62+1</f>
        <v>2</v>
      </c>
      <c r="D89" s="164"/>
      <c r="E89" s="1610" t="s">
        <v>1815</v>
      </c>
      <c r="F89" s="1611"/>
      <c r="G89" s="1611"/>
      <c r="H89" s="1611"/>
      <c r="I89" s="1611"/>
      <c r="J89" s="1612"/>
      <c r="K89" s="1623" t="str">
        <f>IF(E90="","",INDEX(EUwideConstants!$F$353:$F$394,MATCH(E90,EUConst_TierActivityListNames,0)))</f>
        <v>Degimas</v>
      </c>
      <c r="L89" s="1624"/>
      <c r="M89" s="494" t="str">
        <f>Translations!$B$665</f>
        <v>CO2, iškastinio kuro kilmės:</v>
      </c>
      <c r="N89" s="1012">
        <f>IF(OR(K89="",T90=TRUE),"",INDEX(BC103:BE103,MATCH(K89,BC99:BE99,0)))</f>
        <v>3051.2676673814399</v>
      </c>
      <c r="O89" s="1314" t="s">
        <v>257</v>
      </c>
      <c r="P89" s="1303" t="str">
        <f>IF(AND(E89&lt;&gt;"",COUNTIF(P90:$P$2089,"PRINT")=0),"PRINT","")</f>
        <v/>
      </c>
      <c r="Q89" s="343" t="str">
        <f>EUconst_SumCO2 &amp; "_" &amp; K89</f>
        <v>SUM_CO2_Degimas</v>
      </c>
      <c r="R89" s="485"/>
      <c r="S89" s="23"/>
      <c r="T89" s="500" t="s">
        <v>387</v>
      </c>
      <c r="U89" s="23"/>
      <c r="V89" s="76"/>
      <c r="W89" s="56"/>
      <c r="X89" s="58"/>
      <c r="Y89" s="58"/>
      <c r="Z89" s="58"/>
      <c r="AA89" s="58"/>
      <c r="AB89" s="58"/>
      <c r="AC89" s="58"/>
      <c r="AD89" s="58"/>
      <c r="AE89" s="58"/>
      <c r="AF89" s="58"/>
      <c r="AG89" s="58"/>
      <c r="AH89" s="58"/>
      <c r="AI89" s="333"/>
      <c r="AJ89" s="333"/>
      <c r="AK89" s="333"/>
      <c r="AL89" s="333"/>
      <c r="AM89" s="333"/>
      <c r="AN89" s="333"/>
      <c r="AO89" s="333"/>
      <c r="AP89" s="333"/>
      <c r="AQ89" s="333"/>
      <c r="AR89" s="333"/>
      <c r="AS89" s="333"/>
      <c r="AT89" s="333"/>
      <c r="AU89" s="333"/>
      <c r="AV89" s="333"/>
      <c r="AW89" s="333"/>
      <c r="AX89" s="333"/>
      <c r="AY89" s="333"/>
      <c r="AZ89" s="333"/>
      <c r="BA89" s="333"/>
      <c r="BB89" s="333"/>
      <c r="BC89" s="333"/>
      <c r="BD89" s="333"/>
      <c r="BE89" s="333"/>
      <c r="BF89" s="333"/>
      <c r="BG89" s="333"/>
      <c r="BH89" s="834">
        <f>AR99</f>
        <v>1629.527</v>
      </c>
      <c r="BI89" s="834" t="str">
        <f>AJ99</f>
        <v>1 000 Nm3</v>
      </c>
      <c r="BJ89" s="834">
        <f>AR101</f>
        <v>55.57</v>
      </c>
      <c r="BK89" s="834" t="str">
        <f>AJ101</f>
        <v>tCO2/TJ</v>
      </c>
      <c r="BL89" s="834">
        <f>AR102</f>
        <v>33.695999999999998</v>
      </c>
      <c r="BM89" s="834" t="str">
        <f>AJ102</f>
        <v>GJ/1 000 Nm3</v>
      </c>
      <c r="BN89" s="834">
        <f>AR103</f>
        <v>1</v>
      </c>
      <c r="BO89" s="834">
        <f>AR104</f>
        <v>1</v>
      </c>
      <c r="BP89" s="834">
        <f>AR105</f>
        <v>0</v>
      </c>
      <c r="BQ89" s="834" t="str">
        <f>AJ105</f>
        <v/>
      </c>
      <c r="BR89" s="834">
        <f>AR106</f>
        <v>0</v>
      </c>
      <c r="BS89" s="834">
        <f>AR107</f>
        <v>0</v>
      </c>
      <c r="BT89" s="834">
        <f>N89</f>
        <v>3051.2676673814399</v>
      </c>
      <c r="BU89" s="834">
        <f>N90</f>
        <v>0</v>
      </c>
      <c r="BV89" s="834">
        <f>R92</f>
        <v>0</v>
      </c>
      <c r="BW89" s="834">
        <f>R98</f>
        <v>54.908541791999994</v>
      </c>
      <c r="BX89" s="834">
        <f>R99</f>
        <v>0</v>
      </c>
      <c r="BY89" s="56"/>
      <c r="BZ89" s="610" t="b">
        <f>CNTR_CalcRelevant=EUconst_NotRelevant</f>
        <v>0</v>
      </c>
    </row>
    <row r="90" spans="1:78" s="140" customFormat="1" ht="15" customHeight="1" thickBot="1" x14ac:dyDescent="0.25">
      <c r="A90" s="777"/>
      <c r="B90" s="1248"/>
      <c r="C90" s="164"/>
      <c r="D90" s="164"/>
      <c r="E90" s="1625" t="str">
        <f>IF(ISBLANK(E89),"",IF(INDEX(B_InstallationDescription!$E$71:$E$145,MATCH(U88,B_InstallationDescription!$D$71:$D$145,0))&gt;0,INDEX(B_InstallationDescription!$E$71:$E$145,MATCH(U88,B_InstallationDescription!$D$71:$D$145,0)),""))</f>
        <v>Degimas: Kitas dujinis ir skystasis kuras</v>
      </c>
      <c r="F90" s="1626"/>
      <c r="G90" s="1626"/>
      <c r="H90" s="1626"/>
      <c r="I90" s="1626"/>
      <c r="J90" s="1627"/>
      <c r="M90" s="337" t="str">
        <f>Translations!$B$666</f>
        <v>CO2, biomasės kilmės.:</v>
      </c>
      <c r="N90" s="1013">
        <f>IF(OR(K89="",T90=TRUE),"",INDEX(BC102:BE102,MATCH(K89,BC99:BE99,0)))</f>
        <v>0</v>
      </c>
      <c r="O90" s="1315" t="s">
        <v>257</v>
      </c>
      <c r="P90" s="485"/>
      <c r="Q90" s="343" t="str">
        <f>EUconst_SumBioCO2 &amp; "_" &amp; K89</f>
        <v>SUM_bioCO2_Degimas</v>
      </c>
      <c r="R90" s="485"/>
      <c r="S90" s="23"/>
      <c r="T90" s="48" t="b">
        <f>IF(E90="","",MATCH(E90,EUConst_TierActivityListNames,0)&gt;40)</f>
        <v>0</v>
      </c>
      <c r="U90" s="23"/>
      <c r="V90" s="76"/>
      <c r="W90" s="56"/>
      <c r="X90" s="58"/>
      <c r="Y90" s="27" t="s">
        <v>91</v>
      </c>
      <c r="Z90" s="30"/>
      <c r="AA90" s="30"/>
      <c r="AB90" s="30"/>
      <c r="AC90" s="30"/>
      <c r="AD90" s="30"/>
      <c r="AE90" s="27" t="s">
        <v>297</v>
      </c>
      <c r="AF90" s="58"/>
      <c r="AG90" s="495"/>
      <c r="AH90" s="30"/>
      <c r="AI90" s="30"/>
      <c r="AJ90" s="495"/>
      <c r="AK90" s="495"/>
      <c r="AL90" s="333"/>
      <c r="AM90" s="27" t="s">
        <v>303</v>
      </c>
      <c r="AN90" s="496"/>
      <c r="AO90" s="496"/>
      <c r="AP90" s="30"/>
      <c r="AQ90" s="30"/>
      <c r="AR90" s="30"/>
      <c r="AS90" s="30"/>
      <c r="AT90" s="30"/>
      <c r="AU90" s="30"/>
      <c r="AV90" s="27" t="s">
        <v>310</v>
      </c>
      <c r="AW90" s="30"/>
      <c r="AX90" s="483"/>
      <c r="AY90" s="30"/>
      <c r="AZ90" s="30"/>
      <c r="BA90" s="30"/>
      <c r="BB90" s="27" t="s">
        <v>217</v>
      </c>
      <c r="BC90" s="30"/>
      <c r="BD90" s="30"/>
      <c r="BE90" s="30"/>
      <c r="BF90" s="30"/>
      <c r="BG90" s="27" t="s">
        <v>486</v>
      </c>
      <c r="BH90" s="833" t="s">
        <v>552</v>
      </c>
      <c r="BI90" s="833" t="s">
        <v>487</v>
      </c>
      <c r="BJ90" s="833" t="s">
        <v>211</v>
      </c>
      <c r="BK90" s="833" t="s">
        <v>488</v>
      </c>
      <c r="BL90" s="833" t="s">
        <v>68</v>
      </c>
      <c r="BM90" s="833" t="s">
        <v>489</v>
      </c>
      <c r="BN90" s="833" t="s">
        <v>490</v>
      </c>
      <c r="BO90" s="833" t="s">
        <v>491</v>
      </c>
      <c r="BP90" s="833" t="s">
        <v>214</v>
      </c>
      <c r="BQ90" s="833" t="s">
        <v>492</v>
      </c>
      <c r="BR90" s="833" t="s">
        <v>493</v>
      </c>
      <c r="BS90" s="833" t="s">
        <v>494</v>
      </c>
      <c r="BT90" s="833" t="s">
        <v>287</v>
      </c>
      <c r="BU90" s="833" t="s">
        <v>495</v>
      </c>
      <c r="BV90" s="833" t="s">
        <v>498</v>
      </c>
      <c r="BW90" s="833" t="s">
        <v>496</v>
      </c>
      <c r="BX90" s="833" t="s">
        <v>497</v>
      </c>
      <c r="BY90" s="30"/>
      <c r="BZ90" s="30"/>
    </row>
    <row r="91" spans="1:78" s="140" customFormat="1" ht="5.0999999999999996" customHeight="1" thickBot="1" x14ac:dyDescent="0.25">
      <c r="A91" s="777"/>
      <c r="B91" s="1248"/>
      <c r="C91" s="164"/>
      <c r="D91" s="164"/>
      <c r="E91" s="164"/>
      <c r="F91" s="164"/>
      <c r="G91" s="164"/>
      <c r="M91" s="141"/>
      <c r="N91" s="141"/>
      <c r="O91" s="1305"/>
      <c r="P91" s="33"/>
      <c r="Q91" s="33"/>
      <c r="R91" s="33"/>
      <c r="S91" s="23"/>
      <c r="T91" s="23"/>
      <c r="U91" s="23"/>
      <c r="V91" s="76"/>
      <c r="W91" s="30"/>
      <c r="X91" s="30"/>
      <c r="Y91" s="485"/>
      <c r="Z91" s="30"/>
      <c r="AA91" s="30"/>
      <c r="AB91" s="30"/>
      <c r="AC91" s="30"/>
      <c r="AD91" s="30"/>
      <c r="AE91" s="30"/>
      <c r="AF91" s="58"/>
      <c r="AG91" s="30"/>
      <c r="AH91" s="30"/>
      <c r="AI91" s="30"/>
      <c r="AJ91" s="495"/>
      <c r="AK91" s="495"/>
      <c r="AL91" s="333"/>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row>
    <row r="92" spans="1:78" s="140" customFormat="1" ht="12.75" customHeight="1" thickBot="1" x14ac:dyDescent="0.25">
      <c r="A92" s="777"/>
      <c r="B92" s="1248"/>
      <c r="C92" s="164"/>
      <c r="D92" s="164"/>
      <c r="E92" s="1628" t="str">
        <f>IF(E89="","",IF(T90=TRUE,HYPERLINK("#JUMP_14",EUconst_MsgGoOnPFC),HYPERLINK("#JUMP_E_8",EUconst_FurtherGuidancePoint1)))</f>
        <v xml:space="preserve">Išsamios duomenų įvedimo naudojantis šia priemone instrukcijos pateiktos šio lapo viršuje. </v>
      </c>
      <c r="F92" s="1628"/>
      <c r="G92" s="1628"/>
      <c r="H92" s="1628"/>
      <c r="I92" s="1628"/>
      <c r="J92" s="1628"/>
      <c r="K92" s="1628"/>
      <c r="L92" s="1628"/>
      <c r="M92" s="1628"/>
      <c r="N92" s="141"/>
      <c r="O92" s="1305"/>
      <c r="P92" s="33"/>
      <c r="Q92" s="343" t="str">
        <f>EUconst_SumNonSustBioCO2 &amp; "_" &amp; K89</f>
        <v>SUM_bioNonSustCO2_Degimas</v>
      </c>
      <c r="R92" s="698">
        <f>IF(OR(K89="",T90=TRUE),"",ROUND(INDEX(BC101:BE101,MATCH(K89,BC99:BE99,0)),0))</f>
        <v>0</v>
      </c>
      <c r="S92" s="23"/>
      <c r="T92" s="23"/>
      <c r="U92" s="23"/>
      <c r="V92" s="30"/>
      <c r="W92" s="30"/>
      <c r="X92" s="30"/>
      <c r="Y92" s="58"/>
      <c r="Z92" s="30"/>
      <c r="AA92" s="30"/>
      <c r="AB92" s="30"/>
      <c r="AC92" s="30"/>
      <c r="AD92" s="30"/>
      <c r="AE92" s="30"/>
      <c r="AF92" s="58"/>
      <c r="AG92" s="30"/>
      <c r="AH92" s="30"/>
      <c r="AI92" s="30"/>
      <c r="AJ92" s="495"/>
      <c r="AK92" s="495"/>
      <c r="AL92" s="333"/>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row>
    <row r="93" spans="1:78" s="140" customFormat="1" ht="5.0999999999999996" customHeight="1" thickBot="1" x14ac:dyDescent="0.25">
      <c r="A93" s="777"/>
      <c r="B93" s="1248"/>
      <c r="C93" s="164"/>
      <c r="D93" s="164"/>
      <c r="E93" s="164"/>
      <c r="F93" s="164"/>
      <c r="G93" s="164"/>
      <c r="M93" s="141"/>
      <c r="N93" s="141"/>
      <c r="O93" s="1305"/>
      <c r="P93" s="23"/>
      <c r="Q93" s="23"/>
      <c r="R93" s="23"/>
      <c r="S93" s="23"/>
      <c r="T93" s="23"/>
      <c r="U93" s="23"/>
      <c r="V93" s="30"/>
      <c r="W93" s="30"/>
      <c r="X93" s="30"/>
      <c r="Y93" s="485"/>
      <c r="Z93" s="30"/>
      <c r="AA93" s="30"/>
      <c r="AB93" s="30"/>
      <c r="AC93" s="30"/>
      <c r="AD93" s="30"/>
      <c r="AE93" s="30"/>
      <c r="AF93" s="58"/>
      <c r="AG93" s="30"/>
      <c r="AH93" s="30"/>
      <c r="AI93" s="30"/>
      <c r="AJ93" s="495"/>
      <c r="AK93" s="495"/>
      <c r="AL93" s="333"/>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row>
    <row r="94" spans="1:78" s="140" customFormat="1" ht="12.75" customHeight="1" thickBot="1" x14ac:dyDescent="0.25">
      <c r="A94" s="777"/>
      <c r="B94" s="1248"/>
      <c r="C94" s="783" t="s">
        <v>4</v>
      </c>
      <c r="D94" s="503" t="str">
        <f>Translations!$B$622</f>
        <v>VD:</v>
      </c>
      <c r="E94" s="1631" t="str">
        <f>Translations!$B$667</f>
        <v>Ar veiklos duomenys gaunami sudedant išmatuotus kiekius (t. y. ne atliekant nuolatinius matavimus)?</v>
      </c>
      <c r="F94" s="1631"/>
      <c r="G94" s="1631"/>
      <c r="H94" s="1631"/>
      <c r="I94" s="1631"/>
      <c r="J94" s="1631"/>
      <c r="K94" s="1631"/>
      <c r="L94" s="1122" t="b">
        <v>0</v>
      </c>
      <c r="M94" s="498"/>
      <c r="O94" s="1305"/>
      <c r="P94" s="23"/>
      <c r="Q94" s="23"/>
      <c r="R94" s="23"/>
      <c r="S94" s="23"/>
      <c r="T94" s="23"/>
      <c r="U94" s="23"/>
      <c r="V94" s="30"/>
      <c r="W94" s="30"/>
      <c r="X94" s="30"/>
      <c r="Y94" s="485"/>
      <c r="Z94" s="30"/>
      <c r="AA94" s="30"/>
      <c r="AB94" s="30"/>
      <c r="AC94" s="1115" t="b">
        <f>AND(E89&lt;&gt;"",T90&lt;&gt;TRUE)</f>
        <v>1</v>
      </c>
      <c r="AD94" s="30"/>
      <c r="AE94" s="30"/>
      <c r="AF94" s="58"/>
      <c r="AG94" s="30"/>
      <c r="AH94" s="30"/>
      <c r="AI94" s="30"/>
      <c r="AJ94" s="495"/>
      <c r="AK94" s="495"/>
      <c r="AL94" s="333"/>
      <c r="AM94" s="30"/>
      <c r="AN94" s="30"/>
      <c r="AO94" s="30"/>
      <c r="AP94" s="30"/>
      <c r="AQ94" s="30"/>
      <c r="AR94" s="30"/>
      <c r="AS94" s="30"/>
      <c r="AT94" s="1115" t="b">
        <f>MSPara_BatchReportingMandatory&lt;&gt;TRUE</f>
        <v>0</v>
      </c>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1115" t="b">
        <f>OR(CNTR_CalcRelevant=EUconst_NotRelevant,AND(COUNTA(CNTR_ListRelevantSections)&gt;0,OR(T90=TRUE,E89="")))</f>
        <v>0</v>
      </c>
    </row>
    <row r="95" spans="1:78" s="140" customFormat="1" ht="5.0999999999999996" customHeight="1" thickBot="1" x14ac:dyDescent="0.25">
      <c r="A95" s="777"/>
      <c r="B95" s="1248"/>
      <c r="C95" s="164"/>
      <c r="D95" s="164"/>
      <c r="E95" s="164"/>
      <c r="F95" s="164"/>
      <c r="G95" s="164"/>
      <c r="H95" s="486"/>
      <c r="I95" s="486"/>
      <c r="J95" s="486"/>
      <c r="K95" s="486"/>
      <c r="L95" s="486"/>
      <c r="M95" s="498"/>
      <c r="O95" s="1305"/>
      <c r="P95" s="23"/>
      <c r="Q95" s="23"/>
      <c r="R95" s="23"/>
      <c r="S95" s="23"/>
      <c r="T95" s="23"/>
      <c r="U95" s="23"/>
      <c r="V95" s="30"/>
      <c r="W95" s="30"/>
      <c r="X95" s="30"/>
      <c r="Y95" s="485"/>
      <c r="Z95" s="30"/>
      <c r="AA95" s="30"/>
      <c r="AB95" s="30"/>
      <c r="AC95" s="483"/>
      <c r="AD95" s="30"/>
      <c r="AE95" s="30"/>
      <c r="AF95" s="58"/>
      <c r="AG95" s="30"/>
      <c r="AH95" s="30"/>
      <c r="AI95" s="30"/>
      <c r="AJ95" s="495"/>
      <c r="AK95" s="495"/>
      <c r="AL95" s="333"/>
      <c r="AM95" s="30"/>
      <c r="AN95" s="30"/>
      <c r="AO95" s="30"/>
      <c r="AP95" s="30"/>
      <c r="AQ95" s="30"/>
      <c r="AR95" s="30"/>
      <c r="AS95" s="30"/>
      <c r="AT95" s="483"/>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483"/>
    </row>
    <row r="96" spans="1:78" s="140" customFormat="1" ht="12.75" customHeight="1" thickBot="1" x14ac:dyDescent="0.25">
      <c r="A96" s="777"/>
      <c r="B96" s="1248"/>
      <c r="C96" s="783" t="s">
        <v>5</v>
      </c>
      <c r="D96" s="503" t="str">
        <f>Translations!$B$622</f>
        <v>VD:</v>
      </c>
      <c r="E96" s="1105" t="str">
        <f>Translations!$B$668</f>
        <v>Pradinis kiekis:</v>
      </c>
      <c r="F96" s="1123"/>
      <c r="G96" s="1106" t="str">
        <f>Translations!$B$669</f>
        <v>Galutinis kiekis:</v>
      </c>
      <c r="H96" s="1123"/>
      <c r="I96" s="1106" t="str">
        <f>Translations!$B$670</f>
        <v>Įsigytas kiekis:</v>
      </c>
      <c r="J96" s="1123"/>
      <c r="K96" s="1106" t="str">
        <f>Translations!$B$671</f>
        <v>Perduotas kiekis:</v>
      </c>
      <c r="L96" s="1123"/>
      <c r="M96" s="1107" t="str">
        <f>IF(AND(L94=TRUE,COUNT(F96,H96,J96,L96)&lt;4),EUconst_ERR_Incomplete,"")</f>
        <v/>
      </c>
      <c r="O96" s="1305"/>
      <c r="P96" s="23"/>
      <c r="Q96" s="23"/>
      <c r="R96" s="23"/>
      <c r="S96" s="23"/>
      <c r="T96" s="23"/>
      <c r="U96" s="23"/>
      <c r="V96" s="30"/>
      <c r="W96" s="30"/>
      <c r="X96" s="30"/>
      <c r="Y96" s="485"/>
      <c r="Z96" s="30"/>
      <c r="AA96" s="30"/>
      <c r="AB96" s="30"/>
      <c r="AC96" s="1115" t="b">
        <f>AC94</f>
        <v>1</v>
      </c>
      <c r="AD96" s="30"/>
      <c r="AE96" s="30"/>
      <c r="AF96" s="58"/>
      <c r="AG96" s="30"/>
      <c r="AH96" s="30"/>
      <c r="AI96" s="30"/>
      <c r="AJ96" s="495"/>
      <c r="AK96" s="495"/>
      <c r="AL96" s="333"/>
      <c r="AM96" s="30"/>
      <c r="AN96" s="30"/>
      <c r="AO96" s="30"/>
      <c r="AP96" s="30"/>
      <c r="AQ96" s="30"/>
      <c r="AR96" s="30"/>
      <c r="AS96" s="30"/>
      <c r="AT96" s="1115" t="b">
        <f>AND(AT94=TRUE,L94="")</f>
        <v>0</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1115" t="b">
        <f>OR(BZ94,AND(NOT(ISBLANK(L94)),L94=FALSE))</f>
        <v>1</v>
      </c>
    </row>
    <row r="97" spans="1:78" s="140" customFormat="1" ht="5.0999999999999996" customHeight="1" thickBot="1" x14ac:dyDescent="0.25">
      <c r="A97" s="777"/>
      <c r="B97" s="1248"/>
      <c r="C97" s="164"/>
      <c r="D97" s="164"/>
      <c r="E97" s="164"/>
      <c r="F97" s="164"/>
      <c r="G97" s="164"/>
      <c r="M97" s="141"/>
      <c r="N97" s="141"/>
      <c r="O97" s="1305"/>
      <c r="P97" s="23"/>
      <c r="Q97" s="23"/>
      <c r="R97" s="23"/>
      <c r="S97" s="23"/>
      <c r="T97" s="23"/>
      <c r="U97" s="23"/>
      <c r="V97" s="30"/>
      <c r="W97" s="30"/>
      <c r="X97" s="30"/>
      <c r="Y97" s="485"/>
      <c r="Z97" s="30"/>
      <c r="AA97" s="30"/>
      <c r="AB97" s="30"/>
      <c r="AC97" s="30"/>
      <c r="AD97" s="30"/>
      <c r="AE97" s="30"/>
      <c r="AF97" s="58"/>
      <c r="AG97" s="30"/>
      <c r="AH97" s="30"/>
      <c r="AI97" s="30"/>
      <c r="AJ97" s="495"/>
      <c r="AK97" s="495"/>
      <c r="AL97" s="333"/>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row>
    <row r="98" spans="1:78" s="140" customFormat="1" ht="12.75" customHeight="1" thickBot="1" x14ac:dyDescent="0.25">
      <c r="A98" s="777"/>
      <c r="B98" s="1248"/>
      <c r="C98" s="164"/>
      <c r="D98" s="164"/>
      <c r="E98" s="164"/>
      <c r="F98" s="497" t="str">
        <f>Translations!$B$333</f>
        <v>Pakopa</v>
      </c>
      <c r="G98" s="1613" t="str">
        <f>Translations!$B$672</f>
        <v>pakopos aprašas</v>
      </c>
      <c r="H98" s="1613"/>
      <c r="I98" s="1608" t="str">
        <f>Translations!$B$158</f>
        <v>Vienetas</v>
      </c>
      <c r="J98" s="1608"/>
      <c r="K98" s="1608" t="str">
        <f>Translations!$B$673</f>
        <v>Vertė</v>
      </c>
      <c r="L98" s="1608"/>
      <c r="M98" s="498" t="str">
        <f>Translations!$B$610</f>
        <v>klaida</v>
      </c>
      <c r="O98" s="1305"/>
      <c r="P98" s="499"/>
      <c r="Q98" s="343" t="str">
        <f>EUconst_SumEnergyIN &amp; "_" &amp; K89</f>
        <v>SUM_EnergyIN_Degimas</v>
      </c>
      <c r="R98" s="390">
        <f>IF(OR(K89="",T90)=TRUE,"",INDEX(BC104:BE104,MATCH(K89,BC99:BE99,0)))</f>
        <v>54.908541791999994</v>
      </c>
      <c r="S98" s="30"/>
      <c r="T98" s="480"/>
      <c r="U98" s="30"/>
      <c r="V98" s="500" t="s">
        <v>298</v>
      </c>
      <c r="W98" s="30"/>
      <c r="X98" s="30"/>
      <c r="Y98" s="485" t="s">
        <v>560</v>
      </c>
      <c r="Z98" s="485" t="s">
        <v>313</v>
      </c>
      <c r="AA98" s="30"/>
      <c r="AB98" s="30"/>
      <c r="AC98" s="496" t="s">
        <v>304</v>
      </c>
      <c r="AD98" s="30"/>
      <c r="AE98" s="30"/>
      <c r="AF98" s="483" t="s">
        <v>300</v>
      </c>
      <c r="AG98" s="483" t="s">
        <v>301</v>
      </c>
      <c r="AH98" s="485" t="s">
        <v>299</v>
      </c>
      <c r="AI98" s="495" t="s">
        <v>302</v>
      </c>
      <c r="AJ98" s="495" t="s">
        <v>561</v>
      </c>
      <c r="AK98" s="501" t="s">
        <v>306</v>
      </c>
      <c r="AL98" s="333"/>
      <c r="AM98" s="30"/>
      <c r="AN98" s="483" t="s">
        <v>300</v>
      </c>
      <c r="AO98" s="483" t="s">
        <v>301</v>
      </c>
      <c r="AP98" s="502" t="s">
        <v>305</v>
      </c>
      <c r="AQ98" s="495" t="s">
        <v>563</v>
      </c>
      <c r="AR98" s="495" t="s">
        <v>562</v>
      </c>
      <c r="AS98" s="501" t="s">
        <v>306</v>
      </c>
      <c r="AT98" s="501" t="s">
        <v>306</v>
      </c>
      <c r="AU98" s="30"/>
      <c r="AV98" s="483"/>
      <c r="AW98" s="483"/>
      <c r="AX98" s="483" t="s">
        <v>316</v>
      </c>
      <c r="AY98" s="483"/>
      <c r="AZ98" s="483"/>
      <c r="BA98" s="483"/>
      <c r="BB98" s="483"/>
      <c r="BC98" s="483"/>
      <c r="BD98" s="483"/>
      <c r="BE98" s="30"/>
      <c r="BF98" s="30"/>
      <c r="BG98" s="30"/>
      <c r="BH98" s="30"/>
      <c r="BI98" s="30"/>
      <c r="BJ98" s="30"/>
      <c r="BK98" s="30"/>
      <c r="BL98" s="30"/>
      <c r="BM98" s="30"/>
      <c r="BN98" s="30"/>
      <c r="BO98" s="30"/>
      <c r="BP98" s="30"/>
      <c r="BQ98" s="30"/>
      <c r="BR98" s="30"/>
      <c r="BS98" s="30"/>
      <c r="BT98" s="30"/>
      <c r="BU98" s="30"/>
      <c r="BV98" s="30"/>
      <c r="BW98" s="30"/>
      <c r="BX98" s="30"/>
      <c r="BY98" s="30"/>
      <c r="BZ98" s="484" t="s">
        <v>259</v>
      </c>
    </row>
    <row r="99" spans="1:78" s="140" customFormat="1" ht="12.75" customHeight="1" thickBot="1" x14ac:dyDescent="0.25">
      <c r="A99" s="777"/>
      <c r="B99" s="1248"/>
      <c r="C99" s="753" t="s">
        <v>194</v>
      </c>
      <c r="D99" s="503" t="str">
        <f>Translations!$B$622</f>
        <v>VD:</v>
      </c>
      <c r="E99" s="504"/>
      <c r="F99" s="393">
        <v>4</v>
      </c>
      <c r="G99" s="1603" t="str">
        <f>IF(OR(ISBLANK(F99),F99=EUconst_NoTier),"",IF(Z99=0,EUconst_NA,IF(ISERROR(Z99),"",Z99)))</f>
        <v>± 1,5%</v>
      </c>
      <c r="H99" s="1604"/>
      <c r="I99" s="1108" t="str">
        <f>IF(J99&lt;&gt;"","",AI99)</f>
        <v/>
      </c>
      <c r="J99" s="1109" t="s">
        <v>938</v>
      </c>
      <c r="K99" s="1116" t="str">
        <f>IF(L99="",AQ99,"")</f>
        <v/>
      </c>
      <c r="L99" s="1199">
        <v>1629.527</v>
      </c>
      <c r="M99" s="700" t="str">
        <f>IF(AND(E90&lt;&gt;"",OR(F99="",COUNT(K99:L99)=0),Y99&lt;&gt;EUconst_NA,T90&lt;&gt;TRUE),EUconst_ERR_Incomplete,IF(COUNTIF(AX99:AZ99,TRUE)&gt;0,EUconst_ERR_Inconsistent,""))</f>
        <v/>
      </c>
      <c r="O99" s="1305"/>
      <c r="P99" s="635"/>
      <c r="Q99" s="343" t="str">
        <f>EUconst_SumBioEnergyIN &amp; "_" &amp; K89</f>
        <v>SUM_BioEnergyIN_Degimas</v>
      </c>
      <c r="R99" s="390">
        <f>IF(OR(K89="",T90)=TRUE,"",INDEX(BC105:BE105,MATCH(K89,BC99:BE99,0)))</f>
        <v>0</v>
      </c>
      <c r="S99" s="30"/>
      <c r="T99" s="505" t="str">
        <f>EUconst_CNTR_ActivityData&amp;E90</f>
        <v>ActivityData_Degimas: Kitas dujinis ir skystasis kuras</v>
      </c>
      <c r="U99" s="488"/>
      <c r="V99" s="505" t="str">
        <f>IF(E89="","",INDEX(B_InstallationDescription!$I$71:$I$145,MATCH(U88,B_InstallationDescription!$D$71:$D$145,0)))</f>
        <v>Dujinis – Gamtinės dujos</v>
      </c>
      <c r="W99" s="495" t="s">
        <v>533</v>
      </c>
      <c r="X99" s="488"/>
      <c r="Y99" s="506">
        <f>IF(OR(T90=TRUE,E90=""),"",INDEX(EUwideConstants!$N:$N,MATCH(T99,EUwideConstants!$Q:$Q,0)))</f>
        <v>4</v>
      </c>
      <c r="Z99" s="507" t="str">
        <f>IF(ISBLANK(F99),"",IF(F99=EUconst_NA,"",INDEX(EUwideConstants!$H:$M,MATCH(T99,EUwideConstants!$Q:$Q,0),MATCH(F99,CNTR_TierList,0))))</f>
        <v>± 1,5%</v>
      </c>
      <c r="AA99" s="508" t="s">
        <v>299</v>
      </c>
      <c r="AB99" s="495"/>
      <c r="AC99" s="509" t="b">
        <f>AC94</f>
        <v>1</v>
      </c>
      <c r="AD99" s="30"/>
      <c r="AE99" s="510" t="str">
        <f>EUconst_CNTR_ActivityData&amp;EUconst_Unit</f>
        <v>ActivityData_Vienetas</v>
      </c>
      <c r="AF99" s="511" t="str">
        <f>IF(AC99=TRUE, IF(COUNTIF(MSPara_SourceStreamCategory,V99)=0,"",INDEX(MSPara_CalcFactorsMatrix,MATCH(V99,MSPara_SourceStreamCategory,0),MATCH(AE99&amp;"_"&amp;2,MSPara_CalcFactors,0))),"")</f>
        <v>netaik.</v>
      </c>
      <c r="AG99" s="512" t="str">
        <f>IF(AC99=TRUE, IF(COUNTIF(MSPara_SourceStreamCategory,V99)=0,"",INDEX(MSPara_CalcFactorsMatrix,MATCH(V99,MSPara_SourceStreamCategory,0),MATCH(AE99&amp;"_"&amp;1,MSPara_CalcFactors,0))),"")</f>
        <v>t</v>
      </c>
      <c r="AH99" s="509" t="str">
        <f>IF(OR(AF99="",AF99=EUconst_NA),IF(OR(AG99=EUconst_NA,AG99=""),"",AG99),AF99)</f>
        <v>t</v>
      </c>
      <c r="AI99" s="506" t="str">
        <f>IF(AC99=TRUE,IF(AH99="",EUconst_t,AH99),"")</f>
        <v>t</v>
      </c>
      <c r="AJ99" s="513" t="str">
        <f>IF(J99="",AI99,J99)</f>
        <v>1 000 Nm3</v>
      </c>
      <c r="AK99" s="514" t="b">
        <f>IF(K89=EUconst_Fuel,J99&lt;&gt;"",FALSE)</f>
        <v>1</v>
      </c>
      <c r="AL99" s="333"/>
      <c r="AM99" s="505" t="str">
        <f>EUconst_CNTR_ActivityData&amp;EUconst_Value</f>
        <v>ActivityData_Vertė</v>
      </c>
      <c r="AN99" s="496"/>
      <c r="AO99" s="496"/>
      <c r="AP99" s="509" t="b">
        <f>AND(AND(AH99&lt;&gt;"",AJ99&lt;&gt;""),AJ99=AH99)</f>
        <v>0</v>
      </c>
      <c r="AQ99" s="610" t="str">
        <f>IF(L94=TRUE,SUM(F96)-SUM(H96)+SUM(J96)-SUM(L96),"")</f>
        <v/>
      </c>
      <c r="AR99" s="509">
        <f>IF(Y99=EUconst_NA,0,IF(COUNT(K99:L99)=0,0,IF(L99="",K99,L99)))</f>
        <v>1629.527</v>
      </c>
      <c r="AS99" s="1115" t="b">
        <f>AND(AC99=TRUE,OR(L99&lt;&gt;"",AQ99=""))</f>
        <v>1</v>
      </c>
      <c r="AT99" s="1115" t="b">
        <f>AND(AC99=TRUE,NOT(AS99))</f>
        <v>0</v>
      </c>
      <c r="AU99" s="30"/>
      <c r="AV99" s="483" t="s">
        <v>309</v>
      </c>
      <c r="AW99" s="483" t="s">
        <v>314</v>
      </c>
      <c r="AX99" s="515"/>
      <c r="AY99" s="30" t="s">
        <v>536</v>
      </c>
      <c r="AZ99" s="30"/>
      <c r="BA99" s="30"/>
      <c r="BB99" s="495"/>
      <c r="BC99" s="484" t="str">
        <f>EUconst_Fuel</f>
        <v>Degimas</v>
      </c>
      <c r="BD99" s="484" t="str">
        <f>EUconst_ProcessCarbonate</f>
        <v>Proceso metu išsiskiriančios ŠESD</v>
      </c>
      <c r="BE99" s="484" t="str">
        <f>EUconst_MassBalance</f>
        <v>Masės balansas</v>
      </c>
      <c r="BF99" s="30"/>
      <c r="BG99" s="30"/>
      <c r="BH99" s="30"/>
      <c r="BI99" s="30"/>
      <c r="BJ99" s="30"/>
      <c r="BK99" s="30"/>
      <c r="BL99" s="30"/>
      <c r="BM99" s="30"/>
      <c r="BN99" s="30"/>
      <c r="BO99" s="30"/>
      <c r="BP99" s="30"/>
      <c r="BQ99" s="30"/>
      <c r="BR99" s="30"/>
      <c r="BS99" s="30"/>
      <c r="BT99" s="30"/>
      <c r="BU99" s="30"/>
      <c r="BV99" s="30"/>
      <c r="BW99" s="30"/>
      <c r="BX99" s="30"/>
      <c r="BY99" s="30"/>
      <c r="BZ99" s="515" t="b">
        <f>BZ94</f>
        <v>0</v>
      </c>
    </row>
    <row r="100" spans="1:78" s="140" customFormat="1" ht="5.0999999999999996" customHeight="1" thickBot="1" x14ac:dyDescent="0.25">
      <c r="A100" s="777"/>
      <c r="B100" s="1248"/>
      <c r="C100" s="783"/>
      <c r="D100" s="298"/>
      <c r="F100" s="141"/>
      <c r="G100" s="141"/>
      <c r="H100" s="141" t="s">
        <v>233</v>
      </c>
      <c r="I100" s="516"/>
      <c r="J100" s="516"/>
      <c r="K100" s="141"/>
      <c r="L100" s="141"/>
      <c r="M100" s="701"/>
      <c r="O100" s="1305"/>
      <c r="P100" s="33"/>
      <c r="Q100" s="33"/>
      <c r="R100" s="33"/>
      <c r="S100" s="30"/>
      <c r="T100" s="153"/>
      <c r="U100" s="488"/>
      <c r="V100" s="30"/>
      <c r="W100" s="30"/>
      <c r="X100" s="488"/>
      <c r="Y100" s="517"/>
      <c r="Z100" s="30"/>
      <c r="AA100" s="30"/>
      <c r="AB100" s="30"/>
      <c r="AC100" s="30"/>
      <c r="AD100" s="30"/>
      <c r="AE100" s="30"/>
      <c r="AF100" s="30"/>
      <c r="AG100" s="30"/>
      <c r="AH100" s="30"/>
      <c r="AI100" s="30"/>
      <c r="AJ100" s="30"/>
      <c r="AK100" s="30"/>
      <c r="AL100" s="333"/>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484"/>
    </row>
    <row r="101" spans="1:78" s="140" customFormat="1" ht="12.75" customHeight="1" thickBot="1" x14ac:dyDescent="0.25">
      <c r="A101" s="777"/>
      <c r="B101" s="1248"/>
      <c r="C101" s="783" t="s">
        <v>195</v>
      </c>
      <c r="D101" s="503" t="str">
        <f>Translations!$B$634</f>
        <v>(prelim.) ITF:</v>
      </c>
      <c r="E101" s="504"/>
      <c r="F101" s="518" t="s">
        <v>262</v>
      </c>
      <c r="G101" s="1603" t="str">
        <f t="shared" ref="G101:G107" si="7">IF(OR(ISBLANK(F101),F101=EUconst_NoTier),"",IF(Z101=0,EUconst_NotApplicable,IF(ISERROR(Z101),"",Z101)))</f>
        <v>II tipas</v>
      </c>
      <c r="H101" s="1609"/>
      <c r="I101" s="1110" t="str">
        <f>IF(J101&lt;&gt;"","",AI101)</f>
        <v/>
      </c>
      <c r="J101" s="1111" t="s">
        <v>1814</v>
      </c>
      <c r="K101" s="519" t="str">
        <f t="shared" ref="K101:K107" si="8">IF(L101="",AQ101,"")</f>
        <v/>
      </c>
      <c r="L101" s="520">
        <v>55.57</v>
      </c>
      <c r="M101" s="700" t="str">
        <f>IF(AND(E90&lt;&gt;"",OR(F101="",COUNT(K101:L101)=0),Y101&lt;&gt;EUconst_NA,T90&lt;&gt;TRUE),EUconst_ERR_Incomplete,IF(COUNTIF(AX101:AZ101,TRUE)&gt;0,EUconst_ERR_Inconsistent,""))</f>
        <v/>
      </c>
      <c r="N101" s="486"/>
      <c r="O101" s="1305"/>
      <c r="P101" s="33"/>
      <c r="Q101" s="33"/>
      <c r="R101" s="33"/>
      <c r="S101" s="30"/>
      <c r="T101" s="521" t="str">
        <f>EUconst_CNTR_EF&amp;E90</f>
        <v>EF_Degimas: Kitas dujinis ir skystasis kuras</v>
      </c>
      <c r="U101" s="488"/>
      <c r="V101" s="522" t="str">
        <f>V99</f>
        <v>Dujinis – Gamtinės dujos</v>
      </c>
      <c r="W101" s="30"/>
      <c r="X101" s="488"/>
      <c r="Y101" s="523">
        <f>IF(OR(T90=TRUE,E90=""),"",IF(F101=EUconst_NA,EUconst_NA,INDEX(EUwideConstants!$N:$N,MATCH(T101,EUwideConstants!$Q:$Q,0))))</f>
        <v>3</v>
      </c>
      <c r="Z101" s="524" t="str">
        <f>IF(ISBLANK(F101),"",IF(F101=EUconst_NA,"",INDEX(EUwideConstants!$H:$M,MATCH(T101,EUwideConstants!$Q:$Q,0),MATCH(F101,CNTR_TierList,0))))</f>
        <v>II tipas</v>
      </c>
      <c r="AA101" s="525">
        <f>IF(COUNTIF(EUconst_DefaultValues,Z101)&gt;0,MATCH(Z101,EUconst_DefaultValues,0),"")</f>
        <v>2</v>
      </c>
      <c r="AB101" s="30"/>
      <c r="AC101" s="526" t="b">
        <f>AND(AC99,Y101&lt;&gt;EUconst_NA)</f>
        <v>1</v>
      </c>
      <c r="AD101" s="30"/>
      <c r="AE101" s="510" t="str">
        <f>EUconst_CNTR_EF&amp;EUconst_Unit</f>
        <v>EF_Vienetas</v>
      </c>
      <c r="AF101" s="527" t="str">
        <f>IF(AC101=TRUE, IF(COUNTIF(MSPara_SourceStreamCategory,V101)=0,"",INDEX(MSPara_CalcFactorsMatrix,MATCH(V101,MSPara_SourceStreamCategory,0),MATCH(AE101&amp;"_"&amp;2,MSPara_CalcFactors,0))),"")</f>
        <v>tCO2/TJ</v>
      </c>
      <c r="AG101" s="528" t="str">
        <f>IF(AC101=TRUE, IF(COUNTIF(MSPara_SourceStreamCategory,V101)=0,"",INDEX(MSPara_CalcFactorsMatrix,MATCH(V101,MSPara_SourceStreamCategory,0),MATCH(AE101&amp;"_"&amp;1,MSPara_CalcFactors,0))),"")</f>
        <v>tCO2/TJ</v>
      </c>
      <c r="AH101" s="529" t="str">
        <f>IF(AA101="","",INDEX(AF101:AG101,3-AA101))</f>
        <v>tCO2/TJ</v>
      </c>
      <c r="AI101" s="530" t="str">
        <f>IF(AC101=TRUE,IF(OR(AH101="",AH101=EUconst_NA),IF(K89=EUconst_Fuel,EUconst_tCO2pTJ,EUconst_tCO2pt),AH101),"")</f>
        <v>tCO2/TJ</v>
      </c>
      <c r="AJ101" s="526" t="str">
        <f>IF(J101="",AI101,J101)</f>
        <v>tCO2/TJ</v>
      </c>
      <c r="AK101" s="531" t="b">
        <f>IF(K89=EUconst_Fuel,J101&lt;&gt;"",FALSE)</f>
        <v>1</v>
      </c>
      <c r="AL101" s="333"/>
      <c r="AM101" s="510" t="str">
        <f>EUconst_CNTR_EF&amp;EUconst_Value</f>
        <v>EF_Vertė</v>
      </c>
      <c r="AN101" s="532" t="str">
        <f>IF(AC101=TRUE,IF(COUNTIF(MSPara_SourceStreamCategory,V101)=0,"",INDEX(MSPara_CalcFactorsMatrix,MATCH(V101,MSPara_SourceStreamCategory,0),MATCH(AM101&amp;"_"&amp;2,MSPara_CalcFactors,0))),"")</f>
        <v>netaik.</v>
      </c>
      <c r="AO101" s="533">
        <f>IF(AC101=TRUE,IF(COUNTIF(MSPara_SourceStreamCategory,V101)=0,"",INDEX(MSPara_CalcFactorsMatrix,MATCH(V101,MSPara_SourceStreamCategory,0),MATCH(AM101&amp;"_"&amp;1,MSPara_CalcFactors,0))),"")</f>
        <v>56.1</v>
      </c>
      <c r="AP101" s="526" t="b">
        <f>AND(AND(AH101&lt;&gt;"",AJ101&lt;&gt;""),AJ101=AH101)</f>
        <v>1</v>
      </c>
      <c r="AQ101" s="534" t="str">
        <f>IF(AND(AA101&lt;&gt;"",AP101=TRUE),IF(OR(INDEX(AN101:AO101,3-AA101)=EUconst_NA,INDEX(AN101:AO101,3-AA101)=0),"",INDEX(AN101:AO101,3-AA101)),"")</f>
        <v/>
      </c>
      <c r="AR101" s="526">
        <f>IF(AC101=TRUE,IF(COUNT(K101:L101)=0,0,IF(L101="",K101,L101)),0)</f>
        <v>55.57</v>
      </c>
      <c r="AS101" s="522" t="b">
        <f>AND(AC101=TRUE,OR(AND(F101&lt;&gt;"",NOT(ISNUMBER(AA101))),L101&lt;&gt;"",F101="",AQ101=""))</f>
        <v>1</v>
      </c>
      <c r="AT101" s="522" t="b">
        <f t="shared" ref="AT101:AT107" si="9">AND(AC101=TRUE,NOT(AS101))</f>
        <v>0</v>
      </c>
      <c r="AU101" s="30"/>
      <c r="AV101" s="535" t="b">
        <f t="shared" ref="AV101:AV107" si="10">AND(ISNUMBER(AA101),AQ101="")</f>
        <v>1</v>
      </c>
      <c r="AW101" s="536" t="b">
        <f t="shared" ref="AW101:AW107" si="11">AND(ISNUMBER(AA101),AQ101&lt;&gt;AR101)</f>
        <v>1</v>
      </c>
      <c r="AX101" s="537" t="b">
        <f>OR(AND(AJ99=EUconst_kNm3,AJ101=EUconst_tCO2pt),AND(AJ99=EUconst_t,AJ101=EUconst_tCO2pkNm3))</f>
        <v>0</v>
      </c>
      <c r="AY101" s="522" t="b">
        <f t="shared" ref="AY101:AY107" si="12">AND(L101&lt;&gt;"",Y101=EUconst_NA)</f>
        <v>0</v>
      </c>
      <c r="AZ101" s="30"/>
      <c r="BA101" s="30"/>
      <c r="BB101" s="538" t="s">
        <v>588</v>
      </c>
      <c r="BC101" s="537">
        <f>IF(K89=BC99,AR99*IF(AJ101=EUconst_tCO2pTJ,(AR102/1000),1)*AR101*AR103*AR107,"")</f>
        <v>0</v>
      </c>
      <c r="BD101" s="515" t="str">
        <f>IF(K89=BD99,AR99*AR101*AR104*AR107,"")</f>
        <v/>
      </c>
      <c r="BE101" s="514" t="str">
        <f>IF(K89=BE99,3.664*AR99*AR105*AR107,"")</f>
        <v/>
      </c>
      <c r="BF101" s="30"/>
      <c r="BG101" s="30"/>
      <c r="BH101" s="30"/>
      <c r="BI101" s="30"/>
      <c r="BJ101" s="30"/>
      <c r="BK101" s="30"/>
      <c r="BL101" s="30"/>
      <c r="BM101" s="30"/>
      <c r="BN101" s="30"/>
      <c r="BO101" s="30"/>
      <c r="BP101" s="30"/>
      <c r="BQ101" s="30"/>
      <c r="BR101" s="30"/>
      <c r="BS101" s="30"/>
      <c r="BT101" s="30"/>
      <c r="BU101" s="30"/>
      <c r="BV101" s="30"/>
      <c r="BW101" s="30"/>
      <c r="BX101" s="30"/>
      <c r="BY101" s="30"/>
      <c r="BZ101" s="522" t="b">
        <f>OR(BZ99,Y101=EUconst_NA)</f>
        <v>0</v>
      </c>
    </row>
    <row r="102" spans="1:78" s="140" customFormat="1" ht="12.75" customHeight="1" thickBot="1" x14ac:dyDescent="0.25">
      <c r="A102" s="777"/>
      <c r="B102" s="1248"/>
      <c r="C102" s="783" t="s">
        <v>196</v>
      </c>
      <c r="D102" s="503" t="str">
        <f>Translations!$B$636</f>
        <v>GŠV:</v>
      </c>
      <c r="E102" s="504"/>
      <c r="F102" s="539" t="s">
        <v>262</v>
      </c>
      <c r="G102" s="1603" t="str">
        <f t="shared" si="7"/>
        <v>II tipas</v>
      </c>
      <c r="H102" s="1604"/>
      <c r="I102" s="1112" t="str">
        <f>AJ102</f>
        <v>GJ/1 000 Nm3</v>
      </c>
      <c r="J102" s="540"/>
      <c r="K102" s="541" t="str">
        <f t="shared" si="8"/>
        <v/>
      </c>
      <c r="L102" s="1339">
        <v>33.695999999999998</v>
      </c>
      <c r="M102" s="700" t="str">
        <f>IF(AND(E90&lt;&gt;"",OR(F102="",COUNT(K102:L102)=0),Y102&lt;&gt;EUconst_NA,T90&lt;&gt;TRUE),EUconst_ERR_Incomplete,IF(COUNTIF(AX102:AZ102,TRUE)&gt;0,EUconst_ERR_Inconsistent,""))</f>
        <v/>
      </c>
      <c r="O102" s="1305"/>
      <c r="P102" s="33"/>
      <c r="Q102" s="33"/>
      <c r="R102" s="33"/>
      <c r="S102" s="30"/>
      <c r="T102" s="543" t="str">
        <f>EUconst_CNTR_NCV&amp;E90</f>
        <v>NCV_Degimas: Kitas dujinis ir skystasis kuras</v>
      </c>
      <c r="U102" s="488"/>
      <c r="V102" s="544" t="str">
        <f t="shared" ref="V102:V107" si="13">V101</f>
        <v>Dujinis – Gamtinės dujos</v>
      </c>
      <c r="W102" s="30"/>
      <c r="X102" s="488"/>
      <c r="Y102" s="545">
        <f>IF(OR(T90=TRUE,E90=""),"",IF(F102=EUconst_NA,EUconst_NA,INDEX(EUwideConstants!$N:$N,MATCH(T102,EUwideConstants!$Q:$Q,0))))</f>
        <v>3</v>
      </c>
      <c r="Z102" s="546" t="str">
        <f>IF(ISBLANK(F102),"",IF(F102=EUconst_NA,"",INDEX(EUwideConstants!$H:$M,MATCH(T102,EUwideConstants!$Q:$Q,0),MATCH(F102,CNTR_TierList,0))))</f>
        <v>II tipas</v>
      </c>
      <c r="AA102" s="547">
        <f>IF(COUNTIF(EUconst_DefaultValues,Z102)&gt;0,MATCH(Z102,EUconst_DefaultValues,0),"")</f>
        <v>2</v>
      </c>
      <c r="AB102" s="30"/>
      <c r="AC102" s="548" t="b">
        <f>AND(AC99,Y102&lt;&gt;EUconst_NA)</f>
        <v>1</v>
      </c>
      <c r="AD102" s="30"/>
      <c r="AE102" s="549" t="str">
        <f>EUconst_CNTR_NCV&amp;EUconst_Unit</f>
        <v>NCV_Vienetas</v>
      </c>
      <c r="AF102" s="550" t="str">
        <f>IF(AC102=TRUE, IF(COUNTIF(MSPara_SourceStreamCategory,V102)=0,"",INDEX(MSPara_CalcFactorsMatrix,MATCH(V102,MSPara_SourceStreamCategory,0),MATCH(AE102&amp;"_"&amp;2,MSPara_CalcFactors,0))),"")</f>
        <v>netaik.</v>
      </c>
      <c r="AG102" s="551" t="str">
        <f>IF(AC102=TRUE, IF(COUNTIF(MSPara_SourceStreamCategory,V102)=0,"",INDEX(MSPara_CalcFactorsMatrix,MATCH(V102,MSPara_SourceStreamCategory,0),MATCH(AE102&amp;"_"&amp;1,MSPara_CalcFactors,0))),"")</f>
        <v>GJ/t</v>
      </c>
      <c r="AH102" s="552" t="str">
        <f>IF(AA102="","",INDEX(AF102:AG102,3-AA102))</f>
        <v>netaik.</v>
      </c>
      <c r="AI102" s="553"/>
      <c r="AJ102" s="548" t="str">
        <f>IF(AC102=TRUE,IF(AJ99="","",IF(AJ99=EUconst_kNm3,EUconst_GJpkNm3,EUconst_GJpt)),"")</f>
        <v>GJ/1 000 Nm3</v>
      </c>
      <c r="AK102" s="554"/>
      <c r="AL102" s="333"/>
      <c r="AM102" s="549" t="str">
        <f>EUconst_CNTR_NCV&amp;EUconst_Value</f>
        <v>NCV_Vertė</v>
      </c>
      <c r="AN102" s="555" t="str">
        <f>IF(AC102=TRUE,IF(COUNTIF(MSPara_SourceStreamCategory,V102)=0,"",INDEX(MSPara_CalcFactorsMatrix,MATCH(V102,MSPara_SourceStreamCategory,0),MATCH(AM102&amp;"_"&amp;2,MSPara_CalcFactors,0))),"")</f>
        <v>netaik.</v>
      </c>
      <c r="AO102" s="556">
        <f>IF(AC102=TRUE,IF(COUNTIF(MSPara_SourceStreamCategory,V102)=0,"",INDEX(MSPara_CalcFactorsMatrix,MATCH(V102,MSPara_SourceStreamCategory,0),MATCH(AM102&amp;"_"&amp;1,MSPara_CalcFactors,0))),"")</f>
        <v>48</v>
      </c>
      <c r="AP102" s="548" t="b">
        <f>AND(AND(AH102&lt;&gt;"",AJ102&lt;&gt;""),AJ102=AH102)</f>
        <v>0</v>
      </c>
      <c r="AQ102" s="557" t="str">
        <f>IF(AND(AA102&lt;&gt;"",AP102=TRUE),IF(OR(INDEX(AN102:AO102,3-AA102)=EUconst_NA,INDEX(AN102:AO102,3-AA102)=0),"",INDEX(AN102:AO102,3-AA102)),"")</f>
        <v/>
      </c>
      <c r="AR102" s="548">
        <f>IF(AC102=TRUE,IF(COUNT(K102:L102)=0,0,IF(L102="",K102,L102)),0)</f>
        <v>33.695999999999998</v>
      </c>
      <c r="AS102" s="544" t="b">
        <f>AND(AC102=TRUE,OR(AND(F102&lt;&gt;"",NOT(ISNUMBER(AA102))),L102&lt;&gt;"",F102="",AQ102=""))</f>
        <v>1</v>
      </c>
      <c r="AT102" s="544" t="b">
        <f t="shared" si="9"/>
        <v>0</v>
      </c>
      <c r="AU102" s="30"/>
      <c r="AV102" s="558" t="b">
        <f t="shared" si="10"/>
        <v>1</v>
      </c>
      <c r="AW102" s="559" t="b">
        <f t="shared" si="11"/>
        <v>1</v>
      </c>
      <c r="AX102" s="30"/>
      <c r="AY102" s="544" t="b">
        <f t="shared" si="12"/>
        <v>0</v>
      </c>
      <c r="AZ102" s="30"/>
      <c r="BA102" s="30"/>
      <c r="BB102" s="538" t="s">
        <v>589</v>
      </c>
      <c r="BC102" s="537">
        <f>IF(K89=BC99,AR99*IF(AJ101=EUconst_tCO2pTJ,(AR102/1000),1)*AR101*AR103*AR106,"")</f>
        <v>0</v>
      </c>
      <c r="BD102" s="515" t="str">
        <f>IF(K89=BD99,AR99*AR101*AR104*AR106,"")</f>
        <v/>
      </c>
      <c r="BE102" s="514" t="str">
        <f>IF(K89=BE99,3.664*AR99*AR105*AR106,"")</f>
        <v/>
      </c>
      <c r="BF102" s="30"/>
      <c r="BG102" s="30"/>
      <c r="BH102" s="30"/>
      <c r="BI102" s="30"/>
      <c r="BJ102" s="30"/>
      <c r="BK102" s="30"/>
      <c r="BL102" s="30"/>
      <c r="BM102" s="30"/>
      <c r="BN102" s="30"/>
      <c r="BO102" s="30"/>
      <c r="BP102" s="30"/>
      <c r="BQ102" s="30"/>
      <c r="BR102" s="30"/>
      <c r="BS102" s="30"/>
      <c r="BT102" s="30"/>
      <c r="BU102" s="30"/>
      <c r="BV102" s="30"/>
      <c r="BW102" s="30"/>
      <c r="BX102" s="30"/>
      <c r="BY102" s="30"/>
      <c r="BZ102" s="544" t="b">
        <f>OR(BZ99,Y102=EUconst_NA)</f>
        <v>0</v>
      </c>
    </row>
    <row r="103" spans="1:78" s="140" customFormat="1" ht="12.75" customHeight="1" thickBot="1" x14ac:dyDescent="0.25">
      <c r="A103" s="777"/>
      <c r="B103" s="1248"/>
      <c r="C103" s="783" t="s">
        <v>197</v>
      </c>
      <c r="D103" s="503" t="str">
        <f>Translations!$B$638</f>
        <v>Oksidacijos koef.:</v>
      </c>
      <c r="E103" s="504"/>
      <c r="F103" s="539">
        <v>1</v>
      </c>
      <c r="G103" s="1603" t="str">
        <f t="shared" si="7"/>
        <v>OksK = 1</v>
      </c>
      <c r="H103" s="1604"/>
      <c r="I103" s="1113" t="str">
        <f>IF(OR(AC103=FALSE,Y103=EUconst_NA),"","-")</f>
        <v>-</v>
      </c>
      <c r="J103" s="560"/>
      <c r="K103" s="561">
        <f t="shared" si="8"/>
        <v>1</v>
      </c>
      <c r="L103" s="694"/>
      <c r="M103" s="700" t="str">
        <f>IF(AND(E90&lt;&gt;"",OR(F103="",COUNT(K103:L103)=0),Y103&lt;&gt;EUconst_NA,T90&lt;&gt;TRUE),EUconst_ERR_Incomplete,IF(COUNTIF(AX103:AZ103,TRUE)&gt;0,EUconst_ERR_Inconsistent,""))</f>
        <v/>
      </c>
      <c r="O103" s="1305"/>
      <c r="P103" s="33"/>
      <c r="Q103" s="33"/>
      <c r="R103" s="33"/>
      <c r="S103" s="30"/>
      <c r="T103" s="543" t="str">
        <f>EUconst_CNTR_OxidationFactor&amp;E90</f>
        <v>OxF_Degimas: Kitas dujinis ir skystasis kuras</v>
      </c>
      <c r="U103" s="488"/>
      <c r="V103" s="544" t="str">
        <f t="shared" si="13"/>
        <v>Dujinis – Gamtinės dujos</v>
      </c>
      <c r="W103" s="30"/>
      <c r="X103" s="488"/>
      <c r="Y103" s="545">
        <f>IF(OR(T90=TRUE,E90=""),"",INDEX(EUwideConstants!$N:$N,MATCH(T103,EUwideConstants!$Q:$Q,0)))</f>
        <v>1</v>
      </c>
      <c r="Z103" s="546" t="str">
        <f>IF(ISBLANK(F103),"",IF(F103=EUconst_NA,"",INDEX(EUwideConstants!$H:$M,MATCH(T103,EUwideConstants!$Q:$Q,0),MATCH(F103,CNTR_TierList,0))))</f>
        <v>OksK = 1</v>
      </c>
      <c r="AA103" s="525">
        <f>IF(F103=1,1,"")</f>
        <v>1</v>
      </c>
      <c r="AB103" s="30"/>
      <c r="AC103" s="548" t="b">
        <f>AND(AC99,Y103&lt;&gt;EUconst_NA)</f>
        <v>1</v>
      </c>
      <c r="AD103" s="30"/>
      <c r="AE103" s="563"/>
      <c r="AG103" s="564"/>
      <c r="AH103" s="553"/>
      <c r="AI103" s="565"/>
      <c r="AJ103" s="553"/>
      <c r="AK103" s="566"/>
      <c r="AL103" s="333"/>
      <c r="AM103" s="549" t="str">
        <f>EUconst_CNTR_OxidationFactor&amp;EUconst_Value</f>
        <v>OxF_Vertė</v>
      </c>
      <c r="AN103" s="567"/>
      <c r="AO103" s="525">
        <v>1</v>
      </c>
      <c r="AP103" s="553"/>
      <c r="AQ103" s="568">
        <f>IF(AA103="","",AO103)</f>
        <v>1</v>
      </c>
      <c r="AR103" s="548">
        <f>IF(AC103=TRUE,IF(COUNT(K103:L103)=0,0,IF(L103="",K103,L103)),1)</f>
        <v>1</v>
      </c>
      <c r="AS103" s="544" t="b">
        <f>AND(AC103=TRUE,OR(ISNUMBER(L103),NOT(ISNUMBER(AA103))))</f>
        <v>0</v>
      </c>
      <c r="AT103" s="544" t="b">
        <f t="shared" si="9"/>
        <v>1</v>
      </c>
      <c r="AU103" s="30"/>
      <c r="AV103" s="558" t="b">
        <f t="shared" si="10"/>
        <v>0</v>
      </c>
      <c r="AW103" s="559" t="b">
        <f t="shared" si="11"/>
        <v>0</v>
      </c>
      <c r="AX103" s="30"/>
      <c r="AY103" s="585" t="b">
        <f t="shared" si="12"/>
        <v>0</v>
      </c>
      <c r="AZ103" s="522" t="b">
        <f>AR103&gt;100%</f>
        <v>0</v>
      </c>
      <c r="BA103" s="30"/>
      <c r="BB103" s="538" t="s">
        <v>287</v>
      </c>
      <c r="BC103" s="537">
        <f>IF(K89=BC99,AR99*IF(AJ101=EUconst_tCO2pTJ,(AR102/1000),1)*AR101*AR103*(1-AR106),"")</f>
        <v>3051.2676673814399</v>
      </c>
      <c r="BD103" s="515" t="str">
        <f>IF(K89=BD99,AR99*AR101*AR104*(1-AR106),"")</f>
        <v/>
      </c>
      <c r="BE103" s="514" t="str">
        <f>IF(K89=BE99,3.664*AR99*AR105*(1-AR106),"")</f>
        <v/>
      </c>
      <c r="BF103" s="30"/>
      <c r="BG103" s="30"/>
      <c r="BH103" s="30"/>
      <c r="BI103" s="30"/>
      <c r="BJ103" s="30"/>
      <c r="BK103" s="30"/>
      <c r="BL103" s="30"/>
      <c r="BM103" s="30"/>
      <c r="BN103" s="30"/>
      <c r="BO103" s="30"/>
      <c r="BP103" s="30"/>
      <c r="BQ103" s="30"/>
      <c r="BR103" s="30"/>
      <c r="BS103" s="30"/>
      <c r="BT103" s="30"/>
      <c r="BU103" s="30"/>
      <c r="BV103" s="30"/>
      <c r="BW103" s="30"/>
      <c r="BX103" s="30"/>
      <c r="BY103" s="30"/>
      <c r="BZ103" s="544" t="b">
        <f>OR(BZ99,Y103=EUconst_NA)</f>
        <v>0</v>
      </c>
    </row>
    <row r="104" spans="1:78" s="140" customFormat="1" ht="12.75" customHeight="1" thickBot="1" x14ac:dyDescent="0.25">
      <c r="A104" s="777"/>
      <c r="B104" s="1248"/>
      <c r="C104" s="783" t="s">
        <v>198</v>
      </c>
      <c r="D104" s="503" t="str">
        <f>Translations!$B$639</f>
        <v>Konversijos koef.:</v>
      </c>
      <c r="E104" s="504"/>
      <c r="F104" s="539"/>
      <c r="G104" s="1603" t="str">
        <f t="shared" si="7"/>
        <v/>
      </c>
      <c r="H104" s="1604"/>
      <c r="I104" s="1113" t="str">
        <f>IF(OR(AC104=FALSE,Y104=EUconst_NA),"","-")</f>
        <v/>
      </c>
      <c r="J104" s="560"/>
      <c r="K104" s="561" t="str">
        <f t="shared" si="8"/>
        <v/>
      </c>
      <c r="L104" s="694"/>
      <c r="M104" s="700" t="str">
        <f>IF(AND(E90&lt;&gt;"",OR(F104="",COUNT(K104:L104)=0),Y104&lt;&gt;EUconst_NA,T90&lt;&gt;TRUE),EUconst_ERR_Incomplete,IF(COUNTIF(AX104:AZ104,TRUE)&gt;0,EUconst_ERR_Inconsistent,""))</f>
        <v/>
      </c>
      <c r="O104" s="1305"/>
      <c r="P104" s="33"/>
      <c r="Q104" s="33"/>
      <c r="R104" s="33"/>
      <c r="S104" s="30"/>
      <c r="T104" s="543" t="str">
        <f>EUconst_CNTR_ConversionFactor&amp;E90</f>
        <v>ConvF_Degimas: Kitas dujinis ir skystasis kuras</v>
      </c>
      <c r="U104" s="488"/>
      <c r="V104" s="544" t="str">
        <f t="shared" si="13"/>
        <v>Dujinis – Gamtinės dujos</v>
      </c>
      <c r="W104" s="30"/>
      <c r="X104" s="488"/>
      <c r="Y104" s="545" t="str">
        <f>IF(OR(T90=TRUE,E90=""),"",INDEX(EUwideConstants!$N:$N,MATCH(T104,EUwideConstants!$Q:$Q,0)))</f>
        <v>netaik.</v>
      </c>
      <c r="Z104" s="546" t="str">
        <f>IF(ISBLANK(F104),"",IF(F104=EUconst_NA,"",INDEX(EUwideConstants!$H:$M,MATCH(T104,EUwideConstants!$Q:$Q,0),MATCH(F104,CNTR_TierList,0))))</f>
        <v/>
      </c>
      <c r="AA104" s="573" t="str">
        <f>IF(F104=1,1,"")</f>
        <v/>
      </c>
      <c r="AB104" s="30"/>
      <c r="AC104" s="548" t="b">
        <f>AND(AC99,Y104&lt;&gt;EUconst_NA)</f>
        <v>0</v>
      </c>
      <c r="AD104" s="30"/>
      <c r="AE104" s="563"/>
      <c r="AG104" s="564"/>
      <c r="AH104" s="574"/>
      <c r="AI104" s="565"/>
      <c r="AJ104" s="574"/>
      <c r="AK104" s="566"/>
      <c r="AL104" s="333"/>
      <c r="AM104" s="549" t="str">
        <f>EUconst_CNTR_ConversionFactor&amp;EUconst_Value</f>
        <v>ConvF_Vertė</v>
      </c>
      <c r="AN104" s="575"/>
      <c r="AO104" s="573">
        <v>1</v>
      </c>
      <c r="AP104" s="574"/>
      <c r="AQ104" s="576" t="str">
        <f>IF(AA104="","",AO104)</f>
        <v/>
      </c>
      <c r="AR104" s="548">
        <f>IF(AC104=TRUE,IF(COUNT(K104:L104)=0,0,IF(L104="",K104,L104)),1)</f>
        <v>1</v>
      </c>
      <c r="AS104" s="544" t="b">
        <f>AND(AC104=TRUE,OR(ISNUMBER(L104),NOT(ISNUMBER(AA104))))</f>
        <v>0</v>
      </c>
      <c r="AT104" s="544" t="b">
        <f t="shared" si="9"/>
        <v>0</v>
      </c>
      <c r="AU104" s="30"/>
      <c r="AV104" s="558" t="b">
        <f t="shared" si="10"/>
        <v>0</v>
      </c>
      <c r="AW104" s="559" t="b">
        <f t="shared" si="11"/>
        <v>0</v>
      </c>
      <c r="AX104" s="30"/>
      <c r="AY104" s="585" t="b">
        <f t="shared" si="12"/>
        <v>0</v>
      </c>
      <c r="AZ104" s="571" t="b">
        <f>AR104&gt;100%</f>
        <v>0</v>
      </c>
      <c r="BA104" s="30"/>
      <c r="BB104" s="569" t="s">
        <v>481</v>
      </c>
      <c r="BC104" s="570">
        <f>AR99*AR102/1000*(1-AR106)</f>
        <v>54.908541791999994</v>
      </c>
      <c r="BD104" s="571">
        <f>BC104</f>
        <v>54.908541791999994</v>
      </c>
      <c r="BE104" s="572">
        <f>BC104</f>
        <v>54.908541791999994</v>
      </c>
      <c r="BF104" s="30"/>
      <c r="BG104" s="30"/>
      <c r="BH104" s="30"/>
      <c r="BI104" s="30"/>
      <c r="BJ104" s="30"/>
      <c r="BK104" s="30"/>
      <c r="BL104" s="30"/>
      <c r="BM104" s="30"/>
      <c r="BN104" s="30"/>
      <c r="BO104" s="30"/>
      <c r="BP104" s="30"/>
      <c r="BQ104" s="30"/>
      <c r="BR104" s="30"/>
      <c r="BS104" s="30"/>
      <c r="BT104" s="30"/>
      <c r="BU104" s="30"/>
      <c r="BV104" s="30"/>
      <c r="BW104" s="30"/>
      <c r="BX104" s="30"/>
      <c r="BY104" s="30"/>
      <c r="BZ104" s="544" t="b">
        <f>OR(BZ99,Y104=EUconst_NA)</f>
        <v>1</v>
      </c>
    </row>
    <row r="105" spans="1:78" s="140" customFormat="1" ht="12.75" customHeight="1" thickBot="1" x14ac:dyDescent="0.25">
      <c r="A105" s="777"/>
      <c r="B105" s="1248"/>
      <c r="C105" s="783" t="s">
        <v>324</v>
      </c>
      <c r="D105" s="503" t="str">
        <f>Translations!$B$640</f>
        <v>Anglies kiekis (C):</v>
      </c>
      <c r="E105" s="504"/>
      <c r="F105" s="539"/>
      <c r="G105" s="1603" t="str">
        <f t="shared" si="7"/>
        <v/>
      </c>
      <c r="H105" s="1604"/>
      <c r="I105" s="1113" t="str">
        <f>AJ105</f>
        <v/>
      </c>
      <c r="J105" s="577"/>
      <c r="K105" s="578" t="str">
        <f t="shared" si="8"/>
        <v/>
      </c>
      <c r="L105" s="579"/>
      <c r="M105" s="700" t="str">
        <f>IF(AND(E90&lt;&gt;"",OR(F105="",COUNT(K105:L105)=0),Y105&lt;&gt;EUconst_NA,T90&lt;&gt;TRUE),EUconst_ERR_Incomplete,IF(COUNTIF(AX105:AZ105,TRUE)&gt;0,EUconst_ERR_Inconsistent,""))</f>
        <v/>
      </c>
      <c r="O105" s="1305"/>
      <c r="P105" s="33"/>
      <c r="Q105" s="33"/>
      <c r="R105" s="33"/>
      <c r="S105" s="30"/>
      <c r="T105" s="543" t="str">
        <f>EUconst_CNTR_CarbonContent&amp;E90</f>
        <v>CarbC_Degimas: Kitas dujinis ir skystasis kuras</v>
      </c>
      <c r="U105" s="488"/>
      <c r="V105" s="544" t="str">
        <f t="shared" si="13"/>
        <v>Dujinis – Gamtinės dujos</v>
      </c>
      <c r="W105" s="30"/>
      <c r="X105" s="488"/>
      <c r="Y105" s="545" t="str">
        <f>IF(OR(T90=TRUE,E90=""),"",INDEX(EUwideConstants!$N:$N,MATCH(T105,EUwideConstants!$Q:$Q,0)))</f>
        <v>netaik.</v>
      </c>
      <c r="Z105" s="546" t="str">
        <f>IF(ISBLANK(F105),"",IF(F105=EUconst_NA,"",INDEX(EUwideConstants!$H:$M,MATCH(T105,EUwideConstants!$Q:$Q,0),MATCH(F105,CNTR_TierList,0))))</f>
        <v/>
      </c>
      <c r="AA105" s="580" t="str">
        <f>IF(COUNTIF(EUconst_DefaultValues,Z105)&gt;0,MATCH(Z105,EUconst_DefaultValues,0),"")</f>
        <v/>
      </c>
      <c r="AB105" s="30"/>
      <c r="AC105" s="548" t="b">
        <f>AND(AC99,Y105&lt;&gt;EUconst_NA)</f>
        <v>0</v>
      </c>
      <c r="AD105" s="30"/>
      <c r="AE105" s="549" t="str">
        <f>EUconst_CNTR_CarbonContent&amp;EUconst_Unit</f>
        <v>CarbC_Vienetas</v>
      </c>
      <c r="AF105" s="550" t="str">
        <f>IF(AC105=TRUE, IF(COUNTIF(MSPara_SourceStreamCategory,V105)=0,"",INDEX(MSPara_CalcFactorsMatrix,MATCH(V105,MSPara_SourceStreamCategory,0),MATCH(AE105&amp;"_"&amp;2,MSPara_CalcFactors,0))),"")</f>
        <v/>
      </c>
      <c r="AG105" s="551" t="str">
        <f>IF(AC105=TRUE, IF(COUNTIF(MSPara_SourceStreamCategory,V105)=0,"",INDEX(MSPara_CalcFactorsMatrix,MATCH(V105,MSPara_SourceStreamCategory,0),MATCH(AE105&amp;"_"&amp;1,MSPara_CalcFactors,0))),"")</f>
        <v/>
      </c>
      <c r="AH105" s="581" t="str">
        <f>IF(AA105="","",INDEX(AF105:AG105,3-AA105))</f>
        <v/>
      </c>
      <c r="AI105" s="565"/>
      <c r="AJ105" s="582" t="str">
        <f>IF(AC105=TRUE,IF(AJ99="","",IF(AJ99=EUconst_kNm3,EUconst_tCpkNm3,EUconst_tCpt)),"")</f>
        <v/>
      </c>
      <c r="AK105" s="566"/>
      <c r="AL105" s="333"/>
      <c r="AM105" s="549" t="str">
        <f>EUconst_CNTR_CarbonContent&amp;EUconst_Value</f>
        <v>CarbC_Vertė</v>
      </c>
      <c r="AN105" s="555" t="str">
        <f>IF(AC105=TRUE,IF(COUNTIF(MSPara_SourceStreamCategory,V105)=0,"",INDEX(MSPara_CalcFactorsMatrix,MATCH(V105,MSPara_SourceStreamCategory,0),MATCH(AM105&amp;"_"&amp;2,MSPara_CalcFactors,0))),"")</f>
        <v/>
      </c>
      <c r="AO105" s="583" t="str">
        <f>IF(AC105=TRUE,IF(COUNTIF(MSPara_SourceStreamCategory,V105)=0,"",INDEX(MSPara_CalcFactorsMatrix,MATCH(V105,MSPara_SourceStreamCategory,0),MATCH(AM105&amp;"_"&amp;1,MSPara_CalcFactors,0))),"")</f>
        <v/>
      </c>
      <c r="AP105" s="548" t="b">
        <f>AND(AND(AH105&lt;&gt;"",AJ105&lt;&gt;""),AJ105=AH105)</f>
        <v>0</v>
      </c>
      <c r="AQ105" s="584" t="str">
        <f>IF(AND(AA105&lt;&gt;"",AP105=TRUE),IF(OR(INDEX(AN105:AO105,3-AA105)=EUconst_NA,INDEX(AN105:AO105,3-AA105)=0),"",INDEX(AN105:AO105,3-AA105)),"")</f>
        <v/>
      </c>
      <c r="AR105" s="548">
        <f>IF(AC105=TRUE,IF(COUNT(K105:L105)=0,0,IF(L105="",K105,L105)),0)</f>
        <v>0</v>
      </c>
      <c r="AS105" s="544" t="b">
        <f>AND(AC105=TRUE,OR(AND(F105&lt;&gt;"",NOT(ISNUMBER(AA105))),L105&lt;&gt;"",F105="",AQ105=""))</f>
        <v>0</v>
      </c>
      <c r="AT105" s="544" t="b">
        <f t="shared" si="9"/>
        <v>0</v>
      </c>
      <c r="AU105" s="30"/>
      <c r="AV105" s="558" t="b">
        <f t="shared" si="10"/>
        <v>0</v>
      </c>
      <c r="AW105" s="559" t="b">
        <f t="shared" si="11"/>
        <v>0</v>
      </c>
      <c r="AX105" s="537" t="b">
        <f>OR(AND(AJ99=EUconst_kNm3,AJ105=EUconst_tCpt),AND(AJ99=EUconst_t,AJ105=EUconst_tCpkNm3))</f>
        <v>0</v>
      </c>
      <c r="AY105" s="544" t="b">
        <f t="shared" si="12"/>
        <v>0</v>
      </c>
      <c r="AZ105" s="30"/>
      <c r="BA105" s="30"/>
      <c r="BB105" s="569" t="s">
        <v>482</v>
      </c>
      <c r="BC105" s="570">
        <f>AR99*AR102/1000*AR106</f>
        <v>0</v>
      </c>
      <c r="BD105" s="571">
        <f>BC105</f>
        <v>0</v>
      </c>
      <c r="BE105" s="572">
        <f>BC105</f>
        <v>0</v>
      </c>
      <c r="BF105" s="30"/>
      <c r="BG105" s="30"/>
      <c r="BH105" s="30"/>
      <c r="BI105" s="30"/>
      <c r="BJ105" s="30"/>
      <c r="BK105" s="30"/>
      <c r="BL105" s="30"/>
      <c r="BM105" s="30"/>
      <c r="BN105" s="30"/>
      <c r="BO105" s="30"/>
      <c r="BP105" s="30"/>
      <c r="BQ105" s="30"/>
      <c r="BR105" s="30"/>
      <c r="BS105" s="30"/>
      <c r="BT105" s="30"/>
      <c r="BU105" s="30"/>
      <c r="BV105" s="30"/>
      <c r="BW105" s="30"/>
      <c r="BX105" s="30"/>
      <c r="BY105" s="30"/>
      <c r="BZ105" s="544" t="b">
        <f>OR(BZ99,Y105=EUconst_NA)</f>
        <v>1</v>
      </c>
    </row>
    <row r="106" spans="1:78" s="140" customFormat="1" ht="12.75" customHeight="1" x14ac:dyDescent="0.2">
      <c r="A106" s="777"/>
      <c r="B106" s="1248"/>
      <c r="C106" s="753" t="s">
        <v>325</v>
      </c>
      <c r="D106" s="503" t="str">
        <f>Translations!$B$641</f>
        <v>Biomasės dalis (BioC):</v>
      </c>
      <c r="E106" s="504"/>
      <c r="F106" s="539"/>
      <c r="G106" s="1603" t="str">
        <f t="shared" si="7"/>
        <v/>
      </c>
      <c r="H106" s="1604"/>
      <c r="I106" s="1113" t="str">
        <f>IF(OR(AC106=FALSE,Y106=EUconst_NA),"","-")</f>
        <v/>
      </c>
      <c r="J106" s="560"/>
      <c r="K106" s="561" t="str">
        <f t="shared" si="8"/>
        <v/>
      </c>
      <c r="L106" s="694"/>
      <c r="M106" s="700" t="str">
        <f>IF(AND(E90&lt;&gt;"",OR(F106="",COUNT(K106:L106)=0),Y106&lt;&gt;EUconst_NA,T90&lt;&gt;TRUE),EUconst_ERR_Incomplete,IF(COUNTIF(AX106:AZ106,TRUE)&gt;0,EUconst_ERR_Inconsistent,""))</f>
        <v/>
      </c>
      <c r="O106" s="1305"/>
      <c r="P106" s="635"/>
      <c r="Q106" s="635"/>
      <c r="R106" s="635"/>
      <c r="S106" s="30"/>
      <c r="T106" s="543" t="str">
        <f>EUconst_CNTR_BiomassContent&amp;E90</f>
        <v>BioC_Degimas: Kitas dujinis ir skystasis kuras</v>
      </c>
      <c r="U106" s="488"/>
      <c r="V106" s="585" t="str">
        <f t="shared" si="13"/>
        <v>Dujinis – Gamtinės dujos</v>
      </c>
      <c r="W106" s="522" t="b">
        <f>IF(COUNTIF(MSPara_SourceStreamCategory,V106)=0,"",INDEX(MSPara_IsFossil,MATCH(V106,MSPara_SourceStreamCategory,0)))</f>
        <v>1</v>
      </c>
      <c r="X106" s="488"/>
      <c r="Y106" s="545" t="str">
        <f>IF(OR(T90=TRUE,E90=""),"",IF(OR(W106=TRUE,F106=EUconst_NA),EUconst_NA,INDEX(EUwideConstants!$N:$N,MATCH(T106,EUwideConstants!$Q:$Q,0))))</f>
        <v>netaik.</v>
      </c>
      <c r="Z106" s="546" t="str">
        <f>IF(ISBLANK(F106),"",IF(F106=EUconst_NA,"",INDEX(EUwideConstants!$H:$M,MATCH(T106,EUwideConstants!$Q:$Q,0),MATCH(F106,CNTR_TierList,0))))</f>
        <v/>
      </c>
      <c r="AA106" s="586" t="str">
        <f>IF(F106=1,1,"")</f>
        <v/>
      </c>
      <c r="AB106" s="30"/>
      <c r="AC106" s="548" t="b">
        <f>AND(AC99,Y106&lt;&gt;EUconst_NA)</f>
        <v>0</v>
      </c>
      <c r="AD106" s="30"/>
      <c r="AE106" s="563"/>
      <c r="AG106" s="564"/>
      <c r="AH106" s="553"/>
      <c r="AI106" s="565"/>
      <c r="AJ106" s="553"/>
      <c r="AK106" s="566"/>
      <c r="AL106" s="333"/>
      <c r="AM106" s="549" t="str">
        <f>EUconst_CNTR_BiomassContent&amp;EUconst_Value</f>
        <v>BioC_Vertė</v>
      </c>
      <c r="AO106" s="587" t="str">
        <f>IF(AC106=TRUE,IF(COUNTIF(MSPara_SourceStreamCategory,V106)=0,"",INDEX(MSPara_CalcFactorsMatrix,MATCH(V106,MSPara_SourceStreamCategory,0),MATCH(AM106&amp;"_"&amp;2,MSPara_CalcFactors,0))),"")</f>
        <v/>
      </c>
      <c r="AP106" s="553"/>
      <c r="AQ106" s="568" t="str">
        <f>IF(OR(AA106="",AO106=EUconst_NA),"",AO106)</f>
        <v/>
      </c>
      <c r="AR106" s="548">
        <f>IF(AC106=TRUE,IF(COUNT(K106:L106)=0,0,IF(L106="",K106,L106)),0)</f>
        <v>0</v>
      </c>
      <c r="AS106" s="544" t="b">
        <f>AND(AC106=TRUE,OR(AND(F106&lt;&gt;"",NOT(ISNUMBER(AA106))),L106&lt;&gt;"",F106="",AQ106=""))</f>
        <v>0</v>
      </c>
      <c r="AT106" s="544" t="b">
        <f t="shared" si="9"/>
        <v>0</v>
      </c>
      <c r="AU106" s="30"/>
      <c r="AV106" s="558" t="b">
        <f t="shared" si="10"/>
        <v>0</v>
      </c>
      <c r="AW106" s="559" t="b">
        <f t="shared" si="11"/>
        <v>0</v>
      </c>
      <c r="AX106" s="30"/>
      <c r="AY106" s="585" t="b">
        <f t="shared" si="12"/>
        <v>0</v>
      </c>
      <c r="AZ106" s="522" t="b">
        <f>OR(AR106&gt;100%,(AR106+AR107)&gt;100%)</f>
        <v>0</v>
      </c>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544" t="b">
        <f>OR(BZ99,Y106=EUconst_NA)</f>
        <v>1</v>
      </c>
    </row>
    <row r="107" spans="1:78" s="140" customFormat="1" ht="12.75" customHeight="1" thickBot="1" x14ac:dyDescent="0.25">
      <c r="A107" s="777"/>
      <c r="B107" s="1248"/>
      <c r="C107" s="753" t="s">
        <v>448</v>
      </c>
      <c r="D107" s="503" t="str">
        <f>Translations!$B$647</f>
        <v>Netvarios BioC dalis:</v>
      </c>
      <c r="E107" s="504"/>
      <c r="F107" s="588"/>
      <c r="G107" s="1603" t="str">
        <f t="shared" si="7"/>
        <v/>
      </c>
      <c r="H107" s="1604"/>
      <c r="I107" s="1114" t="str">
        <f>IF(OR(AC107=FALSE,Y107=EUconst_NA),"","-")</f>
        <v/>
      </c>
      <c r="J107" s="560"/>
      <c r="K107" s="589" t="str">
        <f t="shared" si="8"/>
        <v/>
      </c>
      <c r="L107" s="1100"/>
      <c r="M107" s="700" t="str">
        <f>IF(AND(E90&lt;&gt;"",OR(F107="",COUNT(K107:L107)=0),Y107&lt;&gt;EUconst_NA,T90&lt;&gt;TRUE),EUconst_ERR_Incomplete,IF(COUNTIF(AX107:AZ107,TRUE)&gt;0,EUconst_ERR_Inconsistent,""))</f>
        <v/>
      </c>
      <c r="O107" s="1305"/>
      <c r="P107" s="635"/>
      <c r="Q107" s="635"/>
      <c r="R107" s="635"/>
      <c r="S107" s="30"/>
      <c r="T107" s="590" t="str">
        <f>EUconst_CNTR_BiomassContent&amp;E90</f>
        <v>BioC_Degimas: Kitas dujinis ir skystasis kuras</v>
      </c>
      <c r="U107" s="488"/>
      <c r="V107" s="570" t="str">
        <f t="shared" si="13"/>
        <v>Dujinis – Gamtinės dujos</v>
      </c>
      <c r="W107" s="571" t="b">
        <f>IF(COUNTIF(MSPara_SourceStreamCategory,V107)=0,"",INDEX(MSPara_IsFossil,MATCH(V107,MSPara_SourceStreamCategory,0)))</f>
        <v>1</v>
      </c>
      <c r="X107" s="488"/>
      <c r="Y107" s="591" t="str">
        <f>IF(OR(T90=TRUE,E90=""),"",IF(OR(W107=TRUE,F107=EUconst_NA),EUconst_NA,INDEX(EUwideConstants!$N:$N,MATCH(T107,EUwideConstants!$Q:$Q,0))))</f>
        <v>netaik.</v>
      </c>
      <c r="Z107" s="592" t="str">
        <f>IF(ISBLANK(F107),"",IF(F107=EUconst_NA,"",INDEX(EUwideConstants!$H:$M,MATCH(T107,EUwideConstants!$Q:$Q,0),MATCH(F107,CNTR_TierList,0))))</f>
        <v/>
      </c>
      <c r="AA107" s="593" t="str">
        <f>IF(F107=1,1,"")</f>
        <v/>
      </c>
      <c r="AB107" s="30"/>
      <c r="AC107" s="594" t="b">
        <f>AND(AC99,Y107&lt;&gt;EUconst_NA)</f>
        <v>0</v>
      </c>
      <c r="AD107" s="30"/>
      <c r="AE107" s="595"/>
      <c r="AF107" s="596"/>
      <c r="AG107" s="597"/>
      <c r="AH107" s="598"/>
      <c r="AI107" s="598"/>
      <c r="AJ107" s="598"/>
      <c r="AK107" s="599"/>
      <c r="AL107" s="333"/>
      <c r="AM107" s="600" t="str">
        <f>EUconst_CNTR_BiomassContent&amp;EUconst_Value</f>
        <v>BioC_Vertė</v>
      </c>
      <c r="AN107" s="596"/>
      <c r="AO107" s="601" t="str">
        <f>IF(AC107=TRUE,IF(COUNTIF(MSPara_SourceStreamCategory,V107)=0,"",INDEX(MSPara_CalcFactorsMatrix,MATCH(V107,MSPara_SourceStreamCategory,0),MATCH(AM107&amp;"_"&amp;2,MSPara_CalcFactors,0))),"")</f>
        <v/>
      </c>
      <c r="AP107" s="598"/>
      <c r="AQ107" s="602" t="str">
        <f>IF(OR(AA107="",AO107=EUconst_NA),"",AO107)</f>
        <v/>
      </c>
      <c r="AR107" s="594">
        <f>IF(AC107=TRUE,IF(COUNT(K107:L107)=0,0,IF(L107="",K107,L107)),0)</f>
        <v>0</v>
      </c>
      <c r="AS107" s="603" t="b">
        <f>AND(AC107=TRUE,OR(AND(F107&lt;&gt;"",NOT(ISNUMBER(AA107))),L107&lt;&gt;"",F107="",AQ107=""))</f>
        <v>0</v>
      </c>
      <c r="AT107" s="603" t="b">
        <f t="shared" si="9"/>
        <v>0</v>
      </c>
      <c r="AU107" s="30"/>
      <c r="AV107" s="604" t="b">
        <f t="shared" si="10"/>
        <v>0</v>
      </c>
      <c r="AW107" s="605" t="b">
        <f t="shared" si="11"/>
        <v>0</v>
      </c>
      <c r="AX107" s="30"/>
      <c r="AY107" s="570" t="b">
        <f t="shared" si="12"/>
        <v>0</v>
      </c>
      <c r="AZ107" s="571" t="b">
        <f>OR(AR106&gt;100%,(AR106+AR107)&gt;100%)</f>
        <v>0</v>
      </c>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571" t="b">
        <f>OR(BZ99,Y107=EUconst_NA)</f>
        <v>1</v>
      </c>
    </row>
    <row r="108" spans="1:78" s="140" customFormat="1" ht="5.0999999999999996" customHeight="1" x14ac:dyDescent="0.2">
      <c r="A108" s="777"/>
      <c r="B108" s="1248"/>
      <c r="C108" s="164"/>
      <c r="D108" s="178"/>
      <c r="O108" s="1305"/>
      <c r="P108" s="33"/>
      <c r="Q108" s="33"/>
      <c r="R108" s="33"/>
      <c r="S108" s="172"/>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row>
    <row r="109" spans="1:78" s="140" customFormat="1" ht="12.75" customHeight="1" x14ac:dyDescent="0.2">
      <c r="A109" s="777"/>
      <c r="B109" s="1248"/>
      <c r="C109" s="164"/>
      <c r="D109" s="1629" t="str">
        <f>Translations!$B$674</f>
        <v>Pakopos galioja nuo:</v>
      </c>
      <c r="E109" s="1629"/>
      <c r="F109" s="1630"/>
      <c r="G109" s="1014"/>
      <c r="H109" s="606" t="str">
        <f>Translations!$B$675</f>
        <v>iki:</v>
      </c>
      <c r="I109" s="1014"/>
      <c r="J109" s="1620" t="str">
        <f>Translations!$B$676</f>
        <v>Atliekų katalogo numeris (jeigu taikytina):</v>
      </c>
      <c r="K109" s="1621"/>
      <c r="L109" s="1621"/>
      <c r="M109" s="1622"/>
      <c r="N109" s="1232"/>
      <c r="O109" s="1305"/>
      <c r="P109" s="33"/>
      <c r="Q109" s="33"/>
      <c r="R109" s="33"/>
      <c r="S109" s="1233"/>
      <c r="T109" s="483"/>
      <c r="U109" s="483"/>
      <c r="V109" s="48" t="b">
        <f>IF(V99="",FALSE,INDEX(CNTR_IsWaste,MATCH(V99,MSParameters!$A$218:$A$376,0)))</f>
        <v>0</v>
      </c>
      <c r="W109" s="1233" t="s">
        <v>1689</v>
      </c>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2" t="b">
        <f>BZ99</f>
        <v>0</v>
      </c>
    </row>
    <row r="110" spans="1:78" s="140" customFormat="1" ht="5.0999999999999996" customHeight="1" x14ac:dyDescent="0.2">
      <c r="A110" s="777"/>
      <c r="B110" s="1248"/>
      <c r="C110" s="164"/>
      <c r="D110" s="606"/>
      <c r="E110" s="486"/>
      <c r="F110" s="486"/>
      <c r="G110" s="486"/>
      <c r="H110" s="486"/>
      <c r="I110" s="486"/>
      <c r="J110" s="486"/>
      <c r="K110" s="486"/>
      <c r="L110" s="486"/>
      <c r="M110" s="486"/>
      <c r="N110" s="486"/>
      <c r="O110" s="1305"/>
      <c r="P110" s="33"/>
      <c r="Q110" s="33"/>
      <c r="R110" s="33"/>
      <c r="S110" s="172"/>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row>
    <row r="111" spans="1:78" s="140" customFormat="1" ht="12.75" customHeight="1" x14ac:dyDescent="0.2">
      <c r="A111" s="777"/>
      <c r="B111" s="1248"/>
      <c r="C111" s="164"/>
      <c r="D111" s="486"/>
      <c r="E111" s="486"/>
      <c r="F111" s="486"/>
      <c r="G111" s="486"/>
      <c r="H111" s="486"/>
      <c r="I111" s="486"/>
      <c r="J111" s="486"/>
      <c r="K111" s="486"/>
      <c r="L111" s="486"/>
      <c r="M111" s="606" t="str">
        <f>Translations!$B$677</f>
        <v>Stebėsenos plane šiam sukėlikliui suteiktas identifikatorius:</v>
      </c>
      <c r="N111" s="705"/>
      <c r="O111" s="1305"/>
      <c r="P111" s="33"/>
      <c r="Q111" s="33"/>
      <c r="R111" s="33"/>
      <c r="S111" s="172"/>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2" t="b">
        <f>BZ109</f>
        <v>0</v>
      </c>
    </row>
    <row r="112" spans="1:78" s="140" customFormat="1" ht="5.0999999999999996" customHeight="1" x14ac:dyDescent="0.2">
      <c r="A112" s="784"/>
      <c r="B112" s="1316"/>
      <c r="D112" s="178"/>
      <c r="O112" s="1317"/>
      <c r="P112" s="488"/>
      <c r="Q112" s="488"/>
      <c r="R112" s="488"/>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row>
    <row r="113" spans="1:78" s="140" customFormat="1" x14ac:dyDescent="0.2">
      <c r="A113" s="784"/>
      <c r="B113" s="1316"/>
      <c r="D113" s="1618" t="str">
        <f>Translations!$B$160</f>
        <v>Pastabos:</v>
      </c>
      <c r="E113" s="1619"/>
      <c r="F113" s="1605"/>
      <c r="G113" s="1606"/>
      <c r="H113" s="1606"/>
      <c r="I113" s="1606"/>
      <c r="J113" s="1606"/>
      <c r="K113" s="1606"/>
      <c r="L113" s="1606"/>
      <c r="M113" s="1606"/>
      <c r="N113" s="1607"/>
      <c r="O113" s="1317"/>
      <c r="P113" s="488"/>
      <c r="Q113" s="488"/>
      <c r="R113" s="488"/>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2" t="b">
        <f>BZ109</f>
        <v>0</v>
      </c>
    </row>
    <row r="114" spans="1:78" s="28" customFormat="1" ht="12.75" customHeight="1" thickBot="1" x14ac:dyDescent="0.25">
      <c r="A114" s="777"/>
      <c r="B114" s="1312"/>
      <c r="C114" s="490"/>
      <c r="D114" s="491"/>
      <c r="E114" s="492"/>
      <c r="F114" s="490"/>
      <c r="G114" s="493"/>
      <c r="H114" s="493"/>
      <c r="I114" s="493"/>
      <c r="J114" s="493"/>
      <c r="K114" s="493"/>
      <c r="L114" s="493"/>
      <c r="M114" s="493"/>
      <c r="N114" s="493"/>
      <c r="O114" s="1313"/>
      <c r="P114" s="485"/>
      <c r="Q114" s="485"/>
      <c r="R114" s="485"/>
      <c r="S114" s="58"/>
      <c r="T114" s="58"/>
      <c r="U114" s="489"/>
      <c r="V114" s="58"/>
      <c r="W114" s="58"/>
      <c r="X114" s="489"/>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30"/>
      <c r="BJ114" s="30"/>
      <c r="BK114" s="30"/>
      <c r="BL114" s="58"/>
      <c r="BM114" s="58"/>
      <c r="BN114" s="58"/>
      <c r="BO114" s="58"/>
      <c r="BP114" s="58"/>
      <c r="BQ114" s="58"/>
      <c r="BR114" s="58"/>
      <c r="BS114" s="58"/>
      <c r="BT114" s="58"/>
      <c r="BU114" s="58"/>
      <c r="BV114" s="58"/>
      <c r="BW114" s="58"/>
      <c r="BX114" s="58"/>
      <c r="BY114" s="58"/>
      <c r="BZ114" s="58"/>
    </row>
    <row r="115" spans="1:78" s="28" customFormat="1" ht="12.75" customHeight="1" thickBot="1" x14ac:dyDescent="0.25">
      <c r="A115" s="782"/>
      <c r="B115" s="1312"/>
      <c r="C115" s="486"/>
      <c r="D115" s="178"/>
      <c r="E115" s="487"/>
      <c r="F115" s="486"/>
      <c r="G115" s="478"/>
      <c r="H115" s="478"/>
      <c r="I115" s="478"/>
      <c r="J115" s="478"/>
      <c r="K115" s="486"/>
      <c r="L115" s="478"/>
      <c r="M115" s="478"/>
      <c r="N115" s="478"/>
      <c r="O115" s="1313"/>
      <c r="P115" s="485"/>
      <c r="Q115" s="485"/>
      <c r="R115" s="485"/>
      <c r="S115" s="23"/>
      <c r="T115" s="27">
        <f>IF(ISBLANK(E116),"",MATCH(E116,CNTR_SourceStreamNames,0))</f>
        <v>3</v>
      </c>
      <c r="U115" s="609" t="str">
        <f>IF(ISBLANK(E116),"",INDEX(B_InstallationDescription!$D$71:$D$145,MATCH(E116,CNTR_SourceStreamNames,0)))</f>
        <v>F3</v>
      </c>
      <c r="V115" s="76"/>
      <c r="W115" s="56"/>
      <c r="X115" s="56"/>
      <c r="Y115" s="56"/>
      <c r="Z115" s="58"/>
      <c r="AA115" s="58"/>
      <c r="AB115" s="58"/>
      <c r="AC115" s="58"/>
      <c r="AD115" s="58"/>
      <c r="AE115" s="58"/>
      <c r="AF115" s="58"/>
      <c r="AG115" s="58"/>
      <c r="AH115" s="58"/>
      <c r="AI115" s="58"/>
      <c r="AJ115" s="58"/>
      <c r="AK115" s="482"/>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6"/>
      <c r="BI115" s="56"/>
      <c r="BJ115" s="56"/>
      <c r="BK115" s="56"/>
      <c r="BL115" s="56"/>
      <c r="BM115" s="56"/>
      <c r="BN115" s="56"/>
      <c r="BO115" s="56"/>
      <c r="BP115" s="56"/>
      <c r="BQ115" s="56"/>
      <c r="BR115" s="56"/>
      <c r="BS115" s="56"/>
      <c r="BT115" s="56"/>
      <c r="BU115" s="56"/>
      <c r="BV115" s="56"/>
      <c r="BW115" s="56"/>
      <c r="BX115" s="56"/>
      <c r="BY115" s="56"/>
      <c r="BZ115" s="484" t="s">
        <v>259</v>
      </c>
    </row>
    <row r="116" spans="1:78" s="140" customFormat="1" ht="15" customHeight="1" thickBot="1" x14ac:dyDescent="0.25">
      <c r="A116" s="1302" t="str">
        <f>IF(E116="","","PRINT")</f>
        <v>PRINT</v>
      </c>
      <c r="B116" s="1248"/>
      <c r="C116" s="608">
        <f>C89+1</f>
        <v>3</v>
      </c>
      <c r="D116" s="164"/>
      <c r="E116" s="1610" t="s">
        <v>1816</v>
      </c>
      <c r="F116" s="1611"/>
      <c r="G116" s="1611"/>
      <c r="H116" s="1611"/>
      <c r="I116" s="1611"/>
      <c r="J116" s="1612"/>
      <c r="K116" s="1623" t="str">
        <f>IF(E117="","",INDEX(EUwideConstants!$F$353:$F$394,MATCH(E117,EUConst_TierActivityListNames,0)))</f>
        <v>Degimas</v>
      </c>
      <c r="L116" s="1624"/>
      <c r="M116" s="494" t="str">
        <f>Translations!$B$665</f>
        <v>CO2, iškastinio kuro kilmės:</v>
      </c>
      <c r="N116" s="1012">
        <f>IF(OR(K116="",T117=TRUE),"",INDEX(BC130:BE130,MATCH(K116,BC126:BE126,0)))</f>
        <v>36.329987341439995</v>
      </c>
      <c r="O116" s="1314" t="s">
        <v>257</v>
      </c>
      <c r="P116" s="1303" t="str">
        <f>IF(AND(E116&lt;&gt;"",COUNTIF(P117:$P$2089,"PRINT")=0),"PRINT","")</f>
        <v>PRINT</v>
      </c>
      <c r="Q116" s="343" t="str">
        <f>EUconst_SumCO2 &amp; "_" &amp; K116</f>
        <v>SUM_CO2_Degimas</v>
      </c>
      <c r="R116" s="485"/>
      <c r="S116" s="23"/>
      <c r="T116" s="500" t="s">
        <v>387</v>
      </c>
      <c r="U116" s="23"/>
      <c r="V116" s="76"/>
      <c r="W116" s="56"/>
      <c r="X116" s="58"/>
      <c r="Y116" s="58"/>
      <c r="Z116" s="58"/>
      <c r="AA116" s="58"/>
      <c r="AB116" s="58"/>
      <c r="AC116" s="58"/>
      <c r="AD116" s="58"/>
      <c r="AE116" s="58"/>
      <c r="AF116" s="58"/>
      <c r="AG116" s="58"/>
      <c r="AH116" s="58"/>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834">
        <f>AR126</f>
        <v>19.402000000000001</v>
      </c>
      <c r="BI116" s="834" t="str">
        <f>AJ126</f>
        <v>1 000 Nm3</v>
      </c>
      <c r="BJ116" s="834">
        <f>AR128</f>
        <v>55.57</v>
      </c>
      <c r="BK116" s="834" t="str">
        <f>AJ128</f>
        <v>tCO2/TJ</v>
      </c>
      <c r="BL116" s="834">
        <f>AR129</f>
        <v>33.695999999999998</v>
      </c>
      <c r="BM116" s="834" t="str">
        <f>AJ129</f>
        <v>GJ/1 000 Nm3</v>
      </c>
      <c r="BN116" s="834">
        <f>AR130</f>
        <v>1</v>
      </c>
      <c r="BO116" s="834">
        <f>AR131</f>
        <v>1</v>
      </c>
      <c r="BP116" s="834">
        <f>AR132</f>
        <v>0</v>
      </c>
      <c r="BQ116" s="834" t="str">
        <f>AJ132</f>
        <v/>
      </c>
      <c r="BR116" s="834">
        <f>AR133</f>
        <v>0</v>
      </c>
      <c r="BS116" s="834">
        <f>AR134</f>
        <v>0</v>
      </c>
      <c r="BT116" s="834">
        <f>N116</f>
        <v>36.329987341439995</v>
      </c>
      <c r="BU116" s="834">
        <f>N117</f>
        <v>0</v>
      </c>
      <c r="BV116" s="834">
        <f>R119</f>
        <v>0</v>
      </c>
      <c r="BW116" s="834">
        <f>R125</f>
        <v>0.65376979199999996</v>
      </c>
      <c r="BX116" s="834">
        <f>R126</f>
        <v>0</v>
      </c>
      <c r="BY116" s="56"/>
      <c r="BZ116" s="610" t="b">
        <f>CNTR_CalcRelevant=EUconst_NotRelevant</f>
        <v>0</v>
      </c>
    </row>
    <row r="117" spans="1:78" s="140" customFormat="1" ht="15" customHeight="1" thickBot="1" x14ac:dyDescent="0.25">
      <c r="A117" s="777"/>
      <c r="B117" s="1248"/>
      <c r="C117" s="164"/>
      <c r="D117" s="164"/>
      <c r="E117" s="1625" t="str">
        <f>IF(ISBLANK(E116),"",IF(INDEX(B_InstallationDescription!$E$71:$E$145,MATCH(U115,B_InstallationDescription!$D$71:$D$145,0))&gt;0,INDEX(B_InstallationDescription!$E$71:$E$145,MATCH(U115,B_InstallationDescription!$D$71:$D$145,0)),""))</f>
        <v>Degimas: Kitas dujinis ir skystasis kuras</v>
      </c>
      <c r="F117" s="1626"/>
      <c r="G117" s="1626"/>
      <c r="H117" s="1626"/>
      <c r="I117" s="1626"/>
      <c r="J117" s="1627"/>
      <c r="M117" s="337" t="str">
        <f>Translations!$B$666</f>
        <v>CO2, biomasės kilmės.:</v>
      </c>
      <c r="N117" s="1013">
        <f>IF(OR(K116="",T117=TRUE),"",INDEX(BC129:BE129,MATCH(K116,BC126:BE126,0)))</f>
        <v>0</v>
      </c>
      <c r="O117" s="1315" t="s">
        <v>257</v>
      </c>
      <c r="P117" s="485"/>
      <c r="Q117" s="343" t="str">
        <f>EUconst_SumBioCO2 &amp; "_" &amp; K116</f>
        <v>SUM_bioCO2_Degimas</v>
      </c>
      <c r="R117" s="485"/>
      <c r="S117" s="23"/>
      <c r="T117" s="48" t="b">
        <f>IF(E117="","",MATCH(E117,EUConst_TierActivityListNames,0)&gt;40)</f>
        <v>0</v>
      </c>
      <c r="U117" s="23"/>
      <c r="V117" s="76"/>
      <c r="W117" s="56"/>
      <c r="X117" s="58"/>
      <c r="Y117" s="27" t="s">
        <v>91</v>
      </c>
      <c r="Z117" s="30"/>
      <c r="AA117" s="30"/>
      <c r="AB117" s="30"/>
      <c r="AC117" s="30"/>
      <c r="AD117" s="30"/>
      <c r="AE117" s="27" t="s">
        <v>297</v>
      </c>
      <c r="AF117" s="58"/>
      <c r="AG117" s="495"/>
      <c r="AH117" s="30"/>
      <c r="AI117" s="30"/>
      <c r="AJ117" s="495"/>
      <c r="AK117" s="495"/>
      <c r="AL117" s="333"/>
      <c r="AM117" s="27" t="s">
        <v>303</v>
      </c>
      <c r="AN117" s="496"/>
      <c r="AO117" s="496"/>
      <c r="AP117" s="30"/>
      <c r="AQ117" s="30"/>
      <c r="AR117" s="30"/>
      <c r="AS117" s="30"/>
      <c r="AT117" s="30"/>
      <c r="AU117" s="30"/>
      <c r="AV117" s="27" t="s">
        <v>310</v>
      </c>
      <c r="AW117" s="30"/>
      <c r="AX117" s="483"/>
      <c r="AY117" s="30"/>
      <c r="AZ117" s="30"/>
      <c r="BA117" s="30"/>
      <c r="BB117" s="27" t="s">
        <v>217</v>
      </c>
      <c r="BC117" s="30"/>
      <c r="BD117" s="30"/>
      <c r="BE117" s="30"/>
      <c r="BF117" s="30"/>
      <c r="BG117" s="27" t="s">
        <v>486</v>
      </c>
      <c r="BH117" s="833" t="s">
        <v>552</v>
      </c>
      <c r="BI117" s="833" t="s">
        <v>487</v>
      </c>
      <c r="BJ117" s="833" t="s">
        <v>211</v>
      </c>
      <c r="BK117" s="833" t="s">
        <v>488</v>
      </c>
      <c r="BL117" s="833" t="s">
        <v>68</v>
      </c>
      <c r="BM117" s="833" t="s">
        <v>489</v>
      </c>
      <c r="BN117" s="833" t="s">
        <v>490</v>
      </c>
      <c r="BO117" s="833" t="s">
        <v>491</v>
      </c>
      <c r="BP117" s="833" t="s">
        <v>214</v>
      </c>
      <c r="BQ117" s="833" t="s">
        <v>492</v>
      </c>
      <c r="BR117" s="833" t="s">
        <v>493</v>
      </c>
      <c r="BS117" s="833" t="s">
        <v>494</v>
      </c>
      <c r="BT117" s="833" t="s">
        <v>287</v>
      </c>
      <c r="BU117" s="833" t="s">
        <v>495</v>
      </c>
      <c r="BV117" s="833" t="s">
        <v>498</v>
      </c>
      <c r="BW117" s="833" t="s">
        <v>496</v>
      </c>
      <c r="BX117" s="833" t="s">
        <v>497</v>
      </c>
      <c r="BY117" s="30"/>
      <c r="BZ117" s="30"/>
    </row>
    <row r="118" spans="1:78" s="140" customFormat="1" ht="5.0999999999999996" customHeight="1" thickBot="1" x14ac:dyDescent="0.25">
      <c r="A118" s="777"/>
      <c r="B118" s="1248"/>
      <c r="C118" s="164"/>
      <c r="D118" s="164"/>
      <c r="E118" s="164"/>
      <c r="F118" s="164"/>
      <c r="G118" s="164"/>
      <c r="M118" s="141"/>
      <c r="N118" s="141"/>
      <c r="O118" s="1305"/>
      <c r="P118" s="33"/>
      <c r="Q118" s="33"/>
      <c r="R118" s="33"/>
      <c r="S118" s="23"/>
      <c r="T118" s="23"/>
      <c r="U118" s="23"/>
      <c r="V118" s="76"/>
      <c r="W118" s="30"/>
      <c r="X118" s="30"/>
      <c r="Y118" s="485"/>
      <c r="Z118" s="30"/>
      <c r="AA118" s="30"/>
      <c r="AB118" s="30"/>
      <c r="AC118" s="30"/>
      <c r="AD118" s="30"/>
      <c r="AE118" s="30"/>
      <c r="AF118" s="58"/>
      <c r="AG118" s="30"/>
      <c r="AH118" s="30"/>
      <c r="AI118" s="30"/>
      <c r="AJ118" s="495"/>
      <c r="AK118" s="495"/>
      <c r="AL118" s="333"/>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row>
    <row r="119" spans="1:78" s="140" customFormat="1" ht="12.75" customHeight="1" thickBot="1" x14ac:dyDescent="0.25">
      <c r="A119" s="777"/>
      <c r="B119" s="1248"/>
      <c r="C119" s="164"/>
      <c r="D119" s="164"/>
      <c r="E119" s="1628" t="str">
        <f>IF(E116="","",IF(T117=TRUE,HYPERLINK("#JUMP_14",EUconst_MsgGoOnPFC),HYPERLINK("#JUMP_E_8",EUconst_FurtherGuidancePoint1)))</f>
        <v xml:space="preserve">Išsamios duomenų įvedimo naudojantis šia priemone instrukcijos pateiktos šio lapo viršuje. </v>
      </c>
      <c r="F119" s="1628"/>
      <c r="G119" s="1628"/>
      <c r="H119" s="1628"/>
      <c r="I119" s="1628"/>
      <c r="J119" s="1628"/>
      <c r="K119" s="1628"/>
      <c r="L119" s="1628"/>
      <c r="M119" s="1628"/>
      <c r="N119" s="141"/>
      <c r="O119" s="1305"/>
      <c r="P119" s="33"/>
      <c r="Q119" s="343" t="str">
        <f>EUconst_SumNonSustBioCO2 &amp; "_" &amp; K116</f>
        <v>SUM_bioNonSustCO2_Degimas</v>
      </c>
      <c r="R119" s="698">
        <f>IF(OR(K116="",T117=TRUE),"",ROUND(INDEX(BC128:BE128,MATCH(K116,BC126:BE126,0)),0))</f>
        <v>0</v>
      </c>
      <c r="S119" s="23"/>
      <c r="T119" s="23"/>
      <c r="U119" s="23"/>
      <c r="V119" s="30"/>
      <c r="W119" s="30"/>
      <c r="X119" s="30"/>
      <c r="Y119" s="58"/>
      <c r="Z119" s="30"/>
      <c r="AA119" s="30"/>
      <c r="AB119" s="30"/>
      <c r="AC119" s="30"/>
      <c r="AD119" s="30"/>
      <c r="AE119" s="30"/>
      <c r="AF119" s="58"/>
      <c r="AG119" s="30"/>
      <c r="AH119" s="30"/>
      <c r="AI119" s="30"/>
      <c r="AJ119" s="495"/>
      <c r="AK119" s="495"/>
      <c r="AL119" s="333"/>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row>
    <row r="120" spans="1:78" s="140" customFormat="1" ht="5.0999999999999996" customHeight="1" thickBot="1" x14ac:dyDescent="0.25">
      <c r="A120" s="777"/>
      <c r="B120" s="1248"/>
      <c r="C120" s="164"/>
      <c r="D120" s="164"/>
      <c r="E120" s="164"/>
      <c r="F120" s="164"/>
      <c r="G120" s="164"/>
      <c r="M120" s="141"/>
      <c r="N120" s="141"/>
      <c r="O120" s="1305"/>
      <c r="P120" s="23"/>
      <c r="Q120" s="23"/>
      <c r="R120" s="23"/>
      <c r="S120" s="23"/>
      <c r="T120" s="23"/>
      <c r="U120" s="23"/>
      <c r="V120" s="30"/>
      <c r="W120" s="30"/>
      <c r="X120" s="30"/>
      <c r="Y120" s="485"/>
      <c r="Z120" s="30"/>
      <c r="AA120" s="30"/>
      <c r="AB120" s="30"/>
      <c r="AC120" s="30"/>
      <c r="AD120" s="30"/>
      <c r="AE120" s="30"/>
      <c r="AF120" s="58"/>
      <c r="AG120" s="30"/>
      <c r="AH120" s="30"/>
      <c r="AI120" s="30"/>
      <c r="AJ120" s="495"/>
      <c r="AK120" s="495"/>
      <c r="AL120" s="333"/>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row>
    <row r="121" spans="1:78" s="140" customFormat="1" ht="12.75" customHeight="1" thickBot="1" x14ac:dyDescent="0.25">
      <c r="A121" s="777"/>
      <c r="B121" s="1248"/>
      <c r="C121" s="783" t="s">
        <v>4</v>
      </c>
      <c r="D121" s="503" t="str">
        <f>Translations!$B$622</f>
        <v>VD:</v>
      </c>
      <c r="E121" s="1631" t="str">
        <f>Translations!$B$667</f>
        <v>Ar veiklos duomenys gaunami sudedant išmatuotus kiekius (t. y. ne atliekant nuolatinius matavimus)?</v>
      </c>
      <c r="F121" s="1631"/>
      <c r="G121" s="1631"/>
      <c r="H121" s="1631"/>
      <c r="I121" s="1631"/>
      <c r="J121" s="1631"/>
      <c r="K121" s="1631"/>
      <c r="L121" s="1122" t="b">
        <v>0</v>
      </c>
      <c r="M121" s="498"/>
      <c r="O121" s="1305"/>
      <c r="P121" s="23"/>
      <c r="Q121" s="23"/>
      <c r="R121" s="23"/>
      <c r="S121" s="23"/>
      <c r="T121" s="23"/>
      <c r="U121" s="23"/>
      <c r="V121" s="30"/>
      <c r="W121" s="30"/>
      <c r="X121" s="30"/>
      <c r="Y121" s="485"/>
      <c r="Z121" s="30"/>
      <c r="AA121" s="30"/>
      <c r="AB121" s="30"/>
      <c r="AC121" s="1115" t="b">
        <f>AND(E116&lt;&gt;"",T117&lt;&gt;TRUE)</f>
        <v>1</v>
      </c>
      <c r="AD121" s="30"/>
      <c r="AE121" s="30"/>
      <c r="AF121" s="58"/>
      <c r="AG121" s="30"/>
      <c r="AH121" s="30"/>
      <c r="AI121" s="30"/>
      <c r="AJ121" s="495"/>
      <c r="AK121" s="495"/>
      <c r="AL121" s="333"/>
      <c r="AM121" s="30"/>
      <c r="AN121" s="30"/>
      <c r="AO121" s="30"/>
      <c r="AP121" s="30"/>
      <c r="AQ121" s="30"/>
      <c r="AR121" s="30"/>
      <c r="AS121" s="30"/>
      <c r="AT121" s="1115" t="b">
        <f>MSPara_BatchReportingMandatory&lt;&gt;TRUE</f>
        <v>0</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1115" t="b">
        <f>OR(CNTR_CalcRelevant=EUconst_NotRelevant,AND(COUNTA(CNTR_ListRelevantSections)&gt;0,OR(T117=TRUE,E116="")))</f>
        <v>0</v>
      </c>
    </row>
    <row r="122" spans="1:78" s="140" customFormat="1" ht="5.0999999999999996" customHeight="1" thickBot="1" x14ac:dyDescent="0.25">
      <c r="A122" s="777"/>
      <c r="B122" s="1248"/>
      <c r="C122" s="164"/>
      <c r="D122" s="164"/>
      <c r="E122" s="164"/>
      <c r="F122" s="164"/>
      <c r="G122" s="164"/>
      <c r="H122" s="486"/>
      <c r="I122" s="486"/>
      <c r="J122" s="486"/>
      <c r="K122" s="486"/>
      <c r="L122" s="486"/>
      <c r="M122" s="498"/>
      <c r="O122" s="1305"/>
      <c r="P122" s="23"/>
      <c r="Q122" s="23"/>
      <c r="R122" s="23"/>
      <c r="S122" s="23"/>
      <c r="T122" s="23"/>
      <c r="U122" s="23"/>
      <c r="V122" s="30"/>
      <c r="W122" s="30"/>
      <c r="X122" s="30"/>
      <c r="Y122" s="485"/>
      <c r="Z122" s="30"/>
      <c r="AA122" s="30"/>
      <c r="AB122" s="30"/>
      <c r="AC122" s="483"/>
      <c r="AD122" s="30"/>
      <c r="AE122" s="30"/>
      <c r="AF122" s="58"/>
      <c r="AG122" s="30"/>
      <c r="AH122" s="30"/>
      <c r="AI122" s="30"/>
      <c r="AJ122" s="495"/>
      <c r="AK122" s="495"/>
      <c r="AL122" s="333"/>
      <c r="AM122" s="30"/>
      <c r="AN122" s="30"/>
      <c r="AO122" s="30"/>
      <c r="AP122" s="30"/>
      <c r="AQ122" s="30"/>
      <c r="AR122" s="30"/>
      <c r="AS122" s="30"/>
      <c r="AT122" s="483"/>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483"/>
    </row>
    <row r="123" spans="1:78" s="140" customFormat="1" ht="12.75" customHeight="1" thickBot="1" x14ac:dyDescent="0.25">
      <c r="A123" s="777"/>
      <c r="B123" s="1248"/>
      <c r="C123" s="783" t="s">
        <v>5</v>
      </c>
      <c r="D123" s="503" t="str">
        <f>Translations!$B$622</f>
        <v>VD:</v>
      </c>
      <c r="E123" s="1105" t="str">
        <f>Translations!$B$668</f>
        <v>Pradinis kiekis:</v>
      </c>
      <c r="F123" s="1123"/>
      <c r="G123" s="1106" t="str">
        <f>Translations!$B$669</f>
        <v>Galutinis kiekis:</v>
      </c>
      <c r="H123" s="1123"/>
      <c r="I123" s="1106" t="str">
        <f>Translations!$B$670</f>
        <v>Įsigytas kiekis:</v>
      </c>
      <c r="J123" s="1123"/>
      <c r="K123" s="1106" t="str">
        <f>Translations!$B$671</f>
        <v>Perduotas kiekis:</v>
      </c>
      <c r="L123" s="1123"/>
      <c r="M123" s="1107" t="str">
        <f>IF(AND(L121=TRUE,COUNT(F123,H123,J123,L123)&lt;4),EUconst_ERR_Incomplete,"")</f>
        <v/>
      </c>
      <c r="O123" s="1305"/>
      <c r="P123" s="23"/>
      <c r="Q123" s="23"/>
      <c r="R123" s="23"/>
      <c r="S123" s="23"/>
      <c r="T123" s="23"/>
      <c r="U123" s="23"/>
      <c r="V123" s="30"/>
      <c r="W123" s="30"/>
      <c r="X123" s="30"/>
      <c r="Y123" s="485"/>
      <c r="Z123" s="30"/>
      <c r="AA123" s="30"/>
      <c r="AB123" s="30"/>
      <c r="AC123" s="1115" t="b">
        <f>AC121</f>
        <v>1</v>
      </c>
      <c r="AD123" s="30"/>
      <c r="AE123" s="30"/>
      <c r="AF123" s="58"/>
      <c r="AG123" s="30"/>
      <c r="AH123" s="30"/>
      <c r="AI123" s="30"/>
      <c r="AJ123" s="495"/>
      <c r="AK123" s="495"/>
      <c r="AL123" s="333"/>
      <c r="AM123" s="30"/>
      <c r="AN123" s="30"/>
      <c r="AO123" s="30"/>
      <c r="AP123" s="30"/>
      <c r="AQ123" s="30"/>
      <c r="AR123" s="30"/>
      <c r="AS123" s="30"/>
      <c r="AT123" s="1115" t="b">
        <f>AND(AT121=TRUE,L121="")</f>
        <v>0</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1115" t="b">
        <f>OR(BZ121,AND(NOT(ISBLANK(L121)),L121=FALSE))</f>
        <v>1</v>
      </c>
    </row>
    <row r="124" spans="1:78" s="140" customFormat="1" ht="5.0999999999999996" customHeight="1" thickBot="1" x14ac:dyDescent="0.25">
      <c r="A124" s="777"/>
      <c r="B124" s="1248"/>
      <c r="C124" s="164"/>
      <c r="D124" s="164"/>
      <c r="E124" s="164"/>
      <c r="F124" s="164"/>
      <c r="G124" s="164"/>
      <c r="M124" s="141"/>
      <c r="N124" s="141"/>
      <c r="O124" s="1305"/>
      <c r="P124" s="23"/>
      <c r="Q124" s="23"/>
      <c r="R124" s="23"/>
      <c r="S124" s="23"/>
      <c r="T124" s="23"/>
      <c r="U124" s="23"/>
      <c r="V124" s="30"/>
      <c r="W124" s="30"/>
      <c r="X124" s="30"/>
      <c r="Y124" s="485"/>
      <c r="Z124" s="30"/>
      <c r="AA124" s="30"/>
      <c r="AB124" s="30"/>
      <c r="AC124" s="30"/>
      <c r="AD124" s="30"/>
      <c r="AE124" s="30"/>
      <c r="AF124" s="58"/>
      <c r="AG124" s="30"/>
      <c r="AH124" s="30"/>
      <c r="AI124" s="30"/>
      <c r="AJ124" s="495"/>
      <c r="AK124" s="495"/>
      <c r="AL124" s="333"/>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row>
    <row r="125" spans="1:78" s="140" customFormat="1" ht="12.75" customHeight="1" thickBot="1" x14ac:dyDescent="0.25">
      <c r="A125" s="777"/>
      <c r="B125" s="1248"/>
      <c r="C125" s="164"/>
      <c r="D125" s="164"/>
      <c r="E125" s="164"/>
      <c r="F125" s="497" t="str">
        <f>Translations!$B$333</f>
        <v>Pakopa</v>
      </c>
      <c r="G125" s="1613" t="str">
        <f>Translations!$B$672</f>
        <v>pakopos aprašas</v>
      </c>
      <c r="H125" s="1613"/>
      <c r="I125" s="1608" t="str">
        <f>Translations!$B$158</f>
        <v>Vienetas</v>
      </c>
      <c r="J125" s="1608"/>
      <c r="K125" s="1608" t="str">
        <f>Translations!$B$673</f>
        <v>Vertė</v>
      </c>
      <c r="L125" s="1608"/>
      <c r="M125" s="498" t="str">
        <f>Translations!$B$610</f>
        <v>klaida</v>
      </c>
      <c r="O125" s="1305"/>
      <c r="P125" s="499"/>
      <c r="Q125" s="343" t="str">
        <f>EUconst_SumEnergyIN &amp; "_" &amp; K116</f>
        <v>SUM_EnergyIN_Degimas</v>
      </c>
      <c r="R125" s="390">
        <f>IF(OR(K116="",T117)=TRUE,"",INDEX(BC131:BE131,MATCH(K116,BC126:BE126,0)))</f>
        <v>0.65376979199999996</v>
      </c>
      <c r="S125" s="30"/>
      <c r="T125" s="480"/>
      <c r="U125" s="30"/>
      <c r="V125" s="500" t="s">
        <v>298</v>
      </c>
      <c r="W125" s="30"/>
      <c r="X125" s="30"/>
      <c r="Y125" s="485" t="s">
        <v>560</v>
      </c>
      <c r="Z125" s="485" t="s">
        <v>313</v>
      </c>
      <c r="AA125" s="30"/>
      <c r="AB125" s="30"/>
      <c r="AC125" s="496" t="s">
        <v>304</v>
      </c>
      <c r="AD125" s="30"/>
      <c r="AE125" s="30"/>
      <c r="AF125" s="483" t="s">
        <v>300</v>
      </c>
      <c r="AG125" s="483" t="s">
        <v>301</v>
      </c>
      <c r="AH125" s="485" t="s">
        <v>299</v>
      </c>
      <c r="AI125" s="495" t="s">
        <v>302</v>
      </c>
      <c r="AJ125" s="495" t="s">
        <v>561</v>
      </c>
      <c r="AK125" s="501" t="s">
        <v>306</v>
      </c>
      <c r="AL125" s="333"/>
      <c r="AM125" s="30"/>
      <c r="AN125" s="483" t="s">
        <v>300</v>
      </c>
      <c r="AO125" s="483" t="s">
        <v>301</v>
      </c>
      <c r="AP125" s="502" t="s">
        <v>305</v>
      </c>
      <c r="AQ125" s="495" t="s">
        <v>563</v>
      </c>
      <c r="AR125" s="495" t="s">
        <v>562</v>
      </c>
      <c r="AS125" s="501" t="s">
        <v>306</v>
      </c>
      <c r="AT125" s="501" t="s">
        <v>306</v>
      </c>
      <c r="AU125" s="30"/>
      <c r="AV125" s="483"/>
      <c r="AW125" s="483"/>
      <c r="AX125" s="483" t="s">
        <v>316</v>
      </c>
      <c r="AY125" s="483"/>
      <c r="AZ125" s="483"/>
      <c r="BA125" s="483"/>
      <c r="BB125" s="483"/>
      <c r="BC125" s="483"/>
      <c r="BD125" s="483"/>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484" t="s">
        <v>259</v>
      </c>
    </row>
    <row r="126" spans="1:78" s="140" customFormat="1" ht="12.75" customHeight="1" thickBot="1" x14ac:dyDescent="0.25">
      <c r="A126" s="777"/>
      <c r="B126" s="1248"/>
      <c r="C126" s="753" t="s">
        <v>194</v>
      </c>
      <c r="D126" s="503" t="str">
        <f>Translations!$B$622</f>
        <v>VD:</v>
      </c>
      <c r="E126" s="504"/>
      <c r="F126" s="393">
        <v>4</v>
      </c>
      <c r="G126" s="1603" t="str">
        <f>IF(OR(ISBLANK(F126),F126=EUconst_NoTier),"",IF(Z126=0,EUconst_NA,IF(ISERROR(Z126),"",Z126)))</f>
        <v>± 1,5%</v>
      </c>
      <c r="H126" s="1604"/>
      <c r="I126" s="1108" t="str">
        <f>IF(J126&lt;&gt;"","",AI126)</f>
        <v/>
      </c>
      <c r="J126" s="1109" t="s">
        <v>938</v>
      </c>
      <c r="K126" s="1116" t="str">
        <f>IF(L126="",AQ126,"")</f>
        <v/>
      </c>
      <c r="L126" s="1199">
        <v>19.402000000000001</v>
      </c>
      <c r="M126" s="700" t="str">
        <f>IF(AND(E117&lt;&gt;"",OR(F126="",COUNT(K126:L126)=0),Y126&lt;&gt;EUconst_NA,T117&lt;&gt;TRUE),EUconst_ERR_Incomplete,IF(COUNTIF(AX126:AZ126,TRUE)&gt;0,EUconst_ERR_Inconsistent,""))</f>
        <v/>
      </c>
      <c r="O126" s="1305"/>
      <c r="P126" s="635"/>
      <c r="Q126" s="343" t="str">
        <f>EUconst_SumBioEnergyIN &amp; "_" &amp; K116</f>
        <v>SUM_BioEnergyIN_Degimas</v>
      </c>
      <c r="R126" s="390">
        <f>IF(OR(K116="",T117)=TRUE,"",INDEX(BC132:BE132,MATCH(K116,BC126:BE126,0)))</f>
        <v>0</v>
      </c>
      <c r="S126" s="30"/>
      <c r="T126" s="505" t="str">
        <f>EUconst_CNTR_ActivityData&amp;E117</f>
        <v>ActivityData_Degimas: Kitas dujinis ir skystasis kuras</v>
      </c>
      <c r="U126" s="488"/>
      <c r="V126" s="505" t="str">
        <f>IF(E116="","",INDEX(B_InstallationDescription!$I$71:$I$145,MATCH(U115,B_InstallationDescription!$D$71:$D$145,0)))</f>
        <v>Dujinis – Gamtinės dujos</v>
      </c>
      <c r="W126" s="495" t="s">
        <v>533</v>
      </c>
      <c r="X126" s="488"/>
      <c r="Y126" s="506">
        <f>IF(OR(T117=TRUE,E117=""),"",INDEX(EUwideConstants!$N:$N,MATCH(T126,EUwideConstants!$Q:$Q,0)))</f>
        <v>4</v>
      </c>
      <c r="Z126" s="507" t="str">
        <f>IF(ISBLANK(F126),"",IF(F126=EUconst_NA,"",INDEX(EUwideConstants!$H:$M,MATCH(T126,EUwideConstants!$Q:$Q,0),MATCH(F126,CNTR_TierList,0))))</f>
        <v>± 1,5%</v>
      </c>
      <c r="AA126" s="508" t="s">
        <v>299</v>
      </c>
      <c r="AB126" s="495"/>
      <c r="AC126" s="509" t="b">
        <f>AC121</f>
        <v>1</v>
      </c>
      <c r="AD126" s="30"/>
      <c r="AE126" s="510" t="str">
        <f>EUconst_CNTR_ActivityData&amp;EUconst_Unit</f>
        <v>ActivityData_Vienetas</v>
      </c>
      <c r="AF126" s="511" t="str">
        <f>IF(AC126=TRUE, IF(COUNTIF(MSPara_SourceStreamCategory,V126)=0,"",INDEX(MSPara_CalcFactorsMatrix,MATCH(V126,MSPara_SourceStreamCategory,0),MATCH(AE126&amp;"_"&amp;2,MSPara_CalcFactors,0))),"")</f>
        <v>netaik.</v>
      </c>
      <c r="AG126" s="512" t="str">
        <f>IF(AC126=TRUE, IF(COUNTIF(MSPara_SourceStreamCategory,V126)=0,"",INDEX(MSPara_CalcFactorsMatrix,MATCH(V126,MSPara_SourceStreamCategory,0),MATCH(AE126&amp;"_"&amp;1,MSPara_CalcFactors,0))),"")</f>
        <v>t</v>
      </c>
      <c r="AH126" s="509" t="str">
        <f>IF(OR(AF126="",AF126=EUconst_NA),IF(OR(AG126=EUconst_NA,AG126=""),"",AG126),AF126)</f>
        <v>t</v>
      </c>
      <c r="AI126" s="506" t="str">
        <f>IF(AC126=TRUE,IF(AH126="",EUconst_t,AH126),"")</f>
        <v>t</v>
      </c>
      <c r="AJ126" s="513" t="str">
        <f>IF(J126="",AI126,J126)</f>
        <v>1 000 Nm3</v>
      </c>
      <c r="AK126" s="514" t="b">
        <f>IF(K116=EUconst_Fuel,J126&lt;&gt;"",FALSE)</f>
        <v>1</v>
      </c>
      <c r="AL126" s="333"/>
      <c r="AM126" s="505" t="str">
        <f>EUconst_CNTR_ActivityData&amp;EUconst_Value</f>
        <v>ActivityData_Vertė</v>
      </c>
      <c r="AN126" s="496"/>
      <c r="AO126" s="496"/>
      <c r="AP126" s="509" t="b">
        <f>AND(AND(AH126&lt;&gt;"",AJ126&lt;&gt;""),AJ126=AH126)</f>
        <v>0</v>
      </c>
      <c r="AQ126" s="610" t="str">
        <f>IF(L121=TRUE,SUM(F123)-SUM(H123)+SUM(J123)-SUM(L123),"")</f>
        <v/>
      </c>
      <c r="AR126" s="509">
        <f>IF(Y126=EUconst_NA,0,IF(COUNT(K126:L126)=0,0,IF(L126="",K126,L126)))</f>
        <v>19.402000000000001</v>
      </c>
      <c r="AS126" s="1115" t="b">
        <f>AND(AC126=TRUE,OR(L126&lt;&gt;"",AQ126=""))</f>
        <v>1</v>
      </c>
      <c r="AT126" s="1115" t="b">
        <f>AND(AC126=TRUE,NOT(AS126))</f>
        <v>0</v>
      </c>
      <c r="AU126" s="30"/>
      <c r="AV126" s="483" t="s">
        <v>309</v>
      </c>
      <c r="AW126" s="483" t="s">
        <v>314</v>
      </c>
      <c r="AX126" s="515"/>
      <c r="AY126" s="30" t="s">
        <v>536</v>
      </c>
      <c r="AZ126" s="30"/>
      <c r="BA126" s="30"/>
      <c r="BB126" s="495"/>
      <c r="BC126" s="484" t="str">
        <f>EUconst_Fuel</f>
        <v>Degimas</v>
      </c>
      <c r="BD126" s="484" t="str">
        <f>EUconst_ProcessCarbonate</f>
        <v>Proceso metu išsiskiriančios ŠESD</v>
      </c>
      <c r="BE126" s="484" t="str">
        <f>EUconst_MassBalance</f>
        <v>Masės balansas</v>
      </c>
      <c r="BF126" s="30"/>
      <c r="BG126" s="30"/>
      <c r="BH126" s="30"/>
      <c r="BI126" s="30"/>
      <c r="BJ126" s="30"/>
      <c r="BK126" s="30"/>
      <c r="BL126" s="30"/>
      <c r="BM126" s="30"/>
      <c r="BN126" s="30"/>
      <c r="BO126" s="30"/>
      <c r="BP126" s="30"/>
      <c r="BQ126" s="30"/>
      <c r="BR126" s="30"/>
      <c r="BS126" s="30"/>
      <c r="BT126" s="30"/>
      <c r="BU126" s="30"/>
      <c r="BV126" s="30"/>
      <c r="BW126" s="30"/>
      <c r="BX126" s="30"/>
      <c r="BY126" s="30"/>
      <c r="BZ126" s="515" t="b">
        <f>BZ121</f>
        <v>0</v>
      </c>
    </row>
    <row r="127" spans="1:78" s="140" customFormat="1" ht="5.0999999999999996" customHeight="1" thickBot="1" x14ac:dyDescent="0.25">
      <c r="A127" s="777"/>
      <c r="B127" s="1248"/>
      <c r="C127" s="783"/>
      <c r="D127" s="298"/>
      <c r="F127" s="141"/>
      <c r="G127" s="141"/>
      <c r="H127" s="141" t="s">
        <v>233</v>
      </c>
      <c r="I127" s="516"/>
      <c r="J127" s="516"/>
      <c r="K127" s="141"/>
      <c r="L127" s="141"/>
      <c r="M127" s="701"/>
      <c r="O127" s="1305"/>
      <c r="P127" s="33"/>
      <c r="Q127" s="33"/>
      <c r="R127" s="33"/>
      <c r="S127" s="30"/>
      <c r="T127" s="153"/>
      <c r="U127" s="488"/>
      <c r="V127" s="30"/>
      <c r="W127" s="30"/>
      <c r="X127" s="488"/>
      <c r="Y127" s="517"/>
      <c r="Z127" s="30"/>
      <c r="AA127" s="30"/>
      <c r="AB127" s="30"/>
      <c r="AC127" s="30"/>
      <c r="AD127" s="30"/>
      <c r="AE127" s="30"/>
      <c r="AF127" s="30"/>
      <c r="AG127" s="30"/>
      <c r="AH127" s="30"/>
      <c r="AI127" s="30"/>
      <c r="AJ127" s="30"/>
      <c r="AK127" s="30"/>
      <c r="AL127" s="333"/>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484"/>
    </row>
    <row r="128" spans="1:78" s="140" customFormat="1" ht="12.75" customHeight="1" thickBot="1" x14ac:dyDescent="0.25">
      <c r="A128" s="777"/>
      <c r="B128" s="1248"/>
      <c r="C128" s="783" t="s">
        <v>195</v>
      </c>
      <c r="D128" s="503" t="str">
        <f>Translations!$B$634</f>
        <v>(prelim.) ITF:</v>
      </c>
      <c r="E128" s="504"/>
      <c r="F128" s="518" t="s">
        <v>262</v>
      </c>
      <c r="G128" s="1603" t="str">
        <f t="shared" ref="G128:G134" si="14">IF(OR(ISBLANK(F128),F128=EUconst_NoTier),"",IF(Z128=0,EUconst_NotApplicable,IF(ISERROR(Z128),"",Z128)))</f>
        <v>II tipas</v>
      </c>
      <c r="H128" s="1609"/>
      <c r="I128" s="1110" t="str">
        <f>IF(J128&lt;&gt;"","",AI128)</f>
        <v/>
      </c>
      <c r="J128" s="1111" t="s">
        <v>1814</v>
      </c>
      <c r="K128" s="519" t="str">
        <f t="shared" ref="K128:K134" si="15">IF(L128="",AQ128,"")</f>
        <v/>
      </c>
      <c r="L128" s="520">
        <v>55.57</v>
      </c>
      <c r="M128" s="700" t="str">
        <f>IF(AND(E117&lt;&gt;"",OR(F128="",COUNT(K128:L128)=0),Y128&lt;&gt;EUconst_NA,T117&lt;&gt;TRUE),EUconst_ERR_Incomplete,IF(COUNTIF(AX128:AZ128,TRUE)&gt;0,EUconst_ERR_Inconsistent,""))</f>
        <v/>
      </c>
      <c r="N128" s="486"/>
      <c r="O128" s="1305"/>
      <c r="P128" s="33"/>
      <c r="Q128" s="33"/>
      <c r="R128" s="33"/>
      <c r="S128" s="30"/>
      <c r="T128" s="521" t="str">
        <f>EUconst_CNTR_EF&amp;E117</f>
        <v>EF_Degimas: Kitas dujinis ir skystasis kuras</v>
      </c>
      <c r="U128" s="488"/>
      <c r="V128" s="522" t="str">
        <f>V126</f>
        <v>Dujinis – Gamtinės dujos</v>
      </c>
      <c r="W128" s="30"/>
      <c r="X128" s="488"/>
      <c r="Y128" s="523">
        <f>IF(OR(T117=TRUE,E117=""),"",IF(F128=EUconst_NA,EUconst_NA,INDEX(EUwideConstants!$N:$N,MATCH(T128,EUwideConstants!$Q:$Q,0))))</f>
        <v>3</v>
      </c>
      <c r="Z128" s="524" t="str">
        <f>IF(ISBLANK(F128),"",IF(F128=EUconst_NA,"",INDEX(EUwideConstants!$H:$M,MATCH(T128,EUwideConstants!$Q:$Q,0),MATCH(F128,CNTR_TierList,0))))</f>
        <v>II tipas</v>
      </c>
      <c r="AA128" s="525">
        <f>IF(COUNTIF(EUconst_DefaultValues,Z128)&gt;0,MATCH(Z128,EUconst_DefaultValues,0),"")</f>
        <v>2</v>
      </c>
      <c r="AB128" s="30"/>
      <c r="AC128" s="526" t="b">
        <f>AND(AC126,Y128&lt;&gt;EUconst_NA)</f>
        <v>1</v>
      </c>
      <c r="AD128" s="30"/>
      <c r="AE128" s="510" t="str">
        <f>EUconst_CNTR_EF&amp;EUconst_Unit</f>
        <v>EF_Vienetas</v>
      </c>
      <c r="AF128" s="527" t="str">
        <f>IF(AC128=TRUE, IF(COUNTIF(MSPara_SourceStreamCategory,V128)=0,"",INDEX(MSPara_CalcFactorsMatrix,MATCH(V128,MSPara_SourceStreamCategory,0),MATCH(AE128&amp;"_"&amp;2,MSPara_CalcFactors,0))),"")</f>
        <v>tCO2/TJ</v>
      </c>
      <c r="AG128" s="528" t="str">
        <f>IF(AC128=TRUE, IF(COUNTIF(MSPara_SourceStreamCategory,V128)=0,"",INDEX(MSPara_CalcFactorsMatrix,MATCH(V128,MSPara_SourceStreamCategory,0),MATCH(AE128&amp;"_"&amp;1,MSPara_CalcFactors,0))),"")</f>
        <v>tCO2/TJ</v>
      </c>
      <c r="AH128" s="529" t="str">
        <f>IF(AA128="","",INDEX(AF128:AG128,3-AA128))</f>
        <v>tCO2/TJ</v>
      </c>
      <c r="AI128" s="530" t="str">
        <f>IF(AC128=TRUE,IF(OR(AH128="",AH128=EUconst_NA),IF(K116=EUconst_Fuel,EUconst_tCO2pTJ,EUconst_tCO2pt),AH128),"")</f>
        <v>tCO2/TJ</v>
      </c>
      <c r="AJ128" s="526" t="str">
        <f>IF(J128="",AI128,J128)</f>
        <v>tCO2/TJ</v>
      </c>
      <c r="AK128" s="531" t="b">
        <f>IF(K116=EUconst_Fuel,J128&lt;&gt;"",FALSE)</f>
        <v>1</v>
      </c>
      <c r="AL128" s="333"/>
      <c r="AM128" s="510" t="str">
        <f>EUconst_CNTR_EF&amp;EUconst_Value</f>
        <v>EF_Vertė</v>
      </c>
      <c r="AN128" s="532" t="str">
        <f>IF(AC128=TRUE,IF(COUNTIF(MSPara_SourceStreamCategory,V128)=0,"",INDEX(MSPara_CalcFactorsMatrix,MATCH(V128,MSPara_SourceStreamCategory,0),MATCH(AM128&amp;"_"&amp;2,MSPara_CalcFactors,0))),"")</f>
        <v>netaik.</v>
      </c>
      <c r="AO128" s="533">
        <f>IF(AC128=TRUE,IF(COUNTIF(MSPara_SourceStreamCategory,V128)=0,"",INDEX(MSPara_CalcFactorsMatrix,MATCH(V128,MSPara_SourceStreamCategory,0),MATCH(AM128&amp;"_"&amp;1,MSPara_CalcFactors,0))),"")</f>
        <v>56.1</v>
      </c>
      <c r="AP128" s="526" t="b">
        <f>AND(AND(AH128&lt;&gt;"",AJ128&lt;&gt;""),AJ128=AH128)</f>
        <v>1</v>
      </c>
      <c r="AQ128" s="534" t="str">
        <f>IF(AND(AA128&lt;&gt;"",AP128=TRUE),IF(OR(INDEX(AN128:AO128,3-AA128)=EUconst_NA,INDEX(AN128:AO128,3-AA128)=0),"",INDEX(AN128:AO128,3-AA128)),"")</f>
        <v/>
      </c>
      <c r="AR128" s="526">
        <f>IF(AC128=TRUE,IF(COUNT(K128:L128)=0,0,IF(L128="",K128,L128)),0)</f>
        <v>55.57</v>
      </c>
      <c r="AS128" s="522" t="b">
        <f>AND(AC128=TRUE,OR(AND(F128&lt;&gt;"",NOT(ISNUMBER(AA128))),L128&lt;&gt;"",F128="",AQ128=""))</f>
        <v>1</v>
      </c>
      <c r="AT128" s="522" t="b">
        <f t="shared" ref="AT128:AT134" si="16">AND(AC128=TRUE,NOT(AS128))</f>
        <v>0</v>
      </c>
      <c r="AU128" s="30"/>
      <c r="AV128" s="535" t="b">
        <f t="shared" ref="AV128:AV134" si="17">AND(ISNUMBER(AA128),AQ128="")</f>
        <v>1</v>
      </c>
      <c r="AW128" s="536" t="b">
        <f t="shared" ref="AW128:AW134" si="18">AND(ISNUMBER(AA128),AQ128&lt;&gt;AR128)</f>
        <v>1</v>
      </c>
      <c r="AX128" s="537" t="b">
        <f>OR(AND(AJ126=EUconst_kNm3,AJ128=EUconst_tCO2pt),AND(AJ126=EUconst_t,AJ128=EUconst_tCO2pkNm3))</f>
        <v>0</v>
      </c>
      <c r="AY128" s="522" t="b">
        <f t="shared" ref="AY128:AY134" si="19">AND(L128&lt;&gt;"",Y128=EUconst_NA)</f>
        <v>0</v>
      </c>
      <c r="AZ128" s="30"/>
      <c r="BA128" s="30"/>
      <c r="BB128" s="538" t="s">
        <v>588</v>
      </c>
      <c r="BC128" s="537">
        <f>IF(K116=BC126,AR126*IF(AJ128=EUconst_tCO2pTJ,(AR129/1000),1)*AR128*AR130*AR134,"")</f>
        <v>0</v>
      </c>
      <c r="BD128" s="515" t="str">
        <f>IF(K116=BD126,AR126*AR128*AR131*AR134,"")</f>
        <v/>
      </c>
      <c r="BE128" s="514" t="str">
        <f>IF(K116=BE126,3.664*AR126*AR132*AR134,"")</f>
        <v/>
      </c>
      <c r="BF128" s="30"/>
      <c r="BG128" s="30"/>
      <c r="BH128" s="30"/>
      <c r="BI128" s="30"/>
      <c r="BJ128" s="30"/>
      <c r="BK128" s="30"/>
      <c r="BL128" s="30"/>
      <c r="BM128" s="30"/>
      <c r="BN128" s="30"/>
      <c r="BO128" s="30"/>
      <c r="BP128" s="30"/>
      <c r="BQ128" s="30"/>
      <c r="BR128" s="30"/>
      <c r="BS128" s="30"/>
      <c r="BT128" s="30"/>
      <c r="BU128" s="30"/>
      <c r="BV128" s="30"/>
      <c r="BW128" s="30"/>
      <c r="BX128" s="30"/>
      <c r="BY128" s="30"/>
      <c r="BZ128" s="522" t="b">
        <f>OR(BZ126,Y128=EUconst_NA)</f>
        <v>0</v>
      </c>
    </row>
    <row r="129" spans="1:78" s="140" customFormat="1" ht="12.75" customHeight="1" thickBot="1" x14ac:dyDescent="0.25">
      <c r="A129" s="777"/>
      <c r="B129" s="1248"/>
      <c r="C129" s="783" t="s">
        <v>196</v>
      </c>
      <c r="D129" s="503" t="str">
        <f>Translations!$B$636</f>
        <v>GŠV:</v>
      </c>
      <c r="E129" s="504"/>
      <c r="F129" s="539" t="s">
        <v>262</v>
      </c>
      <c r="G129" s="1603" t="str">
        <f t="shared" si="14"/>
        <v>II tipas</v>
      </c>
      <c r="H129" s="1604"/>
      <c r="I129" s="1112" t="str">
        <f>AJ129</f>
        <v>GJ/1 000 Nm3</v>
      </c>
      <c r="J129" s="540"/>
      <c r="K129" s="541" t="str">
        <f t="shared" si="15"/>
        <v/>
      </c>
      <c r="L129" s="1339">
        <v>33.695999999999998</v>
      </c>
      <c r="M129" s="700" t="str">
        <f>IF(AND(E117&lt;&gt;"",OR(F129="",COUNT(K129:L129)=0),Y129&lt;&gt;EUconst_NA,T117&lt;&gt;TRUE),EUconst_ERR_Incomplete,IF(COUNTIF(AX129:AZ129,TRUE)&gt;0,EUconst_ERR_Inconsistent,""))</f>
        <v/>
      </c>
      <c r="O129" s="1305"/>
      <c r="P129" s="33"/>
      <c r="Q129" s="33"/>
      <c r="R129" s="33"/>
      <c r="S129" s="30"/>
      <c r="T129" s="543" t="str">
        <f>EUconst_CNTR_NCV&amp;E117</f>
        <v>NCV_Degimas: Kitas dujinis ir skystasis kuras</v>
      </c>
      <c r="U129" s="488"/>
      <c r="V129" s="544" t="str">
        <f t="shared" ref="V129:V134" si="20">V128</f>
        <v>Dujinis – Gamtinės dujos</v>
      </c>
      <c r="W129" s="30"/>
      <c r="X129" s="488"/>
      <c r="Y129" s="545">
        <f>IF(OR(T117=TRUE,E117=""),"",IF(F129=EUconst_NA,EUconst_NA,INDEX(EUwideConstants!$N:$N,MATCH(T129,EUwideConstants!$Q:$Q,0))))</f>
        <v>3</v>
      </c>
      <c r="Z129" s="546" t="str">
        <f>IF(ISBLANK(F129),"",IF(F129=EUconst_NA,"",INDEX(EUwideConstants!$H:$M,MATCH(T129,EUwideConstants!$Q:$Q,0),MATCH(F129,CNTR_TierList,0))))</f>
        <v>II tipas</v>
      </c>
      <c r="AA129" s="547">
        <f>IF(COUNTIF(EUconst_DefaultValues,Z129)&gt;0,MATCH(Z129,EUconst_DefaultValues,0),"")</f>
        <v>2</v>
      </c>
      <c r="AB129" s="30"/>
      <c r="AC129" s="548" t="b">
        <f>AND(AC126,Y129&lt;&gt;EUconst_NA)</f>
        <v>1</v>
      </c>
      <c r="AD129" s="30"/>
      <c r="AE129" s="549" t="str">
        <f>EUconst_CNTR_NCV&amp;EUconst_Unit</f>
        <v>NCV_Vienetas</v>
      </c>
      <c r="AF129" s="550" t="str">
        <f>IF(AC129=TRUE, IF(COUNTIF(MSPara_SourceStreamCategory,V129)=0,"",INDEX(MSPara_CalcFactorsMatrix,MATCH(V129,MSPara_SourceStreamCategory,0),MATCH(AE129&amp;"_"&amp;2,MSPara_CalcFactors,0))),"")</f>
        <v>netaik.</v>
      </c>
      <c r="AG129" s="551" t="str">
        <f>IF(AC129=TRUE, IF(COUNTIF(MSPara_SourceStreamCategory,V129)=0,"",INDEX(MSPara_CalcFactorsMatrix,MATCH(V129,MSPara_SourceStreamCategory,0),MATCH(AE129&amp;"_"&amp;1,MSPara_CalcFactors,0))),"")</f>
        <v>GJ/t</v>
      </c>
      <c r="AH129" s="552" t="str">
        <f>IF(AA129="","",INDEX(AF129:AG129,3-AA129))</f>
        <v>netaik.</v>
      </c>
      <c r="AI129" s="553"/>
      <c r="AJ129" s="548" t="str">
        <f>IF(AC129=TRUE,IF(AJ126="","",IF(AJ126=EUconst_kNm3,EUconst_GJpkNm3,EUconst_GJpt)),"")</f>
        <v>GJ/1 000 Nm3</v>
      </c>
      <c r="AK129" s="554"/>
      <c r="AL129" s="333"/>
      <c r="AM129" s="549" t="str">
        <f>EUconst_CNTR_NCV&amp;EUconst_Value</f>
        <v>NCV_Vertė</v>
      </c>
      <c r="AN129" s="555" t="str">
        <f>IF(AC129=TRUE,IF(COUNTIF(MSPara_SourceStreamCategory,V129)=0,"",INDEX(MSPara_CalcFactorsMatrix,MATCH(V129,MSPara_SourceStreamCategory,0),MATCH(AM129&amp;"_"&amp;2,MSPara_CalcFactors,0))),"")</f>
        <v>netaik.</v>
      </c>
      <c r="AO129" s="556">
        <f>IF(AC129=TRUE,IF(COUNTIF(MSPara_SourceStreamCategory,V129)=0,"",INDEX(MSPara_CalcFactorsMatrix,MATCH(V129,MSPara_SourceStreamCategory,0),MATCH(AM129&amp;"_"&amp;1,MSPara_CalcFactors,0))),"")</f>
        <v>48</v>
      </c>
      <c r="AP129" s="548" t="b">
        <f>AND(AND(AH129&lt;&gt;"",AJ129&lt;&gt;""),AJ129=AH129)</f>
        <v>0</v>
      </c>
      <c r="AQ129" s="557" t="str">
        <f>IF(AND(AA129&lt;&gt;"",AP129=TRUE),IF(OR(INDEX(AN129:AO129,3-AA129)=EUconst_NA,INDEX(AN129:AO129,3-AA129)=0),"",INDEX(AN129:AO129,3-AA129)),"")</f>
        <v/>
      </c>
      <c r="AR129" s="548">
        <f>IF(AC129=TRUE,IF(COUNT(K129:L129)=0,0,IF(L129="",K129,L129)),0)</f>
        <v>33.695999999999998</v>
      </c>
      <c r="AS129" s="544" t="b">
        <f>AND(AC129=TRUE,OR(AND(F129&lt;&gt;"",NOT(ISNUMBER(AA129))),L129&lt;&gt;"",F129="",AQ129=""))</f>
        <v>1</v>
      </c>
      <c r="AT129" s="544" t="b">
        <f t="shared" si="16"/>
        <v>0</v>
      </c>
      <c r="AU129" s="30"/>
      <c r="AV129" s="558" t="b">
        <f t="shared" si="17"/>
        <v>1</v>
      </c>
      <c r="AW129" s="559" t="b">
        <f t="shared" si="18"/>
        <v>1</v>
      </c>
      <c r="AX129" s="30"/>
      <c r="AY129" s="544" t="b">
        <f t="shared" si="19"/>
        <v>0</v>
      </c>
      <c r="AZ129" s="30"/>
      <c r="BA129" s="30"/>
      <c r="BB129" s="538" t="s">
        <v>589</v>
      </c>
      <c r="BC129" s="537">
        <f>IF(K116=BC126,AR126*IF(AJ128=EUconst_tCO2pTJ,(AR129/1000),1)*AR128*AR130*AR133,"")</f>
        <v>0</v>
      </c>
      <c r="BD129" s="515" t="str">
        <f>IF(K116=BD126,AR126*AR128*AR131*AR133,"")</f>
        <v/>
      </c>
      <c r="BE129" s="514" t="str">
        <f>IF(K116=BE126,3.664*AR126*AR132*AR133,"")</f>
        <v/>
      </c>
      <c r="BF129" s="30"/>
      <c r="BG129" s="30"/>
      <c r="BH129" s="30"/>
      <c r="BI129" s="30"/>
      <c r="BJ129" s="30"/>
      <c r="BK129" s="30"/>
      <c r="BL129" s="30"/>
      <c r="BM129" s="30"/>
      <c r="BN129" s="30"/>
      <c r="BO129" s="30"/>
      <c r="BP129" s="30"/>
      <c r="BQ129" s="30"/>
      <c r="BR129" s="30"/>
      <c r="BS129" s="30"/>
      <c r="BT129" s="30"/>
      <c r="BU129" s="30"/>
      <c r="BV129" s="30"/>
      <c r="BW129" s="30"/>
      <c r="BX129" s="30"/>
      <c r="BY129" s="30"/>
      <c r="BZ129" s="544" t="b">
        <f>OR(BZ126,Y129=EUconst_NA)</f>
        <v>0</v>
      </c>
    </row>
    <row r="130" spans="1:78" s="140" customFormat="1" ht="12.75" customHeight="1" thickBot="1" x14ac:dyDescent="0.25">
      <c r="A130" s="777"/>
      <c r="B130" s="1248"/>
      <c r="C130" s="783" t="s">
        <v>197</v>
      </c>
      <c r="D130" s="503" t="str">
        <f>Translations!$B$638</f>
        <v>Oksidacijos koef.:</v>
      </c>
      <c r="E130" s="504"/>
      <c r="F130" s="539">
        <v>1</v>
      </c>
      <c r="G130" s="1603" t="str">
        <f t="shared" si="14"/>
        <v>OksK = 1</v>
      </c>
      <c r="H130" s="1604"/>
      <c r="I130" s="1113" t="str">
        <f>IF(OR(AC130=FALSE,Y130=EUconst_NA),"","-")</f>
        <v>-</v>
      </c>
      <c r="J130" s="560"/>
      <c r="K130" s="561">
        <f t="shared" si="15"/>
        <v>1</v>
      </c>
      <c r="L130" s="694"/>
      <c r="M130" s="700" t="str">
        <f>IF(AND(E117&lt;&gt;"",OR(F130="",COUNT(K130:L130)=0),Y130&lt;&gt;EUconst_NA,T117&lt;&gt;TRUE),EUconst_ERR_Incomplete,IF(COUNTIF(AX130:AZ130,TRUE)&gt;0,EUconst_ERR_Inconsistent,""))</f>
        <v/>
      </c>
      <c r="O130" s="1305"/>
      <c r="P130" s="33"/>
      <c r="Q130" s="33"/>
      <c r="R130" s="33"/>
      <c r="S130" s="30"/>
      <c r="T130" s="543" t="str">
        <f>EUconst_CNTR_OxidationFactor&amp;E117</f>
        <v>OxF_Degimas: Kitas dujinis ir skystasis kuras</v>
      </c>
      <c r="U130" s="488"/>
      <c r="V130" s="544" t="str">
        <f t="shared" si="20"/>
        <v>Dujinis – Gamtinės dujos</v>
      </c>
      <c r="W130" s="30"/>
      <c r="X130" s="488"/>
      <c r="Y130" s="545">
        <f>IF(OR(T117=TRUE,E117=""),"",INDEX(EUwideConstants!$N:$N,MATCH(T130,EUwideConstants!$Q:$Q,0)))</f>
        <v>1</v>
      </c>
      <c r="Z130" s="546" t="str">
        <f>IF(ISBLANK(F130),"",IF(F130=EUconst_NA,"",INDEX(EUwideConstants!$H:$M,MATCH(T130,EUwideConstants!$Q:$Q,0),MATCH(F130,CNTR_TierList,0))))</f>
        <v>OksK = 1</v>
      </c>
      <c r="AA130" s="525">
        <f>IF(F130=1,1,"")</f>
        <v>1</v>
      </c>
      <c r="AB130" s="30"/>
      <c r="AC130" s="548" t="b">
        <f>AND(AC126,Y130&lt;&gt;EUconst_NA)</f>
        <v>1</v>
      </c>
      <c r="AD130" s="30"/>
      <c r="AE130" s="563"/>
      <c r="AG130" s="564"/>
      <c r="AH130" s="553"/>
      <c r="AI130" s="565"/>
      <c r="AJ130" s="553"/>
      <c r="AK130" s="566"/>
      <c r="AL130" s="333"/>
      <c r="AM130" s="549" t="str">
        <f>EUconst_CNTR_OxidationFactor&amp;EUconst_Value</f>
        <v>OxF_Vertė</v>
      </c>
      <c r="AN130" s="567"/>
      <c r="AO130" s="525">
        <v>1</v>
      </c>
      <c r="AP130" s="553"/>
      <c r="AQ130" s="568">
        <f>IF(AA130="","",AO130)</f>
        <v>1</v>
      </c>
      <c r="AR130" s="548">
        <f>IF(AC130=TRUE,IF(COUNT(K130:L130)=0,0,IF(L130="",K130,L130)),1)</f>
        <v>1</v>
      </c>
      <c r="AS130" s="544" t="b">
        <f>AND(AC130=TRUE,OR(ISNUMBER(L130),NOT(ISNUMBER(AA130))))</f>
        <v>0</v>
      </c>
      <c r="AT130" s="544" t="b">
        <f t="shared" si="16"/>
        <v>1</v>
      </c>
      <c r="AU130" s="30"/>
      <c r="AV130" s="558" t="b">
        <f t="shared" si="17"/>
        <v>0</v>
      </c>
      <c r="AW130" s="559" t="b">
        <f t="shared" si="18"/>
        <v>0</v>
      </c>
      <c r="AX130" s="30"/>
      <c r="AY130" s="585" t="b">
        <f t="shared" si="19"/>
        <v>0</v>
      </c>
      <c r="AZ130" s="522" t="b">
        <f>AR130&gt;100%</f>
        <v>0</v>
      </c>
      <c r="BA130" s="30"/>
      <c r="BB130" s="538" t="s">
        <v>287</v>
      </c>
      <c r="BC130" s="537">
        <f>IF(K116=BC126,AR126*IF(AJ128=EUconst_tCO2pTJ,(AR129/1000),1)*AR128*AR130*(1-AR133),"")</f>
        <v>36.329987341439995</v>
      </c>
      <c r="BD130" s="515" t="str">
        <f>IF(K116=BD126,AR126*AR128*AR131*(1-AR133),"")</f>
        <v/>
      </c>
      <c r="BE130" s="514" t="str">
        <f>IF(K116=BE126,3.664*AR126*AR132*(1-AR133),"")</f>
        <v/>
      </c>
      <c r="BF130" s="30"/>
      <c r="BG130" s="30"/>
      <c r="BH130" s="30"/>
      <c r="BI130" s="30"/>
      <c r="BJ130" s="30"/>
      <c r="BK130" s="30"/>
      <c r="BL130" s="30"/>
      <c r="BM130" s="30"/>
      <c r="BN130" s="30"/>
      <c r="BO130" s="30"/>
      <c r="BP130" s="30"/>
      <c r="BQ130" s="30"/>
      <c r="BR130" s="30"/>
      <c r="BS130" s="30"/>
      <c r="BT130" s="30"/>
      <c r="BU130" s="30"/>
      <c r="BV130" s="30"/>
      <c r="BW130" s="30"/>
      <c r="BX130" s="30"/>
      <c r="BY130" s="30"/>
      <c r="BZ130" s="544" t="b">
        <f>OR(BZ126,Y130=EUconst_NA)</f>
        <v>0</v>
      </c>
    </row>
    <row r="131" spans="1:78" s="140" customFormat="1" ht="12.75" customHeight="1" thickBot="1" x14ac:dyDescent="0.25">
      <c r="A131" s="777"/>
      <c r="B131" s="1248"/>
      <c r="C131" s="783" t="s">
        <v>198</v>
      </c>
      <c r="D131" s="503" t="str">
        <f>Translations!$B$639</f>
        <v>Konversijos koef.:</v>
      </c>
      <c r="E131" s="504"/>
      <c r="F131" s="539"/>
      <c r="G131" s="1603" t="str">
        <f t="shared" si="14"/>
        <v/>
      </c>
      <c r="H131" s="1604"/>
      <c r="I131" s="1113" t="str">
        <f>IF(OR(AC131=FALSE,Y131=EUconst_NA),"","-")</f>
        <v/>
      </c>
      <c r="J131" s="560"/>
      <c r="K131" s="561" t="str">
        <f t="shared" si="15"/>
        <v/>
      </c>
      <c r="L131" s="694"/>
      <c r="M131" s="700" t="str">
        <f>IF(AND(E117&lt;&gt;"",OR(F131="",COUNT(K131:L131)=0),Y131&lt;&gt;EUconst_NA,T117&lt;&gt;TRUE),EUconst_ERR_Incomplete,IF(COUNTIF(AX131:AZ131,TRUE)&gt;0,EUconst_ERR_Inconsistent,""))</f>
        <v/>
      </c>
      <c r="O131" s="1305"/>
      <c r="P131" s="33"/>
      <c r="Q131" s="33"/>
      <c r="R131" s="33"/>
      <c r="S131" s="30"/>
      <c r="T131" s="543" t="str">
        <f>EUconst_CNTR_ConversionFactor&amp;E117</f>
        <v>ConvF_Degimas: Kitas dujinis ir skystasis kuras</v>
      </c>
      <c r="U131" s="488"/>
      <c r="V131" s="544" t="str">
        <f t="shared" si="20"/>
        <v>Dujinis – Gamtinės dujos</v>
      </c>
      <c r="W131" s="30"/>
      <c r="X131" s="488"/>
      <c r="Y131" s="545" t="str">
        <f>IF(OR(T117=TRUE,E117=""),"",INDEX(EUwideConstants!$N:$N,MATCH(T131,EUwideConstants!$Q:$Q,0)))</f>
        <v>netaik.</v>
      </c>
      <c r="Z131" s="546" t="str">
        <f>IF(ISBLANK(F131),"",IF(F131=EUconst_NA,"",INDEX(EUwideConstants!$H:$M,MATCH(T131,EUwideConstants!$Q:$Q,0),MATCH(F131,CNTR_TierList,0))))</f>
        <v/>
      </c>
      <c r="AA131" s="573" t="str">
        <f>IF(F131=1,1,"")</f>
        <v/>
      </c>
      <c r="AB131" s="30"/>
      <c r="AC131" s="548" t="b">
        <f>AND(AC126,Y131&lt;&gt;EUconst_NA)</f>
        <v>0</v>
      </c>
      <c r="AD131" s="30"/>
      <c r="AE131" s="563"/>
      <c r="AG131" s="564"/>
      <c r="AH131" s="574"/>
      <c r="AI131" s="565"/>
      <c r="AJ131" s="574"/>
      <c r="AK131" s="566"/>
      <c r="AL131" s="333"/>
      <c r="AM131" s="549" t="str">
        <f>EUconst_CNTR_ConversionFactor&amp;EUconst_Value</f>
        <v>ConvF_Vertė</v>
      </c>
      <c r="AN131" s="575"/>
      <c r="AO131" s="573">
        <v>1</v>
      </c>
      <c r="AP131" s="574"/>
      <c r="AQ131" s="576" t="str">
        <f>IF(AA131="","",AO131)</f>
        <v/>
      </c>
      <c r="AR131" s="548">
        <f>IF(AC131=TRUE,IF(COUNT(K131:L131)=0,0,IF(L131="",K131,L131)),1)</f>
        <v>1</v>
      </c>
      <c r="AS131" s="544" t="b">
        <f>AND(AC131=TRUE,OR(ISNUMBER(L131),NOT(ISNUMBER(AA131))))</f>
        <v>0</v>
      </c>
      <c r="AT131" s="544" t="b">
        <f t="shared" si="16"/>
        <v>0</v>
      </c>
      <c r="AU131" s="30"/>
      <c r="AV131" s="558" t="b">
        <f t="shared" si="17"/>
        <v>0</v>
      </c>
      <c r="AW131" s="559" t="b">
        <f t="shared" si="18"/>
        <v>0</v>
      </c>
      <c r="AX131" s="30"/>
      <c r="AY131" s="585" t="b">
        <f t="shared" si="19"/>
        <v>0</v>
      </c>
      <c r="AZ131" s="571" t="b">
        <f>AR131&gt;100%</f>
        <v>0</v>
      </c>
      <c r="BA131" s="30"/>
      <c r="BB131" s="569" t="s">
        <v>481</v>
      </c>
      <c r="BC131" s="570">
        <f>AR126*AR129/1000*(1-AR133)</f>
        <v>0.65376979199999996</v>
      </c>
      <c r="BD131" s="571">
        <f>BC131</f>
        <v>0.65376979199999996</v>
      </c>
      <c r="BE131" s="572">
        <f>BC131</f>
        <v>0.65376979199999996</v>
      </c>
      <c r="BF131" s="30"/>
      <c r="BG131" s="30"/>
      <c r="BH131" s="30"/>
      <c r="BI131" s="30"/>
      <c r="BJ131" s="30"/>
      <c r="BK131" s="30"/>
      <c r="BL131" s="30"/>
      <c r="BM131" s="30"/>
      <c r="BN131" s="30"/>
      <c r="BO131" s="30"/>
      <c r="BP131" s="30"/>
      <c r="BQ131" s="30"/>
      <c r="BR131" s="30"/>
      <c r="BS131" s="30"/>
      <c r="BT131" s="30"/>
      <c r="BU131" s="30"/>
      <c r="BV131" s="30"/>
      <c r="BW131" s="30"/>
      <c r="BX131" s="30"/>
      <c r="BY131" s="30"/>
      <c r="BZ131" s="544" t="b">
        <f>OR(BZ126,Y131=EUconst_NA)</f>
        <v>1</v>
      </c>
    </row>
    <row r="132" spans="1:78" s="140" customFormat="1" ht="12.75" customHeight="1" thickBot="1" x14ac:dyDescent="0.25">
      <c r="A132" s="777"/>
      <c r="B132" s="1248"/>
      <c r="C132" s="783" t="s">
        <v>324</v>
      </c>
      <c r="D132" s="503" t="str">
        <f>Translations!$B$640</f>
        <v>Anglies kiekis (C):</v>
      </c>
      <c r="E132" s="504"/>
      <c r="F132" s="539"/>
      <c r="G132" s="1603" t="str">
        <f t="shared" si="14"/>
        <v/>
      </c>
      <c r="H132" s="1604"/>
      <c r="I132" s="1113" t="str">
        <f>AJ132</f>
        <v/>
      </c>
      <c r="J132" s="577"/>
      <c r="K132" s="578" t="str">
        <f t="shared" si="15"/>
        <v/>
      </c>
      <c r="L132" s="579"/>
      <c r="M132" s="700" t="str">
        <f>IF(AND(E117&lt;&gt;"",OR(F132="",COUNT(K132:L132)=0),Y132&lt;&gt;EUconst_NA,T117&lt;&gt;TRUE),EUconst_ERR_Incomplete,IF(COUNTIF(AX132:AZ132,TRUE)&gt;0,EUconst_ERR_Inconsistent,""))</f>
        <v/>
      </c>
      <c r="O132" s="1305"/>
      <c r="P132" s="33"/>
      <c r="Q132" s="33"/>
      <c r="R132" s="33"/>
      <c r="S132" s="30"/>
      <c r="T132" s="543" t="str">
        <f>EUconst_CNTR_CarbonContent&amp;E117</f>
        <v>CarbC_Degimas: Kitas dujinis ir skystasis kuras</v>
      </c>
      <c r="U132" s="488"/>
      <c r="V132" s="544" t="str">
        <f t="shared" si="20"/>
        <v>Dujinis – Gamtinės dujos</v>
      </c>
      <c r="W132" s="30"/>
      <c r="X132" s="488"/>
      <c r="Y132" s="545" t="str">
        <f>IF(OR(T117=TRUE,E117=""),"",INDEX(EUwideConstants!$N:$N,MATCH(T132,EUwideConstants!$Q:$Q,0)))</f>
        <v>netaik.</v>
      </c>
      <c r="Z132" s="546" t="str">
        <f>IF(ISBLANK(F132),"",IF(F132=EUconst_NA,"",INDEX(EUwideConstants!$H:$M,MATCH(T132,EUwideConstants!$Q:$Q,0),MATCH(F132,CNTR_TierList,0))))</f>
        <v/>
      </c>
      <c r="AA132" s="580" t="str">
        <f>IF(COUNTIF(EUconst_DefaultValues,Z132)&gt;0,MATCH(Z132,EUconst_DefaultValues,0),"")</f>
        <v/>
      </c>
      <c r="AB132" s="30"/>
      <c r="AC132" s="548" t="b">
        <f>AND(AC126,Y132&lt;&gt;EUconst_NA)</f>
        <v>0</v>
      </c>
      <c r="AD132" s="30"/>
      <c r="AE132" s="549" t="str">
        <f>EUconst_CNTR_CarbonContent&amp;EUconst_Unit</f>
        <v>CarbC_Vienetas</v>
      </c>
      <c r="AF132" s="550" t="str">
        <f>IF(AC132=TRUE, IF(COUNTIF(MSPara_SourceStreamCategory,V132)=0,"",INDEX(MSPara_CalcFactorsMatrix,MATCH(V132,MSPara_SourceStreamCategory,0),MATCH(AE132&amp;"_"&amp;2,MSPara_CalcFactors,0))),"")</f>
        <v/>
      </c>
      <c r="AG132" s="551" t="str">
        <f>IF(AC132=TRUE, IF(COUNTIF(MSPara_SourceStreamCategory,V132)=0,"",INDEX(MSPara_CalcFactorsMatrix,MATCH(V132,MSPara_SourceStreamCategory,0),MATCH(AE132&amp;"_"&amp;1,MSPara_CalcFactors,0))),"")</f>
        <v/>
      </c>
      <c r="AH132" s="581" t="str">
        <f>IF(AA132="","",INDEX(AF132:AG132,3-AA132))</f>
        <v/>
      </c>
      <c r="AI132" s="565"/>
      <c r="AJ132" s="582" t="str">
        <f>IF(AC132=TRUE,IF(AJ126="","",IF(AJ126=EUconst_kNm3,EUconst_tCpkNm3,EUconst_tCpt)),"")</f>
        <v/>
      </c>
      <c r="AK132" s="566"/>
      <c r="AL132" s="333"/>
      <c r="AM132" s="549" t="str">
        <f>EUconst_CNTR_CarbonContent&amp;EUconst_Value</f>
        <v>CarbC_Vertė</v>
      </c>
      <c r="AN132" s="555" t="str">
        <f>IF(AC132=TRUE,IF(COUNTIF(MSPara_SourceStreamCategory,V132)=0,"",INDEX(MSPara_CalcFactorsMatrix,MATCH(V132,MSPara_SourceStreamCategory,0),MATCH(AM132&amp;"_"&amp;2,MSPara_CalcFactors,0))),"")</f>
        <v/>
      </c>
      <c r="AO132" s="583" t="str">
        <f>IF(AC132=TRUE,IF(COUNTIF(MSPara_SourceStreamCategory,V132)=0,"",INDEX(MSPara_CalcFactorsMatrix,MATCH(V132,MSPara_SourceStreamCategory,0),MATCH(AM132&amp;"_"&amp;1,MSPara_CalcFactors,0))),"")</f>
        <v/>
      </c>
      <c r="AP132" s="548" t="b">
        <f>AND(AND(AH132&lt;&gt;"",AJ132&lt;&gt;""),AJ132=AH132)</f>
        <v>0</v>
      </c>
      <c r="AQ132" s="584" t="str">
        <f>IF(AND(AA132&lt;&gt;"",AP132=TRUE),IF(OR(INDEX(AN132:AO132,3-AA132)=EUconst_NA,INDEX(AN132:AO132,3-AA132)=0),"",INDEX(AN132:AO132,3-AA132)),"")</f>
        <v/>
      </c>
      <c r="AR132" s="548">
        <f>IF(AC132=TRUE,IF(COUNT(K132:L132)=0,0,IF(L132="",K132,L132)),0)</f>
        <v>0</v>
      </c>
      <c r="AS132" s="544" t="b">
        <f>AND(AC132=TRUE,OR(AND(F132&lt;&gt;"",NOT(ISNUMBER(AA132))),L132&lt;&gt;"",F132="",AQ132=""))</f>
        <v>0</v>
      </c>
      <c r="AT132" s="544" t="b">
        <f t="shared" si="16"/>
        <v>0</v>
      </c>
      <c r="AU132" s="30"/>
      <c r="AV132" s="558" t="b">
        <f t="shared" si="17"/>
        <v>0</v>
      </c>
      <c r="AW132" s="559" t="b">
        <f t="shared" si="18"/>
        <v>0</v>
      </c>
      <c r="AX132" s="537" t="b">
        <f>OR(AND(AJ126=EUconst_kNm3,AJ132=EUconst_tCpt),AND(AJ126=EUconst_t,AJ132=EUconst_tCpkNm3))</f>
        <v>0</v>
      </c>
      <c r="AY132" s="544" t="b">
        <f t="shared" si="19"/>
        <v>0</v>
      </c>
      <c r="AZ132" s="30"/>
      <c r="BA132" s="30"/>
      <c r="BB132" s="569" t="s">
        <v>482</v>
      </c>
      <c r="BC132" s="570">
        <f>AR126*AR129/1000*AR133</f>
        <v>0</v>
      </c>
      <c r="BD132" s="571">
        <f>BC132</f>
        <v>0</v>
      </c>
      <c r="BE132" s="572">
        <f>BC132</f>
        <v>0</v>
      </c>
      <c r="BF132" s="30"/>
      <c r="BG132" s="30"/>
      <c r="BH132" s="30"/>
      <c r="BI132" s="30"/>
      <c r="BJ132" s="30"/>
      <c r="BK132" s="30"/>
      <c r="BL132" s="30"/>
      <c r="BM132" s="30"/>
      <c r="BN132" s="30"/>
      <c r="BO132" s="30"/>
      <c r="BP132" s="30"/>
      <c r="BQ132" s="30"/>
      <c r="BR132" s="30"/>
      <c r="BS132" s="30"/>
      <c r="BT132" s="30"/>
      <c r="BU132" s="30"/>
      <c r="BV132" s="30"/>
      <c r="BW132" s="30"/>
      <c r="BX132" s="30"/>
      <c r="BY132" s="30"/>
      <c r="BZ132" s="544" t="b">
        <f>OR(BZ126,Y132=EUconst_NA)</f>
        <v>1</v>
      </c>
    </row>
    <row r="133" spans="1:78" s="140" customFormat="1" ht="12.75" customHeight="1" x14ac:dyDescent="0.2">
      <c r="A133" s="777"/>
      <c r="B133" s="1248"/>
      <c r="C133" s="753" t="s">
        <v>325</v>
      </c>
      <c r="D133" s="503" t="str">
        <f>Translations!$B$641</f>
        <v>Biomasės dalis (BioC):</v>
      </c>
      <c r="E133" s="504"/>
      <c r="F133" s="539"/>
      <c r="G133" s="1603" t="str">
        <f t="shared" si="14"/>
        <v/>
      </c>
      <c r="H133" s="1604"/>
      <c r="I133" s="1113" t="str">
        <f>IF(OR(AC133=FALSE,Y133=EUconst_NA),"","-")</f>
        <v/>
      </c>
      <c r="J133" s="560"/>
      <c r="K133" s="561" t="str">
        <f t="shared" si="15"/>
        <v/>
      </c>
      <c r="L133" s="694"/>
      <c r="M133" s="700" t="str">
        <f>IF(AND(E117&lt;&gt;"",OR(F133="",COUNT(K133:L133)=0),Y133&lt;&gt;EUconst_NA,T117&lt;&gt;TRUE),EUconst_ERR_Incomplete,IF(COUNTIF(AX133:AZ133,TRUE)&gt;0,EUconst_ERR_Inconsistent,""))</f>
        <v/>
      </c>
      <c r="O133" s="1305"/>
      <c r="P133" s="635"/>
      <c r="Q133" s="635"/>
      <c r="R133" s="635"/>
      <c r="S133" s="30"/>
      <c r="T133" s="543" t="str">
        <f>EUconst_CNTR_BiomassContent&amp;E117</f>
        <v>BioC_Degimas: Kitas dujinis ir skystasis kuras</v>
      </c>
      <c r="U133" s="488"/>
      <c r="V133" s="585" t="str">
        <f t="shared" si="20"/>
        <v>Dujinis – Gamtinės dujos</v>
      </c>
      <c r="W133" s="522" t="b">
        <f>IF(COUNTIF(MSPara_SourceStreamCategory,V133)=0,"",INDEX(MSPara_IsFossil,MATCH(V133,MSPara_SourceStreamCategory,0)))</f>
        <v>1</v>
      </c>
      <c r="X133" s="488"/>
      <c r="Y133" s="545" t="str">
        <f>IF(OR(T117=TRUE,E117=""),"",IF(OR(W133=TRUE,F133=EUconst_NA),EUconst_NA,INDEX(EUwideConstants!$N:$N,MATCH(T133,EUwideConstants!$Q:$Q,0))))</f>
        <v>netaik.</v>
      </c>
      <c r="Z133" s="546" t="str">
        <f>IF(ISBLANK(F133),"",IF(F133=EUconst_NA,"",INDEX(EUwideConstants!$H:$M,MATCH(T133,EUwideConstants!$Q:$Q,0),MATCH(F133,CNTR_TierList,0))))</f>
        <v/>
      </c>
      <c r="AA133" s="586" t="str">
        <f>IF(F133=1,1,"")</f>
        <v/>
      </c>
      <c r="AB133" s="30"/>
      <c r="AC133" s="548" t="b">
        <f>AND(AC126,Y133&lt;&gt;EUconst_NA)</f>
        <v>0</v>
      </c>
      <c r="AD133" s="30"/>
      <c r="AE133" s="563"/>
      <c r="AG133" s="564"/>
      <c r="AH133" s="553"/>
      <c r="AI133" s="565"/>
      <c r="AJ133" s="553"/>
      <c r="AK133" s="566"/>
      <c r="AL133" s="333"/>
      <c r="AM133" s="549" t="str">
        <f>EUconst_CNTR_BiomassContent&amp;EUconst_Value</f>
        <v>BioC_Vertė</v>
      </c>
      <c r="AO133" s="587" t="str">
        <f>IF(AC133=TRUE,IF(COUNTIF(MSPara_SourceStreamCategory,V133)=0,"",INDEX(MSPara_CalcFactorsMatrix,MATCH(V133,MSPara_SourceStreamCategory,0),MATCH(AM133&amp;"_"&amp;2,MSPara_CalcFactors,0))),"")</f>
        <v/>
      </c>
      <c r="AP133" s="553"/>
      <c r="AQ133" s="568" t="str">
        <f>IF(OR(AA133="",AO133=EUconst_NA),"",AO133)</f>
        <v/>
      </c>
      <c r="AR133" s="548">
        <f>IF(AC133=TRUE,IF(COUNT(K133:L133)=0,0,IF(L133="",K133,L133)),0)</f>
        <v>0</v>
      </c>
      <c r="AS133" s="544" t="b">
        <f>AND(AC133=TRUE,OR(AND(F133&lt;&gt;"",NOT(ISNUMBER(AA133))),L133&lt;&gt;"",F133="",AQ133=""))</f>
        <v>0</v>
      </c>
      <c r="AT133" s="544" t="b">
        <f t="shared" si="16"/>
        <v>0</v>
      </c>
      <c r="AU133" s="30"/>
      <c r="AV133" s="558" t="b">
        <f t="shared" si="17"/>
        <v>0</v>
      </c>
      <c r="AW133" s="559" t="b">
        <f t="shared" si="18"/>
        <v>0</v>
      </c>
      <c r="AX133" s="30"/>
      <c r="AY133" s="585" t="b">
        <f t="shared" si="19"/>
        <v>0</v>
      </c>
      <c r="AZ133" s="522" t="b">
        <f>OR(AR133&gt;100%,(AR133+AR134)&gt;100%)</f>
        <v>0</v>
      </c>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544" t="b">
        <f>OR(BZ126,Y133=EUconst_NA)</f>
        <v>1</v>
      </c>
    </row>
    <row r="134" spans="1:78" s="140" customFormat="1" ht="12.75" customHeight="1" thickBot="1" x14ac:dyDescent="0.25">
      <c r="A134" s="777"/>
      <c r="B134" s="1248"/>
      <c r="C134" s="753" t="s">
        <v>448</v>
      </c>
      <c r="D134" s="503" t="str">
        <f>Translations!$B$647</f>
        <v>Netvarios BioC dalis:</v>
      </c>
      <c r="E134" s="504"/>
      <c r="F134" s="588"/>
      <c r="G134" s="1603" t="str">
        <f t="shared" si="14"/>
        <v/>
      </c>
      <c r="H134" s="1604"/>
      <c r="I134" s="1114" t="str">
        <f>IF(OR(AC134=FALSE,Y134=EUconst_NA),"","-")</f>
        <v/>
      </c>
      <c r="J134" s="560"/>
      <c r="K134" s="589" t="str">
        <f t="shared" si="15"/>
        <v/>
      </c>
      <c r="L134" s="1100"/>
      <c r="M134" s="700" t="str">
        <f>IF(AND(E117&lt;&gt;"",OR(F134="",COUNT(K134:L134)=0),Y134&lt;&gt;EUconst_NA,T117&lt;&gt;TRUE),EUconst_ERR_Incomplete,IF(COUNTIF(AX134:AZ134,TRUE)&gt;0,EUconst_ERR_Inconsistent,""))</f>
        <v/>
      </c>
      <c r="O134" s="1305"/>
      <c r="P134" s="635"/>
      <c r="Q134" s="635"/>
      <c r="R134" s="635"/>
      <c r="S134" s="30"/>
      <c r="T134" s="590" t="str">
        <f>EUconst_CNTR_BiomassContent&amp;E117</f>
        <v>BioC_Degimas: Kitas dujinis ir skystasis kuras</v>
      </c>
      <c r="U134" s="488"/>
      <c r="V134" s="570" t="str">
        <f t="shared" si="20"/>
        <v>Dujinis – Gamtinės dujos</v>
      </c>
      <c r="W134" s="571" t="b">
        <f>IF(COUNTIF(MSPara_SourceStreamCategory,V134)=0,"",INDEX(MSPara_IsFossil,MATCH(V134,MSPara_SourceStreamCategory,0)))</f>
        <v>1</v>
      </c>
      <c r="X134" s="488"/>
      <c r="Y134" s="591" t="str">
        <f>IF(OR(T117=TRUE,E117=""),"",IF(OR(W134=TRUE,F134=EUconst_NA),EUconst_NA,INDEX(EUwideConstants!$N:$N,MATCH(T134,EUwideConstants!$Q:$Q,0))))</f>
        <v>netaik.</v>
      </c>
      <c r="Z134" s="592" t="str">
        <f>IF(ISBLANK(F134),"",IF(F134=EUconst_NA,"",INDEX(EUwideConstants!$H:$M,MATCH(T134,EUwideConstants!$Q:$Q,0),MATCH(F134,CNTR_TierList,0))))</f>
        <v/>
      </c>
      <c r="AA134" s="593" t="str">
        <f>IF(F134=1,1,"")</f>
        <v/>
      </c>
      <c r="AB134" s="30"/>
      <c r="AC134" s="594" t="b">
        <f>AND(AC126,Y134&lt;&gt;EUconst_NA)</f>
        <v>0</v>
      </c>
      <c r="AD134" s="30"/>
      <c r="AE134" s="595"/>
      <c r="AF134" s="596"/>
      <c r="AG134" s="597"/>
      <c r="AH134" s="598"/>
      <c r="AI134" s="598"/>
      <c r="AJ134" s="598"/>
      <c r="AK134" s="599"/>
      <c r="AL134" s="333"/>
      <c r="AM134" s="600" t="str">
        <f>EUconst_CNTR_BiomassContent&amp;EUconst_Value</f>
        <v>BioC_Vertė</v>
      </c>
      <c r="AN134" s="596"/>
      <c r="AO134" s="601" t="str">
        <f>IF(AC134=TRUE,IF(COUNTIF(MSPara_SourceStreamCategory,V134)=0,"",INDEX(MSPara_CalcFactorsMatrix,MATCH(V134,MSPara_SourceStreamCategory,0),MATCH(AM134&amp;"_"&amp;2,MSPara_CalcFactors,0))),"")</f>
        <v/>
      </c>
      <c r="AP134" s="598"/>
      <c r="AQ134" s="602" t="str">
        <f>IF(OR(AA134="",AO134=EUconst_NA),"",AO134)</f>
        <v/>
      </c>
      <c r="AR134" s="594">
        <f>IF(AC134=TRUE,IF(COUNT(K134:L134)=0,0,IF(L134="",K134,L134)),0)</f>
        <v>0</v>
      </c>
      <c r="AS134" s="603" t="b">
        <f>AND(AC134=TRUE,OR(AND(F134&lt;&gt;"",NOT(ISNUMBER(AA134))),L134&lt;&gt;"",F134="",AQ134=""))</f>
        <v>0</v>
      </c>
      <c r="AT134" s="603" t="b">
        <f t="shared" si="16"/>
        <v>0</v>
      </c>
      <c r="AU134" s="30"/>
      <c r="AV134" s="604" t="b">
        <f t="shared" si="17"/>
        <v>0</v>
      </c>
      <c r="AW134" s="605" t="b">
        <f t="shared" si="18"/>
        <v>0</v>
      </c>
      <c r="AX134" s="30"/>
      <c r="AY134" s="570" t="b">
        <f t="shared" si="19"/>
        <v>0</v>
      </c>
      <c r="AZ134" s="571" t="b">
        <f>OR(AR133&gt;100%,(AR133+AR134)&gt;100%)</f>
        <v>0</v>
      </c>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571" t="b">
        <f>OR(BZ126,Y134=EUconst_NA)</f>
        <v>1</v>
      </c>
    </row>
    <row r="135" spans="1:78" s="140" customFormat="1" ht="5.0999999999999996" customHeight="1" x14ac:dyDescent="0.2">
      <c r="A135" s="777"/>
      <c r="B135" s="1248"/>
      <c r="C135" s="164"/>
      <c r="D135" s="178"/>
      <c r="O135" s="1305"/>
      <c r="P135" s="33"/>
      <c r="Q135" s="33"/>
      <c r="R135" s="33"/>
      <c r="S135" s="172"/>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row>
    <row r="136" spans="1:78" s="140" customFormat="1" ht="12.75" customHeight="1" x14ac:dyDescent="0.2">
      <c r="A136" s="777"/>
      <c r="B136" s="1248"/>
      <c r="C136" s="164"/>
      <c r="D136" s="1629" t="str">
        <f>Translations!$B$674</f>
        <v>Pakopos galioja nuo:</v>
      </c>
      <c r="E136" s="1629"/>
      <c r="F136" s="1630"/>
      <c r="G136" s="1014"/>
      <c r="H136" s="606" t="str">
        <f>Translations!$B$675</f>
        <v>iki:</v>
      </c>
      <c r="I136" s="1014"/>
      <c r="J136" s="1620" t="str">
        <f>Translations!$B$676</f>
        <v>Atliekų katalogo numeris (jeigu taikytina):</v>
      </c>
      <c r="K136" s="1621"/>
      <c r="L136" s="1621"/>
      <c r="M136" s="1622"/>
      <c r="N136" s="1232"/>
      <c r="O136" s="1305"/>
      <c r="P136" s="33"/>
      <c r="Q136" s="33"/>
      <c r="R136" s="33"/>
      <c r="S136" s="1233"/>
      <c r="T136" s="483"/>
      <c r="U136" s="483"/>
      <c r="V136" s="48" t="b">
        <f>IF(V126="",FALSE,INDEX(CNTR_IsWaste,MATCH(V126,MSParameters!$A$218:$A$376,0)))</f>
        <v>0</v>
      </c>
      <c r="W136" s="1233" t="s">
        <v>1689</v>
      </c>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2" t="b">
        <f>BZ126</f>
        <v>0</v>
      </c>
    </row>
    <row r="137" spans="1:78" s="140" customFormat="1" ht="5.0999999999999996" customHeight="1" x14ac:dyDescent="0.2">
      <c r="A137" s="777"/>
      <c r="B137" s="1248"/>
      <c r="C137" s="164"/>
      <c r="D137" s="606"/>
      <c r="E137" s="486"/>
      <c r="F137" s="486"/>
      <c r="G137" s="486"/>
      <c r="H137" s="486"/>
      <c r="I137" s="486"/>
      <c r="J137" s="486"/>
      <c r="K137" s="486"/>
      <c r="L137" s="486"/>
      <c r="M137" s="486"/>
      <c r="N137" s="486"/>
      <c r="O137" s="1305"/>
      <c r="P137" s="33"/>
      <c r="Q137" s="33"/>
      <c r="R137" s="33"/>
      <c r="S137" s="172"/>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row>
    <row r="138" spans="1:78" s="140" customFormat="1" ht="12.75" customHeight="1" x14ac:dyDescent="0.2">
      <c r="A138" s="777"/>
      <c r="B138" s="1248"/>
      <c r="C138" s="164"/>
      <c r="D138" s="486"/>
      <c r="E138" s="486"/>
      <c r="F138" s="486"/>
      <c r="G138" s="486"/>
      <c r="H138" s="486"/>
      <c r="I138" s="486"/>
      <c r="J138" s="486"/>
      <c r="K138" s="486"/>
      <c r="L138" s="486"/>
      <c r="M138" s="606" t="str">
        <f>Translations!$B$677</f>
        <v>Stebėsenos plane šiam sukėlikliui suteiktas identifikatorius:</v>
      </c>
      <c r="N138" s="705"/>
      <c r="O138" s="1305"/>
      <c r="P138" s="33"/>
      <c r="Q138" s="33"/>
      <c r="R138" s="33"/>
      <c r="S138" s="172"/>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2" t="b">
        <f>BZ136</f>
        <v>0</v>
      </c>
    </row>
    <row r="139" spans="1:78" s="140" customFormat="1" ht="5.0999999999999996" customHeight="1" x14ac:dyDescent="0.2">
      <c r="A139" s="784"/>
      <c r="B139" s="1316"/>
      <c r="D139" s="178"/>
      <c r="O139" s="1317"/>
      <c r="P139" s="488"/>
      <c r="Q139" s="488"/>
      <c r="R139" s="488"/>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row>
    <row r="140" spans="1:78" s="140" customFormat="1" x14ac:dyDescent="0.2">
      <c r="A140" s="784"/>
      <c r="B140" s="1316"/>
      <c r="D140" s="1618" t="str">
        <f>Translations!$B$160</f>
        <v>Pastabos:</v>
      </c>
      <c r="E140" s="1619"/>
      <c r="F140" s="1605"/>
      <c r="G140" s="1606"/>
      <c r="H140" s="1606"/>
      <c r="I140" s="1606"/>
      <c r="J140" s="1606"/>
      <c r="K140" s="1606"/>
      <c r="L140" s="1606"/>
      <c r="M140" s="1606"/>
      <c r="N140" s="1607"/>
      <c r="O140" s="1317"/>
      <c r="P140" s="488"/>
      <c r="Q140" s="488"/>
      <c r="R140" s="488"/>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2" t="b">
        <f>BZ136</f>
        <v>0</v>
      </c>
    </row>
    <row r="141" spans="1:78" s="28" customFormat="1" ht="12.75" customHeight="1" thickBot="1" x14ac:dyDescent="0.25">
      <c r="A141" s="777"/>
      <c r="B141" s="1312"/>
      <c r="C141" s="490"/>
      <c r="D141" s="491"/>
      <c r="E141" s="492"/>
      <c r="F141" s="490"/>
      <c r="G141" s="493"/>
      <c r="H141" s="493"/>
      <c r="I141" s="493"/>
      <c r="J141" s="493"/>
      <c r="K141" s="493"/>
      <c r="L141" s="493"/>
      <c r="M141" s="493"/>
      <c r="N141" s="493"/>
      <c r="O141" s="1313"/>
      <c r="P141" s="485"/>
      <c r="Q141" s="485"/>
      <c r="R141" s="485"/>
      <c r="S141" s="58"/>
      <c r="T141" s="58"/>
      <c r="U141" s="489"/>
      <c r="V141" s="58"/>
      <c r="W141" s="58"/>
      <c r="X141" s="489"/>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30"/>
      <c r="BJ141" s="30"/>
      <c r="BK141" s="30"/>
      <c r="BL141" s="58"/>
      <c r="BM141" s="58"/>
      <c r="BN141" s="58"/>
      <c r="BO141" s="58"/>
      <c r="BP141" s="58"/>
      <c r="BQ141" s="58"/>
      <c r="BR141" s="58"/>
      <c r="BS141" s="58"/>
      <c r="BT141" s="58"/>
      <c r="BU141" s="58"/>
      <c r="BV141" s="58"/>
      <c r="BW141" s="58"/>
      <c r="BX141" s="58"/>
      <c r="BY141" s="58"/>
      <c r="BZ141" s="58"/>
    </row>
    <row r="142" spans="1:78" s="28" customFormat="1" ht="12.75" customHeight="1" thickBot="1" x14ac:dyDescent="0.25">
      <c r="A142" s="782"/>
      <c r="B142" s="1312"/>
      <c r="C142" s="486"/>
      <c r="D142" s="178"/>
      <c r="E142" s="487"/>
      <c r="F142" s="486"/>
      <c r="G142" s="478"/>
      <c r="H142" s="478"/>
      <c r="I142" s="478"/>
      <c r="J142" s="478"/>
      <c r="K142" s="486"/>
      <c r="L142" s="478"/>
      <c r="M142" s="478"/>
      <c r="N142" s="478"/>
      <c r="O142" s="1313"/>
      <c r="P142" s="485"/>
      <c r="Q142" s="485"/>
      <c r="R142" s="485"/>
      <c r="S142" s="23"/>
      <c r="T142" s="27" t="str">
        <f>IF(ISBLANK(E143),"",MATCH(E143,CNTR_SourceStreamNames,0))</f>
        <v/>
      </c>
      <c r="U142" s="609" t="str">
        <f>IF(ISBLANK(E143),"",INDEX(B_InstallationDescription!$D$71:$D$145,MATCH(E143,CNTR_SourceStreamNames,0)))</f>
        <v/>
      </c>
      <c r="V142" s="76"/>
      <c r="W142" s="56"/>
      <c r="X142" s="56"/>
      <c r="Y142" s="56"/>
      <c r="Z142" s="58"/>
      <c r="AA142" s="58"/>
      <c r="AB142" s="58"/>
      <c r="AC142" s="58"/>
      <c r="AD142" s="58"/>
      <c r="AE142" s="58"/>
      <c r="AF142" s="58"/>
      <c r="AG142" s="58"/>
      <c r="AH142" s="58"/>
      <c r="AI142" s="58"/>
      <c r="AJ142" s="58"/>
      <c r="AK142" s="482"/>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6"/>
      <c r="BI142" s="56"/>
      <c r="BJ142" s="56"/>
      <c r="BK142" s="56"/>
      <c r="BL142" s="56"/>
      <c r="BM142" s="56"/>
      <c r="BN142" s="56"/>
      <c r="BO142" s="56"/>
      <c r="BP142" s="56"/>
      <c r="BQ142" s="56"/>
      <c r="BR142" s="56"/>
      <c r="BS142" s="56"/>
      <c r="BT142" s="56"/>
      <c r="BU142" s="56"/>
      <c r="BV142" s="56"/>
      <c r="BW142" s="56"/>
      <c r="BX142" s="56"/>
      <c r="BY142" s="56"/>
      <c r="BZ142" s="484" t="s">
        <v>259</v>
      </c>
    </row>
    <row r="143" spans="1:78" s="140" customFormat="1" ht="15" customHeight="1" thickBot="1" x14ac:dyDescent="0.25">
      <c r="A143" s="1302" t="str">
        <f>IF(E143="","","PRINT")</f>
        <v/>
      </c>
      <c r="B143" s="1248"/>
      <c r="C143" s="608">
        <f>C116+1</f>
        <v>4</v>
      </c>
      <c r="D143" s="164"/>
      <c r="E143" s="1610"/>
      <c r="F143" s="1611"/>
      <c r="G143" s="1611"/>
      <c r="H143" s="1611"/>
      <c r="I143" s="1611"/>
      <c r="J143" s="1612"/>
      <c r="K143" s="1623" t="str">
        <f>IF(E144="","",INDEX(EUwideConstants!$F$353:$F$394,MATCH(E144,EUConst_TierActivityListNames,0)))</f>
        <v/>
      </c>
      <c r="L143" s="1624"/>
      <c r="M143" s="494" t="str">
        <f>Translations!$B$665</f>
        <v>CO2, iškastinio kuro kilmės:</v>
      </c>
      <c r="N143" s="1012" t="str">
        <f>IF(OR(K143="",T144=TRUE),"",INDEX(BC157:BE157,MATCH(K143,BC153:BE153,0)))</f>
        <v/>
      </c>
      <c r="O143" s="1314" t="s">
        <v>257</v>
      </c>
      <c r="P143" s="1303" t="str">
        <f>IF(AND(E143&lt;&gt;"",COUNTIF(P144:$P$2089,"PRINT")=0),"PRINT","")</f>
        <v/>
      </c>
      <c r="Q143" s="343" t="str">
        <f>EUconst_SumCO2 &amp; "_" &amp; K143</f>
        <v>SUM_CO2_</v>
      </c>
      <c r="R143" s="485"/>
      <c r="S143" s="23"/>
      <c r="T143" s="500" t="s">
        <v>387</v>
      </c>
      <c r="U143" s="23"/>
      <c r="V143" s="76"/>
      <c r="W143" s="56"/>
      <c r="X143" s="58"/>
      <c r="Y143" s="58"/>
      <c r="Z143" s="58"/>
      <c r="AA143" s="58"/>
      <c r="AB143" s="58"/>
      <c r="AC143" s="58"/>
      <c r="AD143" s="58"/>
      <c r="AE143" s="58"/>
      <c r="AF143" s="58"/>
      <c r="AG143" s="58"/>
      <c r="AH143" s="58"/>
      <c r="AI143" s="333"/>
      <c r="AJ143" s="333"/>
      <c r="AK143" s="333"/>
      <c r="AL143" s="333"/>
      <c r="AM143" s="333"/>
      <c r="AN143" s="333"/>
      <c r="AO143" s="333"/>
      <c r="AP143" s="333"/>
      <c r="AQ143" s="333"/>
      <c r="AR143" s="333"/>
      <c r="AS143" s="333"/>
      <c r="AT143" s="333"/>
      <c r="AU143" s="333"/>
      <c r="AV143" s="333"/>
      <c r="AW143" s="333"/>
      <c r="AX143" s="333"/>
      <c r="AY143" s="333"/>
      <c r="AZ143" s="333"/>
      <c r="BA143" s="333"/>
      <c r="BB143" s="333"/>
      <c r="BC143" s="333"/>
      <c r="BD143" s="333"/>
      <c r="BE143" s="333"/>
      <c r="BF143" s="333"/>
      <c r="BG143" s="333"/>
      <c r="BH143" s="834">
        <f>AR153</f>
        <v>0</v>
      </c>
      <c r="BI143" s="834" t="str">
        <f>AJ153</f>
        <v/>
      </c>
      <c r="BJ143" s="834">
        <f>AR155</f>
        <v>0</v>
      </c>
      <c r="BK143" s="834" t="str">
        <f>AJ155</f>
        <v/>
      </c>
      <c r="BL143" s="834">
        <f>AR156</f>
        <v>0</v>
      </c>
      <c r="BM143" s="834" t="str">
        <f>AJ156</f>
        <v/>
      </c>
      <c r="BN143" s="834">
        <f>AR157</f>
        <v>1</v>
      </c>
      <c r="BO143" s="834">
        <f>AR158</f>
        <v>1</v>
      </c>
      <c r="BP143" s="834">
        <f>AR159</f>
        <v>0</v>
      </c>
      <c r="BQ143" s="834" t="str">
        <f>AJ159</f>
        <v/>
      </c>
      <c r="BR143" s="834">
        <f>AR160</f>
        <v>0</v>
      </c>
      <c r="BS143" s="834">
        <f>AR161</f>
        <v>0</v>
      </c>
      <c r="BT143" s="834" t="str">
        <f>N143</f>
        <v/>
      </c>
      <c r="BU143" s="834" t="str">
        <f>N144</f>
        <v/>
      </c>
      <c r="BV143" s="834" t="str">
        <f>R146</f>
        <v/>
      </c>
      <c r="BW143" s="834" t="str">
        <f>R152</f>
        <v/>
      </c>
      <c r="BX143" s="834" t="str">
        <f>R153</f>
        <v/>
      </c>
      <c r="BY143" s="56"/>
      <c r="BZ143" s="610" t="b">
        <f>CNTR_CalcRelevant=EUconst_NotRelevant</f>
        <v>0</v>
      </c>
    </row>
    <row r="144" spans="1:78" s="140" customFormat="1" ht="15" customHeight="1" thickBot="1" x14ac:dyDescent="0.25">
      <c r="A144" s="777"/>
      <c r="B144" s="1248"/>
      <c r="C144" s="164"/>
      <c r="D144" s="164"/>
      <c r="E144" s="1625" t="str">
        <f>IF(ISBLANK(E143),"",IF(INDEX(B_InstallationDescription!$E$71:$E$145,MATCH(U142,B_InstallationDescription!$D$71:$D$145,0))&gt;0,INDEX(B_InstallationDescription!$E$71:$E$145,MATCH(U142,B_InstallationDescription!$D$71:$D$145,0)),""))</f>
        <v/>
      </c>
      <c r="F144" s="1626"/>
      <c r="G144" s="1626"/>
      <c r="H144" s="1626"/>
      <c r="I144" s="1626"/>
      <c r="J144" s="1627"/>
      <c r="M144" s="337" t="str">
        <f>Translations!$B$666</f>
        <v>CO2, biomasės kilmės.:</v>
      </c>
      <c r="N144" s="1013" t="str">
        <f>IF(OR(K143="",T144=TRUE),"",INDEX(BC156:BE156,MATCH(K143,BC153:BE153,0)))</f>
        <v/>
      </c>
      <c r="O144" s="1315" t="s">
        <v>257</v>
      </c>
      <c r="P144" s="485"/>
      <c r="Q144" s="343" t="str">
        <f>EUconst_SumBioCO2 &amp; "_" &amp; K143</f>
        <v>SUM_bioCO2_</v>
      </c>
      <c r="R144" s="485"/>
      <c r="S144" s="23"/>
      <c r="T144" s="48" t="str">
        <f>IF(E144="","",MATCH(E144,EUConst_TierActivityListNames,0)&gt;40)</f>
        <v/>
      </c>
      <c r="U144" s="23"/>
      <c r="V144" s="76"/>
      <c r="W144" s="56"/>
      <c r="X144" s="58"/>
      <c r="Y144" s="27" t="s">
        <v>91</v>
      </c>
      <c r="Z144" s="30"/>
      <c r="AA144" s="30"/>
      <c r="AB144" s="30"/>
      <c r="AC144" s="30"/>
      <c r="AD144" s="30"/>
      <c r="AE144" s="27" t="s">
        <v>297</v>
      </c>
      <c r="AF144" s="58"/>
      <c r="AG144" s="495"/>
      <c r="AH144" s="30"/>
      <c r="AI144" s="30"/>
      <c r="AJ144" s="495"/>
      <c r="AK144" s="495"/>
      <c r="AL144" s="333"/>
      <c r="AM144" s="27" t="s">
        <v>303</v>
      </c>
      <c r="AN144" s="496"/>
      <c r="AO144" s="496"/>
      <c r="AP144" s="30"/>
      <c r="AQ144" s="30"/>
      <c r="AR144" s="30"/>
      <c r="AS144" s="30"/>
      <c r="AT144" s="30"/>
      <c r="AU144" s="30"/>
      <c r="AV144" s="27" t="s">
        <v>310</v>
      </c>
      <c r="AW144" s="30"/>
      <c r="AX144" s="483"/>
      <c r="AY144" s="30"/>
      <c r="AZ144" s="30"/>
      <c r="BA144" s="30"/>
      <c r="BB144" s="27" t="s">
        <v>217</v>
      </c>
      <c r="BC144" s="30"/>
      <c r="BD144" s="30"/>
      <c r="BE144" s="30"/>
      <c r="BF144" s="30"/>
      <c r="BG144" s="27" t="s">
        <v>486</v>
      </c>
      <c r="BH144" s="833" t="s">
        <v>552</v>
      </c>
      <c r="BI144" s="833" t="s">
        <v>487</v>
      </c>
      <c r="BJ144" s="833" t="s">
        <v>211</v>
      </c>
      <c r="BK144" s="833" t="s">
        <v>488</v>
      </c>
      <c r="BL144" s="833" t="s">
        <v>68</v>
      </c>
      <c r="BM144" s="833" t="s">
        <v>489</v>
      </c>
      <c r="BN144" s="833" t="s">
        <v>490</v>
      </c>
      <c r="BO144" s="833" t="s">
        <v>491</v>
      </c>
      <c r="BP144" s="833" t="s">
        <v>214</v>
      </c>
      <c r="BQ144" s="833" t="s">
        <v>492</v>
      </c>
      <c r="BR144" s="833" t="s">
        <v>493</v>
      </c>
      <c r="BS144" s="833" t="s">
        <v>494</v>
      </c>
      <c r="BT144" s="833" t="s">
        <v>287</v>
      </c>
      <c r="BU144" s="833" t="s">
        <v>495</v>
      </c>
      <c r="BV144" s="833" t="s">
        <v>498</v>
      </c>
      <c r="BW144" s="833" t="s">
        <v>496</v>
      </c>
      <c r="BX144" s="833" t="s">
        <v>497</v>
      </c>
      <c r="BY144" s="30"/>
      <c r="BZ144" s="30"/>
    </row>
    <row r="145" spans="1:78" s="140" customFormat="1" ht="5.0999999999999996" customHeight="1" thickBot="1" x14ac:dyDescent="0.25">
      <c r="A145" s="777"/>
      <c r="B145" s="1248"/>
      <c r="C145" s="164"/>
      <c r="D145" s="164"/>
      <c r="E145" s="164"/>
      <c r="F145" s="164"/>
      <c r="G145" s="164"/>
      <c r="M145" s="141"/>
      <c r="N145" s="141"/>
      <c r="O145" s="1305"/>
      <c r="P145" s="33"/>
      <c r="Q145" s="33"/>
      <c r="R145" s="33"/>
      <c r="S145" s="23"/>
      <c r="T145" s="23"/>
      <c r="U145" s="23"/>
      <c r="V145" s="76"/>
      <c r="W145" s="30"/>
      <c r="X145" s="30"/>
      <c r="Y145" s="485"/>
      <c r="Z145" s="30"/>
      <c r="AA145" s="30"/>
      <c r="AB145" s="30"/>
      <c r="AC145" s="30"/>
      <c r="AD145" s="30"/>
      <c r="AE145" s="30"/>
      <c r="AF145" s="58"/>
      <c r="AG145" s="30"/>
      <c r="AH145" s="30"/>
      <c r="AI145" s="30"/>
      <c r="AJ145" s="495"/>
      <c r="AK145" s="495"/>
      <c r="AL145" s="333"/>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row>
    <row r="146" spans="1:78" s="140" customFormat="1" ht="12.75" customHeight="1" thickBot="1" x14ac:dyDescent="0.25">
      <c r="A146" s="777"/>
      <c r="B146" s="1248"/>
      <c r="C146" s="164"/>
      <c r="D146" s="164"/>
      <c r="E146" s="1628" t="str">
        <f>IF(E143="","",IF(T144=TRUE,HYPERLINK("#JUMP_14",EUconst_MsgGoOnPFC),HYPERLINK("#JUMP_E_8",EUconst_FurtherGuidancePoint1)))</f>
        <v/>
      </c>
      <c r="F146" s="1628"/>
      <c r="G146" s="1628"/>
      <c r="H146" s="1628"/>
      <c r="I146" s="1628"/>
      <c r="J146" s="1628"/>
      <c r="K146" s="1628"/>
      <c r="L146" s="1628"/>
      <c r="M146" s="1628"/>
      <c r="N146" s="141"/>
      <c r="O146" s="1305"/>
      <c r="P146" s="33"/>
      <c r="Q146" s="343" t="str">
        <f>EUconst_SumNonSustBioCO2 &amp; "_" &amp; K143</f>
        <v>SUM_bioNonSustCO2_</v>
      </c>
      <c r="R146" s="698" t="str">
        <f>IF(OR(K143="",T144=TRUE),"",ROUND(INDEX(BC155:BE155,MATCH(K143,BC153:BE153,0)),0))</f>
        <v/>
      </c>
      <c r="S146" s="23"/>
      <c r="T146" s="23"/>
      <c r="U146" s="23"/>
      <c r="V146" s="30"/>
      <c r="W146" s="30"/>
      <c r="X146" s="30"/>
      <c r="Y146" s="58"/>
      <c r="Z146" s="30"/>
      <c r="AA146" s="30"/>
      <c r="AB146" s="30"/>
      <c r="AC146" s="30"/>
      <c r="AD146" s="30"/>
      <c r="AE146" s="30"/>
      <c r="AF146" s="58"/>
      <c r="AG146" s="30"/>
      <c r="AH146" s="30"/>
      <c r="AI146" s="30"/>
      <c r="AJ146" s="495"/>
      <c r="AK146" s="495"/>
      <c r="AL146" s="333"/>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row>
    <row r="147" spans="1:78" s="140" customFormat="1" ht="5.0999999999999996" customHeight="1" thickBot="1" x14ac:dyDescent="0.25">
      <c r="A147" s="777"/>
      <c r="B147" s="1248"/>
      <c r="C147" s="164"/>
      <c r="D147" s="164"/>
      <c r="E147" s="164"/>
      <c r="F147" s="164"/>
      <c r="G147" s="164"/>
      <c r="M147" s="141"/>
      <c r="N147" s="141"/>
      <c r="O147" s="1305"/>
      <c r="P147" s="23"/>
      <c r="Q147" s="23"/>
      <c r="R147" s="23"/>
      <c r="S147" s="23"/>
      <c r="T147" s="23"/>
      <c r="U147" s="23"/>
      <c r="V147" s="30"/>
      <c r="W147" s="30"/>
      <c r="X147" s="30"/>
      <c r="Y147" s="485"/>
      <c r="Z147" s="30"/>
      <c r="AA147" s="30"/>
      <c r="AB147" s="30"/>
      <c r="AC147" s="30"/>
      <c r="AD147" s="30"/>
      <c r="AE147" s="30"/>
      <c r="AF147" s="58"/>
      <c r="AG147" s="30"/>
      <c r="AH147" s="30"/>
      <c r="AI147" s="30"/>
      <c r="AJ147" s="495"/>
      <c r="AK147" s="495"/>
      <c r="AL147" s="333"/>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row>
    <row r="148" spans="1:78" s="140" customFormat="1" ht="12.75" customHeight="1" thickBot="1" x14ac:dyDescent="0.25">
      <c r="A148" s="777"/>
      <c r="B148" s="1248"/>
      <c r="C148" s="783" t="s">
        <v>4</v>
      </c>
      <c r="D148" s="503" t="str">
        <f>Translations!$B$622</f>
        <v>VD:</v>
      </c>
      <c r="E148" s="1631" t="str">
        <f>Translations!$B$667</f>
        <v>Ar veiklos duomenys gaunami sudedant išmatuotus kiekius (t. y. ne atliekant nuolatinius matavimus)?</v>
      </c>
      <c r="F148" s="1631"/>
      <c r="G148" s="1631"/>
      <c r="H148" s="1631"/>
      <c r="I148" s="1631"/>
      <c r="J148" s="1631"/>
      <c r="K148" s="1631"/>
      <c r="L148" s="1122"/>
      <c r="M148" s="498"/>
      <c r="O148" s="1305"/>
      <c r="P148" s="23"/>
      <c r="Q148" s="23"/>
      <c r="R148" s="23"/>
      <c r="S148" s="23"/>
      <c r="T148" s="23"/>
      <c r="U148" s="23"/>
      <c r="V148" s="30"/>
      <c r="W148" s="30"/>
      <c r="X148" s="30"/>
      <c r="Y148" s="485"/>
      <c r="Z148" s="30"/>
      <c r="AA148" s="30"/>
      <c r="AB148" s="30"/>
      <c r="AC148" s="1115" t="b">
        <f>AND(E143&lt;&gt;"",T144&lt;&gt;TRUE)</f>
        <v>0</v>
      </c>
      <c r="AD148" s="30"/>
      <c r="AE148" s="30"/>
      <c r="AF148" s="58"/>
      <c r="AG148" s="30"/>
      <c r="AH148" s="30"/>
      <c r="AI148" s="30"/>
      <c r="AJ148" s="495"/>
      <c r="AK148" s="495"/>
      <c r="AL148" s="333"/>
      <c r="AM148" s="30"/>
      <c r="AN148" s="30"/>
      <c r="AO148" s="30"/>
      <c r="AP148" s="30"/>
      <c r="AQ148" s="30"/>
      <c r="AR148" s="30"/>
      <c r="AS148" s="30"/>
      <c r="AT148" s="1115" t="b">
        <f>MSPara_BatchReportingMandatory&lt;&gt;TRUE</f>
        <v>0</v>
      </c>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1115" t="b">
        <f>OR(CNTR_CalcRelevant=EUconst_NotRelevant,AND(COUNTA(CNTR_ListRelevantSections)&gt;0,OR(T144=TRUE,E143="")))</f>
        <v>1</v>
      </c>
    </row>
    <row r="149" spans="1:78" s="140" customFormat="1" ht="5.0999999999999996" customHeight="1" thickBot="1" x14ac:dyDescent="0.25">
      <c r="A149" s="777"/>
      <c r="B149" s="1248"/>
      <c r="C149" s="164"/>
      <c r="D149" s="164"/>
      <c r="E149" s="164"/>
      <c r="F149" s="164"/>
      <c r="G149" s="164"/>
      <c r="H149" s="486"/>
      <c r="I149" s="486"/>
      <c r="J149" s="486"/>
      <c r="K149" s="486"/>
      <c r="L149" s="486"/>
      <c r="M149" s="498"/>
      <c r="O149" s="1305"/>
      <c r="P149" s="23"/>
      <c r="Q149" s="23"/>
      <c r="R149" s="23"/>
      <c r="S149" s="23"/>
      <c r="T149" s="23"/>
      <c r="U149" s="23"/>
      <c r="V149" s="30"/>
      <c r="W149" s="30"/>
      <c r="X149" s="30"/>
      <c r="Y149" s="485"/>
      <c r="Z149" s="30"/>
      <c r="AA149" s="30"/>
      <c r="AB149" s="30"/>
      <c r="AC149" s="483"/>
      <c r="AD149" s="30"/>
      <c r="AE149" s="30"/>
      <c r="AF149" s="58"/>
      <c r="AG149" s="30"/>
      <c r="AH149" s="30"/>
      <c r="AI149" s="30"/>
      <c r="AJ149" s="495"/>
      <c r="AK149" s="495"/>
      <c r="AL149" s="333"/>
      <c r="AM149" s="30"/>
      <c r="AN149" s="30"/>
      <c r="AO149" s="30"/>
      <c r="AP149" s="30"/>
      <c r="AQ149" s="30"/>
      <c r="AR149" s="30"/>
      <c r="AS149" s="30"/>
      <c r="AT149" s="483"/>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483"/>
    </row>
    <row r="150" spans="1:78" s="140" customFormat="1" ht="12.75" customHeight="1" thickBot="1" x14ac:dyDescent="0.25">
      <c r="A150" s="777"/>
      <c r="B150" s="1248"/>
      <c r="C150" s="783" t="s">
        <v>5</v>
      </c>
      <c r="D150" s="503" t="str">
        <f>Translations!$B$622</f>
        <v>VD:</v>
      </c>
      <c r="E150" s="1105" t="str">
        <f>Translations!$B$668</f>
        <v>Pradinis kiekis:</v>
      </c>
      <c r="F150" s="1123"/>
      <c r="G150" s="1106" t="str">
        <f>Translations!$B$669</f>
        <v>Galutinis kiekis:</v>
      </c>
      <c r="H150" s="1123"/>
      <c r="I150" s="1106" t="str">
        <f>Translations!$B$670</f>
        <v>Įsigytas kiekis:</v>
      </c>
      <c r="J150" s="1123"/>
      <c r="K150" s="1106" t="str">
        <f>Translations!$B$671</f>
        <v>Perduotas kiekis:</v>
      </c>
      <c r="L150" s="1123"/>
      <c r="M150" s="1107" t="str">
        <f>IF(AND(L148=TRUE,COUNT(F150,H150,J150,L150)&lt;4),EUconst_ERR_Incomplete,"")</f>
        <v/>
      </c>
      <c r="O150" s="1305"/>
      <c r="P150" s="23"/>
      <c r="Q150" s="23"/>
      <c r="R150" s="23"/>
      <c r="S150" s="23"/>
      <c r="T150" s="23"/>
      <c r="U150" s="23"/>
      <c r="V150" s="30"/>
      <c r="W150" s="30"/>
      <c r="X150" s="30"/>
      <c r="Y150" s="485"/>
      <c r="Z150" s="30"/>
      <c r="AA150" s="30"/>
      <c r="AB150" s="30"/>
      <c r="AC150" s="1115" t="b">
        <f>AC148</f>
        <v>0</v>
      </c>
      <c r="AD150" s="30"/>
      <c r="AE150" s="30"/>
      <c r="AF150" s="58"/>
      <c r="AG150" s="30"/>
      <c r="AH150" s="30"/>
      <c r="AI150" s="30"/>
      <c r="AJ150" s="495"/>
      <c r="AK150" s="495"/>
      <c r="AL150" s="333"/>
      <c r="AM150" s="30"/>
      <c r="AN150" s="30"/>
      <c r="AO150" s="30"/>
      <c r="AP150" s="30"/>
      <c r="AQ150" s="30"/>
      <c r="AR150" s="30"/>
      <c r="AS150" s="30"/>
      <c r="AT150" s="1115" t="b">
        <f>AND(AT148=TRUE,L148="")</f>
        <v>0</v>
      </c>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1115" t="b">
        <f>OR(BZ148,AND(NOT(ISBLANK(L148)),L148=FALSE))</f>
        <v>1</v>
      </c>
    </row>
    <row r="151" spans="1:78" s="140" customFormat="1" ht="5.0999999999999996" customHeight="1" thickBot="1" x14ac:dyDescent="0.25">
      <c r="A151" s="777"/>
      <c r="B151" s="1248"/>
      <c r="C151" s="164"/>
      <c r="D151" s="164"/>
      <c r="E151" s="164"/>
      <c r="F151" s="164"/>
      <c r="G151" s="164"/>
      <c r="M151" s="141"/>
      <c r="N151" s="141"/>
      <c r="O151" s="1305"/>
      <c r="P151" s="23"/>
      <c r="Q151" s="23"/>
      <c r="R151" s="23"/>
      <c r="S151" s="23"/>
      <c r="T151" s="23"/>
      <c r="U151" s="23"/>
      <c r="V151" s="30"/>
      <c r="W151" s="30"/>
      <c r="X151" s="30"/>
      <c r="Y151" s="485"/>
      <c r="Z151" s="30"/>
      <c r="AA151" s="30"/>
      <c r="AB151" s="30"/>
      <c r="AC151" s="30"/>
      <c r="AD151" s="30"/>
      <c r="AE151" s="30"/>
      <c r="AF151" s="58"/>
      <c r="AG151" s="30"/>
      <c r="AH151" s="30"/>
      <c r="AI151" s="30"/>
      <c r="AJ151" s="495"/>
      <c r="AK151" s="495"/>
      <c r="AL151" s="333"/>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row>
    <row r="152" spans="1:78" s="140" customFormat="1" ht="12.75" customHeight="1" thickBot="1" x14ac:dyDescent="0.25">
      <c r="A152" s="777"/>
      <c r="B152" s="1248"/>
      <c r="C152" s="164"/>
      <c r="D152" s="164"/>
      <c r="E152" s="164"/>
      <c r="F152" s="497" t="str">
        <f>Translations!$B$333</f>
        <v>Pakopa</v>
      </c>
      <c r="G152" s="1613" t="str">
        <f>Translations!$B$672</f>
        <v>pakopos aprašas</v>
      </c>
      <c r="H152" s="1613"/>
      <c r="I152" s="1608" t="str">
        <f>Translations!$B$158</f>
        <v>Vienetas</v>
      </c>
      <c r="J152" s="1608"/>
      <c r="K152" s="1608" t="str">
        <f>Translations!$B$673</f>
        <v>Vertė</v>
      </c>
      <c r="L152" s="1608"/>
      <c r="M152" s="498" t="str">
        <f>Translations!$B$610</f>
        <v>klaida</v>
      </c>
      <c r="O152" s="1305"/>
      <c r="P152" s="499"/>
      <c r="Q152" s="343" t="str">
        <f>EUconst_SumEnergyIN &amp; "_" &amp; K143</f>
        <v>SUM_EnergyIN_</v>
      </c>
      <c r="R152" s="390" t="str">
        <f>IF(OR(K143="",T144)=TRUE,"",INDEX(BC158:BE158,MATCH(K143,BC153:BE153,0)))</f>
        <v/>
      </c>
      <c r="S152" s="30"/>
      <c r="T152" s="480"/>
      <c r="U152" s="30"/>
      <c r="V152" s="500" t="s">
        <v>298</v>
      </c>
      <c r="W152" s="30"/>
      <c r="X152" s="30"/>
      <c r="Y152" s="485" t="s">
        <v>560</v>
      </c>
      <c r="Z152" s="485" t="s">
        <v>313</v>
      </c>
      <c r="AA152" s="30"/>
      <c r="AB152" s="30"/>
      <c r="AC152" s="496" t="s">
        <v>304</v>
      </c>
      <c r="AD152" s="30"/>
      <c r="AE152" s="30"/>
      <c r="AF152" s="483" t="s">
        <v>300</v>
      </c>
      <c r="AG152" s="483" t="s">
        <v>301</v>
      </c>
      <c r="AH152" s="485" t="s">
        <v>299</v>
      </c>
      <c r="AI152" s="495" t="s">
        <v>302</v>
      </c>
      <c r="AJ152" s="495" t="s">
        <v>561</v>
      </c>
      <c r="AK152" s="501" t="s">
        <v>306</v>
      </c>
      <c r="AL152" s="333"/>
      <c r="AM152" s="30"/>
      <c r="AN152" s="483" t="s">
        <v>300</v>
      </c>
      <c r="AO152" s="483" t="s">
        <v>301</v>
      </c>
      <c r="AP152" s="502" t="s">
        <v>305</v>
      </c>
      <c r="AQ152" s="495" t="s">
        <v>563</v>
      </c>
      <c r="AR152" s="495" t="s">
        <v>562</v>
      </c>
      <c r="AS152" s="501" t="s">
        <v>306</v>
      </c>
      <c r="AT152" s="501" t="s">
        <v>306</v>
      </c>
      <c r="AU152" s="30"/>
      <c r="AV152" s="483"/>
      <c r="AW152" s="483"/>
      <c r="AX152" s="483" t="s">
        <v>316</v>
      </c>
      <c r="AY152" s="483"/>
      <c r="AZ152" s="483"/>
      <c r="BA152" s="483"/>
      <c r="BB152" s="483"/>
      <c r="BC152" s="483"/>
      <c r="BD152" s="483"/>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484" t="s">
        <v>259</v>
      </c>
    </row>
    <row r="153" spans="1:78" s="140" customFormat="1" ht="12.75" customHeight="1" thickBot="1" x14ac:dyDescent="0.25">
      <c r="A153" s="777"/>
      <c r="B153" s="1248"/>
      <c r="C153" s="753" t="s">
        <v>194</v>
      </c>
      <c r="D153" s="503" t="str">
        <f>Translations!$B$622</f>
        <v>VD:</v>
      </c>
      <c r="E153" s="504"/>
      <c r="F153" s="393"/>
      <c r="G153" s="1603" t="str">
        <f>IF(OR(ISBLANK(F153),F153=EUconst_NoTier),"",IF(Z153=0,EUconst_NA,IF(ISERROR(Z153),"",Z153)))</f>
        <v/>
      </c>
      <c r="H153" s="1604"/>
      <c r="I153" s="1108" t="str">
        <f>IF(J153&lt;&gt;"","",AI153)</f>
        <v/>
      </c>
      <c r="J153" s="1109"/>
      <c r="K153" s="1116" t="str">
        <f>IF(L153="",AQ153,"")</f>
        <v/>
      </c>
      <c r="L153" s="1199"/>
      <c r="M153" s="700" t="str">
        <f>IF(AND(E144&lt;&gt;"",OR(F153="",COUNT(K153:L153)=0),Y153&lt;&gt;EUconst_NA,T144&lt;&gt;TRUE),EUconst_ERR_Incomplete,IF(COUNTIF(AX153:AZ153,TRUE)&gt;0,EUconst_ERR_Inconsistent,""))</f>
        <v/>
      </c>
      <c r="O153" s="1305"/>
      <c r="P153" s="635"/>
      <c r="Q153" s="343" t="str">
        <f>EUconst_SumBioEnergyIN &amp; "_" &amp; K143</f>
        <v>SUM_BioEnergyIN_</v>
      </c>
      <c r="R153" s="390" t="str">
        <f>IF(OR(K143="",T144)=TRUE,"",INDEX(BC159:BE159,MATCH(K143,BC153:BE153,0)))</f>
        <v/>
      </c>
      <c r="S153" s="30"/>
      <c r="T153" s="505" t="str">
        <f>EUconst_CNTR_ActivityData&amp;E144</f>
        <v>ActivityData_</v>
      </c>
      <c r="U153" s="488"/>
      <c r="V153" s="505" t="str">
        <f>IF(E143="","",INDEX(B_InstallationDescription!$I$71:$I$145,MATCH(U142,B_InstallationDescription!$D$71:$D$145,0)))</f>
        <v/>
      </c>
      <c r="W153" s="495" t="s">
        <v>533</v>
      </c>
      <c r="X153" s="488"/>
      <c r="Y153" s="506" t="str">
        <f>IF(OR(T144=TRUE,E144=""),"",INDEX(EUwideConstants!$N:$N,MATCH(T153,EUwideConstants!$Q:$Q,0)))</f>
        <v/>
      </c>
      <c r="Z153" s="507" t="str">
        <f>IF(ISBLANK(F153),"",IF(F153=EUconst_NA,"",INDEX(EUwideConstants!$H:$M,MATCH(T153,EUwideConstants!$Q:$Q,0),MATCH(F153,CNTR_TierList,0))))</f>
        <v/>
      </c>
      <c r="AA153" s="508" t="s">
        <v>299</v>
      </c>
      <c r="AB153" s="495"/>
      <c r="AC153" s="509" t="b">
        <f>AC148</f>
        <v>0</v>
      </c>
      <c r="AD153" s="30"/>
      <c r="AE153" s="510" t="str">
        <f>EUconst_CNTR_ActivityData&amp;EUconst_Unit</f>
        <v>ActivityData_Vienetas</v>
      </c>
      <c r="AF153" s="511" t="str">
        <f>IF(AC153=TRUE, IF(COUNTIF(MSPara_SourceStreamCategory,V153)=0,"",INDEX(MSPara_CalcFactorsMatrix,MATCH(V153,MSPara_SourceStreamCategory,0),MATCH(AE153&amp;"_"&amp;2,MSPara_CalcFactors,0))),"")</f>
        <v/>
      </c>
      <c r="AG153" s="512" t="str">
        <f>IF(AC153=TRUE, IF(COUNTIF(MSPara_SourceStreamCategory,V153)=0,"",INDEX(MSPara_CalcFactorsMatrix,MATCH(V153,MSPara_SourceStreamCategory,0),MATCH(AE153&amp;"_"&amp;1,MSPara_CalcFactors,0))),"")</f>
        <v/>
      </c>
      <c r="AH153" s="509" t="str">
        <f>IF(OR(AF153="",AF153=EUconst_NA),IF(OR(AG153=EUconst_NA,AG153=""),"",AG153),AF153)</f>
        <v/>
      </c>
      <c r="AI153" s="506" t="str">
        <f>IF(AC153=TRUE,IF(AH153="",EUconst_t,AH153),"")</f>
        <v/>
      </c>
      <c r="AJ153" s="513" t="str">
        <f>IF(J153="",AI153,J153)</f>
        <v/>
      </c>
      <c r="AK153" s="514" t="b">
        <f>IF(K143=EUconst_Fuel,J153&lt;&gt;"",FALSE)</f>
        <v>0</v>
      </c>
      <c r="AL153" s="333"/>
      <c r="AM153" s="505" t="str">
        <f>EUconst_CNTR_ActivityData&amp;EUconst_Value</f>
        <v>ActivityData_Vertė</v>
      </c>
      <c r="AN153" s="496"/>
      <c r="AO153" s="496"/>
      <c r="AP153" s="509" t="b">
        <f>AND(AND(AH153&lt;&gt;"",AJ153&lt;&gt;""),AJ153=AH153)</f>
        <v>0</v>
      </c>
      <c r="AQ153" s="610" t="str">
        <f>IF(L148=TRUE,SUM(F150)-SUM(H150)+SUM(J150)-SUM(L150),"")</f>
        <v/>
      </c>
      <c r="AR153" s="509">
        <f>IF(Y153=EUconst_NA,0,IF(COUNT(K153:L153)=0,0,IF(L153="",K153,L153)))</f>
        <v>0</v>
      </c>
      <c r="AS153" s="1115" t="b">
        <f>AND(AC153=TRUE,OR(L153&lt;&gt;"",AQ153=""))</f>
        <v>0</v>
      </c>
      <c r="AT153" s="1115" t="b">
        <f>AND(AC153=TRUE,NOT(AS153))</f>
        <v>0</v>
      </c>
      <c r="AU153" s="30"/>
      <c r="AV153" s="483" t="s">
        <v>309</v>
      </c>
      <c r="AW153" s="483" t="s">
        <v>314</v>
      </c>
      <c r="AX153" s="515"/>
      <c r="AY153" s="30" t="s">
        <v>536</v>
      </c>
      <c r="AZ153" s="30"/>
      <c r="BA153" s="30"/>
      <c r="BB153" s="495"/>
      <c r="BC153" s="484" t="str">
        <f>EUconst_Fuel</f>
        <v>Degimas</v>
      </c>
      <c r="BD153" s="484" t="str">
        <f>EUconst_ProcessCarbonate</f>
        <v>Proceso metu išsiskiriančios ŠESD</v>
      </c>
      <c r="BE153" s="484" t="str">
        <f>EUconst_MassBalance</f>
        <v>Masės balansas</v>
      </c>
      <c r="BF153" s="30"/>
      <c r="BG153" s="30"/>
      <c r="BH153" s="30"/>
      <c r="BI153" s="30"/>
      <c r="BJ153" s="30"/>
      <c r="BK153" s="30"/>
      <c r="BL153" s="30"/>
      <c r="BM153" s="30"/>
      <c r="BN153" s="30"/>
      <c r="BO153" s="30"/>
      <c r="BP153" s="30"/>
      <c r="BQ153" s="30"/>
      <c r="BR153" s="30"/>
      <c r="BS153" s="30"/>
      <c r="BT153" s="30"/>
      <c r="BU153" s="30"/>
      <c r="BV153" s="30"/>
      <c r="BW153" s="30"/>
      <c r="BX153" s="30"/>
      <c r="BY153" s="30"/>
      <c r="BZ153" s="515" t="b">
        <f>BZ148</f>
        <v>1</v>
      </c>
    </row>
    <row r="154" spans="1:78" s="140" customFormat="1" ht="5.0999999999999996" customHeight="1" thickBot="1" x14ac:dyDescent="0.25">
      <c r="A154" s="777"/>
      <c r="B154" s="1248"/>
      <c r="C154" s="783"/>
      <c r="D154" s="298"/>
      <c r="F154" s="141"/>
      <c r="G154" s="141"/>
      <c r="H154" s="141" t="s">
        <v>233</v>
      </c>
      <c r="I154" s="516"/>
      <c r="J154" s="516"/>
      <c r="K154" s="141"/>
      <c r="L154" s="141"/>
      <c r="M154" s="701"/>
      <c r="O154" s="1305"/>
      <c r="P154" s="33"/>
      <c r="Q154" s="33"/>
      <c r="R154" s="33"/>
      <c r="S154" s="30"/>
      <c r="T154" s="153"/>
      <c r="U154" s="488"/>
      <c r="V154" s="30"/>
      <c r="W154" s="30"/>
      <c r="X154" s="488"/>
      <c r="Y154" s="517"/>
      <c r="Z154" s="30"/>
      <c r="AA154" s="30"/>
      <c r="AB154" s="30"/>
      <c r="AC154" s="30"/>
      <c r="AD154" s="30"/>
      <c r="AE154" s="30"/>
      <c r="AF154" s="30"/>
      <c r="AG154" s="30"/>
      <c r="AH154" s="30"/>
      <c r="AI154" s="30"/>
      <c r="AJ154" s="30"/>
      <c r="AK154" s="30"/>
      <c r="AL154" s="333"/>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484"/>
    </row>
    <row r="155" spans="1:78" s="140" customFormat="1" ht="12.75" customHeight="1" thickBot="1" x14ac:dyDescent="0.25">
      <c r="A155" s="777"/>
      <c r="B155" s="1248"/>
      <c r="C155" s="783" t="s">
        <v>195</v>
      </c>
      <c r="D155" s="503" t="str">
        <f>Translations!$B$634</f>
        <v>(prelim.) ITF:</v>
      </c>
      <c r="E155" s="504"/>
      <c r="F155" s="518"/>
      <c r="G155" s="1603" t="str">
        <f t="shared" ref="G155:G161" si="21">IF(OR(ISBLANK(F155),F155=EUconst_NoTier),"",IF(Z155=0,EUconst_NotApplicable,IF(ISERROR(Z155),"",Z155)))</f>
        <v/>
      </c>
      <c r="H155" s="1609"/>
      <c r="I155" s="1110" t="str">
        <f>IF(J155&lt;&gt;"","",AI155)</f>
        <v/>
      </c>
      <c r="J155" s="1111"/>
      <c r="K155" s="519" t="str">
        <f t="shared" ref="K155:K161" si="22">IF(L155="",AQ155,"")</f>
        <v/>
      </c>
      <c r="L155" s="520"/>
      <c r="M155" s="700" t="str">
        <f>IF(AND(E144&lt;&gt;"",OR(F155="",COUNT(K155:L155)=0),Y155&lt;&gt;EUconst_NA,T144&lt;&gt;TRUE),EUconst_ERR_Incomplete,IF(COUNTIF(AX155:AZ155,TRUE)&gt;0,EUconst_ERR_Inconsistent,""))</f>
        <v/>
      </c>
      <c r="N155" s="486"/>
      <c r="O155" s="1305"/>
      <c r="P155" s="33"/>
      <c r="Q155" s="33"/>
      <c r="R155" s="33"/>
      <c r="S155" s="30"/>
      <c r="T155" s="521" t="str">
        <f>EUconst_CNTR_EF&amp;E144</f>
        <v>EF_</v>
      </c>
      <c r="U155" s="488"/>
      <c r="V155" s="522" t="str">
        <f>V153</f>
        <v/>
      </c>
      <c r="W155" s="30"/>
      <c r="X155" s="488"/>
      <c r="Y155" s="523" t="str">
        <f>IF(OR(T144=TRUE,E144=""),"",IF(F155=EUconst_NA,EUconst_NA,INDEX(EUwideConstants!$N:$N,MATCH(T155,EUwideConstants!$Q:$Q,0))))</f>
        <v/>
      </c>
      <c r="Z155" s="524" t="str">
        <f>IF(ISBLANK(F155),"",IF(F155=EUconst_NA,"",INDEX(EUwideConstants!$H:$M,MATCH(T155,EUwideConstants!$Q:$Q,0),MATCH(F155,CNTR_TierList,0))))</f>
        <v/>
      </c>
      <c r="AA155" s="525" t="str">
        <f>IF(COUNTIF(EUconst_DefaultValues,Z155)&gt;0,MATCH(Z155,EUconst_DefaultValues,0),"")</f>
        <v/>
      </c>
      <c r="AB155" s="30"/>
      <c r="AC155" s="526" t="b">
        <f>AND(AC153,Y155&lt;&gt;EUconst_NA)</f>
        <v>0</v>
      </c>
      <c r="AD155" s="30"/>
      <c r="AE155" s="510" t="str">
        <f>EUconst_CNTR_EF&amp;EUconst_Unit</f>
        <v>EF_Vienetas</v>
      </c>
      <c r="AF155" s="527" t="str">
        <f>IF(AC155=TRUE, IF(COUNTIF(MSPara_SourceStreamCategory,V155)=0,"",INDEX(MSPara_CalcFactorsMatrix,MATCH(V155,MSPara_SourceStreamCategory,0),MATCH(AE155&amp;"_"&amp;2,MSPara_CalcFactors,0))),"")</f>
        <v/>
      </c>
      <c r="AG155" s="528" t="str">
        <f>IF(AC155=TRUE, IF(COUNTIF(MSPara_SourceStreamCategory,V155)=0,"",INDEX(MSPara_CalcFactorsMatrix,MATCH(V155,MSPara_SourceStreamCategory,0),MATCH(AE155&amp;"_"&amp;1,MSPara_CalcFactors,0))),"")</f>
        <v/>
      </c>
      <c r="AH155" s="529" t="str">
        <f>IF(AA155="","",INDEX(AF155:AG155,3-AA155))</f>
        <v/>
      </c>
      <c r="AI155" s="530" t="str">
        <f>IF(AC155=TRUE,IF(OR(AH155="",AH155=EUconst_NA),IF(K143=EUconst_Fuel,EUconst_tCO2pTJ,EUconst_tCO2pt),AH155),"")</f>
        <v/>
      </c>
      <c r="AJ155" s="526" t="str">
        <f>IF(J155="",AI155,J155)</f>
        <v/>
      </c>
      <c r="AK155" s="531" t="b">
        <f>IF(K143=EUconst_Fuel,J155&lt;&gt;"",FALSE)</f>
        <v>0</v>
      </c>
      <c r="AL155" s="333"/>
      <c r="AM155" s="510" t="str">
        <f>EUconst_CNTR_EF&amp;EUconst_Value</f>
        <v>EF_Vertė</v>
      </c>
      <c r="AN155" s="532" t="str">
        <f>IF(AC155=TRUE,IF(COUNTIF(MSPara_SourceStreamCategory,V155)=0,"",INDEX(MSPara_CalcFactorsMatrix,MATCH(V155,MSPara_SourceStreamCategory,0),MATCH(AM155&amp;"_"&amp;2,MSPara_CalcFactors,0))),"")</f>
        <v/>
      </c>
      <c r="AO155" s="533" t="str">
        <f>IF(AC155=TRUE,IF(COUNTIF(MSPara_SourceStreamCategory,V155)=0,"",INDEX(MSPara_CalcFactorsMatrix,MATCH(V155,MSPara_SourceStreamCategory,0),MATCH(AM155&amp;"_"&amp;1,MSPara_CalcFactors,0))),"")</f>
        <v/>
      </c>
      <c r="AP155" s="526" t="b">
        <f>AND(AND(AH155&lt;&gt;"",AJ155&lt;&gt;""),AJ155=AH155)</f>
        <v>0</v>
      </c>
      <c r="AQ155" s="534" t="str">
        <f>IF(AND(AA155&lt;&gt;"",AP155=TRUE),IF(OR(INDEX(AN155:AO155,3-AA155)=EUconst_NA,INDEX(AN155:AO155,3-AA155)=0),"",INDEX(AN155:AO155,3-AA155)),"")</f>
        <v/>
      </c>
      <c r="AR155" s="526">
        <f>IF(AC155=TRUE,IF(COUNT(K155:L155)=0,0,IF(L155="",K155,L155)),0)</f>
        <v>0</v>
      </c>
      <c r="AS155" s="522" t="b">
        <f>AND(AC155=TRUE,OR(AND(F155&lt;&gt;"",NOT(ISNUMBER(AA155))),L155&lt;&gt;"",F155="",AQ155=""))</f>
        <v>0</v>
      </c>
      <c r="AT155" s="522" t="b">
        <f t="shared" ref="AT155:AT161" si="23">AND(AC155=TRUE,NOT(AS155))</f>
        <v>0</v>
      </c>
      <c r="AU155" s="30"/>
      <c r="AV155" s="535" t="b">
        <f t="shared" ref="AV155:AV161" si="24">AND(ISNUMBER(AA155),AQ155="")</f>
        <v>0</v>
      </c>
      <c r="AW155" s="536" t="b">
        <f t="shared" ref="AW155:AW161" si="25">AND(ISNUMBER(AA155),AQ155&lt;&gt;AR155)</f>
        <v>0</v>
      </c>
      <c r="AX155" s="537" t="b">
        <f>OR(AND(AJ153=EUconst_kNm3,AJ155=EUconst_tCO2pt),AND(AJ153=EUconst_t,AJ155=EUconst_tCO2pkNm3))</f>
        <v>0</v>
      </c>
      <c r="AY155" s="522" t="b">
        <f t="shared" ref="AY155:AY161" si="26">AND(L155&lt;&gt;"",Y155=EUconst_NA)</f>
        <v>0</v>
      </c>
      <c r="AZ155" s="30"/>
      <c r="BA155" s="30"/>
      <c r="BB155" s="538" t="s">
        <v>588</v>
      </c>
      <c r="BC155" s="537" t="str">
        <f>IF(K143=BC153,AR153*IF(AJ155=EUconst_tCO2pTJ,(AR156/1000),1)*AR155*AR157*AR161,"")</f>
        <v/>
      </c>
      <c r="BD155" s="515" t="str">
        <f>IF(K143=BD153,AR153*AR155*AR158*AR161,"")</f>
        <v/>
      </c>
      <c r="BE155" s="514" t="str">
        <f>IF(K143=BE153,3.664*AR153*AR159*AR161,"")</f>
        <v/>
      </c>
      <c r="BF155" s="30"/>
      <c r="BG155" s="30"/>
      <c r="BH155" s="30"/>
      <c r="BI155" s="30"/>
      <c r="BJ155" s="30"/>
      <c r="BK155" s="30"/>
      <c r="BL155" s="30"/>
      <c r="BM155" s="30"/>
      <c r="BN155" s="30"/>
      <c r="BO155" s="30"/>
      <c r="BP155" s="30"/>
      <c r="BQ155" s="30"/>
      <c r="BR155" s="30"/>
      <c r="BS155" s="30"/>
      <c r="BT155" s="30"/>
      <c r="BU155" s="30"/>
      <c r="BV155" s="30"/>
      <c r="BW155" s="30"/>
      <c r="BX155" s="30"/>
      <c r="BY155" s="30"/>
      <c r="BZ155" s="522" t="b">
        <f>OR(BZ153,Y155=EUconst_NA)</f>
        <v>1</v>
      </c>
    </row>
    <row r="156" spans="1:78" s="140" customFormat="1" ht="12.75" customHeight="1" thickBot="1" x14ac:dyDescent="0.25">
      <c r="A156" s="777"/>
      <c r="B156" s="1248"/>
      <c r="C156" s="783" t="s">
        <v>196</v>
      </c>
      <c r="D156" s="503" t="str">
        <f>Translations!$B$636</f>
        <v>GŠV:</v>
      </c>
      <c r="E156" s="504"/>
      <c r="F156" s="539"/>
      <c r="G156" s="1603" t="str">
        <f t="shared" si="21"/>
        <v/>
      </c>
      <c r="H156" s="1604"/>
      <c r="I156" s="1112" t="str">
        <f>AJ156</f>
        <v/>
      </c>
      <c r="J156" s="540"/>
      <c r="K156" s="541" t="str">
        <f t="shared" si="22"/>
        <v/>
      </c>
      <c r="L156" s="542"/>
      <c r="M156" s="700" t="str">
        <f>IF(AND(E144&lt;&gt;"",OR(F156="",COUNT(K156:L156)=0),Y156&lt;&gt;EUconst_NA,T144&lt;&gt;TRUE),EUconst_ERR_Incomplete,IF(COUNTIF(AX156:AZ156,TRUE)&gt;0,EUconst_ERR_Inconsistent,""))</f>
        <v/>
      </c>
      <c r="O156" s="1305"/>
      <c r="P156" s="33"/>
      <c r="Q156" s="33"/>
      <c r="R156" s="33"/>
      <c r="S156" s="30"/>
      <c r="T156" s="543" t="str">
        <f>EUconst_CNTR_NCV&amp;E144</f>
        <v>NCV_</v>
      </c>
      <c r="U156" s="488"/>
      <c r="V156" s="544" t="str">
        <f t="shared" ref="V156:V161" si="27">V155</f>
        <v/>
      </c>
      <c r="W156" s="30"/>
      <c r="X156" s="488"/>
      <c r="Y156" s="545" t="str">
        <f>IF(OR(T144=TRUE,E144=""),"",IF(F156=EUconst_NA,EUconst_NA,INDEX(EUwideConstants!$N:$N,MATCH(T156,EUwideConstants!$Q:$Q,0))))</f>
        <v/>
      </c>
      <c r="Z156" s="546" t="str">
        <f>IF(ISBLANK(F156),"",IF(F156=EUconst_NA,"",INDEX(EUwideConstants!$H:$M,MATCH(T156,EUwideConstants!$Q:$Q,0),MATCH(F156,CNTR_TierList,0))))</f>
        <v/>
      </c>
      <c r="AA156" s="547" t="str">
        <f>IF(COUNTIF(EUconst_DefaultValues,Z156)&gt;0,MATCH(Z156,EUconst_DefaultValues,0),"")</f>
        <v/>
      </c>
      <c r="AB156" s="30"/>
      <c r="AC156" s="548" t="b">
        <f>AND(AC153,Y156&lt;&gt;EUconst_NA)</f>
        <v>0</v>
      </c>
      <c r="AD156" s="30"/>
      <c r="AE156" s="549" t="str">
        <f>EUconst_CNTR_NCV&amp;EUconst_Unit</f>
        <v>NCV_Vienetas</v>
      </c>
      <c r="AF156" s="550" t="str">
        <f>IF(AC156=TRUE, IF(COUNTIF(MSPara_SourceStreamCategory,V156)=0,"",INDEX(MSPara_CalcFactorsMatrix,MATCH(V156,MSPara_SourceStreamCategory,0),MATCH(AE156&amp;"_"&amp;2,MSPara_CalcFactors,0))),"")</f>
        <v/>
      </c>
      <c r="AG156" s="551" t="str">
        <f>IF(AC156=TRUE, IF(COUNTIF(MSPara_SourceStreamCategory,V156)=0,"",INDEX(MSPara_CalcFactorsMatrix,MATCH(V156,MSPara_SourceStreamCategory,0),MATCH(AE156&amp;"_"&amp;1,MSPara_CalcFactors,0))),"")</f>
        <v/>
      </c>
      <c r="AH156" s="552" t="str">
        <f>IF(AA156="","",INDEX(AF156:AG156,3-AA156))</f>
        <v/>
      </c>
      <c r="AI156" s="553"/>
      <c r="AJ156" s="548" t="str">
        <f>IF(AC156=TRUE,IF(AJ153="","",IF(AJ153=EUconst_kNm3,EUconst_GJpkNm3,EUconst_GJpt)),"")</f>
        <v/>
      </c>
      <c r="AK156" s="554"/>
      <c r="AL156" s="333"/>
      <c r="AM156" s="549" t="str">
        <f>EUconst_CNTR_NCV&amp;EUconst_Value</f>
        <v>NCV_Vertė</v>
      </c>
      <c r="AN156" s="555" t="str">
        <f>IF(AC156=TRUE,IF(COUNTIF(MSPara_SourceStreamCategory,V156)=0,"",INDEX(MSPara_CalcFactorsMatrix,MATCH(V156,MSPara_SourceStreamCategory,0),MATCH(AM156&amp;"_"&amp;2,MSPara_CalcFactors,0))),"")</f>
        <v/>
      </c>
      <c r="AO156" s="556" t="str">
        <f>IF(AC156=TRUE,IF(COUNTIF(MSPara_SourceStreamCategory,V156)=0,"",INDEX(MSPara_CalcFactorsMatrix,MATCH(V156,MSPara_SourceStreamCategory,0),MATCH(AM156&amp;"_"&amp;1,MSPara_CalcFactors,0))),"")</f>
        <v/>
      </c>
      <c r="AP156" s="548" t="b">
        <f>AND(AND(AH156&lt;&gt;"",AJ156&lt;&gt;""),AJ156=AH156)</f>
        <v>0</v>
      </c>
      <c r="AQ156" s="557" t="str">
        <f>IF(AND(AA156&lt;&gt;"",AP156=TRUE),IF(OR(INDEX(AN156:AO156,3-AA156)=EUconst_NA,INDEX(AN156:AO156,3-AA156)=0),"",INDEX(AN156:AO156,3-AA156)),"")</f>
        <v/>
      </c>
      <c r="AR156" s="548">
        <f>IF(AC156=TRUE,IF(COUNT(K156:L156)=0,0,IF(L156="",K156,L156)),0)</f>
        <v>0</v>
      </c>
      <c r="AS156" s="544" t="b">
        <f>AND(AC156=TRUE,OR(AND(F156&lt;&gt;"",NOT(ISNUMBER(AA156))),L156&lt;&gt;"",F156="",AQ156=""))</f>
        <v>0</v>
      </c>
      <c r="AT156" s="544" t="b">
        <f t="shared" si="23"/>
        <v>0</v>
      </c>
      <c r="AU156" s="30"/>
      <c r="AV156" s="558" t="b">
        <f t="shared" si="24"/>
        <v>0</v>
      </c>
      <c r="AW156" s="559" t="b">
        <f t="shared" si="25"/>
        <v>0</v>
      </c>
      <c r="AX156" s="30"/>
      <c r="AY156" s="544" t="b">
        <f t="shared" si="26"/>
        <v>0</v>
      </c>
      <c r="AZ156" s="30"/>
      <c r="BA156" s="30"/>
      <c r="BB156" s="538" t="s">
        <v>589</v>
      </c>
      <c r="BC156" s="537" t="str">
        <f>IF(K143=BC153,AR153*IF(AJ155=EUconst_tCO2pTJ,(AR156/1000),1)*AR155*AR157*AR160,"")</f>
        <v/>
      </c>
      <c r="BD156" s="515" t="str">
        <f>IF(K143=BD153,AR153*AR155*AR158*AR160,"")</f>
        <v/>
      </c>
      <c r="BE156" s="514" t="str">
        <f>IF(K143=BE153,3.664*AR153*AR159*AR160,"")</f>
        <v/>
      </c>
      <c r="BF156" s="30"/>
      <c r="BG156" s="30"/>
      <c r="BH156" s="30"/>
      <c r="BI156" s="30"/>
      <c r="BJ156" s="30"/>
      <c r="BK156" s="30"/>
      <c r="BL156" s="30"/>
      <c r="BM156" s="30"/>
      <c r="BN156" s="30"/>
      <c r="BO156" s="30"/>
      <c r="BP156" s="30"/>
      <c r="BQ156" s="30"/>
      <c r="BR156" s="30"/>
      <c r="BS156" s="30"/>
      <c r="BT156" s="30"/>
      <c r="BU156" s="30"/>
      <c r="BV156" s="30"/>
      <c r="BW156" s="30"/>
      <c r="BX156" s="30"/>
      <c r="BY156" s="30"/>
      <c r="BZ156" s="544" t="b">
        <f>OR(BZ153,Y156=EUconst_NA)</f>
        <v>1</v>
      </c>
    </row>
    <row r="157" spans="1:78" s="140" customFormat="1" ht="12.75" customHeight="1" thickBot="1" x14ac:dyDescent="0.25">
      <c r="A157" s="777"/>
      <c r="B157" s="1248"/>
      <c r="C157" s="783" t="s">
        <v>197</v>
      </c>
      <c r="D157" s="503" t="str">
        <f>Translations!$B$638</f>
        <v>Oksidacijos koef.:</v>
      </c>
      <c r="E157" s="504"/>
      <c r="F157" s="539"/>
      <c r="G157" s="1603" t="str">
        <f t="shared" si="21"/>
        <v/>
      </c>
      <c r="H157" s="1604"/>
      <c r="I157" s="1113" t="str">
        <f>IF(OR(AC157=FALSE,Y157=EUconst_NA),"","-")</f>
        <v/>
      </c>
      <c r="J157" s="560"/>
      <c r="K157" s="561" t="str">
        <f t="shared" si="22"/>
        <v/>
      </c>
      <c r="L157" s="694"/>
      <c r="M157" s="700" t="str">
        <f>IF(AND(E144&lt;&gt;"",OR(F157="",COUNT(K157:L157)=0),Y157&lt;&gt;EUconst_NA,T144&lt;&gt;TRUE),EUconst_ERR_Incomplete,IF(COUNTIF(AX157:AZ157,TRUE)&gt;0,EUconst_ERR_Inconsistent,""))</f>
        <v/>
      </c>
      <c r="O157" s="1305"/>
      <c r="P157" s="33"/>
      <c r="Q157" s="33"/>
      <c r="R157" s="33"/>
      <c r="S157" s="30"/>
      <c r="T157" s="543" t="str">
        <f>EUconst_CNTR_OxidationFactor&amp;E144</f>
        <v>OxF_</v>
      </c>
      <c r="U157" s="488"/>
      <c r="V157" s="544" t="str">
        <f t="shared" si="27"/>
        <v/>
      </c>
      <c r="W157" s="30"/>
      <c r="X157" s="488"/>
      <c r="Y157" s="545" t="str">
        <f>IF(OR(T144=TRUE,E144=""),"",INDEX(EUwideConstants!$N:$N,MATCH(T157,EUwideConstants!$Q:$Q,0)))</f>
        <v/>
      </c>
      <c r="Z157" s="546" t="str">
        <f>IF(ISBLANK(F157),"",IF(F157=EUconst_NA,"",INDEX(EUwideConstants!$H:$M,MATCH(T157,EUwideConstants!$Q:$Q,0),MATCH(F157,CNTR_TierList,0))))</f>
        <v/>
      </c>
      <c r="AA157" s="525" t="str">
        <f>IF(F157=1,1,"")</f>
        <v/>
      </c>
      <c r="AB157" s="30"/>
      <c r="AC157" s="548" t="b">
        <f>AND(AC153,Y157&lt;&gt;EUconst_NA)</f>
        <v>0</v>
      </c>
      <c r="AD157" s="30"/>
      <c r="AE157" s="563"/>
      <c r="AG157" s="564"/>
      <c r="AH157" s="553"/>
      <c r="AI157" s="565"/>
      <c r="AJ157" s="553"/>
      <c r="AK157" s="566"/>
      <c r="AL157" s="333"/>
      <c r="AM157" s="549" t="str">
        <f>EUconst_CNTR_OxidationFactor&amp;EUconst_Value</f>
        <v>OxF_Vertė</v>
      </c>
      <c r="AN157" s="567"/>
      <c r="AO157" s="525">
        <v>1</v>
      </c>
      <c r="AP157" s="553"/>
      <c r="AQ157" s="568" t="str">
        <f>IF(AA157="","",AO157)</f>
        <v/>
      </c>
      <c r="AR157" s="548">
        <f>IF(AC157=TRUE,IF(COUNT(K157:L157)=0,0,IF(L157="",K157,L157)),1)</f>
        <v>1</v>
      </c>
      <c r="AS157" s="544" t="b">
        <f>AND(AC157=TRUE,OR(ISNUMBER(L157),NOT(ISNUMBER(AA157))))</f>
        <v>0</v>
      </c>
      <c r="AT157" s="544" t="b">
        <f t="shared" si="23"/>
        <v>0</v>
      </c>
      <c r="AU157" s="30"/>
      <c r="AV157" s="558" t="b">
        <f t="shared" si="24"/>
        <v>0</v>
      </c>
      <c r="AW157" s="559" t="b">
        <f t="shared" si="25"/>
        <v>0</v>
      </c>
      <c r="AX157" s="30"/>
      <c r="AY157" s="585" t="b">
        <f t="shared" si="26"/>
        <v>0</v>
      </c>
      <c r="AZ157" s="522" t="b">
        <f>AR157&gt;100%</f>
        <v>0</v>
      </c>
      <c r="BA157" s="30"/>
      <c r="BB157" s="538" t="s">
        <v>287</v>
      </c>
      <c r="BC157" s="537" t="str">
        <f>IF(K143=BC153,AR153*IF(AJ155=EUconst_tCO2pTJ,(AR156/1000),1)*AR155*AR157*(1-AR160),"")</f>
        <v/>
      </c>
      <c r="BD157" s="515" t="str">
        <f>IF(K143=BD153,AR153*AR155*AR158*(1-AR160),"")</f>
        <v/>
      </c>
      <c r="BE157" s="514" t="str">
        <f>IF(K143=BE153,3.664*AR153*AR159*(1-AR160),"")</f>
        <v/>
      </c>
      <c r="BF157" s="30"/>
      <c r="BG157" s="30"/>
      <c r="BH157" s="30"/>
      <c r="BI157" s="30"/>
      <c r="BJ157" s="30"/>
      <c r="BK157" s="30"/>
      <c r="BL157" s="30"/>
      <c r="BM157" s="30"/>
      <c r="BN157" s="30"/>
      <c r="BO157" s="30"/>
      <c r="BP157" s="30"/>
      <c r="BQ157" s="30"/>
      <c r="BR157" s="30"/>
      <c r="BS157" s="30"/>
      <c r="BT157" s="30"/>
      <c r="BU157" s="30"/>
      <c r="BV157" s="30"/>
      <c r="BW157" s="30"/>
      <c r="BX157" s="30"/>
      <c r="BY157" s="30"/>
      <c r="BZ157" s="544" t="b">
        <f>OR(BZ153,Y157=EUconst_NA)</f>
        <v>1</v>
      </c>
    </row>
    <row r="158" spans="1:78" s="140" customFormat="1" ht="12.75" customHeight="1" thickBot="1" x14ac:dyDescent="0.25">
      <c r="A158" s="777"/>
      <c r="B158" s="1248"/>
      <c r="C158" s="783" t="s">
        <v>198</v>
      </c>
      <c r="D158" s="503" t="str">
        <f>Translations!$B$639</f>
        <v>Konversijos koef.:</v>
      </c>
      <c r="E158" s="504"/>
      <c r="F158" s="539"/>
      <c r="G158" s="1603" t="str">
        <f t="shared" si="21"/>
        <v/>
      </c>
      <c r="H158" s="1604"/>
      <c r="I158" s="1113" t="str">
        <f>IF(OR(AC158=FALSE,Y158=EUconst_NA),"","-")</f>
        <v/>
      </c>
      <c r="J158" s="560"/>
      <c r="K158" s="561" t="str">
        <f t="shared" si="22"/>
        <v/>
      </c>
      <c r="L158" s="694"/>
      <c r="M158" s="700" t="str">
        <f>IF(AND(E144&lt;&gt;"",OR(F158="",COUNT(K158:L158)=0),Y158&lt;&gt;EUconst_NA,T144&lt;&gt;TRUE),EUconst_ERR_Incomplete,IF(COUNTIF(AX158:AZ158,TRUE)&gt;0,EUconst_ERR_Inconsistent,""))</f>
        <v/>
      </c>
      <c r="O158" s="1305"/>
      <c r="P158" s="33"/>
      <c r="Q158" s="33"/>
      <c r="R158" s="33"/>
      <c r="S158" s="30"/>
      <c r="T158" s="543" t="str">
        <f>EUconst_CNTR_ConversionFactor&amp;E144</f>
        <v>ConvF_</v>
      </c>
      <c r="U158" s="488"/>
      <c r="V158" s="544" t="str">
        <f t="shared" si="27"/>
        <v/>
      </c>
      <c r="W158" s="30"/>
      <c r="X158" s="488"/>
      <c r="Y158" s="545" t="str">
        <f>IF(OR(T144=TRUE,E144=""),"",INDEX(EUwideConstants!$N:$N,MATCH(T158,EUwideConstants!$Q:$Q,0)))</f>
        <v/>
      </c>
      <c r="Z158" s="546" t="str">
        <f>IF(ISBLANK(F158),"",IF(F158=EUconst_NA,"",INDEX(EUwideConstants!$H:$M,MATCH(T158,EUwideConstants!$Q:$Q,0),MATCH(F158,CNTR_TierList,0))))</f>
        <v/>
      </c>
      <c r="AA158" s="573" t="str">
        <f>IF(F158=1,1,"")</f>
        <v/>
      </c>
      <c r="AB158" s="30"/>
      <c r="AC158" s="548" t="b">
        <f>AND(AC153,Y158&lt;&gt;EUconst_NA)</f>
        <v>0</v>
      </c>
      <c r="AD158" s="30"/>
      <c r="AE158" s="563"/>
      <c r="AG158" s="564"/>
      <c r="AH158" s="574"/>
      <c r="AI158" s="565"/>
      <c r="AJ158" s="574"/>
      <c r="AK158" s="566"/>
      <c r="AL158" s="333"/>
      <c r="AM158" s="549" t="str">
        <f>EUconst_CNTR_ConversionFactor&amp;EUconst_Value</f>
        <v>ConvF_Vertė</v>
      </c>
      <c r="AN158" s="575"/>
      <c r="AO158" s="573">
        <v>1</v>
      </c>
      <c r="AP158" s="574"/>
      <c r="AQ158" s="576" t="str">
        <f>IF(AA158="","",AO158)</f>
        <v/>
      </c>
      <c r="AR158" s="548">
        <f>IF(AC158=TRUE,IF(COUNT(K158:L158)=0,0,IF(L158="",K158,L158)),1)</f>
        <v>1</v>
      </c>
      <c r="AS158" s="544" t="b">
        <f>AND(AC158=TRUE,OR(ISNUMBER(L158),NOT(ISNUMBER(AA158))))</f>
        <v>0</v>
      </c>
      <c r="AT158" s="544" t="b">
        <f t="shared" si="23"/>
        <v>0</v>
      </c>
      <c r="AU158" s="30"/>
      <c r="AV158" s="558" t="b">
        <f t="shared" si="24"/>
        <v>0</v>
      </c>
      <c r="AW158" s="559" t="b">
        <f t="shared" si="25"/>
        <v>0</v>
      </c>
      <c r="AX158" s="30"/>
      <c r="AY158" s="585" t="b">
        <f t="shared" si="26"/>
        <v>0</v>
      </c>
      <c r="AZ158" s="571" t="b">
        <f>AR158&gt;100%</f>
        <v>0</v>
      </c>
      <c r="BA158" s="30"/>
      <c r="BB158" s="569" t="s">
        <v>481</v>
      </c>
      <c r="BC158" s="570">
        <f>AR153*AR156/1000*(1-AR160)</f>
        <v>0</v>
      </c>
      <c r="BD158" s="571">
        <f>BC158</f>
        <v>0</v>
      </c>
      <c r="BE158" s="572">
        <f>BC158</f>
        <v>0</v>
      </c>
      <c r="BF158" s="30"/>
      <c r="BG158" s="30"/>
      <c r="BH158" s="30"/>
      <c r="BI158" s="30"/>
      <c r="BJ158" s="30"/>
      <c r="BK158" s="30"/>
      <c r="BL158" s="30"/>
      <c r="BM158" s="30"/>
      <c r="BN158" s="30"/>
      <c r="BO158" s="30"/>
      <c r="BP158" s="30"/>
      <c r="BQ158" s="30"/>
      <c r="BR158" s="30"/>
      <c r="BS158" s="30"/>
      <c r="BT158" s="30"/>
      <c r="BU158" s="30"/>
      <c r="BV158" s="30"/>
      <c r="BW158" s="30"/>
      <c r="BX158" s="30"/>
      <c r="BY158" s="30"/>
      <c r="BZ158" s="544" t="b">
        <f>OR(BZ153,Y158=EUconst_NA)</f>
        <v>1</v>
      </c>
    </row>
    <row r="159" spans="1:78" s="140" customFormat="1" ht="12.75" customHeight="1" thickBot="1" x14ac:dyDescent="0.25">
      <c r="A159" s="777"/>
      <c r="B159" s="1248"/>
      <c r="C159" s="783" t="s">
        <v>324</v>
      </c>
      <c r="D159" s="503" t="str">
        <f>Translations!$B$640</f>
        <v>Anglies kiekis (C):</v>
      </c>
      <c r="E159" s="504"/>
      <c r="F159" s="539"/>
      <c r="G159" s="1603" t="str">
        <f t="shared" si="21"/>
        <v/>
      </c>
      <c r="H159" s="1604"/>
      <c r="I159" s="1113" t="str">
        <f>AJ159</f>
        <v/>
      </c>
      <c r="J159" s="577"/>
      <c r="K159" s="578" t="str">
        <f t="shared" si="22"/>
        <v/>
      </c>
      <c r="L159" s="579"/>
      <c r="M159" s="700" t="str">
        <f>IF(AND(E144&lt;&gt;"",OR(F159="",COUNT(K159:L159)=0),Y159&lt;&gt;EUconst_NA,T144&lt;&gt;TRUE),EUconst_ERR_Incomplete,IF(COUNTIF(AX159:AZ159,TRUE)&gt;0,EUconst_ERR_Inconsistent,""))</f>
        <v/>
      </c>
      <c r="O159" s="1305"/>
      <c r="P159" s="33"/>
      <c r="Q159" s="33"/>
      <c r="R159" s="33"/>
      <c r="S159" s="30"/>
      <c r="T159" s="543" t="str">
        <f>EUconst_CNTR_CarbonContent&amp;E144</f>
        <v>CarbC_</v>
      </c>
      <c r="U159" s="488"/>
      <c r="V159" s="544" t="str">
        <f t="shared" si="27"/>
        <v/>
      </c>
      <c r="W159" s="30"/>
      <c r="X159" s="488"/>
      <c r="Y159" s="545" t="str">
        <f>IF(OR(T144=TRUE,E144=""),"",INDEX(EUwideConstants!$N:$N,MATCH(T159,EUwideConstants!$Q:$Q,0)))</f>
        <v/>
      </c>
      <c r="Z159" s="546" t="str">
        <f>IF(ISBLANK(F159),"",IF(F159=EUconst_NA,"",INDEX(EUwideConstants!$H:$M,MATCH(T159,EUwideConstants!$Q:$Q,0),MATCH(F159,CNTR_TierList,0))))</f>
        <v/>
      </c>
      <c r="AA159" s="580" t="str">
        <f>IF(COUNTIF(EUconst_DefaultValues,Z159)&gt;0,MATCH(Z159,EUconst_DefaultValues,0),"")</f>
        <v/>
      </c>
      <c r="AB159" s="30"/>
      <c r="AC159" s="548" t="b">
        <f>AND(AC153,Y159&lt;&gt;EUconst_NA)</f>
        <v>0</v>
      </c>
      <c r="AD159" s="30"/>
      <c r="AE159" s="549" t="str">
        <f>EUconst_CNTR_CarbonContent&amp;EUconst_Unit</f>
        <v>CarbC_Vienetas</v>
      </c>
      <c r="AF159" s="550" t="str">
        <f>IF(AC159=TRUE, IF(COUNTIF(MSPara_SourceStreamCategory,V159)=0,"",INDEX(MSPara_CalcFactorsMatrix,MATCH(V159,MSPara_SourceStreamCategory,0),MATCH(AE159&amp;"_"&amp;2,MSPara_CalcFactors,0))),"")</f>
        <v/>
      </c>
      <c r="AG159" s="551" t="str">
        <f>IF(AC159=TRUE, IF(COUNTIF(MSPara_SourceStreamCategory,V159)=0,"",INDEX(MSPara_CalcFactorsMatrix,MATCH(V159,MSPara_SourceStreamCategory,0),MATCH(AE159&amp;"_"&amp;1,MSPara_CalcFactors,0))),"")</f>
        <v/>
      </c>
      <c r="AH159" s="581" t="str">
        <f>IF(AA159="","",INDEX(AF159:AG159,3-AA159))</f>
        <v/>
      </c>
      <c r="AI159" s="565"/>
      <c r="AJ159" s="582" t="str">
        <f>IF(AC159=TRUE,IF(AJ153="","",IF(AJ153=EUconst_kNm3,EUconst_tCpkNm3,EUconst_tCpt)),"")</f>
        <v/>
      </c>
      <c r="AK159" s="566"/>
      <c r="AL159" s="333"/>
      <c r="AM159" s="549" t="str">
        <f>EUconst_CNTR_CarbonContent&amp;EUconst_Value</f>
        <v>CarbC_Vertė</v>
      </c>
      <c r="AN159" s="555" t="str">
        <f>IF(AC159=TRUE,IF(COUNTIF(MSPara_SourceStreamCategory,V159)=0,"",INDEX(MSPara_CalcFactorsMatrix,MATCH(V159,MSPara_SourceStreamCategory,0),MATCH(AM159&amp;"_"&amp;2,MSPara_CalcFactors,0))),"")</f>
        <v/>
      </c>
      <c r="AO159" s="583" t="str">
        <f>IF(AC159=TRUE,IF(COUNTIF(MSPara_SourceStreamCategory,V159)=0,"",INDEX(MSPara_CalcFactorsMatrix,MATCH(V159,MSPara_SourceStreamCategory,0),MATCH(AM159&amp;"_"&amp;1,MSPara_CalcFactors,0))),"")</f>
        <v/>
      </c>
      <c r="AP159" s="548" t="b">
        <f>AND(AND(AH159&lt;&gt;"",AJ159&lt;&gt;""),AJ159=AH159)</f>
        <v>0</v>
      </c>
      <c r="AQ159" s="584" t="str">
        <f>IF(AND(AA159&lt;&gt;"",AP159=TRUE),IF(OR(INDEX(AN159:AO159,3-AA159)=EUconst_NA,INDEX(AN159:AO159,3-AA159)=0),"",INDEX(AN159:AO159,3-AA159)),"")</f>
        <v/>
      </c>
      <c r="AR159" s="548">
        <f>IF(AC159=TRUE,IF(COUNT(K159:L159)=0,0,IF(L159="",K159,L159)),0)</f>
        <v>0</v>
      </c>
      <c r="AS159" s="544" t="b">
        <f>AND(AC159=TRUE,OR(AND(F159&lt;&gt;"",NOT(ISNUMBER(AA159))),L159&lt;&gt;"",F159="",AQ159=""))</f>
        <v>0</v>
      </c>
      <c r="AT159" s="544" t="b">
        <f t="shared" si="23"/>
        <v>0</v>
      </c>
      <c r="AU159" s="30"/>
      <c r="AV159" s="558" t="b">
        <f t="shared" si="24"/>
        <v>0</v>
      </c>
      <c r="AW159" s="559" t="b">
        <f t="shared" si="25"/>
        <v>0</v>
      </c>
      <c r="AX159" s="537" t="b">
        <f>OR(AND(AJ153=EUconst_kNm3,AJ159=EUconst_tCpt),AND(AJ153=EUconst_t,AJ159=EUconst_tCpkNm3))</f>
        <v>0</v>
      </c>
      <c r="AY159" s="544" t="b">
        <f t="shared" si="26"/>
        <v>0</v>
      </c>
      <c r="AZ159" s="30"/>
      <c r="BA159" s="30"/>
      <c r="BB159" s="569" t="s">
        <v>482</v>
      </c>
      <c r="BC159" s="570">
        <f>AR153*AR156/1000*AR160</f>
        <v>0</v>
      </c>
      <c r="BD159" s="571">
        <f>BC159</f>
        <v>0</v>
      </c>
      <c r="BE159" s="572">
        <f>BC159</f>
        <v>0</v>
      </c>
      <c r="BF159" s="30"/>
      <c r="BG159" s="30"/>
      <c r="BH159" s="30"/>
      <c r="BI159" s="30"/>
      <c r="BJ159" s="30"/>
      <c r="BK159" s="30"/>
      <c r="BL159" s="30"/>
      <c r="BM159" s="30"/>
      <c r="BN159" s="30"/>
      <c r="BO159" s="30"/>
      <c r="BP159" s="30"/>
      <c r="BQ159" s="30"/>
      <c r="BR159" s="30"/>
      <c r="BS159" s="30"/>
      <c r="BT159" s="30"/>
      <c r="BU159" s="30"/>
      <c r="BV159" s="30"/>
      <c r="BW159" s="30"/>
      <c r="BX159" s="30"/>
      <c r="BY159" s="30"/>
      <c r="BZ159" s="544" t="b">
        <f>OR(BZ153,Y159=EUconst_NA)</f>
        <v>1</v>
      </c>
    </row>
    <row r="160" spans="1:78" s="140" customFormat="1" ht="12.75" customHeight="1" x14ac:dyDescent="0.2">
      <c r="A160" s="777"/>
      <c r="B160" s="1248"/>
      <c r="C160" s="753" t="s">
        <v>325</v>
      </c>
      <c r="D160" s="503" t="str">
        <f>Translations!$B$641</f>
        <v>Biomasės dalis (BioC):</v>
      </c>
      <c r="E160" s="504"/>
      <c r="F160" s="539"/>
      <c r="G160" s="1603" t="str">
        <f t="shared" si="21"/>
        <v/>
      </c>
      <c r="H160" s="1604"/>
      <c r="I160" s="1113" t="str">
        <f>IF(OR(AC160=FALSE,Y160=EUconst_NA),"","-")</f>
        <v/>
      </c>
      <c r="J160" s="560"/>
      <c r="K160" s="561" t="str">
        <f t="shared" si="22"/>
        <v/>
      </c>
      <c r="L160" s="694"/>
      <c r="M160" s="700" t="str">
        <f>IF(AND(E144&lt;&gt;"",OR(F160="",COUNT(K160:L160)=0),Y160&lt;&gt;EUconst_NA,T144&lt;&gt;TRUE),EUconst_ERR_Incomplete,IF(COUNTIF(AX160:AZ160,TRUE)&gt;0,EUconst_ERR_Inconsistent,""))</f>
        <v/>
      </c>
      <c r="O160" s="1305"/>
      <c r="P160" s="635"/>
      <c r="Q160" s="635"/>
      <c r="R160" s="635"/>
      <c r="S160" s="30"/>
      <c r="T160" s="543" t="str">
        <f>EUconst_CNTR_BiomassContent&amp;E144</f>
        <v>BioC_</v>
      </c>
      <c r="U160" s="488"/>
      <c r="V160" s="585" t="str">
        <f t="shared" si="27"/>
        <v/>
      </c>
      <c r="W160" s="522" t="str">
        <f>IF(COUNTIF(MSPara_SourceStreamCategory,V160)=0,"",INDEX(MSPara_IsFossil,MATCH(V160,MSPara_SourceStreamCategory,0)))</f>
        <v/>
      </c>
      <c r="X160" s="488"/>
      <c r="Y160" s="545" t="str">
        <f>IF(OR(T144=TRUE,E144=""),"",IF(OR(W160=TRUE,F160=EUconst_NA),EUconst_NA,INDEX(EUwideConstants!$N:$N,MATCH(T160,EUwideConstants!$Q:$Q,0))))</f>
        <v/>
      </c>
      <c r="Z160" s="546" t="str">
        <f>IF(ISBLANK(F160),"",IF(F160=EUconst_NA,"",INDEX(EUwideConstants!$H:$M,MATCH(T160,EUwideConstants!$Q:$Q,0),MATCH(F160,CNTR_TierList,0))))</f>
        <v/>
      </c>
      <c r="AA160" s="586" t="str">
        <f>IF(F160=1,1,"")</f>
        <v/>
      </c>
      <c r="AB160" s="30"/>
      <c r="AC160" s="548" t="b">
        <f>AND(AC153,Y160&lt;&gt;EUconst_NA)</f>
        <v>0</v>
      </c>
      <c r="AD160" s="30"/>
      <c r="AE160" s="563"/>
      <c r="AG160" s="564"/>
      <c r="AH160" s="553"/>
      <c r="AI160" s="565"/>
      <c r="AJ160" s="553"/>
      <c r="AK160" s="566"/>
      <c r="AL160" s="333"/>
      <c r="AM160" s="549" t="str">
        <f>EUconst_CNTR_BiomassContent&amp;EUconst_Value</f>
        <v>BioC_Vertė</v>
      </c>
      <c r="AO160" s="587" t="str">
        <f>IF(AC160=TRUE,IF(COUNTIF(MSPara_SourceStreamCategory,V160)=0,"",INDEX(MSPara_CalcFactorsMatrix,MATCH(V160,MSPara_SourceStreamCategory,0),MATCH(AM160&amp;"_"&amp;2,MSPara_CalcFactors,0))),"")</f>
        <v/>
      </c>
      <c r="AP160" s="553"/>
      <c r="AQ160" s="568" t="str">
        <f>IF(OR(AA160="",AO160=EUconst_NA),"",AO160)</f>
        <v/>
      </c>
      <c r="AR160" s="548">
        <f>IF(AC160=TRUE,IF(COUNT(K160:L160)=0,0,IF(L160="",K160,L160)),0)</f>
        <v>0</v>
      </c>
      <c r="AS160" s="544" t="b">
        <f>AND(AC160=TRUE,OR(AND(F160&lt;&gt;"",NOT(ISNUMBER(AA160))),L160&lt;&gt;"",F160="",AQ160=""))</f>
        <v>0</v>
      </c>
      <c r="AT160" s="544" t="b">
        <f t="shared" si="23"/>
        <v>0</v>
      </c>
      <c r="AU160" s="30"/>
      <c r="AV160" s="558" t="b">
        <f t="shared" si="24"/>
        <v>0</v>
      </c>
      <c r="AW160" s="559" t="b">
        <f t="shared" si="25"/>
        <v>0</v>
      </c>
      <c r="AX160" s="30"/>
      <c r="AY160" s="585" t="b">
        <f t="shared" si="26"/>
        <v>0</v>
      </c>
      <c r="AZ160" s="522" t="b">
        <f>OR(AR160&gt;100%,(AR160+AR161)&gt;100%)</f>
        <v>0</v>
      </c>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544" t="b">
        <f>OR(BZ153,Y160=EUconst_NA)</f>
        <v>1</v>
      </c>
    </row>
    <row r="161" spans="1:78" s="140" customFormat="1" ht="12.75" customHeight="1" thickBot="1" x14ac:dyDescent="0.25">
      <c r="A161" s="777"/>
      <c r="B161" s="1248"/>
      <c r="C161" s="753" t="s">
        <v>448</v>
      </c>
      <c r="D161" s="503" t="str">
        <f>Translations!$B$647</f>
        <v>Netvarios BioC dalis:</v>
      </c>
      <c r="E161" s="504"/>
      <c r="F161" s="588"/>
      <c r="G161" s="1603" t="str">
        <f t="shared" si="21"/>
        <v/>
      </c>
      <c r="H161" s="1604"/>
      <c r="I161" s="1114" t="str">
        <f>IF(OR(AC161=FALSE,Y161=EUconst_NA),"","-")</f>
        <v/>
      </c>
      <c r="J161" s="560"/>
      <c r="K161" s="589" t="str">
        <f t="shared" si="22"/>
        <v/>
      </c>
      <c r="L161" s="1100"/>
      <c r="M161" s="700" t="str">
        <f>IF(AND(E144&lt;&gt;"",OR(F161="",COUNT(K161:L161)=0),Y161&lt;&gt;EUconst_NA,T144&lt;&gt;TRUE),EUconst_ERR_Incomplete,IF(COUNTIF(AX161:AZ161,TRUE)&gt;0,EUconst_ERR_Inconsistent,""))</f>
        <v/>
      </c>
      <c r="O161" s="1305"/>
      <c r="P161" s="635"/>
      <c r="Q161" s="635"/>
      <c r="R161" s="635"/>
      <c r="S161" s="30"/>
      <c r="T161" s="590" t="str">
        <f>EUconst_CNTR_BiomassContent&amp;E144</f>
        <v>BioC_</v>
      </c>
      <c r="U161" s="488"/>
      <c r="V161" s="570" t="str">
        <f t="shared" si="27"/>
        <v/>
      </c>
      <c r="W161" s="571" t="str">
        <f>IF(COUNTIF(MSPara_SourceStreamCategory,V161)=0,"",INDEX(MSPara_IsFossil,MATCH(V161,MSPara_SourceStreamCategory,0)))</f>
        <v/>
      </c>
      <c r="X161" s="488"/>
      <c r="Y161" s="591" t="str">
        <f>IF(OR(T144=TRUE,E144=""),"",IF(OR(W161=TRUE,F161=EUconst_NA),EUconst_NA,INDEX(EUwideConstants!$N:$N,MATCH(T161,EUwideConstants!$Q:$Q,0))))</f>
        <v/>
      </c>
      <c r="Z161" s="592" t="str">
        <f>IF(ISBLANK(F161),"",IF(F161=EUconst_NA,"",INDEX(EUwideConstants!$H:$M,MATCH(T161,EUwideConstants!$Q:$Q,0),MATCH(F161,CNTR_TierList,0))))</f>
        <v/>
      </c>
      <c r="AA161" s="593" t="str">
        <f>IF(F161=1,1,"")</f>
        <v/>
      </c>
      <c r="AB161" s="30"/>
      <c r="AC161" s="594" t="b">
        <f>AND(AC153,Y161&lt;&gt;EUconst_NA)</f>
        <v>0</v>
      </c>
      <c r="AD161" s="30"/>
      <c r="AE161" s="595"/>
      <c r="AF161" s="596"/>
      <c r="AG161" s="597"/>
      <c r="AH161" s="598"/>
      <c r="AI161" s="598"/>
      <c r="AJ161" s="598"/>
      <c r="AK161" s="599"/>
      <c r="AL161" s="333"/>
      <c r="AM161" s="600" t="str">
        <f>EUconst_CNTR_BiomassContent&amp;EUconst_Value</f>
        <v>BioC_Vertė</v>
      </c>
      <c r="AN161" s="596"/>
      <c r="AO161" s="601" t="str">
        <f>IF(AC161=TRUE,IF(COUNTIF(MSPara_SourceStreamCategory,V161)=0,"",INDEX(MSPara_CalcFactorsMatrix,MATCH(V161,MSPara_SourceStreamCategory,0),MATCH(AM161&amp;"_"&amp;2,MSPara_CalcFactors,0))),"")</f>
        <v/>
      </c>
      <c r="AP161" s="598"/>
      <c r="AQ161" s="602" t="str">
        <f>IF(OR(AA161="",AO161=EUconst_NA),"",AO161)</f>
        <v/>
      </c>
      <c r="AR161" s="594">
        <f>IF(AC161=TRUE,IF(COUNT(K161:L161)=0,0,IF(L161="",K161,L161)),0)</f>
        <v>0</v>
      </c>
      <c r="AS161" s="603" t="b">
        <f>AND(AC161=TRUE,OR(AND(F161&lt;&gt;"",NOT(ISNUMBER(AA161))),L161&lt;&gt;"",F161="",AQ161=""))</f>
        <v>0</v>
      </c>
      <c r="AT161" s="603" t="b">
        <f t="shared" si="23"/>
        <v>0</v>
      </c>
      <c r="AU161" s="30"/>
      <c r="AV161" s="604" t="b">
        <f t="shared" si="24"/>
        <v>0</v>
      </c>
      <c r="AW161" s="605" t="b">
        <f t="shared" si="25"/>
        <v>0</v>
      </c>
      <c r="AX161" s="30"/>
      <c r="AY161" s="570" t="b">
        <f t="shared" si="26"/>
        <v>0</v>
      </c>
      <c r="AZ161" s="571" t="b">
        <f>OR(AR160&gt;100%,(AR160+AR161)&gt;100%)</f>
        <v>0</v>
      </c>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571" t="b">
        <f>OR(BZ153,Y161=EUconst_NA)</f>
        <v>1</v>
      </c>
    </row>
    <row r="162" spans="1:78" s="140" customFormat="1" ht="5.0999999999999996" customHeight="1" x14ac:dyDescent="0.2">
      <c r="A162" s="777"/>
      <c r="B162" s="1248"/>
      <c r="C162" s="164"/>
      <c r="D162" s="178"/>
      <c r="O162" s="1305"/>
      <c r="P162" s="33"/>
      <c r="Q162" s="33"/>
      <c r="R162" s="33"/>
      <c r="S162" s="172"/>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row>
    <row r="163" spans="1:78" s="140" customFormat="1" ht="12.75" customHeight="1" x14ac:dyDescent="0.2">
      <c r="A163" s="777"/>
      <c r="B163" s="1248"/>
      <c r="C163" s="164"/>
      <c r="D163" s="1629" t="str">
        <f>Translations!$B$674</f>
        <v>Pakopos galioja nuo:</v>
      </c>
      <c r="E163" s="1629"/>
      <c r="F163" s="1630"/>
      <c r="G163" s="1014"/>
      <c r="H163" s="606" t="str">
        <f>Translations!$B$675</f>
        <v>iki:</v>
      </c>
      <c r="I163" s="1014"/>
      <c r="J163" s="1620" t="str">
        <f>Translations!$B$676</f>
        <v>Atliekų katalogo numeris (jeigu taikytina):</v>
      </c>
      <c r="K163" s="1621"/>
      <c r="L163" s="1621"/>
      <c r="M163" s="1622"/>
      <c r="N163" s="1232"/>
      <c r="O163" s="1305"/>
      <c r="P163" s="33"/>
      <c r="Q163" s="33"/>
      <c r="R163" s="33"/>
      <c r="S163" s="1233"/>
      <c r="T163" s="483"/>
      <c r="U163" s="483"/>
      <c r="V163" s="48" t="b">
        <f>IF(V153="",FALSE,INDEX(CNTR_IsWaste,MATCH(V153,MSParameters!$A$218:$A$376,0)))</f>
        <v>0</v>
      </c>
      <c r="W163" s="1233" t="s">
        <v>1689</v>
      </c>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2" t="b">
        <f>BZ153</f>
        <v>1</v>
      </c>
    </row>
    <row r="164" spans="1:78" s="140" customFormat="1" ht="5.0999999999999996" customHeight="1" x14ac:dyDescent="0.2">
      <c r="A164" s="777"/>
      <c r="B164" s="1248"/>
      <c r="C164" s="164"/>
      <c r="D164" s="606"/>
      <c r="E164" s="486"/>
      <c r="F164" s="486"/>
      <c r="G164" s="486"/>
      <c r="H164" s="486"/>
      <c r="I164" s="486"/>
      <c r="J164" s="486"/>
      <c r="K164" s="486"/>
      <c r="L164" s="486"/>
      <c r="M164" s="486"/>
      <c r="N164" s="486"/>
      <c r="O164" s="1305"/>
      <c r="P164" s="33"/>
      <c r="Q164" s="33"/>
      <c r="R164" s="33"/>
      <c r="S164" s="172"/>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row>
    <row r="165" spans="1:78" s="140" customFormat="1" ht="12.75" customHeight="1" x14ac:dyDescent="0.2">
      <c r="A165" s="777"/>
      <c r="B165" s="1248"/>
      <c r="C165" s="164"/>
      <c r="D165" s="486"/>
      <c r="E165" s="486"/>
      <c r="F165" s="486"/>
      <c r="G165" s="486"/>
      <c r="H165" s="486"/>
      <c r="I165" s="486"/>
      <c r="J165" s="486"/>
      <c r="K165" s="486"/>
      <c r="L165" s="486"/>
      <c r="M165" s="606" t="str">
        <f>Translations!$B$677</f>
        <v>Stebėsenos plane šiam sukėlikliui suteiktas identifikatorius:</v>
      </c>
      <c r="N165" s="705"/>
      <c r="O165" s="1305"/>
      <c r="P165" s="33"/>
      <c r="Q165" s="33"/>
      <c r="R165" s="33"/>
      <c r="S165" s="172"/>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2" t="b">
        <f>BZ163</f>
        <v>1</v>
      </c>
    </row>
    <row r="166" spans="1:78" s="140" customFormat="1" ht="5.0999999999999996" customHeight="1" x14ac:dyDescent="0.2">
      <c r="A166" s="784"/>
      <c r="B166" s="1316"/>
      <c r="D166" s="178"/>
      <c r="O166" s="1317"/>
      <c r="P166" s="488"/>
      <c r="Q166" s="488"/>
      <c r="R166" s="488"/>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row>
    <row r="167" spans="1:78" s="140" customFormat="1" x14ac:dyDescent="0.2">
      <c r="A167" s="784"/>
      <c r="B167" s="1316"/>
      <c r="D167" s="1618" t="str">
        <f>Translations!$B$160</f>
        <v>Pastabos:</v>
      </c>
      <c r="E167" s="1619"/>
      <c r="F167" s="1605"/>
      <c r="G167" s="1606"/>
      <c r="H167" s="1606"/>
      <c r="I167" s="1606"/>
      <c r="J167" s="1606"/>
      <c r="K167" s="1606"/>
      <c r="L167" s="1606"/>
      <c r="M167" s="1606"/>
      <c r="N167" s="1607"/>
      <c r="O167" s="1317"/>
      <c r="P167" s="488"/>
      <c r="Q167" s="488"/>
      <c r="R167" s="488"/>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2" t="b">
        <f>BZ163</f>
        <v>1</v>
      </c>
    </row>
    <row r="168" spans="1:78" s="28" customFormat="1" ht="12.75" customHeight="1" thickBot="1" x14ac:dyDescent="0.25">
      <c r="A168" s="777"/>
      <c r="B168" s="1312"/>
      <c r="C168" s="490"/>
      <c r="D168" s="491"/>
      <c r="E168" s="492"/>
      <c r="F168" s="490"/>
      <c r="G168" s="493"/>
      <c r="H168" s="493"/>
      <c r="I168" s="493"/>
      <c r="J168" s="493"/>
      <c r="K168" s="493"/>
      <c r="L168" s="493"/>
      <c r="M168" s="493"/>
      <c r="N168" s="493"/>
      <c r="O168" s="1313"/>
      <c r="P168" s="485"/>
      <c r="Q168" s="485"/>
      <c r="R168" s="485"/>
      <c r="S168" s="58"/>
      <c r="T168" s="58"/>
      <c r="U168" s="489"/>
      <c r="V168" s="58"/>
      <c r="W168" s="58"/>
      <c r="X168" s="489"/>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30"/>
      <c r="BJ168" s="30"/>
      <c r="BK168" s="30"/>
      <c r="BL168" s="58"/>
      <c r="BM168" s="58"/>
      <c r="BN168" s="58"/>
      <c r="BO168" s="58"/>
      <c r="BP168" s="58"/>
      <c r="BQ168" s="58"/>
      <c r="BR168" s="58"/>
      <c r="BS168" s="58"/>
      <c r="BT168" s="58"/>
      <c r="BU168" s="58"/>
      <c r="BV168" s="58"/>
      <c r="BW168" s="58"/>
      <c r="BX168" s="58"/>
      <c r="BY168" s="58"/>
      <c r="BZ168" s="58"/>
    </row>
    <row r="169" spans="1:78" s="28" customFormat="1" ht="12.75" customHeight="1" thickBot="1" x14ac:dyDescent="0.25">
      <c r="A169" s="782"/>
      <c r="B169" s="1312"/>
      <c r="C169" s="486"/>
      <c r="D169" s="178"/>
      <c r="E169" s="487"/>
      <c r="F169" s="486"/>
      <c r="G169" s="478"/>
      <c r="H169" s="478"/>
      <c r="I169" s="478"/>
      <c r="J169" s="478"/>
      <c r="K169" s="486"/>
      <c r="L169" s="478"/>
      <c r="M169" s="478"/>
      <c r="N169" s="478"/>
      <c r="O169" s="1313"/>
      <c r="P169" s="485"/>
      <c r="Q169" s="485"/>
      <c r="R169" s="485"/>
      <c r="S169" s="23"/>
      <c r="T169" s="27" t="str">
        <f>IF(ISBLANK(E170),"",MATCH(E170,CNTR_SourceStreamNames,0))</f>
        <v/>
      </c>
      <c r="U169" s="609" t="str">
        <f>IF(ISBLANK(E170),"",INDEX(B_InstallationDescription!$D$71:$D$145,MATCH(E170,CNTR_SourceStreamNames,0)))</f>
        <v/>
      </c>
      <c r="V169" s="76"/>
      <c r="W169" s="56"/>
      <c r="X169" s="56"/>
      <c r="Y169" s="56"/>
      <c r="Z169" s="58"/>
      <c r="AA169" s="58"/>
      <c r="AB169" s="58"/>
      <c r="AC169" s="58"/>
      <c r="AD169" s="58"/>
      <c r="AE169" s="58"/>
      <c r="AF169" s="58"/>
      <c r="AG169" s="58"/>
      <c r="AH169" s="58"/>
      <c r="AI169" s="58"/>
      <c r="AJ169" s="58"/>
      <c r="AK169" s="482"/>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6"/>
      <c r="BI169" s="56"/>
      <c r="BJ169" s="56"/>
      <c r="BK169" s="56"/>
      <c r="BL169" s="56"/>
      <c r="BM169" s="56"/>
      <c r="BN169" s="56"/>
      <c r="BO169" s="56"/>
      <c r="BP169" s="56"/>
      <c r="BQ169" s="56"/>
      <c r="BR169" s="56"/>
      <c r="BS169" s="56"/>
      <c r="BT169" s="56"/>
      <c r="BU169" s="56"/>
      <c r="BV169" s="56"/>
      <c r="BW169" s="56"/>
      <c r="BX169" s="56"/>
      <c r="BY169" s="56"/>
      <c r="BZ169" s="484" t="s">
        <v>259</v>
      </c>
    </row>
    <row r="170" spans="1:78" s="140" customFormat="1" ht="15" customHeight="1" thickBot="1" x14ac:dyDescent="0.25">
      <c r="A170" s="1302" t="str">
        <f>IF(E170="","","PRINT")</f>
        <v/>
      </c>
      <c r="B170" s="1248"/>
      <c r="C170" s="608">
        <f>C143+1</f>
        <v>5</v>
      </c>
      <c r="D170" s="164"/>
      <c r="E170" s="1610"/>
      <c r="F170" s="1611"/>
      <c r="G170" s="1611"/>
      <c r="H170" s="1611"/>
      <c r="I170" s="1611"/>
      <c r="J170" s="1612"/>
      <c r="K170" s="1623" t="str">
        <f>IF(E171="","",INDEX(EUwideConstants!$F$353:$F$394,MATCH(E171,EUConst_TierActivityListNames,0)))</f>
        <v/>
      </c>
      <c r="L170" s="1624"/>
      <c r="M170" s="494" t="str">
        <f>Translations!$B$665</f>
        <v>CO2, iškastinio kuro kilmės:</v>
      </c>
      <c r="N170" s="1012" t="str">
        <f>IF(OR(K170="",T171=TRUE),"",INDEX(BC184:BE184,MATCH(K170,BC180:BE180,0)))</f>
        <v/>
      </c>
      <c r="O170" s="1314" t="s">
        <v>257</v>
      </c>
      <c r="P170" s="1303" t="str">
        <f>IF(AND(E170&lt;&gt;"",COUNTIF(P171:$P$2089,"PRINT")=0),"PRINT","")</f>
        <v/>
      </c>
      <c r="Q170" s="343" t="str">
        <f>EUconst_SumCO2 &amp; "_" &amp; K170</f>
        <v>SUM_CO2_</v>
      </c>
      <c r="R170" s="485"/>
      <c r="S170" s="23"/>
      <c r="T170" s="500" t="s">
        <v>387</v>
      </c>
      <c r="U170" s="23"/>
      <c r="V170" s="76"/>
      <c r="W170" s="56"/>
      <c r="X170" s="58"/>
      <c r="Y170" s="58"/>
      <c r="Z170" s="58"/>
      <c r="AA170" s="58"/>
      <c r="AB170" s="58"/>
      <c r="AC170" s="58"/>
      <c r="AD170" s="58"/>
      <c r="AE170" s="58"/>
      <c r="AF170" s="58"/>
      <c r="AG170" s="58"/>
      <c r="AH170" s="58"/>
      <c r="AI170" s="333"/>
      <c r="AJ170" s="333"/>
      <c r="AK170" s="333"/>
      <c r="AL170" s="333"/>
      <c r="AM170" s="333"/>
      <c r="AN170" s="333"/>
      <c r="AO170" s="333"/>
      <c r="AP170" s="333"/>
      <c r="AQ170" s="333"/>
      <c r="AR170" s="333"/>
      <c r="AS170" s="333"/>
      <c r="AT170" s="333"/>
      <c r="AU170" s="333"/>
      <c r="AV170" s="333"/>
      <c r="AW170" s="333"/>
      <c r="AX170" s="333"/>
      <c r="AY170" s="333"/>
      <c r="AZ170" s="333"/>
      <c r="BA170" s="333"/>
      <c r="BB170" s="333"/>
      <c r="BC170" s="333"/>
      <c r="BD170" s="333"/>
      <c r="BE170" s="333"/>
      <c r="BF170" s="333"/>
      <c r="BG170" s="333"/>
      <c r="BH170" s="834">
        <f>AR180</f>
        <v>0</v>
      </c>
      <c r="BI170" s="834" t="str">
        <f>AJ180</f>
        <v/>
      </c>
      <c r="BJ170" s="834">
        <f>AR182</f>
        <v>0</v>
      </c>
      <c r="BK170" s="834" t="str">
        <f>AJ182</f>
        <v/>
      </c>
      <c r="BL170" s="834">
        <f>AR183</f>
        <v>0</v>
      </c>
      <c r="BM170" s="834" t="str">
        <f>AJ183</f>
        <v/>
      </c>
      <c r="BN170" s="834">
        <f>AR184</f>
        <v>1</v>
      </c>
      <c r="BO170" s="834">
        <f>AR185</f>
        <v>1</v>
      </c>
      <c r="BP170" s="834">
        <f>AR186</f>
        <v>0</v>
      </c>
      <c r="BQ170" s="834" t="str">
        <f>AJ186</f>
        <v/>
      </c>
      <c r="BR170" s="834">
        <f>AR187</f>
        <v>0</v>
      </c>
      <c r="BS170" s="834">
        <f>AR188</f>
        <v>0</v>
      </c>
      <c r="BT170" s="834" t="str">
        <f>N170</f>
        <v/>
      </c>
      <c r="BU170" s="834" t="str">
        <f>N171</f>
        <v/>
      </c>
      <c r="BV170" s="834" t="str">
        <f>R173</f>
        <v/>
      </c>
      <c r="BW170" s="834" t="str">
        <f>R179</f>
        <v/>
      </c>
      <c r="BX170" s="834" t="str">
        <f>R180</f>
        <v/>
      </c>
      <c r="BY170" s="56"/>
      <c r="BZ170" s="610" t="b">
        <f>CNTR_CalcRelevant=EUconst_NotRelevant</f>
        <v>0</v>
      </c>
    </row>
    <row r="171" spans="1:78" s="140" customFormat="1" ht="15" customHeight="1" thickBot="1" x14ac:dyDescent="0.25">
      <c r="A171" s="777"/>
      <c r="B171" s="1248"/>
      <c r="C171" s="164"/>
      <c r="D171" s="164"/>
      <c r="E171" s="1625" t="str">
        <f>IF(ISBLANK(E170),"",IF(INDEX(B_InstallationDescription!$E$71:$E$145,MATCH(U169,B_InstallationDescription!$D$71:$D$145,0))&gt;0,INDEX(B_InstallationDescription!$E$71:$E$145,MATCH(U169,B_InstallationDescription!$D$71:$D$145,0)),""))</f>
        <v/>
      </c>
      <c r="F171" s="1626"/>
      <c r="G171" s="1626"/>
      <c r="H171" s="1626"/>
      <c r="I171" s="1626"/>
      <c r="J171" s="1627"/>
      <c r="M171" s="337" t="str">
        <f>Translations!$B$666</f>
        <v>CO2, biomasės kilmės.:</v>
      </c>
      <c r="N171" s="1013" t="str">
        <f>IF(OR(K170="",T171=TRUE),"",INDEX(BC183:BE183,MATCH(K170,BC180:BE180,0)))</f>
        <v/>
      </c>
      <c r="O171" s="1315" t="s">
        <v>257</v>
      </c>
      <c r="P171" s="485"/>
      <c r="Q171" s="343" t="str">
        <f>EUconst_SumBioCO2 &amp; "_" &amp; K170</f>
        <v>SUM_bioCO2_</v>
      </c>
      <c r="R171" s="485"/>
      <c r="S171" s="23"/>
      <c r="T171" s="48" t="str">
        <f>IF(E171="","",MATCH(E171,EUConst_TierActivityListNames,0)&gt;40)</f>
        <v/>
      </c>
      <c r="U171" s="23"/>
      <c r="V171" s="76"/>
      <c r="W171" s="56"/>
      <c r="X171" s="58"/>
      <c r="Y171" s="27" t="s">
        <v>91</v>
      </c>
      <c r="Z171" s="30"/>
      <c r="AA171" s="30"/>
      <c r="AB171" s="30"/>
      <c r="AC171" s="30"/>
      <c r="AD171" s="30"/>
      <c r="AE171" s="27" t="s">
        <v>297</v>
      </c>
      <c r="AF171" s="58"/>
      <c r="AG171" s="495"/>
      <c r="AH171" s="30"/>
      <c r="AI171" s="30"/>
      <c r="AJ171" s="495"/>
      <c r="AK171" s="495"/>
      <c r="AL171" s="333"/>
      <c r="AM171" s="27" t="s">
        <v>303</v>
      </c>
      <c r="AN171" s="496"/>
      <c r="AO171" s="496"/>
      <c r="AP171" s="30"/>
      <c r="AQ171" s="30"/>
      <c r="AR171" s="30"/>
      <c r="AS171" s="30"/>
      <c r="AT171" s="30"/>
      <c r="AU171" s="30"/>
      <c r="AV171" s="27" t="s">
        <v>310</v>
      </c>
      <c r="AW171" s="30"/>
      <c r="AX171" s="483"/>
      <c r="AY171" s="30"/>
      <c r="AZ171" s="30"/>
      <c r="BA171" s="30"/>
      <c r="BB171" s="27" t="s">
        <v>217</v>
      </c>
      <c r="BC171" s="30"/>
      <c r="BD171" s="30"/>
      <c r="BE171" s="30"/>
      <c r="BF171" s="30"/>
      <c r="BG171" s="27" t="s">
        <v>486</v>
      </c>
      <c r="BH171" s="833" t="s">
        <v>552</v>
      </c>
      <c r="BI171" s="833" t="s">
        <v>487</v>
      </c>
      <c r="BJ171" s="833" t="s">
        <v>211</v>
      </c>
      <c r="BK171" s="833" t="s">
        <v>488</v>
      </c>
      <c r="BL171" s="833" t="s">
        <v>68</v>
      </c>
      <c r="BM171" s="833" t="s">
        <v>489</v>
      </c>
      <c r="BN171" s="833" t="s">
        <v>490</v>
      </c>
      <c r="BO171" s="833" t="s">
        <v>491</v>
      </c>
      <c r="BP171" s="833" t="s">
        <v>214</v>
      </c>
      <c r="BQ171" s="833" t="s">
        <v>492</v>
      </c>
      <c r="BR171" s="833" t="s">
        <v>493</v>
      </c>
      <c r="BS171" s="833" t="s">
        <v>494</v>
      </c>
      <c r="BT171" s="833" t="s">
        <v>287</v>
      </c>
      <c r="BU171" s="833" t="s">
        <v>495</v>
      </c>
      <c r="BV171" s="833" t="s">
        <v>498</v>
      </c>
      <c r="BW171" s="833" t="s">
        <v>496</v>
      </c>
      <c r="BX171" s="833" t="s">
        <v>497</v>
      </c>
      <c r="BY171" s="30"/>
      <c r="BZ171" s="30"/>
    </row>
    <row r="172" spans="1:78" s="140" customFormat="1" ht="5.0999999999999996" customHeight="1" thickBot="1" x14ac:dyDescent="0.25">
      <c r="A172" s="777"/>
      <c r="B172" s="1248"/>
      <c r="C172" s="164"/>
      <c r="D172" s="164"/>
      <c r="E172" s="164"/>
      <c r="F172" s="164"/>
      <c r="G172" s="164"/>
      <c r="M172" s="141"/>
      <c r="N172" s="141"/>
      <c r="O172" s="1305"/>
      <c r="P172" s="33"/>
      <c r="Q172" s="33"/>
      <c r="R172" s="33"/>
      <c r="S172" s="23"/>
      <c r="T172" s="23"/>
      <c r="U172" s="23"/>
      <c r="V172" s="76"/>
      <c r="W172" s="30"/>
      <c r="X172" s="30"/>
      <c r="Y172" s="485"/>
      <c r="Z172" s="30"/>
      <c r="AA172" s="30"/>
      <c r="AB172" s="30"/>
      <c r="AC172" s="30"/>
      <c r="AD172" s="30"/>
      <c r="AE172" s="30"/>
      <c r="AF172" s="58"/>
      <c r="AG172" s="30"/>
      <c r="AH172" s="30"/>
      <c r="AI172" s="30"/>
      <c r="AJ172" s="495"/>
      <c r="AK172" s="495"/>
      <c r="AL172" s="333"/>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row>
    <row r="173" spans="1:78" s="140" customFormat="1" ht="12.75" customHeight="1" thickBot="1" x14ac:dyDescent="0.25">
      <c r="A173" s="777"/>
      <c r="B173" s="1248"/>
      <c r="C173" s="164"/>
      <c r="D173" s="164"/>
      <c r="E173" s="1628" t="str">
        <f>IF(E170="","",IF(T171=TRUE,HYPERLINK("#JUMP_14",EUconst_MsgGoOnPFC),HYPERLINK("#JUMP_E_8",EUconst_FurtherGuidancePoint1)))</f>
        <v/>
      </c>
      <c r="F173" s="1628"/>
      <c r="G173" s="1628"/>
      <c r="H173" s="1628"/>
      <c r="I173" s="1628"/>
      <c r="J173" s="1628"/>
      <c r="K173" s="1628"/>
      <c r="L173" s="1628"/>
      <c r="M173" s="1628"/>
      <c r="N173" s="141"/>
      <c r="O173" s="1305"/>
      <c r="P173" s="33"/>
      <c r="Q173" s="343" t="str">
        <f>EUconst_SumNonSustBioCO2 &amp; "_" &amp; K170</f>
        <v>SUM_bioNonSustCO2_</v>
      </c>
      <c r="R173" s="698" t="str">
        <f>IF(OR(K170="",T171=TRUE),"",ROUND(INDEX(BC182:BE182,MATCH(K170,BC180:BE180,0)),0))</f>
        <v/>
      </c>
      <c r="S173" s="23"/>
      <c r="T173" s="23"/>
      <c r="U173" s="23"/>
      <c r="V173" s="30"/>
      <c r="W173" s="30"/>
      <c r="X173" s="30"/>
      <c r="Y173" s="58"/>
      <c r="Z173" s="30"/>
      <c r="AA173" s="30"/>
      <c r="AB173" s="30"/>
      <c r="AC173" s="30"/>
      <c r="AD173" s="30"/>
      <c r="AE173" s="30"/>
      <c r="AF173" s="58"/>
      <c r="AG173" s="30"/>
      <c r="AH173" s="30"/>
      <c r="AI173" s="30"/>
      <c r="AJ173" s="495"/>
      <c r="AK173" s="495"/>
      <c r="AL173" s="333"/>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row>
    <row r="174" spans="1:78" s="140" customFormat="1" ht="5.0999999999999996" customHeight="1" thickBot="1" x14ac:dyDescent="0.25">
      <c r="A174" s="777"/>
      <c r="B174" s="1248"/>
      <c r="C174" s="164"/>
      <c r="D174" s="164"/>
      <c r="E174" s="164"/>
      <c r="F174" s="164"/>
      <c r="G174" s="164"/>
      <c r="M174" s="141"/>
      <c r="N174" s="141"/>
      <c r="O174" s="1305"/>
      <c r="P174" s="23"/>
      <c r="Q174" s="23"/>
      <c r="R174" s="23"/>
      <c r="S174" s="23"/>
      <c r="T174" s="23"/>
      <c r="U174" s="23"/>
      <c r="V174" s="30"/>
      <c r="W174" s="30"/>
      <c r="X174" s="30"/>
      <c r="Y174" s="485"/>
      <c r="Z174" s="30"/>
      <c r="AA174" s="30"/>
      <c r="AB174" s="30"/>
      <c r="AC174" s="30"/>
      <c r="AD174" s="30"/>
      <c r="AE174" s="30"/>
      <c r="AF174" s="58"/>
      <c r="AG174" s="30"/>
      <c r="AH174" s="30"/>
      <c r="AI174" s="30"/>
      <c r="AJ174" s="495"/>
      <c r="AK174" s="495"/>
      <c r="AL174" s="333"/>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row>
    <row r="175" spans="1:78" s="140" customFormat="1" ht="12.75" customHeight="1" thickBot="1" x14ac:dyDescent="0.25">
      <c r="A175" s="777"/>
      <c r="B175" s="1248"/>
      <c r="C175" s="783" t="s">
        <v>4</v>
      </c>
      <c r="D175" s="503" t="str">
        <f>Translations!$B$622</f>
        <v>VD:</v>
      </c>
      <c r="E175" s="1631" t="str">
        <f>Translations!$B$667</f>
        <v>Ar veiklos duomenys gaunami sudedant išmatuotus kiekius (t. y. ne atliekant nuolatinius matavimus)?</v>
      </c>
      <c r="F175" s="1631"/>
      <c r="G175" s="1631"/>
      <c r="H175" s="1631"/>
      <c r="I175" s="1631"/>
      <c r="J175" s="1631"/>
      <c r="K175" s="1631"/>
      <c r="L175" s="1122"/>
      <c r="M175" s="498"/>
      <c r="O175" s="1305"/>
      <c r="P175" s="23"/>
      <c r="Q175" s="23"/>
      <c r="R175" s="23"/>
      <c r="S175" s="23"/>
      <c r="T175" s="23"/>
      <c r="U175" s="23"/>
      <c r="V175" s="30"/>
      <c r="W175" s="30"/>
      <c r="X175" s="30"/>
      <c r="Y175" s="485"/>
      <c r="Z175" s="30"/>
      <c r="AA175" s="30"/>
      <c r="AB175" s="30"/>
      <c r="AC175" s="1115" t="b">
        <f>AND(E170&lt;&gt;"",T171&lt;&gt;TRUE)</f>
        <v>0</v>
      </c>
      <c r="AD175" s="30"/>
      <c r="AE175" s="30"/>
      <c r="AF175" s="58"/>
      <c r="AG175" s="30"/>
      <c r="AH175" s="30"/>
      <c r="AI175" s="30"/>
      <c r="AJ175" s="495"/>
      <c r="AK175" s="495"/>
      <c r="AL175" s="333"/>
      <c r="AM175" s="30"/>
      <c r="AN175" s="30"/>
      <c r="AO175" s="30"/>
      <c r="AP175" s="30"/>
      <c r="AQ175" s="30"/>
      <c r="AR175" s="30"/>
      <c r="AS175" s="30"/>
      <c r="AT175" s="1115" t="b">
        <f>MSPara_BatchReportingMandatory&lt;&gt;TRUE</f>
        <v>0</v>
      </c>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1115" t="b">
        <f>OR(CNTR_CalcRelevant=EUconst_NotRelevant,AND(COUNTA(CNTR_ListRelevantSections)&gt;0,OR(T171=TRUE,E170="")))</f>
        <v>1</v>
      </c>
    </row>
    <row r="176" spans="1:78" s="140" customFormat="1" ht="5.0999999999999996" customHeight="1" thickBot="1" x14ac:dyDescent="0.25">
      <c r="A176" s="777"/>
      <c r="B176" s="1248"/>
      <c r="C176" s="164"/>
      <c r="D176" s="164"/>
      <c r="E176" s="164"/>
      <c r="F176" s="164"/>
      <c r="G176" s="164"/>
      <c r="H176" s="486"/>
      <c r="I176" s="486"/>
      <c r="J176" s="486"/>
      <c r="K176" s="486"/>
      <c r="L176" s="486"/>
      <c r="M176" s="498"/>
      <c r="O176" s="1305"/>
      <c r="P176" s="23"/>
      <c r="Q176" s="23"/>
      <c r="R176" s="23"/>
      <c r="S176" s="23"/>
      <c r="T176" s="23"/>
      <c r="U176" s="23"/>
      <c r="V176" s="30"/>
      <c r="W176" s="30"/>
      <c r="X176" s="30"/>
      <c r="Y176" s="485"/>
      <c r="Z176" s="30"/>
      <c r="AA176" s="30"/>
      <c r="AB176" s="30"/>
      <c r="AC176" s="483"/>
      <c r="AD176" s="30"/>
      <c r="AE176" s="30"/>
      <c r="AF176" s="58"/>
      <c r="AG176" s="30"/>
      <c r="AH176" s="30"/>
      <c r="AI176" s="30"/>
      <c r="AJ176" s="495"/>
      <c r="AK176" s="495"/>
      <c r="AL176" s="333"/>
      <c r="AM176" s="30"/>
      <c r="AN176" s="30"/>
      <c r="AO176" s="30"/>
      <c r="AP176" s="30"/>
      <c r="AQ176" s="30"/>
      <c r="AR176" s="30"/>
      <c r="AS176" s="30"/>
      <c r="AT176" s="483"/>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483"/>
    </row>
    <row r="177" spans="1:78" s="140" customFormat="1" ht="12.75" customHeight="1" thickBot="1" x14ac:dyDescent="0.25">
      <c r="A177" s="777"/>
      <c r="B177" s="1248"/>
      <c r="C177" s="783" t="s">
        <v>5</v>
      </c>
      <c r="D177" s="503" t="str">
        <f>Translations!$B$622</f>
        <v>VD:</v>
      </c>
      <c r="E177" s="1105" t="str">
        <f>Translations!$B$668</f>
        <v>Pradinis kiekis:</v>
      </c>
      <c r="F177" s="1123"/>
      <c r="G177" s="1106" t="str">
        <f>Translations!$B$669</f>
        <v>Galutinis kiekis:</v>
      </c>
      <c r="H177" s="1123"/>
      <c r="I177" s="1106" t="str">
        <f>Translations!$B$670</f>
        <v>Įsigytas kiekis:</v>
      </c>
      <c r="J177" s="1123"/>
      <c r="K177" s="1106" t="str">
        <f>Translations!$B$671</f>
        <v>Perduotas kiekis:</v>
      </c>
      <c r="L177" s="1123"/>
      <c r="M177" s="1107" t="str">
        <f>IF(AND(L175=TRUE,COUNT(F177,H177,J177,L177)&lt;4),EUconst_ERR_Incomplete,"")</f>
        <v/>
      </c>
      <c r="O177" s="1305"/>
      <c r="P177" s="23"/>
      <c r="Q177" s="23"/>
      <c r="R177" s="23"/>
      <c r="S177" s="23"/>
      <c r="T177" s="23"/>
      <c r="U177" s="23"/>
      <c r="V177" s="30"/>
      <c r="W177" s="30"/>
      <c r="X177" s="30"/>
      <c r="Y177" s="485"/>
      <c r="Z177" s="30"/>
      <c r="AA177" s="30"/>
      <c r="AB177" s="30"/>
      <c r="AC177" s="1115" t="b">
        <f>AC175</f>
        <v>0</v>
      </c>
      <c r="AD177" s="30"/>
      <c r="AE177" s="30"/>
      <c r="AF177" s="58"/>
      <c r="AG177" s="30"/>
      <c r="AH177" s="30"/>
      <c r="AI177" s="30"/>
      <c r="AJ177" s="495"/>
      <c r="AK177" s="495"/>
      <c r="AL177" s="333"/>
      <c r="AM177" s="30"/>
      <c r="AN177" s="30"/>
      <c r="AO177" s="30"/>
      <c r="AP177" s="30"/>
      <c r="AQ177" s="30"/>
      <c r="AR177" s="30"/>
      <c r="AS177" s="30"/>
      <c r="AT177" s="1115" t="b">
        <f>AND(AT175=TRUE,L175="")</f>
        <v>0</v>
      </c>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1115" t="b">
        <f>OR(BZ175,AND(NOT(ISBLANK(L175)),L175=FALSE))</f>
        <v>1</v>
      </c>
    </row>
    <row r="178" spans="1:78" s="140" customFormat="1" ht="5.0999999999999996" customHeight="1" thickBot="1" x14ac:dyDescent="0.25">
      <c r="A178" s="777"/>
      <c r="B178" s="1248"/>
      <c r="C178" s="164"/>
      <c r="D178" s="164"/>
      <c r="E178" s="164"/>
      <c r="F178" s="164"/>
      <c r="G178" s="164"/>
      <c r="M178" s="141"/>
      <c r="N178" s="141"/>
      <c r="O178" s="1305"/>
      <c r="P178" s="23"/>
      <c r="Q178" s="23"/>
      <c r="R178" s="23"/>
      <c r="S178" s="23"/>
      <c r="T178" s="23"/>
      <c r="U178" s="23"/>
      <c r="V178" s="30"/>
      <c r="W178" s="30"/>
      <c r="X178" s="30"/>
      <c r="Y178" s="485"/>
      <c r="Z178" s="30"/>
      <c r="AA178" s="30"/>
      <c r="AB178" s="30"/>
      <c r="AC178" s="30"/>
      <c r="AD178" s="30"/>
      <c r="AE178" s="30"/>
      <c r="AF178" s="58"/>
      <c r="AG178" s="30"/>
      <c r="AH178" s="30"/>
      <c r="AI178" s="30"/>
      <c r="AJ178" s="495"/>
      <c r="AK178" s="495"/>
      <c r="AL178" s="333"/>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row>
    <row r="179" spans="1:78" s="140" customFormat="1" ht="12.75" customHeight="1" thickBot="1" x14ac:dyDescent="0.25">
      <c r="A179" s="777"/>
      <c r="B179" s="1248"/>
      <c r="C179" s="164"/>
      <c r="D179" s="164"/>
      <c r="E179" s="164"/>
      <c r="F179" s="497" t="str">
        <f>Translations!$B$333</f>
        <v>Pakopa</v>
      </c>
      <c r="G179" s="1613" t="str">
        <f>Translations!$B$672</f>
        <v>pakopos aprašas</v>
      </c>
      <c r="H179" s="1613"/>
      <c r="I179" s="1608" t="str">
        <f>Translations!$B$158</f>
        <v>Vienetas</v>
      </c>
      <c r="J179" s="1608"/>
      <c r="K179" s="1608" t="str">
        <f>Translations!$B$673</f>
        <v>Vertė</v>
      </c>
      <c r="L179" s="1608"/>
      <c r="M179" s="498" t="str">
        <f>Translations!$B$610</f>
        <v>klaida</v>
      </c>
      <c r="O179" s="1305"/>
      <c r="P179" s="499"/>
      <c r="Q179" s="343" t="str">
        <f>EUconst_SumEnergyIN &amp; "_" &amp; K170</f>
        <v>SUM_EnergyIN_</v>
      </c>
      <c r="R179" s="390" t="str">
        <f>IF(OR(K170="",T171)=TRUE,"",INDEX(BC185:BE185,MATCH(K170,BC180:BE180,0)))</f>
        <v/>
      </c>
      <c r="S179" s="30"/>
      <c r="T179" s="480"/>
      <c r="U179" s="30"/>
      <c r="V179" s="500" t="s">
        <v>298</v>
      </c>
      <c r="W179" s="30"/>
      <c r="X179" s="30"/>
      <c r="Y179" s="485" t="s">
        <v>560</v>
      </c>
      <c r="Z179" s="485" t="s">
        <v>313</v>
      </c>
      <c r="AA179" s="30"/>
      <c r="AB179" s="30"/>
      <c r="AC179" s="496" t="s">
        <v>304</v>
      </c>
      <c r="AD179" s="30"/>
      <c r="AE179" s="30"/>
      <c r="AF179" s="483" t="s">
        <v>300</v>
      </c>
      <c r="AG179" s="483" t="s">
        <v>301</v>
      </c>
      <c r="AH179" s="485" t="s">
        <v>299</v>
      </c>
      <c r="AI179" s="495" t="s">
        <v>302</v>
      </c>
      <c r="AJ179" s="495" t="s">
        <v>561</v>
      </c>
      <c r="AK179" s="501" t="s">
        <v>306</v>
      </c>
      <c r="AL179" s="333"/>
      <c r="AM179" s="30"/>
      <c r="AN179" s="483" t="s">
        <v>300</v>
      </c>
      <c r="AO179" s="483" t="s">
        <v>301</v>
      </c>
      <c r="AP179" s="502" t="s">
        <v>305</v>
      </c>
      <c r="AQ179" s="495" t="s">
        <v>563</v>
      </c>
      <c r="AR179" s="495" t="s">
        <v>562</v>
      </c>
      <c r="AS179" s="501" t="s">
        <v>306</v>
      </c>
      <c r="AT179" s="501" t="s">
        <v>306</v>
      </c>
      <c r="AU179" s="30"/>
      <c r="AV179" s="483"/>
      <c r="AW179" s="483"/>
      <c r="AX179" s="483" t="s">
        <v>316</v>
      </c>
      <c r="AY179" s="483"/>
      <c r="AZ179" s="483"/>
      <c r="BA179" s="483"/>
      <c r="BB179" s="483"/>
      <c r="BC179" s="483"/>
      <c r="BD179" s="483"/>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484" t="s">
        <v>259</v>
      </c>
    </row>
    <row r="180" spans="1:78" s="140" customFormat="1" ht="12.75" customHeight="1" thickBot="1" x14ac:dyDescent="0.25">
      <c r="A180" s="777"/>
      <c r="B180" s="1248"/>
      <c r="C180" s="753" t="s">
        <v>194</v>
      </c>
      <c r="D180" s="503" t="str">
        <f>Translations!$B$622</f>
        <v>VD:</v>
      </c>
      <c r="E180" s="504"/>
      <c r="F180" s="393"/>
      <c r="G180" s="1603" t="str">
        <f>IF(OR(ISBLANK(F180),F180=EUconst_NoTier),"",IF(Z180=0,EUconst_NA,IF(ISERROR(Z180),"",Z180)))</f>
        <v/>
      </c>
      <c r="H180" s="1604"/>
      <c r="I180" s="1108" t="str">
        <f>IF(J180&lt;&gt;"","",AI180)</f>
        <v/>
      </c>
      <c r="J180" s="1109"/>
      <c r="K180" s="1116" t="str">
        <f>IF(L180="",AQ180,"")</f>
        <v/>
      </c>
      <c r="L180" s="1199"/>
      <c r="M180" s="700" t="str">
        <f>IF(AND(E171&lt;&gt;"",OR(F180="",COUNT(K180:L180)=0),Y180&lt;&gt;EUconst_NA,T171&lt;&gt;TRUE),EUconst_ERR_Incomplete,IF(COUNTIF(AX180:AZ180,TRUE)&gt;0,EUconst_ERR_Inconsistent,""))</f>
        <v/>
      </c>
      <c r="O180" s="1305"/>
      <c r="P180" s="635"/>
      <c r="Q180" s="343" t="str">
        <f>EUconst_SumBioEnergyIN &amp; "_" &amp; K170</f>
        <v>SUM_BioEnergyIN_</v>
      </c>
      <c r="R180" s="390" t="str">
        <f>IF(OR(K170="",T171)=TRUE,"",INDEX(BC186:BE186,MATCH(K170,BC180:BE180,0)))</f>
        <v/>
      </c>
      <c r="S180" s="30"/>
      <c r="T180" s="505" t="str">
        <f>EUconst_CNTR_ActivityData&amp;E171</f>
        <v>ActivityData_</v>
      </c>
      <c r="U180" s="488"/>
      <c r="V180" s="505" t="str">
        <f>IF(E170="","",INDEX(B_InstallationDescription!$I$71:$I$145,MATCH(U169,B_InstallationDescription!$D$71:$D$145,0)))</f>
        <v/>
      </c>
      <c r="W180" s="495" t="s">
        <v>533</v>
      </c>
      <c r="X180" s="488"/>
      <c r="Y180" s="506" t="str">
        <f>IF(OR(T171=TRUE,E171=""),"",INDEX(EUwideConstants!$N:$N,MATCH(T180,EUwideConstants!$Q:$Q,0)))</f>
        <v/>
      </c>
      <c r="Z180" s="507" t="str">
        <f>IF(ISBLANK(F180),"",IF(F180=EUconst_NA,"",INDEX(EUwideConstants!$H:$M,MATCH(T180,EUwideConstants!$Q:$Q,0),MATCH(F180,CNTR_TierList,0))))</f>
        <v/>
      </c>
      <c r="AA180" s="508" t="s">
        <v>299</v>
      </c>
      <c r="AB180" s="495"/>
      <c r="AC180" s="509" t="b">
        <f>AC175</f>
        <v>0</v>
      </c>
      <c r="AD180" s="30"/>
      <c r="AE180" s="510" t="str">
        <f>EUconst_CNTR_ActivityData&amp;EUconst_Unit</f>
        <v>ActivityData_Vienetas</v>
      </c>
      <c r="AF180" s="511" t="str">
        <f>IF(AC180=TRUE, IF(COUNTIF(MSPara_SourceStreamCategory,V180)=0,"",INDEX(MSPara_CalcFactorsMatrix,MATCH(V180,MSPara_SourceStreamCategory,0),MATCH(AE180&amp;"_"&amp;2,MSPara_CalcFactors,0))),"")</f>
        <v/>
      </c>
      <c r="AG180" s="512" t="str">
        <f>IF(AC180=TRUE, IF(COUNTIF(MSPara_SourceStreamCategory,V180)=0,"",INDEX(MSPara_CalcFactorsMatrix,MATCH(V180,MSPara_SourceStreamCategory,0),MATCH(AE180&amp;"_"&amp;1,MSPara_CalcFactors,0))),"")</f>
        <v/>
      </c>
      <c r="AH180" s="509" t="str">
        <f>IF(OR(AF180="",AF180=EUconst_NA),IF(OR(AG180=EUconst_NA,AG180=""),"",AG180),AF180)</f>
        <v/>
      </c>
      <c r="AI180" s="506" t="str">
        <f>IF(AC180=TRUE,IF(AH180="",EUconst_t,AH180),"")</f>
        <v/>
      </c>
      <c r="AJ180" s="513" t="str">
        <f>IF(J180="",AI180,J180)</f>
        <v/>
      </c>
      <c r="AK180" s="514" t="b">
        <f>IF(K170=EUconst_Fuel,J180&lt;&gt;"",FALSE)</f>
        <v>0</v>
      </c>
      <c r="AL180" s="333"/>
      <c r="AM180" s="505" t="str">
        <f>EUconst_CNTR_ActivityData&amp;EUconst_Value</f>
        <v>ActivityData_Vertė</v>
      </c>
      <c r="AN180" s="496"/>
      <c r="AO180" s="496"/>
      <c r="AP180" s="509" t="b">
        <f>AND(AND(AH180&lt;&gt;"",AJ180&lt;&gt;""),AJ180=AH180)</f>
        <v>0</v>
      </c>
      <c r="AQ180" s="610" t="str">
        <f>IF(L175=TRUE,SUM(F177)-SUM(H177)+SUM(J177)-SUM(L177),"")</f>
        <v/>
      </c>
      <c r="AR180" s="509">
        <f>IF(Y180=EUconst_NA,0,IF(COUNT(K180:L180)=0,0,IF(L180="",K180,L180)))</f>
        <v>0</v>
      </c>
      <c r="AS180" s="1115" t="b">
        <f>AND(AC180=TRUE,OR(L180&lt;&gt;"",AQ180=""))</f>
        <v>0</v>
      </c>
      <c r="AT180" s="1115" t="b">
        <f>AND(AC180=TRUE,NOT(AS180))</f>
        <v>0</v>
      </c>
      <c r="AU180" s="30"/>
      <c r="AV180" s="483" t="s">
        <v>309</v>
      </c>
      <c r="AW180" s="483" t="s">
        <v>314</v>
      </c>
      <c r="AX180" s="515"/>
      <c r="AY180" s="30" t="s">
        <v>536</v>
      </c>
      <c r="AZ180" s="30"/>
      <c r="BA180" s="30"/>
      <c r="BB180" s="495"/>
      <c r="BC180" s="484" t="str">
        <f>EUconst_Fuel</f>
        <v>Degimas</v>
      </c>
      <c r="BD180" s="484" t="str">
        <f>EUconst_ProcessCarbonate</f>
        <v>Proceso metu išsiskiriančios ŠESD</v>
      </c>
      <c r="BE180" s="484" t="str">
        <f>EUconst_MassBalance</f>
        <v>Masės balansas</v>
      </c>
      <c r="BF180" s="30"/>
      <c r="BG180" s="30"/>
      <c r="BH180" s="30"/>
      <c r="BI180" s="30"/>
      <c r="BJ180" s="30"/>
      <c r="BK180" s="30"/>
      <c r="BL180" s="30"/>
      <c r="BM180" s="30"/>
      <c r="BN180" s="30"/>
      <c r="BO180" s="30"/>
      <c r="BP180" s="30"/>
      <c r="BQ180" s="30"/>
      <c r="BR180" s="30"/>
      <c r="BS180" s="30"/>
      <c r="BT180" s="30"/>
      <c r="BU180" s="30"/>
      <c r="BV180" s="30"/>
      <c r="BW180" s="30"/>
      <c r="BX180" s="30"/>
      <c r="BY180" s="30"/>
      <c r="BZ180" s="515" t="b">
        <f>BZ175</f>
        <v>1</v>
      </c>
    </row>
    <row r="181" spans="1:78" s="140" customFormat="1" ht="5.0999999999999996" customHeight="1" thickBot="1" x14ac:dyDescent="0.25">
      <c r="A181" s="777"/>
      <c r="B181" s="1248"/>
      <c r="C181" s="783"/>
      <c r="D181" s="298"/>
      <c r="F181" s="141"/>
      <c r="G181" s="141"/>
      <c r="H181" s="141" t="s">
        <v>233</v>
      </c>
      <c r="I181" s="516"/>
      <c r="J181" s="516"/>
      <c r="K181" s="141"/>
      <c r="L181" s="141"/>
      <c r="M181" s="701"/>
      <c r="O181" s="1305"/>
      <c r="P181" s="33"/>
      <c r="Q181" s="33"/>
      <c r="R181" s="33"/>
      <c r="S181" s="30"/>
      <c r="T181" s="153"/>
      <c r="U181" s="488"/>
      <c r="V181" s="30"/>
      <c r="W181" s="30"/>
      <c r="X181" s="488"/>
      <c r="Y181" s="517"/>
      <c r="Z181" s="30"/>
      <c r="AA181" s="30"/>
      <c r="AB181" s="30"/>
      <c r="AC181" s="30"/>
      <c r="AD181" s="30"/>
      <c r="AE181" s="30"/>
      <c r="AF181" s="30"/>
      <c r="AG181" s="30"/>
      <c r="AH181" s="30"/>
      <c r="AI181" s="30"/>
      <c r="AJ181" s="30"/>
      <c r="AK181" s="30"/>
      <c r="AL181" s="333"/>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484"/>
    </row>
    <row r="182" spans="1:78" s="140" customFormat="1" ht="12.75" customHeight="1" thickBot="1" x14ac:dyDescent="0.25">
      <c r="A182" s="777"/>
      <c r="B182" s="1248"/>
      <c r="C182" s="783" t="s">
        <v>195</v>
      </c>
      <c r="D182" s="503" t="str">
        <f>Translations!$B$634</f>
        <v>(prelim.) ITF:</v>
      </c>
      <c r="E182" s="504"/>
      <c r="F182" s="518"/>
      <c r="G182" s="1603" t="str">
        <f t="shared" ref="G182:G188" si="28">IF(OR(ISBLANK(F182),F182=EUconst_NoTier),"",IF(Z182=0,EUconst_NotApplicable,IF(ISERROR(Z182),"",Z182)))</f>
        <v/>
      </c>
      <c r="H182" s="1609"/>
      <c r="I182" s="1110" t="str">
        <f>IF(J182&lt;&gt;"","",AI182)</f>
        <v/>
      </c>
      <c r="J182" s="1111"/>
      <c r="K182" s="519" t="str">
        <f t="shared" ref="K182:K188" si="29">IF(L182="",AQ182,"")</f>
        <v/>
      </c>
      <c r="L182" s="520"/>
      <c r="M182" s="700" t="str">
        <f>IF(AND(E171&lt;&gt;"",OR(F182="",COUNT(K182:L182)=0),Y182&lt;&gt;EUconst_NA,T171&lt;&gt;TRUE),EUconst_ERR_Incomplete,IF(COUNTIF(AX182:AZ182,TRUE)&gt;0,EUconst_ERR_Inconsistent,""))</f>
        <v/>
      </c>
      <c r="N182" s="486"/>
      <c r="O182" s="1305"/>
      <c r="P182" s="33"/>
      <c r="Q182" s="33"/>
      <c r="R182" s="33"/>
      <c r="S182" s="30"/>
      <c r="T182" s="521" t="str">
        <f>EUconst_CNTR_EF&amp;E171</f>
        <v>EF_</v>
      </c>
      <c r="U182" s="488"/>
      <c r="V182" s="522" t="str">
        <f>V180</f>
        <v/>
      </c>
      <c r="W182" s="30"/>
      <c r="X182" s="488"/>
      <c r="Y182" s="523" t="str">
        <f>IF(OR(T171=TRUE,E171=""),"",IF(F182=EUconst_NA,EUconst_NA,INDEX(EUwideConstants!$N:$N,MATCH(T182,EUwideConstants!$Q:$Q,0))))</f>
        <v/>
      </c>
      <c r="Z182" s="524" t="str">
        <f>IF(ISBLANK(F182),"",IF(F182=EUconst_NA,"",INDEX(EUwideConstants!$H:$M,MATCH(T182,EUwideConstants!$Q:$Q,0),MATCH(F182,CNTR_TierList,0))))</f>
        <v/>
      </c>
      <c r="AA182" s="525" t="str">
        <f>IF(COUNTIF(EUconst_DefaultValues,Z182)&gt;0,MATCH(Z182,EUconst_DefaultValues,0),"")</f>
        <v/>
      </c>
      <c r="AB182" s="30"/>
      <c r="AC182" s="526" t="b">
        <f>AND(AC180,Y182&lt;&gt;EUconst_NA)</f>
        <v>0</v>
      </c>
      <c r="AD182" s="30"/>
      <c r="AE182" s="510" t="str">
        <f>EUconst_CNTR_EF&amp;EUconst_Unit</f>
        <v>EF_Vienetas</v>
      </c>
      <c r="AF182" s="527" t="str">
        <f>IF(AC182=TRUE, IF(COUNTIF(MSPara_SourceStreamCategory,V182)=0,"",INDEX(MSPara_CalcFactorsMatrix,MATCH(V182,MSPara_SourceStreamCategory,0),MATCH(AE182&amp;"_"&amp;2,MSPara_CalcFactors,0))),"")</f>
        <v/>
      </c>
      <c r="AG182" s="528" t="str">
        <f>IF(AC182=TRUE, IF(COUNTIF(MSPara_SourceStreamCategory,V182)=0,"",INDEX(MSPara_CalcFactorsMatrix,MATCH(V182,MSPara_SourceStreamCategory,0),MATCH(AE182&amp;"_"&amp;1,MSPara_CalcFactors,0))),"")</f>
        <v/>
      </c>
      <c r="AH182" s="529" t="str">
        <f>IF(AA182="","",INDEX(AF182:AG182,3-AA182))</f>
        <v/>
      </c>
      <c r="AI182" s="530" t="str">
        <f>IF(AC182=TRUE,IF(OR(AH182="",AH182=EUconst_NA),IF(K170=EUconst_Fuel,EUconst_tCO2pTJ,EUconst_tCO2pt),AH182),"")</f>
        <v/>
      </c>
      <c r="AJ182" s="526" t="str">
        <f>IF(J182="",AI182,J182)</f>
        <v/>
      </c>
      <c r="AK182" s="531" t="b">
        <f>IF(K170=EUconst_Fuel,J182&lt;&gt;"",FALSE)</f>
        <v>0</v>
      </c>
      <c r="AL182" s="333"/>
      <c r="AM182" s="510" t="str">
        <f>EUconst_CNTR_EF&amp;EUconst_Value</f>
        <v>EF_Vertė</v>
      </c>
      <c r="AN182" s="532" t="str">
        <f>IF(AC182=TRUE,IF(COUNTIF(MSPara_SourceStreamCategory,V182)=0,"",INDEX(MSPara_CalcFactorsMatrix,MATCH(V182,MSPara_SourceStreamCategory,0),MATCH(AM182&amp;"_"&amp;2,MSPara_CalcFactors,0))),"")</f>
        <v/>
      </c>
      <c r="AO182" s="533" t="str">
        <f>IF(AC182=TRUE,IF(COUNTIF(MSPara_SourceStreamCategory,V182)=0,"",INDEX(MSPara_CalcFactorsMatrix,MATCH(V182,MSPara_SourceStreamCategory,0),MATCH(AM182&amp;"_"&amp;1,MSPara_CalcFactors,0))),"")</f>
        <v/>
      </c>
      <c r="AP182" s="526" t="b">
        <f>AND(AND(AH182&lt;&gt;"",AJ182&lt;&gt;""),AJ182=AH182)</f>
        <v>0</v>
      </c>
      <c r="AQ182" s="534" t="str">
        <f>IF(AND(AA182&lt;&gt;"",AP182=TRUE),IF(OR(INDEX(AN182:AO182,3-AA182)=EUconst_NA,INDEX(AN182:AO182,3-AA182)=0),"",INDEX(AN182:AO182,3-AA182)),"")</f>
        <v/>
      </c>
      <c r="AR182" s="526">
        <f>IF(AC182=TRUE,IF(COUNT(K182:L182)=0,0,IF(L182="",K182,L182)),0)</f>
        <v>0</v>
      </c>
      <c r="AS182" s="522" t="b">
        <f>AND(AC182=TRUE,OR(AND(F182&lt;&gt;"",NOT(ISNUMBER(AA182))),L182&lt;&gt;"",F182="",AQ182=""))</f>
        <v>0</v>
      </c>
      <c r="AT182" s="522" t="b">
        <f t="shared" ref="AT182:AT188" si="30">AND(AC182=TRUE,NOT(AS182))</f>
        <v>0</v>
      </c>
      <c r="AU182" s="30"/>
      <c r="AV182" s="535" t="b">
        <f t="shared" ref="AV182:AV188" si="31">AND(ISNUMBER(AA182),AQ182="")</f>
        <v>0</v>
      </c>
      <c r="AW182" s="536" t="b">
        <f t="shared" ref="AW182:AW188" si="32">AND(ISNUMBER(AA182),AQ182&lt;&gt;AR182)</f>
        <v>0</v>
      </c>
      <c r="AX182" s="537" t="b">
        <f>OR(AND(AJ180=EUconst_kNm3,AJ182=EUconst_tCO2pt),AND(AJ180=EUconst_t,AJ182=EUconst_tCO2pkNm3))</f>
        <v>0</v>
      </c>
      <c r="AY182" s="522" t="b">
        <f t="shared" ref="AY182:AY188" si="33">AND(L182&lt;&gt;"",Y182=EUconst_NA)</f>
        <v>0</v>
      </c>
      <c r="AZ182" s="30"/>
      <c r="BA182" s="30"/>
      <c r="BB182" s="538" t="s">
        <v>588</v>
      </c>
      <c r="BC182" s="537" t="str">
        <f>IF(K170=BC180,AR180*IF(AJ182=EUconst_tCO2pTJ,(AR183/1000),1)*AR182*AR184*AR188,"")</f>
        <v/>
      </c>
      <c r="BD182" s="515" t="str">
        <f>IF(K170=BD180,AR180*AR182*AR185*AR188,"")</f>
        <v/>
      </c>
      <c r="BE182" s="514" t="str">
        <f>IF(K170=BE180,3.664*AR180*AR186*AR188,"")</f>
        <v/>
      </c>
      <c r="BF182" s="30"/>
      <c r="BG182" s="30"/>
      <c r="BH182" s="30"/>
      <c r="BI182" s="30"/>
      <c r="BJ182" s="30"/>
      <c r="BK182" s="30"/>
      <c r="BL182" s="30"/>
      <c r="BM182" s="30"/>
      <c r="BN182" s="30"/>
      <c r="BO182" s="30"/>
      <c r="BP182" s="30"/>
      <c r="BQ182" s="30"/>
      <c r="BR182" s="30"/>
      <c r="BS182" s="30"/>
      <c r="BT182" s="30"/>
      <c r="BU182" s="30"/>
      <c r="BV182" s="30"/>
      <c r="BW182" s="30"/>
      <c r="BX182" s="30"/>
      <c r="BY182" s="30"/>
      <c r="BZ182" s="522" t="b">
        <f>OR(BZ180,Y182=EUconst_NA)</f>
        <v>1</v>
      </c>
    </row>
    <row r="183" spans="1:78" s="140" customFormat="1" ht="12.75" customHeight="1" thickBot="1" x14ac:dyDescent="0.25">
      <c r="A183" s="777"/>
      <c r="B183" s="1248"/>
      <c r="C183" s="783" t="s">
        <v>196</v>
      </c>
      <c r="D183" s="503" t="str">
        <f>Translations!$B$636</f>
        <v>GŠV:</v>
      </c>
      <c r="E183" s="504"/>
      <c r="F183" s="539"/>
      <c r="G183" s="1603" t="str">
        <f t="shared" si="28"/>
        <v/>
      </c>
      <c r="H183" s="1604"/>
      <c r="I183" s="1112" t="str">
        <f>AJ183</f>
        <v/>
      </c>
      <c r="J183" s="540"/>
      <c r="K183" s="541" t="str">
        <f t="shared" si="29"/>
        <v/>
      </c>
      <c r="L183" s="542"/>
      <c r="M183" s="700" t="str">
        <f>IF(AND(E171&lt;&gt;"",OR(F183="",COUNT(K183:L183)=0),Y183&lt;&gt;EUconst_NA,T171&lt;&gt;TRUE),EUconst_ERR_Incomplete,IF(COUNTIF(AX183:AZ183,TRUE)&gt;0,EUconst_ERR_Inconsistent,""))</f>
        <v/>
      </c>
      <c r="O183" s="1305"/>
      <c r="P183" s="33"/>
      <c r="Q183" s="33"/>
      <c r="R183" s="33"/>
      <c r="S183" s="30"/>
      <c r="T183" s="543" t="str">
        <f>EUconst_CNTR_NCV&amp;E171</f>
        <v>NCV_</v>
      </c>
      <c r="U183" s="488"/>
      <c r="V183" s="544" t="str">
        <f t="shared" ref="V183:V188" si="34">V182</f>
        <v/>
      </c>
      <c r="W183" s="30"/>
      <c r="X183" s="488"/>
      <c r="Y183" s="545" t="str">
        <f>IF(OR(T171=TRUE,E171=""),"",IF(F183=EUconst_NA,EUconst_NA,INDEX(EUwideConstants!$N:$N,MATCH(T183,EUwideConstants!$Q:$Q,0))))</f>
        <v/>
      </c>
      <c r="Z183" s="546" t="str">
        <f>IF(ISBLANK(F183),"",IF(F183=EUconst_NA,"",INDEX(EUwideConstants!$H:$M,MATCH(T183,EUwideConstants!$Q:$Q,0),MATCH(F183,CNTR_TierList,0))))</f>
        <v/>
      </c>
      <c r="AA183" s="547" t="str">
        <f>IF(COUNTIF(EUconst_DefaultValues,Z183)&gt;0,MATCH(Z183,EUconst_DefaultValues,0),"")</f>
        <v/>
      </c>
      <c r="AB183" s="30"/>
      <c r="AC183" s="548" t="b">
        <f>AND(AC180,Y183&lt;&gt;EUconst_NA)</f>
        <v>0</v>
      </c>
      <c r="AD183" s="30"/>
      <c r="AE183" s="549" t="str">
        <f>EUconst_CNTR_NCV&amp;EUconst_Unit</f>
        <v>NCV_Vienetas</v>
      </c>
      <c r="AF183" s="550" t="str">
        <f>IF(AC183=TRUE, IF(COUNTIF(MSPara_SourceStreamCategory,V183)=0,"",INDEX(MSPara_CalcFactorsMatrix,MATCH(V183,MSPara_SourceStreamCategory,0),MATCH(AE183&amp;"_"&amp;2,MSPara_CalcFactors,0))),"")</f>
        <v/>
      </c>
      <c r="AG183" s="551" t="str">
        <f>IF(AC183=TRUE, IF(COUNTIF(MSPara_SourceStreamCategory,V183)=0,"",INDEX(MSPara_CalcFactorsMatrix,MATCH(V183,MSPara_SourceStreamCategory,0),MATCH(AE183&amp;"_"&amp;1,MSPara_CalcFactors,0))),"")</f>
        <v/>
      </c>
      <c r="AH183" s="552" t="str">
        <f>IF(AA183="","",INDEX(AF183:AG183,3-AA183))</f>
        <v/>
      </c>
      <c r="AI183" s="553"/>
      <c r="AJ183" s="548" t="str">
        <f>IF(AC183=TRUE,IF(AJ180="","",IF(AJ180=EUconst_kNm3,EUconst_GJpkNm3,EUconst_GJpt)),"")</f>
        <v/>
      </c>
      <c r="AK183" s="554"/>
      <c r="AL183" s="333"/>
      <c r="AM183" s="549" t="str">
        <f>EUconst_CNTR_NCV&amp;EUconst_Value</f>
        <v>NCV_Vertė</v>
      </c>
      <c r="AN183" s="555" t="str">
        <f>IF(AC183=TRUE,IF(COUNTIF(MSPara_SourceStreamCategory,V183)=0,"",INDEX(MSPara_CalcFactorsMatrix,MATCH(V183,MSPara_SourceStreamCategory,0),MATCH(AM183&amp;"_"&amp;2,MSPara_CalcFactors,0))),"")</f>
        <v/>
      </c>
      <c r="AO183" s="556" t="str">
        <f>IF(AC183=TRUE,IF(COUNTIF(MSPara_SourceStreamCategory,V183)=0,"",INDEX(MSPara_CalcFactorsMatrix,MATCH(V183,MSPara_SourceStreamCategory,0),MATCH(AM183&amp;"_"&amp;1,MSPara_CalcFactors,0))),"")</f>
        <v/>
      </c>
      <c r="AP183" s="548" t="b">
        <f>AND(AND(AH183&lt;&gt;"",AJ183&lt;&gt;""),AJ183=AH183)</f>
        <v>0</v>
      </c>
      <c r="AQ183" s="557" t="str">
        <f>IF(AND(AA183&lt;&gt;"",AP183=TRUE),IF(OR(INDEX(AN183:AO183,3-AA183)=EUconst_NA,INDEX(AN183:AO183,3-AA183)=0),"",INDEX(AN183:AO183,3-AA183)),"")</f>
        <v/>
      </c>
      <c r="AR183" s="548">
        <f>IF(AC183=TRUE,IF(COUNT(K183:L183)=0,0,IF(L183="",K183,L183)),0)</f>
        <v>0</v>
      </c>
      <c r="AS183" s="544" t="b">
        <f>AND(AC183=TRUE,OR(AND(F183&lt;&gt;"",NOT(ISNUMBER(AA183))),L183&lt;&gt;"",F183="",AQ183=""))</f>
        <v>0</v>
      </c>
      <c r="AT183" s="544" t="b">
        <f t="shared" si="30"/>
        <v>0</v>
      </c>
      <c r="AU183" s="30"/>
      <c r="AV183" s="558" t="b">
        <f t="shared" si="31"/>
        <v>0</v>
      </c>
      <c r="AW183" s="559" t="b">
        <f t="shared" si="32"/>
        <v>0</v>
      </c>
      <c r="AX183" s="30"/>
      <c r="AY183" s="544" t="b">
        <f t="shared" si="33"/>
        <v>0</v>
      </c>
      <c r="AZ183" s="30"/>
      <c r="BA183" s="30"/>
      <c r="BB183" s="538" t="s">
        <v>589</v>
      </c>
      <c r="BC183" s="537" t="str">
        <f>IF(K170=BC180,AR180*IF(AJ182=EUconst_tCO2pTJ,(AR183/1000),1)*AR182*AR184*AR187,"")</f>
        <v/>
      </c>
      <c r="BD183" s="515" t="str">
        <f>IF(K170=BD180,AR180*AR182*AR185*AR187,"")</f>
        <v/>
      </c>
      <c r="BE183" s="514" t="str">
        <f>IF(K170=BE180,3.664*AR180*AR186*AR187,"")</f>
        <v/>
      </c>
      <c r="BF183" s="30"/>
      <c r="BG183" s="30"/>
      <c r="BH183" s="30"/>
      <c r="BI183" s="30"/>
      <c r="BJ183" s="30"/>
      <c r="BK183" s="30"/>
      <c r="BL183" s="30"/>
      <c r="BM183" s="30"/>
      <c r="BN183" s="30"/>
      <c r="BO183" s="30"/>
      <c r="BP183" s="30"/>
      <c r="BQ183" s="30"/>
      <c r="BR183" s="30"/>
      <c r="BS183" s="30"/>
      <c r="BT183" s="30"/>
      <c r="BU183" s="30"/>
      <c r="BV183" s="30"/>
      <c r="BW183" s="30"/>
      <c r="BX183" s="30"/>
      <c r="BY183" s="30"/>
      <c r="BZ183" s="544" t="b">
        <f>OR(BZ180,Y183=EUconst_NA)</f>
        <v>1</v>
      </c>
    </row>
    <row r="184" spans="1:78" s="140" customFormat="1" ht="12.75" customHeight="1" thickBot="1" x14ac:dyDescent="0.25">
      <c r="A184" s="777"/>
      <c r="B184" s="1248"/>
      <c r="C184" s="783" t="s">
        <v>197</v>
      </c>
      <c r="D184" s="503" t="str">
        <f>Translations!$B$638</f>
        <v>Oksidacijos koef.:</v>
      </c>
      <c r="E184" s="504"/>
      <c r="F184" s="539"/>
      <c r="G184" s="1603" t="str">
        <f t="shared" si="28"/>
        <v/>
      </c>
      <c r="H184" s="1604"/>
      <c r="I184" s="1113" t="str">
        <f>IF(OR(AC184=FALSE,Y184=EUconst_NA),"","-")</f>
        <v/>
      </c>
      <c r="J184" s="560"/>
      <c r="K184" s="561" t="str">
        <f t="shared" si="29"/>
        <v/>
      </c>
      <c r="L184" s="694"/>
      <c r="M184" s="700" t="str">
        <f>IF(AND(E171&lt;&gt;"",OR(F184="",COUNT(K184:L184)=0),Y184&lt;&gt;EUconst_NA,T171&lt;&gt;TRUE),EUconst_ERR_Incomplete,IF(COUNTIF(AX184:AZ184,TRUE)&gt;0,EUconst_ERR_Inconsistent,""))</f>
        <v/>
      </c>
      <c r="O184" s="1305"/>
      <c r="P184" s="33"/>
      <c r="Q184" s="33"/>
      <c r="R184" s="33"/>
      <c r="S184" s="30"/>
      <c r="T184" s="543" t="str">
        <f>EUconst_CNTR_OxidationFactor&amp;E171</f>
        <v>OxF_</v>
      </c>
      <c r="U184" s="488"/>
      <c r="V184" s="544" t="str">
        <f t="shared" si="34"/>
        <v/>
      </c>
      <c r="W184" s="30"/>
      <c r="X184" s="488"/>
      <c r="Y184" s="545" t="str">
        <f>IF(OR(T171=TRUE,E171=""),"",INDEX(EUwideConstants!$N:$N,MATCH(T184,EUwideConstants!$Q:$Q,0)))</f>
        <v/>
      </c>
      <c r="Z184" s="546" t="str">
        <f>IF(ISBLANK(F184),"",IF(F184=EUconst_NA,"",INDEX(EUwideConstants!$H:$M,MATCH(T184,EUwideConstants!$Q:$Q,0),MATCH(F184,CNTR_TierList,0))))</f>
        <v/>
      </c>
      <c r="AA184" s="525" t="str">
        <f>IF(F184=1,1,"")</f>
        <v/>
      </c>
      <c r="AB184" s="30"/>
      <c r="AC184" s="548" t="b">
        <f>AND(AC180,Y184&lt;&gt;EUconst_NA)</f>
        <v>0</v>
      </c>
      <c r="AD184" s="30"/>
      <c r="AE184" s="563"/>
      <c r="AG184" s="564"/>
      <c r="AH184" s="553"/>
      <c r="AI184" s="565"/>
      <c r="AJ184" s="553"/>
      <c r="AK184" s="566"/>
      <c r="AL184" s="333"/>
      <c r="AM184" s="549" t="str">
        <f>EUconst_CNTR_OxidationFactor&amp;EUconst_Value</f>
        <v>OxF_Vertė</v>
      </c>
      <c r="AN184" s="567"/>
      <c r="AO184" s="525">
        <v>1</v>
      </c>
      <c r="AP184" s="553"/>
      <c r="AQ184" s="568" t="str">
        <f>IF(AA184="","",AO184)</f>
        <v/>
      </c>
      <c r="AR184" s="548">
        <f>IF(AC184=TRUE,IF(COUNT(K184:L184)=0,0,IF(L184="",K184,L184)),1)</f>
        <v>1</v>
      </c>
      <c r="AS184" s="544" t="b">
        <f>AND(AC184=TRUE,OR(ISNUMBER(L184),NOT(ISNUMBER(AA184))))</f>
        <v>0</v>
      </c>
      <c r="AT184" s="544" t="b">
        <f t="shared" si="30"/>
        <v>0</v>
      </c>
      <c r="AU184" s="30"/>
      <c r="AV184" s="558" t="b">
        <f t="shared" si="31"/>
        <v>0</v>
      </c>
      <c r="AW184" s="559" t="b">
        <f t="shared" si="32"/>
        <v>0</v>
      </c>
      <c r="AX184" s="30"/>
      <c r="AY184" s="585" t="b">
        <f t="shared" si="33"/>
        <v>0</v>
      </c>
      <c r="AZ184" s="522" t="b">
        <f>AR184&gt;100%</f>
        <v>0</v>
      </c>
      <c r="BA184" s="30"/>
      <c r="BB184" s="538" t="s">
        <v>287</v>
      </c>
      <c r="BC184" s="537" t="str">
        <f>IF(K170=BC180,AR180*IF(AJ182=EUconst_tCO2pTJ,(AR183/1000),1)*AR182*AR184*(1-AR187),"")</f>
        <v/>
      </c>
      <c r="BD184" s="515" t="str">
        <f>IF(K170=BD180,AR180*AR182*AR185*(1-AR187),"")</f>
        <v/>
      </c>
      <c r="BE184" s="514" t="str">
        <f>IF(K170=BE180,3.664*AR180*AR186*(1-AR187),"")</f>
        <v/>
      </c>
      <c r="BF184" s="30"/>
      <c r="BG184" s="30"/>
      <c r="BH184" s="30"/>
      <c r="BI184" s="30"/>
      <c r="BJ184" s="30"/>
      <c r="BK184" s="30"/>
      <c r="BL184" s="30"/>
      <c r="BM184" s="30"/>
      <c r="BN184" s="30"/>
      <c r="BO184" s="30"/>
      <c r="BP184" s="30"/>
      <c r="BQ184" s="30"/>
      <c r="BR184" s="30"/>
      <c r="BS184" s="30"/>
      <c r="BT184" s="30"/>
      <c r="BU184" s="30"/>
      <c r="BV184" s="30"/>
      <c r="BW184" s="30"/>
      <c r="BX184" s="30"/>
      <c r="BY184" s="30"/>
      <c r="BZ184" s="544" t="b">
        <f>OR(BZ180,Y184=EUconst_NA)</f>
        <v>1</v>
      </c>
    </row>
    <row r="185" spans="1:78" s="140" customFormat="1" ht="12.75" customHeight="1" thickBot="1" x14ac:dyDescent="0.25">
      <c r="A185" s="777"/>
      <c r="B185" s="1248"/>
      <c r="C185" s="783" t="s">
        <v>198</v>
      </c>
      <c r="D185" s="503" t="str">
        <f>Translations!$B$639</f>
        <v>Konversijos koef.:</v>
      </c>
      <c r="E185" s="504"/>
      <c r="F185" s="539"/>
      <c r="G185" s="1603" t="str">
        <f t="shared" si="28"/>
        <v/>
      </c>
      <c r="H185" s="1604"/>
      <c r="I185" s="1113" t="str">
        <f>IF(OR(AC185=FALSE,Y185=EUconst_NA),"","-")</f>
        <v/>
      </c>
      <c r="J185" s="560"/>
      <c r="K185" s="561" t="str">
        <f t="shared" si="29"/>
        <v/>
      </c>
      <c r="L185" s="694"/>
      <c r="M185" s="700" t="str">
        <f>IF(AND(E171&lt;&gt;"",OR(F185="",COUNT(K185:L185)=0),Y185&lt;&gt;EUconst_NA,T171&lt;&gt;TRUE),EUconst_ERR_Incomplete,IF(COUNTIF(AX185:AZ185,TRUE)&gt;0,EUconst_ERR_Inconsistent,""))</f>
        <v/>
      </c>
      <c r="O185" s="1305"/>
      <c r="P185" s="33"/>
      <c r="Q185" s="33"/>
      <c r="R185" s="33"/>
      <c r="S185" s="30"/>
      <c r="T185" s="543" t="str">
        <f>EUconst_CNTR_ConversionFactor&amp;E171</f>
        <v>ConvF_</v>
      </c>
      <c r="U185" s="488"/>
      <c r="V185" s="544" t="str">
        <f t="shared" si="34"/>
        <v/>
      </c>
      <c r="W185" s="30"/>
      <c r="X185" s="488"/>
      <c r="Y185" s="545" t="str">
        <f>IF(OR(T171=TRUE,E171=""),"",INDEX(EUwideConstants!$N:$N,MATCH(T185,EUwideConstants!$Q:$Q,0)))</f>
        <v/>
      </c>
      <c r="Z185" s="546" t="str">
        <f>IF(ISBLANK(F185),"",IF(F185=EUconst_NA,"",INDEX(EUwideConstants!$H:$M,MATCH(T185,EUwideConstants!$Q:$Q,0),MATCH(F185,CNTR_TierList,0))))</f>
        <v/>
      </c>
      <c r="AA185" s="573" t="str">
        <f>IF(F185=1,1,"")</f>
        <v/>
      </c>
      <c r="AB185" s="30"/>
      <c r="AC185" s="548" t="b">
        <f>AND(AC180,Y185&lt;&gt;EUconst_NA)</f>
        <v>0</v>
      </c>
      <c r="AD185" s="30"/>
      <c r="AE185" s="563"/>
      <c r="AG185" s="564"/>
      <c r="AH185" s="574"/>
      <c r="AI185" s="565"/>
      <c r="AJ185" s="574"/>
      <c r="AK185" s="566"/>
      <c r="AL185" s="333"/>
      <c r="AM185" s="549" t="str">
        <f>EUconst_CNTR_ConversionFactor&amp;EUconst_Value</f>
        <v>ConvF_Vertė</v>
      </c>
      <c r="AN185" s="575"/>
      <c r="AO185" s="573">
        <v>1</v>
      </c>
      <c r="AP185" s="574"/>
      <c r="AQ185" s="576" t="str">
        <f>IF(AA185="","",AO185)</f>
        <v/>
      </c>
      <c r="AR185" s="548">
        <f>IF(AC185=TRUE,IF(COUNT(K185:L185)=0,0,IF(L185="",K185,L185)),1)</f>
        <v>1</v>
      </c>
      <c r="AS185" s="544" t="b">
        <f>AND(AC185=TRUE,OR(ISNUMBER(L185),NOT(ISNUMBER(AA185))))</f>
        <v>0</v>
      </c>
      <c r="AT185" s="544" t="b">
        <f t="shared" si="30"/>
        <v>0</v>
      </c>
      <c r="AU185" s="30"/>
      <c r="AV185" s="558" t="b">
        <f t="shared" si="31"/>
        <v>0</v>
      </c>
      <c r="AW185" s="559" t="b">
        <f t="shared" si="32"/>
        <v>0</v>
      </c>
      <c r="AX185" s="30"/>
      <c r="AY185" s="585" t="b">
        <f t="shared" si="33"/>
        <v>0</v>
      </c>
      <c r="AZ185" s="571" t="b">
        <f>AR185&gt;100%</f>
        <v>0</v>
      </c>
      <c r="BA185" s="30"/>
      <c r="BB185" s="569" t="s">
        <v>481</v>
      </c>
      <c r="BC185" s="570">
        <f>AR180*AR183/1000*(1-AR187)</f>
        <v>0</v>
      </c>
      <c r="BD185" s="571">
        <f>BC185</f>
        <v>0</v>
      </c>
      <c r="BE185" s="572">
        <f>BC185</f>
        <v>0</v>
      </c>
      <c r="BF185" s="30"/>
      <c r="BG185" s="30"/>
      <c r="BH185" s="30"/>
      <c r="BI185" s="30"/>
      <c r="BJ185" s="30"/>
      <c r="BK185" s="30"/>
      <c r="BL185" s="30"/>
      <c r="BM185" s="30"/>
      <c r="BN185" s="30"/>
      <c r="BO185" s="30"/>
      <c r="BP185" s="30"/>
      <c r="BQ185" s="30"/>
      <c r="BR185" s="30"/>
      <c r="BS185" s="30"/>
      <c r="BT185" s="30"/>
      <c r="BU185" s="30"/>
      <c r="BV185" s="30"/>
      <c r="BW185" s="30"/>
      <c r="BX185" s="30"/>
      <c r="BY185" s="30"/>
      <c r="BZ185" s="544" t="b">
        <f>OR(BZ180,Y185=EUconst_NA)</f>
        <v>1</v>
      </c>
    </row>
    <row r="186" spans="1:78" s="140" customFormat="1" ht="12.75" customHeight="1" thickBot="1" x14ac:dyDescent="0.25">
      <c r="A186" s="777"/>
      <c r="B186" s="1248"/>
      <c r="C186" s="783" t="s">
        <v>324</v>
      </c>
      <c r="D186" s="503" t="str">
        <f>Translations!$B$640</f>
        <v>Anglies kiekis (C):</v>
      </c>
      <c r="E186" s="504"/>
      <c r="F186" s="539"/>
      <c r="G186" s="1603" t="str">
        <f t="shared" si="28"/>
        <v/>
      </c>
      <c r="H186" s="1604"/>
      <c r="I186" s="1113" t="str">
        <f>AJ186</f>
        <v/>
      </c>
      <c r="J186" s="577"/>
      <c r="K186" s="578" t="str">
        <f t="shared" si="29"/>
        <v/>
      </c>
      <c r="L186" s="579"/>
      <c r="M186" s="700" t="str">
        <f>IF(AND(E171&lt;&gt;"",OR(F186="",COUNT(K186:L186)=0),Y186&lt;&gt;EUconst_NA,T171&lt;&gt;TRUE),EUconst_ERR_Incomplete,IF(COUNTIF(AX186:AZ186,TRUE)&gt;0,EUconst_ERR_Inconsistent,""))</f>
        <v/>
      </c>
      <c r="O186" s="1305"/>
      <c r="P186" s="33"/>
      <c r="Q186" s="33"/>
      <c r="R186" s="33"/>
      <c r="S186" s="30"/>
      <c r="T186" s="543" t="str">
        <f>EUconst_CNTR_CarbonContent&amp;E171</f>
        <v>CarbC_</v>
      </c>
      <c r="U186" s="488"/>
      <c r="V186" s="544" t="str">
        <f t="shared" si="34"/>
        <v/>
      </c>
      <c r="W186" s="30"/>
      <c r="X186" s="488"/>
      <c r="Y186" s="545" t="str">
        <f>IF(OR(T171=TRUE,E171=""),"",INDEX(EUwideConstants!$N:$N,MATCH(T186,EUwideConstants!$Q:$Q,0)))</f>
        <v/>
      </c>
      <c r="Z186" s="546" t="str">
        <f>IF(ISBLANK(F186),"",IF(F186=EUconst_NA,"",INDEX(EUwideConstants!$H:$M,MATCH(T186,EUwideConstants!$Q:$Q,0),MATCH(F186,CNTR_TierList,0))))</f>
        <v/>
      </c>
      <c r="AA186" s="580" t="str">
        <f>IF(COUNTIF(EUconst_DefaultValues,Z186)&gt;0,MATCH(Z186,EUconst_DefaultValues,0),"")</f>
        <v/>
      </c>
      <c r="AB186" s="30"/>
      <c r="AC186" s="548" t="b">
        <f>AND(AC180,Y186&lt;&gt;EUconst_NA)</f>
        <v>0</v>
      </c>
      <c r="AD186" s="30"/>
      <c r="AE186" s="549" t="str">
        <f>EUconst_CNTR_CarbonContent&amp;EUconst_Unit</f>
        <v>CarbC_Vienetas</v>
      </c>
      <c r="AF186" s="550" t="str">
        <f>IF(AC186=TRUE, IF(COUNTIF(MSPara_SourceStreamCategory,V186)=0,"",INDEX(MSPara_CalcFactorsMatrix,MATCH(V186,MSPara_SourceStreamCategory,0),MATCH(AE186&amp;"_"&amp;2,MSPara_CalcFactors,0))),"")</f>
        <v/>
      </c>
      <c r="AG186" s="551" t="str">
        <f>IF(AC186=TRUE, IF(COUNTIF(MSPara_SourceStreamCategory,V186)=0,"",INDEX(MSPara_CalcFactorsMatrix,MATCH(V186,MSPara_SourceStreamCategory,0),MATCH(AE186&amp;"_"&amp;1,MSPara_CalcFactors,0))),"")</f>
        <v/>
      </c>
      <c r="AH186" s="581" t="str">
        <f>IF(AA186="","",INDEX(AF186:AG186,3-AA186))</f>
        <v/>
      </c>
      <c r="AI186" s="565"/>
      <c r="AJ186" s="582" t="str">
        <f>IF(AC186=TRUE,IF(AJ180="","",IF(AJ180=EUconst_kNm3,EUconst_tCpkNm3,EUconst_tCpt)),"")</f>
        <v/>
      </c>
      <c r="AK186" s="566"/>
      <c r="AL186" s="333"/>
      <c r="AM186" s="549" t="str">
        <f>EUconst_CNTR_CarbonContent&amp;EUconst_Value</f>
        <v>CarbC_Vertė</v>
      </c>
      <c r="AN186" s="555" t="str">
        <f>IF(AC186=TRUE,IF(COUNTIF(MSPara_SourceStreamCategory,V186)=0,"",INDEX(MSPara_CalcFactorsMatrix,MATCH(V186,MSPara_SourceStreamCategory,0),MATCH(AM186&amp;"_"&amp;2,MSPara_CalcFactors,0))),"")</f>
        <v/>
      </c>
      <c r="AO186" s="583" t="str">
        <f>IF(AC186=TRUE,IF(COUNTIF(MSPara_SourceStreamCategory,V186)=0,"",INDEX(MSPara_CalcFactorsMatrix,MATCH(V186,MSPara_SourceStreamCategory,0),MATCH(AM186&amp;"_"&amp;1,MSPara_CalcFactors,0))),"")</f>
        <v/>
      </c>
      <c r="AP186" s="548" t="b">
        <f>AND(AND(AH186&lt;&gt;"",AJ186&lt;&gt;""),AJ186=AH186)</f>
        <v>0</v>
      </c>
      <c r="AQ186" s="584" t="str">
        <f>IF(AND(AA186&lt;&gt;"",AP186=TRUE),IF(OR(INDEX(AN186:AO186,3-AA186)=EUconst_NA,INDEX(AN186:AO186,3-AA186)=0),"",INDEX(AN186:AO186,3-AA186)),"")</f>
        <v/>
      </c>
      <c r="AR186" s="548">
        <f>IF(AC186=TRUE,IF(COUNT(K186:L186)=0,0,IF(L186="",K186,L186)),0)</f>
        <v>0</v>
      </c>
      <c r="AS186" s="544" t="b">
        <f>AND(AC186=TRUE,OR(AND(F186&lt;&gt;"",NOT(ISNUMBER(AA186))),L186&lt;&gt;"",F186="",AQ186=""))</f>
        <v>0</v>
      </c>
      <c r="AT186" s="544" t="b">
        <f t="shared" si="30"/>
        <v>0</v>
      </c>
      <c r="AU186" s="30"/>
      <c r="AV186" s="558" t="b">
        <f t="shared" si="31"/>
        <v>0</v>
      </c>
      <c r="AW186" s="559" t="b">
        <f t="shared" si="32"/>
        <v>0</v>
      </c>
      <c r="AX186" s="537" t="b">
        <f>OR(AND(AJ180=EUconst_kNm3,AJ186=EUconst_tCpt),AND(AJ180=EUconst_t,AJ186=EUconst_tCpkNm3))</f>
        <v>0</v>
      </c>
      <c r="AY186" s="544" t="b">
        <f t="shared" si="33"/>
        <v>0</v>
      </c>
      <c r="AZ186" s="30"/>
      <c r="BA186" s="30"/>
      <c r="BB186" s="569" t="s">
        <v>482</v>
      </c>
      <c r="BC186" s="570">
        <f>AR180*AR183/1000*AR187</f>
        <v>0</v>
      </c>
      <c r="BD186" s="571">
        <f>BC186</f>
        <v>0</v>
      </c>
      <c r="BE186" s="572">
        <f>BC186</f>
        <v>0</v>
      </c>
      <c r="BF186" s="30"/>
      <c r="BG186" s="30"/>
      <c r="BH186" s="30"/>
      <c r="BI186" s="30"/>
      <c r="BJ186" s="30"/>
      <c r="BK186" s="30"/>
      <c r="BL186" s="30"/>
      <c r="BM186" s="30"/>
      <c r="BN186" s="30"/>
      <c r="BO186" s="30"/>
      <c r="BP186" s="30"/>
      <c r="BQ186" s="30"/>
      <c r="BR186" s="30"/>
      <c r="BS186" s="30"/>
      <c r="BT186" s="30"/>
      <c r="BU186" s="30"/>
      <c r="BV186" s="30"/>
      <c r="BW186" s="30"/>
      <c r="BX186" s="30"/>
      <c r="BY186" s="30"/>
      <c r="BZ186" s="544" t="b">
        <f>OR(BZ180,Y186=EUconst_NA)</f>
        <v>1</v>
      </c>
    </row>
    <row r="187" spans="1:78" s="140" customFormat="1" ht="12.75" customHeight="1" x14ac:dyDescent="0.2">
      <c r="A187" s="777"/>
      <c r="B187" s="1248"/>
      <c r="C187" s="753" t="s">
        <v>325</v>
      </c>
      <c r="D187" s="503" t="str">
        <f>Translations!$B$641</f>
        <v>Biomasės dalis (BioC):</v>
      </c>
      <c r="E187" s="504"/>
      <c r="F187" s="539"/>
      <c r="G187" s="1603" t="str">
        <f t="shared" si="28"/>
        <v/>
      </c>
      <c r="H187" s="1604"/>
      <c r="I187" s="1113" t="str">
        <f>IF(OR(AC187=FALSE,Y187=EUconst_NA),"","-")</f>
        <v/>
      </c>
      <c r="J187" s="560"/>
      <c r="K187" s="561" t="str">
        <f t="shared" si="29"/>
        <v/>
      </c>
      <c r="L187" s="694"/>
      <c r="M187" s="700" t="str">
        <f>IF(AND(E171&lt;&gt;"",OR(F187="",COUNT(K187:L187)=0),Y187&lt;&gt;EUconst_NA,T171&lt;&gt;TRUE),EUconst_ERR_Incomplete,IF(COUNTIF(AX187:AZ187,TRUE)&gt;0,EUconst_ERR_Inconsistent,""))</f>
        <v/>
      </c>
      <c r="O187" s="1305"/>
      <c r="P187" s="635"/>
      <c r="Q187" s="635"/>
      <c r="R187" s="635"/>
      <c r="S187" s="30"/>
      <c r="T187" s="543" t="str">
        <f>EUconst_CNTR_BiomassContent&amp;E171</f>
        <v>BioC_</v>
      </c>
      <c r="U187" s="488"/>
      <c r="V187" s="585" t="str">
        <f t="shared" si="34"/>
        <v/>
      </c>
      <c r="W187" s="522" t="str">
        <f>IF(COUNTIF(MSPara_SourceStreamCategory,V187)=0,"",INDEX(MSPara_IsFossil,MATCH(V187,MSPara_SourceStreamCategory,0)))</f>
        <v/>
      </c>
      <c r="X187" s="488"/>
      <c r="Y187" s="545" t="str">
        <f>IF(OR(T171=TRUE,E171=""),"",IF(OR(W187=TRUE,F187=EUconst_NA),EUconst_NA,INDEX(EUwideConstants!$N:$N,MATCH(T187,EUwideConstants!$Q:$Q,0))))</f>
        <v/>
      </c>
      <c r="Z187" s="546" t="str">
        <f>IF(ISBLANK(F187),"",IF(F187=EUconst_NA,"",INDEX(EUwideConstants!$H:$M,MATCH(T187,EUwideConstants!$Q:$Q,0),MATCH(F187,CNTR_TierList,0))))</f>
        <v/>
      </c>
      <c r="AA187" s="586" t="str">
        <f>IF(F187=1,1,"")</f>
        <v/>
      </c>
      <c r="AB187" s="30"/>
      <c r="AC187" s="548" t="b">
        <f>AND(AC180,Y187&lt;&gt;EUconst_NA)</f>
        <v>0</v>
      </c>
      <c r="AD187" s="30"/>
      <c r="AE187" s="563"/>
      <c r="AG187" s="564"/>
      <c r="AH187" s="553"/>
      <c r="AI187" s="565"/>
      <c r="AJ187" s="553"/>
      <c r="AK187" s="566"/>
      <c r="AL187" s="333"/>
      <c r="AM187" s="549" t="str">
        <f>EUconst_CNTR_BiomassContent&amp;EUconst_Value</f>
        <v>BioC_Vertė</v>
      </c>
      <c r="AO187" s="587" t="str">
        <f>IF(AC187=TRUE,IF(COUNTIF(MSPara_SourceStreamCategory,V187)=0,"",INDEX(MSPara_CalcFactorsMatrix,MATCH(V187,MSPara_SourceStreamCategory,0),MATCH(AM187&amp;"_"&amp;2,MSPara_CalcFactors,0))),"")</f>
        <v/>
      </c>
      <c r="AP187" s="553"/>
      <c r="AQ187" s="568" t="str">
        <f>IF(OR(AA187="",AO187=EUconst_NA),"",AO187)</f>
        <v/>
      </c>
      <c r="AR187" s="548">
        <f>IF(AC187=TRUE,IF(COUNT(K187:L187)=0,0,IF(L187="",K187,L187)),0)</f>
        <v>0</v>
      </c>
      <c r="AS187" s="544" t="b">
        <f>AND(AC187=TRUE,OR(AND(F187&lt;&gt;"",NOT(ISNUMBER(AA187))),L187&lt;&gt;"",F187="",AQ187=""))</f>
        <v>0</v>
      </c>
      <c r="AT187" s="544" t="b">
        <f t="shared" si="30"/>
        <v>0</v>
      </c>
      <c r="AU187" s="30"/>
      <c r="AV187" s="558" t="b">
        <f t="shared" si="31"/>
        <v>0</v>
      </c>
      <c r="AW187" s="559" t="b">
        <f t="shared" si="32"/>
        <v>0</v>
      </c>
      <c r="AX187" s="30"/>
      <c r="AY187" s="585" t="b">
        <f t="shared" si="33"/>
        <v>0</v>
      </c>
      <c r="AZ187" s="522" t="b">
        <f>OR(AR187&gt;100%,(AR187+AR188)&gt;100%)</f>
        <v>0</v>
      </c>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544" t="b">
        <f>OR(BZ180,Y187=EUconst_NA)</f>
        <v>1</v>
      </c>
    </row>
    <row r="188" spans="1:78" s="140" customFormat="1" ht="12.75" customHeight="1" thickBot="1" x14ac:dyDescent="0.25">
      <c r="A188" s="777"/>
      <c r="B188" s="1248"/>
      <c r="C188" s="753" t="s">
        <v>448</v>
      </c>
      <c r="D188" s="503" t="str">
        <f>Translations!$B$647</f>
        <v>Netvarios BioC dalis:</v>
      </c>
      <c r="E188" s="504"/>
      <c r="F188" s="588"/>
      <c r="G188" s="1603" t="str">
        <f t="shared" si="28"/>
        <v/>
      </c>
      <c r="H188" s="1604"/>
      <c r="I188" s="1114" t="str">
        <f>IF(OR(AC188=FALSE,Y188=EUconst_NA),"","-")</f>
        <v/>
      </c>
      <c r="J188" s="560"/>
      <c r="K188" s="589" t="str">
        <f t="shared" si="29"/>
        <v/>
      </c>
      <c r="L188" s="1100"/>
      <c r="M188" s="700" t="str">
        <f>IF(AND(E171&lt;&gt;"",OR(F188="",COUNT(K188:L188)=0),Y188&lt;&gt;EUconst_NA,T171&lt;&gt;TRUE),EUconst_ERR_Incomplete,IF(COUNTIF(AX188:AZ188,TRUE)&gt;0,EUconst_ERR_Inconsistent,""))</f>
        <v/>
      </c>
      <c r="O188" s="1305"/>
      <c r="P188" s="635"/>
      <c r="Q188" s="635"/>
      <c r="R188" s="635"/>
      <c r="S188" s="30"/>
      <c r="T188" s="590" t="str">
        <f>EUconst_CNTR_BiomassContent&amp;E171</f>
        <v>BioC_</v>
      </c>
      <c r="U188" s="488"/>
      <c r="V188" s="570" t="str">
        <f t="shared" si="34"/>
        <v/>
      </c>
      <c r="W188" s="571" t="str">
        <f>IF(COUNTIF(MSPara_SourceStreamCategory,V188)=0,"",INDEX(MSPara_IsFossil,MATCH(V188,MSPara_SourceStreamCategory,0)))</f>
        <v/>
      </c>
      <c r="X188" s="488"/>
      <c r="Y188" s="591" t="str">
        <f>IF(OR(T171=TRUE,E171=""),"",IF(OR(W188=TRUE,F188=EUconst_NA),EUconst_NA,INDEX(EUwideConstants!$N:$N,MATCH(T188,EUwideConstants!$Q:$Q,0))))</f>
        <v/>
      </c>
      <c r="Z188" s="592" t="str">
        <f>IF(ISBLANK(F188),"",IF(F188=EUconst_NA,"",INDEX(EUwideConstants!$H:$M,MATCH(T188,EUwideConstants!$Q:$Q,0),MATCH(F188,CNTR_TierList,0))))</f>
        <v/>
      </c>
      <c r="AA188" s="593" t="str">
        <f>IF(F188=1,1,"")</f>
        <v/>
      </c>
      <c r="AB188" s="30"/>
      <c r="AC188" s="594" t="b">
        <f>AND(AC180,Y188&lt;&gt;EUconst_NA)</f>
        <v>0</v>
      </c>
      <c r="AD188" s="30"/>
      <c r="AE188" s="595"/>
      <c r="AF188" s="596"/>
      <c r="AG188" s="597"/>
      <c r="AH188" s="598"/>
      <c r="AI188" s="598"/>
      <c r="AJ188" s="598"/>
      <c r="AK188" s="599"/>
      <c r="AL188" s="333"/>
      <c r="AM188" s="600" t="str">
        <f>EUconst_CNTR_BiomassContent&amp;EUconst_Value</f>
        <v>BioC_Vertė</v>
      </c>
      <c r="AN188" s="596"/>
      <c r="AO188" s="601" t="str">
        <f>IF(AC188=TRUE,IF(COUNTIF(MSPara_SourceStreamCategory,V188)=0,"",INDEX(MSPara_CalcFactorsMatrix,MATCH(V188,MSPara_SourceStreamCategory,0),MATCH(AM188&amp;"_"&amp;2,MSPara_CalcFactors,0))),"")</f>
        <v/>
      </c>
      <c r="AP188" s="598"/>
      <c r="AQ188" s="602" t="str">
        <f>IF(OR(AA188="",AO188=EUconst_NA),"",AO188)</f>
        <v/>
      </c>
      <c r="AR188" s="594">
        <f>IF(AC188=TRUE,IF(COUNT(K188:L188)=0,0,IF(L188="",K188,L188)),0)</f>
        <v>0</v>
      </c>
      <c r="AS188" s="603" t="b">
        <f>AND(AC188=TRUE,OR(AND(F188&lt;&gt;"",NOT(ISNUMBER(AA188))),L188&lt;&gt;"",F188="",AQ188=""))</f>
        <v>0</v>
      </c>
      <c r="AT188" s="603" t="b">
        <f t="shared" si="30"/>
        <v>0</v>
      </c>
      <c r="AU188" s="30"/>
      <c r="AV188" s="604" t="b">
        <f t="shared" si="31"/>
        <v>0</v>
      </c>
      <c r="AW188" s="605" t="b">
        <f t="shared" si="32"/>
        <v>0</v>
      </c>
      <c r="AX188" s="30"/>
      <c r="AY188" s="570" t="b">
        <f t="shared" si="33"/>
        <v>0</v>
      </c>
      <c r="AZ188" s="571" t="b">
        <f>OR(AR187&gt;100%,(AR187+AR188)&gt;100%)</f>
        <v>0</v>
      </c>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571" t="b">
        <f>OR(BZ180,Y188=EUconst_NA)</f>
        <v>1</v>
      </c>
    </row>
    <row r="189" spans="1:78" s="140" customFormat="1" ht="5.0999999999999996" customHeight="1" x14ac:dyDescent="0.2">
      <c r="A189" s="777"/>
      <c r="B189" s="1248"/>
      <c r="C189" s="164"/>
      <c r="D189" s="178"/>
      <c r="O189" s="1305"/>
      <c r="P189" s="33"/>
      <c r="Q189" s="33"/>
      <c r="R189" s="33"/>
      <c r="S189" s="172"/>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row>
    <row r="190" spans="1:78" s="140" customFormat="1" ht="12.75" customHeight="1" x14ac:dyDescent="0.2">
      <c r="A190" s="777"/>
      <c r="B190" s="1248"/>
      <c r="C190" s="164"/>
      <c r="D190" s="1629" t="str">
        <f>Translations!$B$674</f>
        <v>Pakopos galioja nuo:</v>
      </c>
      <c r="E190" s="1629"/>
      <c r="F190" s="1630"/>
      <c r="G190" s="1014"/>
      <c r="H190" s="606" t="str">
        <f>Translations!$B$675</f>
        <v>iki:</v>
      </c>
      <c r="I190" s="1014"/>
      <c r="J190" s="1620" t="str">
        <f>Translations!$B$676</f>
        <v>Atliekų katalogo numeris (jeigu taikytina):</v>
      </c>
      <c r="K190" s="1621"/>
      <c r="L190" s="1621"/>
      <c r="M190" s="1622"/>
      <c r="N190" s="1232"/>
      <c r="O190" s="1305"/>
      <c r="P190" s="33"/>
      <c r="Q190" s="33"/>
      <c r="R190" s="33"/>
      <c r="S190" s="1233"/>
      <c r="T190" s="483"/>
      <c r="U190" s="483"/>
      <c r="V190" s="48" t="b">
        <f>IF(V180="",FALSE,INDEX(CNTR_IsWaste,MATCH(V180,MSParameters!$A$218:$A$376,0)))</f>
        <v>0</v>
      </c>
      <c r="W190" s="1233" t="s">
        <v>1689</v>
      </c>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2" t="b">
        <f>BZ180</f>
        <v>1</v>
      </c>
    </row>
    <row r="191" spans="1:78" s="140" customFormat="1" ht="5.0999999999999996" customHeight="1" x14ac:dyDescent="0.2">
      <c r="A191" s="777"/>
      <c r="B191" s="1248"/>
      <c r="C191" s="164"/>
      <c r="D191" s="606"/>
      <c r="E191" s="486"/>
      <c r="F191" s="486"/>
      <c r="G191" s="486"/>
      <c r="H191" s="486"/>
      <c r="I191" s="486"/>
      <c r="J191" s="486"/>
      <c r="K191" s="486"/>
      <c r="L191" s="486"/>
      <c r="M191" s="486"/>
      <c r="N191" s="486"/>
      <c r="O191" s="1305"/>
      <c r="P191" s="33"/>
      <c r="Q191" s="33"/>
      <c r="R191" s="33"/>
      <c r="S191" s="172"/>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row>
    <row r="192" spans="1:78" s="140" customFormat="1" ht="12.75" customHeight="1" x14ac:dyDescent="0.2">
      <c r="A192" s="777"/>
      <c r="B192" s="1248"/>
      <c r="C192" s="164"/>
      <c r="D192" s="486"/>
      <c r="E192" s="486"/>
      <c r="F192" s="486"/>
      <c r="G192" s="486"/>
      <c r="H192" s="486"/>
      <c r="I192" s="486"/>
      <c r="J192" s="486"/>
      <c r="K192" s="486"/>
      <c r="L192" s="486"/>
      <c r="M192" s="606" t="str">
        <f>Translations!$B$677</f>
        <v>Stebėsenos plane šiam sukėlikliui suteiktas identifikatorius:</v>
      </c>
      <c r="N192" s="705"/>
      <c r="O192" s="1305"/>
      <c r="P192" s="33"/>
      <c r="Q192" s="33"/>
      <c r="R192" s="33"/>
      <c r="S192" s="172"/>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2" t="b">
        <f>BZ190</f>
        <v>1</v>
      </c>
    </row>
    <row r="193" spans="1:78" s="140" customFormat="1" ht="5.0999999999999996" customHeight="1" x14ac:dyDescent="0.2">
      <c r="A193" s="784"/>
      <c r="B193" s="1316"/>
      <c r="D193" s="178"/>
      <c r="O193" s="1317"/>
      <c r="P193" s="488"/>
      <c r="Q193" s="488"/>
      <c r="R193" s="488"/>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row>
    <row r="194" spans="1:78" s="140" customFormat="1" x14ac:dyDescent="0.2">
      <c r="A194" s="784"/>
      <c r="B194" s="1316"/>
      <c r="D194" s="1618" t="str">
        <f>Translations!$B$160</f>
        <v>Pastabos:</v>
      </c>
      <c r="E194" s="1619"/>
      <c r="F194" s="1605"/>
      <c r="G194" s="1606"/>
      <c r="H194" s="1606"/>
      <c r="I194" s="1606"/>
      <c r="J194" s="1606"/>
      <c r="K194" s="1606"/>
      <c r="L194" s="1606"/>
      <c r="M194" s="1606"/>
      <c r="N194" s="1607"/>
      <c r="O194" s="1317"/>
      <c r="P194" s="488"/>
      <c r="Q194" s="488"/>
      <c r="R194" s="488"/>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2" t="b">
        <f>BZ190</f>
        <v>1</v>
      </c>
    </row>
    <row r="195" spans="1:78" s="28" customFormat="1" ht="12.75" customHeight="1" thickBot="1" x14ac:dyDescent="0.25">
      <c r="A195" s="777"/>
      <c r="B195" s="1312"/>
      <c r="C195" s="490"/>
      <c r="D195" s="491"/>
      <c r="E195" s="492"/>
      <c r="F195" s="490"/>
      <c r="G195" s="493"/>
      <c r="H195" s="493"/>
      <c r="I195" s="493"/>
      <c r="J195" s="493"/>
      <c r="K195" s="493"/>
      <c r="L195" s="493"/>
      <c r="M195" s="493"/>
      <c r="N195" s="493"/>
      <c r="O195" s="1313"/>
      <c r="P195" s="485"/>
      <c r="Q195" s="485"/>
      <c r="R195" s="485"/>
      <c r="S195" s="58"/>
      <c r="T195" s="58"/>
      <c r="U195" s="489"/>
      <c r="V195" s="58"/>
      <c r="W195" s="58"/>
      <c r="X195" s="489"/>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30"/>
      <c r="BJ195" s="30"/>
      <c r="BK195" s="30"/>
      <c r="BL195" s="58"/>
      <c r="BM195" s="58"/>
      <c r="BN195" s="58"/>
      <c r="BO195" s="58"/>
      <c r="BP195" s="58"/>
      <c r="BQ195" s="58"/>
      <c r="BR195" s="58"/>
      <c r="BS195" s="58"/>
      <c r="BT195" s="58"/>
      <c r="BU195" s="58"/>
      <c r="BV195" s="58"/>
      <c r="BW195" s="58"/>
      <c r="BX195" s="58"/>
      <c r="BY195" s="58"/>
      <c r="BZ195" s="58"/>
    </row>
    <row r="196" spans="1:78" s="28" customFormat="1" ht="12.75" customHeight="1" thickBot="1" x14ac:dyDescent="0.25">
      <c r="A196" s="782"/>
      <c r="B196" s="1312"/>
      <c r="C196" s="486"/>
      <c r="D196" s="178"/>
      <c r="E196" s="487"/>
      <c r="F196" s="486"/>
      <c r="G196" s="478"/>
      <c r="H196" s="478"/>
      <c r="I196" s="478"/>
      <c r="J196" s="478"/>
      <c r="K196" s="486"/>
      <c r="L196" s="478"/>
      <c r="M196" s="478"/>
      <c r="N196" s="478"/>
      <c r="O196" s="1313"/>
      <c r="P196" s="485"/>
      <c r="Q196" s="485"/>
      <c r="R196" s="485"/>
      <c r="S196" s="23"/>
      <c r="T196" s="27" t="str">
        <f>IF(ISBLANK(E197),"",MATCH(E197,CNTR_SourceStreamNames,0))</f>
        <v/>
      </c>
      <c r="U196" s="609" t="str">
        <f>IF(ISBLANK(E197),"",INDEX(B_InstallationDescription!$D$71:$D$145,MATCH(E197,CNTR_SourceStreamNames,0)))</f>
        <v/>
      </c>
      <c r="V196" s="76"/>
      <c r="W196" s="56"/>
      <c r="X196" s="56"/>
      <c r="Y196" s="56"/>
      <c r="Z196" s="58"/>
      <c r="AA196" s="58"/>
      <c r="AB196" s="58"/>
      <c r="AC196" s="58"/>
      <c r="AD196" s="58"/>
      <c r="AE196" s="58"/>
      <c r="AF196" s="58"/>
      <c r="AG196" s="58"/>
      <c r="AH196" s="58"/>
      <c r="AI196" s="58"/>
      <c r="AJ196" s="58"/>
      <c r="AK196" s="482"/>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6"/>
      <c r="BI196" s="56"/>
      <c r="BJ196" s="56"/>
      <c r="BK196" s="56"/>
      <c r="BL196" s="56"/>
      <c r="BM196" s="56"/>
      <c r="BN196" s="56"/>
      <c r="BO196" s="56"/>
      <c r="BP196" s="56"/>
      <c r="BQ196" s="56"/>
      <c r="BR196" s="56"/>
      <c r="BS196" s="56"/>
      <c r="BT196" s="56"/>
      <c r="BU196" s="56"/>
      <c r="BV196" s="56"/>
      <c r="BW196" s="56"/>
      <c r="BX196" s="56"/>
      <c r="BY196" s="56"/>
      <c r="BZ196" s="484" t="s">
        <v>259</v>
      </c>
    </row>
    <row r="197" spans="1:78" s="140" customFormat="1" ht="15" customHeight="1" thickBot="1" x14ac:dyDescent="0.25">
      <c r="A197" s="1302" t="str">
        <f>IF(E197="","","PRINT")</f>
        <v/>
      </c>
      <c r="B197" s="1248"/>
      <c r="C197" s="608">
        <f>C170+1</f>
        <v>6</v>
      </c>
      <c r="D197" s="164"/>
      <c r="E197" s="1610"/>
      <c r="F197" s="1611"/>
      <c r="G197" s="1611"/>
      <c r="H197" s="1611"/>
      <c r="I197" s="1611"/>
      <c r="J197" s="1612"/>
      <c r="K197" s="1623" t="str">
        <f>IF(E198="","",INDEX(EUwideConstants!$F$353:$F$394,MATCH(E198,EUConst_TierActivityListNames,0)))</f>
        <v/>
      </c>
      <c r="L197" s="1624"/>
      <c r="M197" s="494" t="str">
        <f>Translations!$B$665</f>
        <v>CO2, iškastinio kuro kilmės:</v>
      </c>
      <c r="N197" s="1012" t="str">
        <f>IF(OR(K197="",T198=TRUE),"",INDEX(BC211:BE211,MATCH(K197,BC207:BE207,0)))</f>
        <v/>
      </c>
      <c r="O197" s="1314" t="s">
        <v>257</v>
      </c>
      <c r="P197" s="1303" t="str">
        <f>IF(AND(E197&lt;&gt;"",COUNTIF(P198:$P$2089,"PRINT")=0),"PRINT","")</f>
        <v/>
      </c>
      <c r="Q197" s="343" t="str">
        <f>EUconst_SumCO2 &amp; "_" &amp; K197</f>
        <v>SUM_CO2_</v>
      </c>
      <c r="R197" s="485"/>
      <c r="S197" s="23"/>
      <c r="T197" s="500" t="s">
        <v>387</v>
      </c>
      <c r="U197" s="23"/>
      <c r="V197" s="76"/>
      <c r="W197" s="56"/>
      <c r="X197" s="58"/>
      <c r="Y197" s="58"/>
      <c r="Z197" s="58"/>
      <c r="AA197" s="58"/>
      <c r="AB197" s="58"/>
      <c r="AC197" s="58"/>
      <c r="AD197" s="58"/>
      <c r="AE197" s="58"/>
      <c r="AF197" s="58"/>
      <c r="AG197" s="58"/>
      <c r="AH197" s="58"/>
      <c r="AI197" s="333"/>
      <c r="AJ197" s="333"/>
      <c r="AK197" s="333"/>
      <c r="AL197" s="333"/>
      <c r="AM197" s="333"/>
      <c r="AN197" s="333"/>
      <c r="AO197" s="333"/>
      <c r="AP197" s="333"/>
      <c r="AQ197" s="333"/>
      <c r="AR197" s="333"/>
      <c r="AS197" s="333"/>
      <c r="AT197" s="333"/>
      <c r="AU197" s="333"/>
      <c r="AV197" s="333"/>
      <c r="AW197" s="333"/>
      <c r="AX197" s="333"/>
      <c r="AY197" s="333"/>
      <c r="AZ197" s="333"/>
      <c r="BA197" s="333"/>
      <c r="BB197" s="333"/>
      <c r="BC197" s="333"/>
      <c r="BD197" s="333"/>
      <c r="BE197" s="333"/>
      <c r="BF197" s="333"/>
      <c r="BG197" s="333"/>
      <c r="BH197" s="834">
        <f>AR207</f>
        <v>0</v>
      </c>
      <c r="BI197" s="834" t="str">
        <f>AJ207</f>
        <v/>
      </c>
      <c r="BJ197" s="834">
        <f>AR209</f>
        <v>0</v>
      </c>
      <c r="BK197" s="834" t="str">
        <f>AJ209</f>
        <v/>
      </c>
      <c r="BL197" s="834">
        <f>AR210</f>
        <v>0</v>
      </c>
      <c r="BM197" s="834" t="str">
        <f>AJ210</f>
        <v/>
      </c>
      <c r="BN197" s="834">
        <f>AR211</f>
        <v>1</v>
      </c>
      <c r="BO197" s="834">
        <f>AR212</f>
        <v>1</v>
      </c>
      <c r="BP197" s="834">
        <f>AR213</f>
        <v>0</v>
      </c>
      <c r="BQ197" s="834" t="str">
        <f>AJ213</f>
        <v/>
      </c>
      <c r="BR197" s="834">
        <f>AR214</f>
        <v>0</v>
      </c>
      <c r="BS197" s="834">
        <f>AR215</f>
        <v>0</v>
      </c>
      <c r="BT197" s="834" t="str">
        <f>N197</f>
        <v/>
      </c>
      <c r="BU197" s="834" t="str">
        <f>N198</f>
        <v/>
      </c>
      <c r="BV197" s="834" t="str">
        <f>R200</f>
        <v/>
      </c>
      <c r="BW197" s="834" t="str">
        <f>R206</f>
        <v/>
      </c>
      <c r="BX197" s="834" t="str">
        <f>R207</f>
        <v/>
      </c>
      <c r="BY197" s="56"/>
      <c r="BZ197" s="610" t="b">
        <f>CNTR_CalcRelevant=EUconst_NotRelevant</f>
        <v>0</v>
      </c>
    </row>
    <row r="198" spans="1:78" s="140" customFormat="1" ht="15" customHeight="1" thickBot="1" x14ac:dyDescent="0.25">
      <c r="A198" s="777"/>
      <c r="B198" s="1248"/>
      <c r="C198" s="164"/>
      <c r="D198" s="164"/>
      <c r="E198" s="1625" t="str">
        <f>IF(ISBLANK(E197),"",IF(INDEX(B_InstallationDescription!$E$71:$E$145,MATCH(U196,B_InstallationDescription!$D$71:$D$145,0))&gt;0,INDEX(B_InstallationDescription!$E$71:$E$145,MATCH(U196,B_InstallationDescription!$D$71:$D$145,0)),""))</f>
        <v/>
      </c>
      <c r="F198" s="1626"/>
      <c r="G198" s="1626"/>
      <c r="H198" s="1626"/>
      <c r="I198" s="1626"/>
      <c r="J198" s="1627"/>
      <c r="M198" s="337" t="str">
        <f>Translations!$B$666</f>
        <v>CO2, biomasės kilmės.:</v>
      </c>
      <c r="N198" s="1013" t="str">
        <f>IF(OR(K197="",T198=TRUE),"",INDEX(BC210:BE210,MATCH(K197,BC207:BE207,0)))</f>
        <v/>
      </c>
      <c r="O198" s="1315" t="s">
        <v>257</v>
      </c>
      <c r="P198" s="485"/>
      <c r="Q198" s="343" t="str">
        <f>EUconst_SumBioCO2 &amp; "_" &amp; K197</f>
        <v>SUM_bioCO2_</v>
      </c>
      <c r="R198" s="485"/>
      <c r="S198" s="23"/>
      <c r="T198" s="48" t="str">
        <f>IF(E198="","",MATCH(E198,EUConst_TierActivityListNames,0)&gt;40)</f>
        <v/>
      </c>
      <c r="U198" s="23"/>
      <c r="V198" s="76"/>
      <c r="W198" s="56"/>
      <c r="X198" s="58"/>
      <c r="Y198" s="27" t="s">
        <v>91</v>
      </c>
      <c r="Z198" s="30"/>
      <c r="AA198" s="30"/>
      <c r="AB198" s="30"/>
      <c r="AC198" s="30"/>
      <c r="AD198" s="30"/>
      <c r="AE198" s="27" t="s">
        <v>297</v>
      </c>
      <c r="AF198" s="58"/>
      <c r="AG198" s="495"/>
      <c r="AH198" s="30"/>
      <c r="AI198" s="30"/>
      <c r="AJ198" s="495"/>
      <c r="AK198" s="495"/>
      <c r="AL198" s="333"/>
      <c r="AM198" s="27" t="s">
        <v>303</v>
      </c>
      <c r="AN198" s="496"/>
      <c r="AO198" s="496"/>
      <c r="AP198" s="30"/>
      <c r="AQ198" s="30"/>
      <c r="AR198" s="30"/>
      <c r="AS198" s="30"/>
      <c r="AT198" s="30"/>
      <c r="AU198" s="30"/>
      <c r="AV198" s="27" t="s">
        <v>310</v>
      </c>
      <c r="AW198" s="30"/>
      <c r="AX198" s="483"/>
      <c r="AY198" s="30"/>
      <c r="AZ198" s="30"/>
      <c r="BA198" s="30"/>
      <c r="BB198" s="27" t="s">
        <v>217</v>
      </c>
      <c r="BC198" s="30"/>
      <c r="BD198" s="30"/>
      <c r="BE198" s="30"/>
      <c r="BF198" s="30"/>
      <c r="BG198" s="27" t="s">
        <v>486</v>
      </c>
      <c r="BH198" s="833" t="s">
        <v>552</v>
      </c>
      <c r="BI198" s="833" t="s">
        <v>487</v>
      </c>
      <c r="BJ198" s="833" t="s">
        <v>211</v>
      </c>
      <c r="BK198" s="833" t="s">
        <v>488</v>
      </c>
      <c r="BL198" s="833" t="s">
        <v>68</v>
      </c>
      <c r="BM198" s="833" t="s">
        <v>489</v>
      </c>
      <c r="BN198" s="833" t="s">
        <v>490</v>
      </c>
      <c r="BO198" s="833" t="s">
        <v>491</v>
      </c>
      <c r="BP198" s="833" t="s">
        <v>214</v>
      </c>
      <c r="BQ198" s="833" t="s">
        <v>492</v>
      </c>
      <c r="BR198" s="833" t="s">
        <v>493</v>
      </c>
      <c r="BS198" s="833" t="s">
        <v>494</v>
      </c>
      <c r="BT198" s="833" t="s">
        <v>287</v>
      </c>
      <c r="BU198" s="833" t="s">
        <v>495</v>
      </c>
      <c r="BV198" s="833" t="s">
        <v>498</v>
      </c>
      <c r="BW198" s="833" t="s">
        <v>496</v>
      </c>
      <c r="BX198" s="833" t="s">
        <v>497</v>
      </c>
      <c r="BY198" s="30"/>
      <c r="BZ198" s="30"/>
    </row>
    <row r="199" spans="1:78" s="140" customFormat="1" ht="5.0999999999999996" customHeight="1" thickBot="1" x14ac:dyDescent="0.25">
      <c r="A199" s="777"/>
      <c r="B199" s="1248"/>
      <c r="C199" s="164"/>
      <c r="D199" s="164"/>
      <c r="E199" s="164"/>
      <c r="F199" s="164"/>
      <c r="G199" s="164"/>
      <c r="M199" s="141"/>
      <c r="N199" s="141"/>
      <c r="O199" s="1305"/>
      <c r="P199" s="33"/>
      <c r="Q199" s="33"/>
      <c r="R199" s="33"/>
      <c r="S199" s="23"/>
      <c r="T199" s="23"/>
      <c r="U199" s="23"/>
      <c r="V199" s="76"/>
      <c r="W199" s="30"/>
      <c r="X199" s="30"/>
      <c r="Y199" s="485"/>
      <c r="Z199" s="30"/>
      <c r="AA199" s="30"/>
      <c r="AB199" s="30"/>
      <c r="AC199" s="30"/>
      <c r="AD199" s="30"/>
      <c r="AE199" s="30"/>
      <c r="AF199" s="58"/>
      <c r="AG199" s="30"/>
      <c r="AH199" s="30"/>
      <c r="AI199" s="30"/>
      <c r="AJ199" s="495"/>
      <c r="AK199" s="495"/>
      <c r="AL199" s="333"/>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row>
    <row r="200" spans="1:78" s="140" customFormat="1" ht="12.75" customHeight="1" thickBot="1" x14ac:dyDescent="0.25">
      <c r="A200" s="777"/>
      <c r="B200" s="1248"/>
      <c r="C200" s="164"/>
      <c r="D200" s="164"/>
      <c r="E200" s="1628" t="str">
        <f>IF(E197="","",IF(T198=TRUE,HYPERLINK("#JUMP_14",EUconst_MsgGoOnPFC),HYPERLINK("#JUMP_E_8",EUconst_FurtherGuidancePoint1)))</f>
        <v/>
      </c>
      <c r="F200" s="1628"/>
      <c r="G200" s="1628"/>
      <c r="H200" s="1628"/>
      <c r="I200" s="1628"/>
      <c r="J200" s="1628"/>
      <c r="K200" s="1628"/>
      <c r="L200" s="1628"/>
      <c r="M200" s="1628"/>
      <c r="N200" s="141"/>
      <c r="O200" s="1305"/>
      <c r="P200" s="33"/>
      <c r="Q200" s="343" t="str">
        <f>EUconst_SumNonSustBioCO2 &amp; "_" &amp; K197</f>
        <v>SUM_bioNonSustCO2_</v>
      </c>
      <c r="R200" s="698" t="str">
        <f>IF(OR(K197="",T198=TRUE),"",ROUND(INDEX(BC209:BE209,MATCH(K197,BC207:BE207,0)),0))</f>
        <v/>
      </c>
      <c r="S200" s="23"/>
      <c r="T200" s="23"/>
      <c r="U200" s="23"/>
      <c r="V200" s="30"/>
      <c r="W200" s="30"/>
      <c r="X200" s="30"/>
      <c r="Y200" s="58"/>
      <c r="Z200" s="30"/>
      <c r="AA200" s="30"/>
      <c r="AB200" s="30"/>
      <c r="AC200" s="30"/>
      <c r="AD200" s="30"/>
      <c r="AE200" s="30"/>
      <c r="AF200" s="58"/>
      <c r="AG200" s="30"/>
      <c r="AH200" s="30"/>
      <c r="AI200" s="30"/>
      <c r="AJ200" s="495"/>
      <c r="AK200" s="495"/>
      <c r="AL200" s="333"/>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row>
    <row r="201" spans="1:78" s="140" customFormat="1" ht="5.0999999999999996" customHeight="1" thickBot="1" x14ac:dyDescent="0.25">
      <c r="A201" s="777"/>
      <c r="B201" s="1248"/>
      <c r="C201" s="164"/>
      <c r="D201" s="164"/>
      <c r="E201" s="164"/>
      <c r="F201" s="164"/>
      <c r="G201" s="164"/>
      <c r="M201" s="141"/>
      <c r="N201" s="141"/>
      <c r="O201" s="1305"/>
      <c r="P201" s="23"/>
      <c r="Q201" s="23"/>
      <c r="R201" s="23"/>
      <c r="S201" s="23"/>
      <c r="T201" s="23"/>
      <c r="U201" s="23"/>
      <c r="V201" s="30"/>
      <c r="W201" s="30"/>
      <c r="X201" s="30"/>
      <c r="Y201" s="485"/>
      <c r="Z201" s="30"/>
      <c r="AA201" s="30"/>
      <c r="AB201" s="30"/>
      <c r="AC201" s="30"/>
      <c r="AD201" s="30"/>
      <c r="AE201" s="30"/>
      <c r="AF201" s="58"/>
      <c r="AG201" s="30"/>
      <c r="AH201" s="30"/>
      <c r="AI201" s="30"/>
      <c r="AJ201" s="495"/>
      <c r="AK201" s="495"/>
      <c r="AL201" s="333"/>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row>
    <row r="202" spans="1:78" s="140" customFormat="1" ht="12.75" customHeight="1" thickBot="1" x14ac:dyDescent="0.25">
      <c r="A202" s="777"/>
      <c r="B202" s="1248"/>
      <c r="C202" s="783" t="s">
        <v>4</v>
      </c>
      <c r="D202" s="503" t="str">
        <f>Translations!$B$622</f>
        <v>VD:</v>
      </c>
      <c r="E202" s="1631" t="str">
        <f>Translations!$B$667</f>
        <v>Ar veiklos duomenys gaunami sudedant išmatuotus kiekius (t. y. ne atliekant nuolatinius matavimus)?</v>
      </c>
      <c r="F202" s="1631"/>
      <c r="G202" s="1631"/>
      <c r="H202" s="1631"/>
      <c r="I202" s="1631"/>
      <c r="J202" s="1631"/>
      <c r="K202" s="1631"/>
      <c r="L202" s="1122"/>
      <c r="M202" s="498"/>
      <c r="O202" s="1305"/>
      <c r="P202" s="23"/>
      <c r="Q202" s="23"/>
      <c r="R202" s="23"/>
      <c r="S202" s="23"/>
      <c r="T202" s="23"/>
      <c r="U202" s="23"/>
      <c r="V202" s="30"/>
      <c r="W202" s="30"/>
      <c r="X202" s="30"/>
      <c r="Y202" s="485"/>
      <c r="Z202" s="30"/>
      <c r="AA202" s="30"/>
      <c r="AB202" s="30"/>
      <c r="AC202" s="1115" t="b">
        <f>AND(E197&lt;&gt;"",T198&lt;&gt;TRUE)</f>
        <v>0</v>
      </c>
      <c r="AD202" s="30"/>
      <c r="AE202" s="30"/>
      <c r="AF202" s="58"/>
      <c r="AG202" s="30"/>
      <c r="AH202" s="30"/>
      <c r="AI202" s="30"/>
      <c r="AJ202" s="495"/>
      <c r="AK202" s="495"/>
      <c r="AL202" s="333"/>
      <c r="AM202" s="30"/>
      <c r="AN202" s="30"/>
      <c r="AO202" s="30"/>
      <c r="AP202" s="30"/>
      <c r="AQ202" s="30"/>
      <c r="AR202" s="30"/>
      <c r="AS202" s="30"/>
      <c r="AT202" s="1115" t="b">
        <f>MSPara_BatchReportingMandatory&lt;&gt;TRUE</f>
        <v>0</v>
      </c>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1115" t="b">
        <f>OR(CNTR_CalcRelevant=EUconst_NotRelevant,AND(COUNTA(CNTR_ListRelevantSections)&gt;0,OR(T198=TRUE,E197="")))</f>
        <v>1</v>
      </c>
    </row>
    <row r="203" spans="1:78" s="140" customFormat="1" ht="5.0999999999999996" customHeight="1" thickBot="1" x14ac:dyDescent="0.25">
      <c r="A203" s="777"/>
      <c r="B203" s="1248"/>
      <c r="C203" s="164"/>
      <c r="D203" s="164"/>
      <c r="E203" s="164"/>
      <c r="F203" s="164"/>
      <c r="G203" s="164"/>
      <c r="H203" s="486"/>
      <c r="I203" s="486"/>
      <c r="J203" s="486"/>
      <c r="K203" s="486"/>
      <c r="L203" s="486"/>
      <c r="M203" s="498"/>
      <c r="O203" s="1305"/>
      <c r="P203" s="23"/>
      <c r="Q203" s="23"/>
      <c r="R203" s="23"/>
      <c r="S203" s="23"/>
      <c r="T203" s="23"/>
      <c r="U203" s="23"/>
      <c r="V203" s="30"/>
      <c r="W203" s="30"/>
      <c r="X203" s="30"/>
      <c r="Y203" s="485"/>
      <c r="Z203" s="30"/>
      <c r="AA203" s="30"/>
      <c r="AB203" s="30"/>
      <c r="AC203" s="483"/>
      <c r="AD203" s="30"/>
      <c r="AE203" s="30"/>
      <c r="AF203" s="58"/>
      <c r="AG203" s="30"/>
      <c r="AH203" s="30"/>
      <c r="AI203" s="30"/>
      <c r="AJ203" s="495"/>
      <c r="AK203" s="495"/>
      <c r="AL203" s="333"/>
      <c r="AM203" s="30"/>
      <c r="AN203" s="30"/>
      <c r="AO203" s="30"/>
      <c r="AP203" s="30"/>
      <c r="AQ203" s="30"/>
      <c r="AR203" s="30"/>
      <c r="AS203" s="30"/>
      <c r="AT203" s="483"/>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483"/>
    </row>
    <row r="204" spans="1:78" s="140" customFormat="1" ht="12.75" customHeight="1" thickBot="1" x14ac:dyDescent="0.25">
      <c r="A204" s="777"/>
      <c r="B204" s="1248"/>
      <c r="C204" s="783" t="s">
        <v>5</v>
      </c>
      <c r="D204" s="503" t="str">
        <f>Translations!$B$622</f>
        <v>VD:</v>
      </c>
      <c r="E204" s="1105" t="str">
        <f>Translations!$B$668</f>
        <v>Pradinis kiekis:</v>
      </c>
      <c r="F204" s="1123"/>
      <c r="G204" s="1106" t="str">
        <f>Translations!$B$669</f>
        <v>Galutinis kiekis:</v>
      </c>
      <c r="H204" s="1123"/>
      <c r="I204" s="1106" t="str">
        <f>Translations!$B$670</f>
        <v>Įsigytas kiekis:</v>
      </c>
      <c r="J204" s="1123"/>
      <c r="K204" s="1106" t="str">
        <f>Translations!$B$671</f>
        <v>Perduotas kiekis:</v>
      </c>
      <c r="L204" s="1123"/>
      <c r="M204" s="1107" t="str">
        <f>IF(AND(L202=TRUE,COUNT(F204,H204,J204,L204)&lt;4),EUconst_ERR_Incomplete,"")</f>
        <v/>
      </c>
      <c r="O204" s="1305"/>
      <c r="P204" s="23"/>
      <c r="Q204" s="23"/>
      <c r="R204" s="23"/>
      <c r="S204" s="23"/>
      <c r="T204" s="23"/>
      <c r="U204" s="23"/>
      <c r="V204" s="30"/>
      <c r="W204" s="30"/>
      <c r="X204" s="30"/>
      <c r="Y204" s="485"/>
      <c r="Z204" s="30"/>
      <c r="AA204" s="30"/>
      <c r="AB204" s="30"/>
      <c r="AC204" s="1115" t="b">
        <f>AC202</f>
        <v>0</v>
      </c>
      <c r="AD204" s="30"/>
      <c r="AE204" s="30"/>
      <c r="AF204" s="58"/>
      <c r="AG204" s="30"/>
      <c r="AH204" s="30"/>
      <c r="AI204" s="30"/>
      <c r="AJ204" s="495"/>
      <c r="AK204" s="495"/>
      <c r="AL204" s="333"/>
      <c r="AM204" s="30"/>
      <c r="AN204" s="30"/>
      <c r="AO204" s="30"/>
      <c r="AP204" s="30"/>
      <c r="AQ204" s="30"/>
      <c r="AR204" s="30"/>
      <c r="AS204" s="30"/>
      <c r="AT204" s="1115" t="b">
        <f>AND(AT202=TRUE,L202="")</f>
        <v>0</v>
      </c>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1115" t="b">
        <f>OR(BZ202,AND(NOT(ISBLANK(L202)),L202=FALSE))</f>
        <v>1</v>
      </c>
    </row>
    <row r="205" spans="1:78" s="140" customFormat="1" ht="5.0999999999999996" customHeight="1" thickBot="1" x14ac:dyDescent="0.25">
      <c r="A205" s="777"/>
      <c r="B205" s="1248"/>
      <c r="C205" s="164"/>
      <c r="D205" s="164"/>
      <c r="E205" s="164"/>
      <c r="F205" s="164"/>
      <c r="G205" s="164"/>
      <c r="M205" s="141"/>
      <c r="N205" s="141"/>
      <c r="O205" s="1305"/>
      <c r="P205" s="23"/>
      <c r="Q205" s="23"/>
      <c r="R205" s="23"/>
      <c r="S205" s="23"/>
      <c r="T205" s="23"/>
      <c r="U205" s="23"/>
      <c r="V205" s="30"/>
      <c r="W205" s="30"/>
      <c r="X205" s="30"/>
      <c r="Y205" s="485"/>
      <c r="Z205" s="30"/>
      <c r="AA205" s="30"/>
      <c r="AB205" s="30"/>
      <c r="AC205" s="30"/>
      <c r="AD205" s="30"/>
      <c r="AE205" s="30"/>
      <c r="AF205" s="58"/>
      <c r="AG205" s="30"/>
      <c r="AH205" s="30"/>
      <c r="AI205" s="30"/>
      <c r="AJ205" s="495"/>
      <c r="AK205" s="495"/>
      <c r="AL205" s="333"/>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row>
    <row r="206" spans="1:78" s="140" customFormat="1" ht="12.75" customHeight="1" thickBot="1" x14ac:dyDescent="0.25">
      <c r="A206" s="777"/>
      <c r="B206" s="1248"/>
      <c r="C206" s="164"/>
      <c r="D206" s="164"/>
      <c r="E206" s="164"/>
      <c r="F206" s="497" t="str">
        <f>Translations!$B$333</f>
        <v>Pakopa</v>
      </c>
      <c r="G206" s="1613" t="str">
        <f>Translations!$B$672</f>
        <v>pakopos aprašas</v>
      </c>
      <c r="H206" s="1613"/>
      <c r="I206" s="1608" t="str">
        <f>Translations!$B$158</f>
        <v>Vienetas</v>
      </c>
      <c r="J206" s="1608"/>
      <c r="K206" s="1608" t="str">
        <f>Translations!$B$673</f>
        <v>Vertė</v>
      </c>
      <c r="L206" s="1608"/>
      <c r="M206" s="498" t="str">
        <f>Translations!$B$610</f>
        <v>klaida</v>
      </c>
      <c r="O206" s="1305"/>
      <c r="P206" s="499"/>
      <c r="Q206" s="343" t="str">
        <f>EUconst_SumEnergyIN &amp; "_" &amp; K197</f>
        <v>SUM_EnergyIN_</v>
      </c>
      <c r="R206" s="390" t="str">
        <f>IF(OR(K197="",T198)=TRUE,"",INDEX(BC212:BE212,MATCH(K197,BC207:BE207,0)))</f>
        <v/>
      </c>
      <c r="S206" s="30"/>
      <c r="T206" s="480"/>
      <c r="U206" s="30"/>
      <c r="V206" s="500" t="s">
        <v>298</v>
      </c>
      <c r="W206" s="30"/>
      <c r="X206" s="30"/>
      <c r="Y206" s="485" t="s">
        <v>560</v>
      </c>
      <c r="Z206" s="485" t="s">
        <v>313</v>
      </c>
      <c r="AA206" s="30"/>
      <c r="AB206" s="30"/>
      <c r="AC206" s="496" t="s">
        <v>304</v>
      </c>
      <c r="AD206" s="30"/>
      <c r="AE206" s="30"/>
      <c r="AF206" s="483" t="s">
        <v>300</v>
      </c>
      <c r="AG206" s="483" t="s">
        <v>301</v>
      </c>
      <c r="AH206" s="485" t="s">
        <v>299</v>
      </c>
      <c r="AI206" s="495" t="s">
        <v>302</v>
      </c>
      <c r="AJ206" s="495" t="s">
        <v>561</v>
      </c>
      <c r="AK206" s="501" t="s">
        <v>306</v>
      </c>
      <c r="AL206" s="333"/>
      <c r="AM206" s="30"/>
      <c r="AN206" s="483" t="s">
        <v>300</v>
      </c>
      <c r="AO206" s="483" t="s">
        <v>301</v>
      </c>
      <c r="AP206" s="502" t="s">
        <v>305</v>
      </c>
      <c r="AQ206" s="495" t="s">
        <v>563</v>
      </c>
      <c r="AR206" s="495" t="s">
        <v>562</v>
      </c>
      <c r="AS206" s="501" t="s">
        <v>306</v>
      </c>
      <c r="AT206" s="501" t="s">
        <v>306</v>
      </c>
      <c r="AU206" s="30"/>
      <c r="AV206" s="483"/>
      <c r="AW206" s="483"/>
      <c r="AX206" s="483" t="s">
        <v>316</v>
      </c>
      <c r="AY206" s="483"/>
      <c r="AZ206" s="483"/>
      <c r="BA206" s="483"/>
      <c r="BB206" s="483"/>
      <c r="BC206" s="483"/>
      <c r="BD206" s="483"/>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484" t="s">
        <v>259</v>
      </c>
    </row>
    <row r="207" spans="1:78" s="140" customFormat="1" ht="12.75" customHeight="1" thickBot="1" x14ac:dyDescent="0.25">
      <c r="A207" s="777"/>
      <c r="B207" s="1248"/>
      <c r="C207" s="753" t="s">
        <v>194</v>
      </c>
      <c r="D207" s="503" t="str">
        <f>Translations!$B$622</f>
        <v>VD:</v>
      </c>
      <c r="E207" s="504"/>
      <c r="F207" s="393"/>
      <c r="G207" s="1603" t="str">
        <f>IF(OR(ISBLANK(F207),F207=EUconst_NoTier),"",IF(Z207=0,EUconst_NA,IF(ISERROR(Z207),"",Z207)))</f>
        <v/>
      </c>
      <c r="H207" s="1604"/>
      <c r="I207" s="1108" t="str">
        <f>IF(J207&lt;&gt;"","",AI207)</f>
        <v/>
      </c>
      <c r="J207" s="1109"/>
      <c r="K207" s="1116" t="str">
        <f>IF(L207="",AQ207,"")</f>
        <v/>
      </c>
      <c r="L207" s="1199"/>
      <c r="M207" s="700" t="str">
        <f>IF(AND(E198&lt;&gt;"",OR(F207="",COUNT(K207:L207)=0),Y207&lt;&gt;EUconst_NA,T198&lt;&gt;TRUE),EUconst_ERR_Incomplete,IF(COUNTIF(AX207:AZ207,TRUE)&gt;0,EUconst_ERR_Inconsistent,""))</f>
        <v/>
      </c>
      <c r="O207" s="1305"/>
      <c r="P207" s="635"/>
      <c r="Q207" s="343" t="str">
        <f>EUconst_SumBioEnergyIN &amp; "_" &amp; K197</f>
        <v>SUM_BioEnergyIN_</v>
      </c>
      <c r="R207" s="390" t="str">
        <f>IF(OR(K197="",T198)=TRUE,"",INDEX(BC213:BE213,MATCH(K197,BC207:BE207,0)))</f>
        <v/>
      </c>
      <c r="S207" s="30"/>
      <c r="T207" s="505" t="str">
        <f>EUconst_CNTR_ActivityData&amp;E198</f>
        <v>ActivityData_</v>
      </c>
      <c r="U207" s="488"/>
      <c r="V207" s="505" t="str">
        <f>IF(E197="","",INDEX(B_InstallationDescription!$I$71:$I$145,MATCH(U196,B_InstallationDescription!$D$71:$D$145,0)))</f>
        <v/>
      </c>
      <c r="W207" s="495" t="s">
        <v>533</v>
      </c>
      <c r="X207" s="488"/>
      <c r="Y207" s="506" t="str">
        <f>IF(OR(T198=TRUE,E198=""),"",INDEX(EUwideConstants!$N:$N,MATCH(T207,EUwideConstants!$Q:$Q,0)))</f>
        <v/>
      </c>
      <c r="Z207" s="507" t="str">
        <f>IF(ISBLANK(F207),"",IF(F207=EUconst_NA,"",INDEX(EUwideConstants!$H:$M,MATCH(T207,EUwideConstants!$Q:$Q,0),MATCH(F207,CNTR_TierList,0))))</f>
        <v/>
      </c>
      <c r="AA207" s="508" t="s">
        <v>299</v>
      </c>
      <c r="AB207" s="495"/>
      <c r="AC207" s="509" t="b">
        <f>AC202</f>
        <v>0</v>
      </c>
      <c r="AD207" s="30"/>
      <c r="AE207" s="510" t="str">
        <f>EUconst_CNTR_ActivityData&amp;EUconst_Unit</f>
        <v>ActivityData_Vienetas</v>
      </c>
      <c r="AF207" s="511" t="str">
        <f>IF(AC207=TRUE, IF(COUNTIF(MSPara_SourceStreamCategory,V207)=0,"",INDEX(MSPara_CalcFactorsMatrix,MATCH(V207,MSPara_SourceStreamCategory,0),MATCH(AE207&amp;"_"&amp;2,MSPara_CalcFactors,0))),"")</f>
        <v/>
      </c>
      <c r="AG207" s="512" t="str">
        <f>IF(AC207=TRUE, IF(COUNTIF(MSPara_SourceStreamCategory,V207)=0,"",INDEX(MSPara_CalcFactorsMatrix,MATCH(V207,MSPara_SourceStreamCategory,0),MATCH(AE207&amp;"_"&amp;1,MSPara_CalcFactors,0))),"")</f>
        <v/>
      </c>
      <c r="AH207" s="509" t="str">
        <f>IF(OR(AF207="",AF207=EUconst_NA),IF(OR(AG207=EUconst_NA,AG207=""),"",AG207),AF207)</f>
        <v/>
      </c>
      <c r="AI207" s="506" t="str">
        <f>IF(AC207=TRUE,IF(AH207="",EUconst_t,AH207),"")</f>
        <v/>
      </c>
      <c r="AJ207" s="513" t="str">
        <f>IF(J207="",AI207,J207)</f>
        <v/>
      </c>
      <c r="AK207" s="514" t="b">
        <f>IF(K197=EUconst_Fuel,J207&lt;&gt;"",FALSE)</f>
        <v>0</v>
      </c>
      <c r="AL207" s="333"/>
      <c r="AM207" s="505" t="str">
        <f>EUconst_CNTR_ActivityData&amp;EUconst_Value</f>
        <v>ActivityData_Vertė</v>
      </c>
      <c r="AN207" s="496"/>
      <c r="AO207" s="496"/>
      <c r="AP207" s="509" t="b">
        <f>AND(AND(AH207&lt;&gt;"",AJ207&lt;&gt;""),AJ207=AH207)</f>
        <v>0</v>
      </c>
      <c r="AQ207" s="610" t="str">
        <f>IF(L202=TRUE,SUM(F204)-SUM(H204)+SUM(J204)-SUM(L204),"")</f>
        <v/>
      </c>
      <c r="AR207" s="509">
        <f>IF(Y207=EUconst_NA,0,IF(COUNT(K207:L207)=0,0,IF(L207="",K207,L207)))</f>
        <v>0</v>
      </c>
      <c r="AS207" s="1115" t="b">
        <f>AND(AC207=TRUE,OR(L207&lt;&gt;"",AQ207=""))</f>
        <v>0</v>
      </c>
      <c r="AT207" s="1115" t="b">
        <f>AND(AC207=TRUE,NOT(AS207))</f>
        <v>0</v>
      </c>
      <c r="AU207" s="30"/>
      <c r="AV207" s="483" t="s">
        <v>309</v>
      </c>
      <c r="AW207" s="483" t="s">
        <v>314</v>
      </c>
      <c r="AX207" s="515"/>
      <c r="AY207" s="30" t="s">
        <v>536</v>
      </c>
      <c r="AZ207" s="30"/>
      <c r="BA207" s="30"/>
      <c r="BB207" s="495"/>
      <c r="BC207" s="484" t="str">
        <f>EUconst_Fuel</f>
        <v>Degimas</v>
      </c>
      <c r="BD207" s="484" t="str">
        <f>EUconst_ProcessCarbonate</f>
        <v>Proceso metu išsiskiriančios ŠESD</v>
      </c>
      <c r="BE207" s="484" t="str">
        <f>EUconst_MassBalance</f>
        <v>Masės balansas</v>
      </c>
      <c r="BF207" s="30"/>
      <c r="BG207" s="30"/>
      <c r="BH207" s="30"/>
      <c r="BI207" s="30"/>
      <c r="BJ207" s="30"/>
      <c r="BK207" s="30"/>
      <c r="BL207" s="30"/>
      <c r="BM207" s="30"/>
      <c r="BN207" s="30"/>
      <c r="BO207" s="30"/>
      <c r="BP207" s="30"/>
      <c r="BQ207" s="30"/>
      <c r="BR207" s="30"/>
      <c r="BS207" s="30"/>
      <c r="BT207" s="30"/>
      <c r="BU207" s="30"/>
      <c r="BV207" s="30"/>
      <c r="BW207" s="30"/>
      <c r="BX207" s="30"/>
      <c r="BY207" s="30"/>
      <c r="BZ207" s="515" t="b">
        <f>BZ202</f>
        <v>1</v>
      </c>
    </row>
    <row r="208" spans="1:78" s="140" customFormat="1" ht="5.0999999999999996" customHeight="1" thickBot="1" x14ac:dyDescent="0.25">
      <c r="A208" s="777"/>
      <c r="B208" s="1248"/>
      <c r="C208" s="783"/>
      <c r="D208" s="298"/>
      <c r="F208" s="141"/>
      <c r="G208" s="141"/>
      <c r="H208" s="141" t="s">
        <v>233</v>
      </c>
      <c r="I208" s="516"/>
      <c r="J208" s="516"/>
      <c r="K208" s="141"/>
      <c r="L208" s="141"/>
      <c r="M208" s="701"/>
      <c r="O208" s="1305"/>
      <c r="P208" s="33"/>
      <c r="Q208" s="33"/>
      <c r="R208" s="33"/>
      <c r="S208" s="30"/>
      <c r="T208" s="153"/>
      <c r="U208" s="488"/>
      <c r="V208" s="30"/>
      <c r="W208" s="30"/>
      <c r="X208" s="488"/>
      <c r="Y208" s="517"/>
      <c r="Z208" s="30"/>
      <c r="AA208" s="30"/>
      <c r="AB208" s="30"/>
      <c r="AC208" s="30"/>
      <c r="AD208" s="30"/>
      <c r="AE208" s="30"/>
      <c r="AF208" s="30"/>
      <c r="AG208" s="30"/>
      <c r="AH208" s="30"/>
      <c r="AI208" s="30"/>
      <c r="AJ208" s="30"/>
      <c r="AK208" s="30"/>
      <c r="AL208" s="333"/>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484"/>
    </row>
    <row r="209" spans="1:78" s="140" customFormat="1" ht="12.75" customHeight="1" thickBot="1" x14ac:dyDescent="0.25">
      <c r="A209" s="777"/>
      <c r="B209" s="1248"/>
      <c r="C209" s="783" t="s">
        <v>195</v>
      </c>
      <c r="D209" s="503" t="str">
        <f>Translations!$B$634</f>
        <v>(prelim.) ITF:</v>
      </c>
      <c r="E209" s="504"/>
      <c r="F209" s="518"/>
      <c r="G209" s="1603" t="str">
        <f t="shared" ref="G209:G215" si="35">IF(OR(ISBLANK(F209),F209=EUconst_NoTier),"",IF(Z209=0,EUconst_NotApplicable,IF(ISERROR(Z209),"",Z209)))</f>
        <v/>
      </c>
      <c r="H209" s="1609"/>
      <c r="I209" s="1110" t="str">
        <f>IF(J209&lt;&gt;"","",AI209)</f>
        <v/>
      </c>
      <c r="J209" s="1111"/>
      <c r="K209" s="519" t="str">
        <f t="shared" ref="K209:K215" si="36">IF(L209="",AQ209,"")</f>
        <v/>
      </c>
      <c r="L209" s="520"/>
      <c r="M209" s="700" t="str">
        <f>IF(AND(E198&lt;&gt;"",OR(F209="",COUNT(K209:L209)=0),Y209&lt;&gt;EUconst_NA,T198&lt;&gt;TRUE),EUconst_ERR_Incomplete,IF(COUNTIF(AX209:AZ209,TRUE)&gt;0,EUconst_ERR_Inconsistent,""))</f>
        <v/>
      </c>
      <c r="N209" s="486"/>
      <c r="O209" s="1305"/>
      <c r="P209" s="33"/>
      <c r="Q209" s="33"/>
      <c r="R209" s="33"/>
      <c r="S209" s="30"/>
      <c r="T209" s="521" t="str">
        <f>EUconst_CNTR_EF&amp;E198</f>
        <v>EF_</v>
      </c>
      <c r="U209" s="488"/>
      <c r="V209" s="522" t="str">
        <f>V207</f>
        <v/>
      </c>
      <c r="W209" s="30"/>
      <c r="X209" s="488"/>
      <c r="Y209" s="523" t="str">
        <f>IF(OR(T198=TRUE,E198=""),"",IF(F209=EUconst_NA,EUconst_NA,INDEX(EUwideConstants!$N:$N,MATCH(T209,EUwideConstants!$Q:$Q,0))))</f>
        <v/>
      </c>
      <c r="Z209" s="524" t="str">
        <f>IF(ISBLANK(F209),"",IF(F209=EUconst_NA,"",INDEX(EUwideConstants!$H:$M,MATCH(T209,EUwideConstants!$Q:$Q,0),MATCH(F209,CNTR_TierList,0))))</f>
        <v/>
      </c>
      <c r="AA209" s="525" t="str">
        <f>IF(COUNTIF(EUconst_DefaultValues,Z209)&gt;0,MATCH(Z209,EUconst_DefaultValues,0),"")</f>
        <v/>
      </c>
      <c r="AB209" s="30"/>
      <c r="AC209" s="526" t="b">
        <f>AND(AC207,Y209&lt;&gt;EUconst_NA)</f>
        <v>0</v>
      </c>
      <c r="AD209" s="30"/>
      <c r="AE209" s="510" t="str">
        <f>EUconst_CNTR_EF&amp;EUconst_Unit</f>
        <v>EF_Vienetas</v>
      </c>
      <c r="AF209" s="527" t="str">
        <f>IF(AC209=TRUE, IF(COUNTIF(MSPara_SourceStreamCategory,V209)=0,"",INDEX(MSPara_CalcFactorsMatrix,MATCH(V209,MSPara_SourceStreamCategory,0),MATCH(AE209&amp;"_"&amp;2,MSPara_CalcFactors,0))),"")</f>
        <v/>
      </c>
      <c r="AG209" s="528" t="str">
        <f>IF(AC209=TRUE, IF(COUNTIF(MSPara_SourceStreamCategory,V209)=0,"",INDEX(MSPara_CalcFactorsMatrix,MATCH(V209,MSPara_SourceStreamCategory,0),MATCH(AE209&amp;"_"&amp;1,MSPara_CalcFactors,0))),"")</f>
        <v/>
      </c>
      <c r="AH209" s="529" t="str">
        <f>IF(AA209="","",INDEX(AF209:AG209,3-AA209))</f>
        <v/>
      </c>
      <c r="AI209" s="530" t="str">
        <f>IF(AC209=TRUE,IF(OR(AH209="",AH209=EUconst_NA),IF(K197=EUconst_Fuel,EUconst_tCO2pTJ,EUconst_tCO2pt),AH209),"")</f>
        <v/>
      </c>
      <c r="AJ209" s="526" t="str">
        <f>IF(J209="",AI209,J209)</f>
        <v/>
      </c>
      <c r="AK209" s="531" t="b">
        <f>IF(K197=EUconst_Fuel,J209&lt;&gt;"",FALSE)</f>
        <v>0</v>
      </c>
      <c r="AL209" s="333"/>
      <c r="AM209" s="510" t="str">
        <f>EUconst_CNTR_EF&amp;EUconst_Value</f>
        <v>EF_Vertė</v>
      </c>
      <c r="AN209" s="532" t="str">
        <f>IF(AC209=TRUE,IF(COUNTIF(MSPara_SourceStreamCategory,V209)=0,"",INDEX(MSPara_CalcFactorsMatrix,MATCH(V209,MSPara_SourceStreamCategory,0),MATCH(AM209&amp;"_"&amp;2,MSPara_CalcFactors,0))),"")</f>
        <v/>
      </c>
      <c r="AO209" s="533" t="str">
        <f>IF(AC209=TRUE,IF(COUNTIF(MSPara_SourceStreamCategory,V209)=0,"",INDEX(MSPara_CalcFactorsMatrix,MATCH(V209,MSPara_SourceStreamCategory,0),MATCH(AM209&amp;"_"&amp;1,MSPara_CalcFactors,0))),"")</f>
        <v/>
      </c>
      <c r="AP209" s="526" t="b">
        <f>AND(AND(AH209&lt;&gt;"",AJ209&lt;&gt;""),AJ209=AH209)</f>
        <v>0</v>
      </c>
      <c r="AQ209" s="534" t="str">
        <f>IF(AND(AA209&lt;&gt;"",AP209=TRUE),IF(OR(INDEX(AN209:AO209,3-AA209)=EUconst_NA,INDEX(AN209:AO209,3-AA209)=0),"",INDEX(AN209:AO209,3-AA209)),"")</f>
        <v/>
      </c>
      <c r="AR209" s="526">
        <f>IF(AC209=TRUE,IF(COUNT(K209:L209)=0,0,IF(L209="",K209,L209)),0)</f>
        <v>0</v>
      </c>
      <c r="AS209" s="522" t="b">
        <f>AND(AC209=TRUE,OR(AND(F209&lt;&gt;"",NOT(ISNUMBER(AA209))),L209&lt;&gt;"",F209="",AQ209=""))</f>
        <v>0</v>
      </c>
      <c r="AT209" s="522" t="b">
        <f t="shared" ref="AT209:AT215" si="37">AND(AC209=TRUE,NOT(AS209))</f>
        <v>0</v>
      </c>
      <c r="AU209" s="30"/>
      <c r="AV209" s="535" t="b">
        <f t="shared" ref="AV209:AV215" si="38">AND(ISNUMBER(AA209),AQ209="")</f>
        <v>0</v>
      </c>
      <c r="AW209" s="536" t="b">
        <f t="shared" ref="AW209:AW215" si="39">AND(ISNUMBER(AA209),AQ209&lt;&gt;AR209)</f>
        <v>0</v>
      </c>
      <c r="AX209" s="537" t="b">
        <f>OR(AND(AJ207=EUconst_kNm3,AJ209=EUconst_tCO2pt),AND(AJ207=EUconst_t,AJ209=EUconst_tCO2pkNm3))</f>
        <v>0</v>
      </c>
      <c r="AY209" s="522" t="b">
        <f t="shared" ref="AY209:AY215" si="40">AND(L209&lt;&gt;"",Y209=EUconst_NA)</f>
        <v>0</v>
      </c>
      <c r="AZ209" s="30"/>
      <c r="BA209" s="30"/>
      <c r="BB209" s="538" t="s">
        <v>588</v>
      </c>
      <c r="BC209" s="537" t="str">
        <f>IF(K197=BC207,AR207*IF(AJ209=EUconst_tCO2pTJ,(AR210/1000),1)*AR209*AR211*AR215,"")</f>
        <v/>
      </c>
      <c r="BD209" s="515" t="str">
        <f>IF(K197=BD207,AR207*AR209*AR212*AR215,"")</f>
        <v/>
      </c>
      <c r="BE209" s="514" t="str">
        <f>IF(K197=BE207,3.664*AR207*AR213*AR215,"")</f>
        <v/>
      </c>
      <c r="BF209" s="30"/>
      <c r="BG209" s="30"/>
      <c r="BH209" s="30"/>
      <c r="BI209" s="30"/>
      <c r="BJ209" s="30"/>
      <c r="BK209" s="30"/>
      <c r="BL209" s="30"/>
      <c r="BM209" s="30"/>
      <c r="BN209" s="30"/>
      <c r="BO209" s="30"/>
      <c r="BP209" s="30"/>
      <c r="BQ209" s="30"/>
      <c r="BR209" s="30"/>
      <c r="BS209" s="30"/>
      <c r="BT209" s="30"/>
      <c r="BU209" s="30"/>
      <c r="BV209" s="30"/>
      <c r="BW209" s="30"/>
      <c r="BX209" s="30"/>
      <c r="BY209" s="30"/>
      <c r="BZ209" s="522" t="b">
        <f>OR(BZ207,Y209=EUconst_NA)</f>
        <v>1</v>
      </c>
    </row>
    <row r="210" spans="1:78" s="140" customFormat="1" ht="12.75" customHeight="1" thickBot="1" x14ac:dyDescent="0.25">
      <c r="A210" s="777"/>
      <c r="B210" s="1248"/>
      <c r="C210" s="783" t="s">
        <v>196</v>
      </c>
      <c r="D210" s="503" t="str">
        <f>Translations!$B$636</f>
        <v>GŠV:</v>
      </c>
      <c r="E210" s="504"/>
      <c r="F210" s="539"/>
      <c r="G210" s="1603" t="str">
        <f t="shared" si="35"/>
        <v/>
      </c>
      <c r="H210" s="1604"/>
      <c r="I210" s="1112" t="str">
        <f>AJ210</f>
        <v/>
      </c>
      <c r="J210" s="540"/>
      <c r="K210" s="541" t="str">
        <f t="shared" si="36"/>
        <v/>
      </c>
      <c r="L210" s="542"/>
      <c r="M210" s="700" t="str">
        <f>IF(AND(E198&lt;&gt;"",OR(F210="",COUNT(K210:L210)=0),Y210&lt;&gt;EUconst_NA,T198&lt;&gt;TRUE),EUconst_ERR_Incomplete,IF(COUNTIF(AX210:AZ210,TRUE)&gt;0,EUconst_ERR_Inconsistent,""))</f>
        <v/>
      </c>
      <c r="O210" s="1305"/>
      <c r="P210" s="33"/>
      <c r="Q210" s="33"/>
      <c r="R210" s="33"/>
      <c r="S210" s="30"/>
      <c r="T210" s="543" t="str">
        <f>EUconst_CNTR_NCV&amp;E198</f>
        <v>NCV_</v>
      </c>
      <c r="U210" s="488"/>
      <c r="V210" s="544" t="str">
        <f t="shared" ref="V210:V215" si="41">V209</f>
        <v/>
      </c>
      <c r="W210" s="30"/>
      <c r="X210" s="488"/>
      <c r="Y210" s="545" t="str">
        <f>IF(OR(T198=TRUE,E198=""),"",IF(F210=EUconst_NA,EUconst_NA,INDEX(EUwideConstants!$N:$N,MATCH(T210,EUwideConstants!$Q:$Q,0))))</f>
        <v/>
      </c>
      <c r="Z210" s="546" t="str">
        <f>IF(ISBLANK(F210),"",IF(F210=EUconst_NA,"",INDEX(EUwideConstants!$H:$M,MATCH(T210,EUwideConstants!$Q:$Q,0),MATCH(F210,CNTR_TierList,0))))</f>
        <v/>
      </c>
      <c r="AA210" s="547" t="str">
        <f>IF(COUNTIF(EUconst_DefaultValues,Z210)&gt;0,MATCH(Z210,EUconst_DefaultValues,0),"")</f>
        <v/>
      </c>
      <c r="AB210" s="30"/>
      <c r="AC210" s="548" t="b">
        <f>AND(AC207,Y210&lt;&gt;EUconst_NA)</f>
        <v>0</v>
      </c>
      <c r="AD210" s="30"/>
      <c r="AE210" s="549" t="str">
        <f>EUconst_CNTR_NCV&amp;EUconst_Unit</f>
        <v>NCV_Vienetas</v>
      </c>
      <c r="AF210" s="550" t="str">
        <f>IF(AC210=TRUE, IF(COUNTIF(MSPara_SourceStreamCategory,V210)=0,"",INDEX(MSPara_CalcFactorsMatrix,MATCH(V210,MSPara_SourceStreamCategory,0),MATCH(AE210&amp;"_"&amp;2,MSPara_CalcFactors,0))),"")</f>
        <v/>
      </c>
      <c r="AG210" s="551" t="str">
        <f>IF(AC210=TRUE, IF(COUNTIF(MSPara_SourceStreamCategory,V210)=0,"",INDEX(MSPara_CalcFactorsMatrix,MATCH(V210,MSPara_SourceStreamCategory,0),MATCH(AE210&amp;"_"&amp;1,MSPara_CalcFactors,0))),"")</f>
        <v/>
      </c>
      <c r="AH210" s="552" t="str">
        <f>IF(AA210="","",INDEX(AF210:AG210,3-AA210))</f>
        <v/>
      </c>
      <c r="AI210" s="553"/>
      <c r="AJ210" s="548" t="str">
        <f>IF(AC210=TRUE,IF(AJ207="","",IF(AJ207=EUconst_kNm3,EUconst_GJpkNm3,EUconst_GJpt)),"")</f>
        <v/>
      </c>
      <c r="AK210" s="554"/>
      <c r="AL210" s="333"/>
      <c r="AM210" s="549" t="str">
        <f>EUconst_CNTR_NCV&amp;EUconst_Value</f>
        <v>NCV_Vertė</v>
      </c>
      <c r="AN210" s="555" t="str">
        <f>IF(AC210=TRUE,IF(COUNTIF(MSPara_SourceStreamCategory,V210)=0,"",INDEX(MSPara_CalcFactorsMatrix,MATCH(V210,MSPara_SourceStreamCategory,0),MATCH(AM210&amp;"_"&amp;2,MSPara_CalcFactors,0))),"")</f>
        <v/>
      </c>
      <c r="AO210" s="556" t="str">
        <f>IF(AC210=TRUE,IF(COUNTIF(MSPara_SourceStreamCategory,V210)=0,"",INDEX(MSPara_CalcFactorsMatrix,MATCH(V210,MSPara_SourceStreamCategory,0),MATCH(AM210&amp;"_"&amp;1,MSPara_CalcFactors,0))),"")</f>
        <v/>
      </c>
      <c r="AP210" s="548" t="b">
        <f>AND(AND(AH210&lt;&gt;"",AJ210&lt;&gt;""),AJ210=AH210)</f>
        <v>0</v>
      </c>
      <c r="AQ210" s="557" t="str">
        <f>IF(AND(AA210&lt;&gt;"",AP210=TRUE),IF(OR(INDEX(AN210:AO210,3-AA210)=EUconst_NA,INDEX(AN210:AO210,3-AA210)=0),"",INDEX(AN210:AO210,3-AA210)),"")</f>
        <v/>
      </c>
      <c r="AR210" s="548">
        <f>IF(AC210=TRUE,IF(COUNT(K210:L210)=0,0,IF(L210="",K210,L210)),0)</f>
        <v>0</v>
      </c>
      <c r="AS210" s="544" t="b">
        <f>AND(AC210=TRUE,OR(AND(F210&lt;&gt;"",NOT(ISNUMBER(AA210))),L210&lt;&gt;"",F210="",AQ210=""))</f>
        <v>0</v>
      </c>
      <c r="AT210" s="544" t="b">
        <f t="shared" si="37"/>
        <v>0</v>
      </c>
      <c r="AU210" s="30"/>
      <c r="AV210" s="558" t="b">
        <f t="shared" si="38"/>
        <v>0</v>
      </c>
      <c r="AW210" s="559" t="b">
        <f t="shared" si="39"/>
        <v>0</v>
      </c>
      <c r="AX210" s="30"/>
      <c r="AY210" s="544" t="b">
        <f t="shared" si="40"/>
        <v>0</v>
      </c>
      <c r="AZ210" s="30"/>
      <c r="BA210" s="30"/>
      <c r="BB210" s="538" t="s">
        <v>589</v>
      </c>
      <c r="BC210" s="537" t="str">
        <f>IF(K197=BC207,AR207*IF(AJ209=EUconst_tCO2pTJ,(AR210/1000),1)*AR209*AR211*AR214,"")</f>
        <v/>
      </c>
      <c r="BD210" s="515" t="str">
        <f>IF(K197=BD207,AR207*AR209*AR212*AR214,"")</f>
        <v/>
      </c>
      <c r="BE210" s="514" t="str">
        <f>IF(K197=BE207,3.664*AR207*AR213*AR214,"")</f>
        <v/>
      </c>
      <c r="BF210" s="30"/>
      <c r="BG210" s="30"/>
      <c r="BH210" s="30"/>
      <c r="BI210" s="30"/>
      <c r="BJ210" s="30"/>
      <c r="BK210" s="30"/>
      <c r="BL210" s="30"/>
      <c r="BM210" s="30"/>
      <c r="BN210" s="30"/>
      <c r="BO210" s="30"/>
      <c r="BP210" s="30"/>
      <c r="BQ210" s="30"/>
      <c r="BR210" s="30"/>
      <c r="BS210" s="30"/>
      <c r="BT210" s="30"/>
      <c r="BU210" s="30"/>
      <c r="BV210" s="30"/>
      <c r="BW210" s="30"/>
      <c r="BX210" s="30"/>
      <c r="BY210" s="30"/>
      <c r="BZ210" s="544" t="b">
        <f>OR(BZ207,Y210=EUconst_NA)</f>
        <v>1</v>
      </c>
    </row>
    <row r="211" spans="1:78" s="140" customFormat="1" ht="12.75" customHeight="1" thickBot="1" x14ac:dyDescent="0.25">
      <c r="A211" s="777"/>
      <c r="B211" s="1248"/>
      <c r="C211" s="783" t="s">
        <v>197</v>
      </c>
      <c r="D211" s="503" t="str">
        <f>Translations!$B$638</f>
        <v>Oksidacijos koef.:</v>
      </c>
      <c r="E211" s="504"/>
      <c r="F211" s="539"/>
      <c r="G211" s="1603" t="str">
        <f t="shared" si="35"/>
        <v/>
      </c>
      <c r="H211" s="1604"/>
      <c r="I211" s="1113" t="str">
        <f>IF(OR(AC211=FALSE,Y211=EUconst_NA),"","-")</f>
        <v/>
      </c>
      <c r="J211" s="560"/>
      <c r="K211" s="561" t="str">
        <f t="shared" si="36"/>
        <v/>
      </c>
      <c r="L211" s="694"/>
      <c r="M211" s="700" t="str">
        <f>IF(AND(E198&lt;&gt;"",OR(F211="",COUNT(K211:L211)=0),Y211&lt;&gt;EUconst_NA,T198&lt;&gt;TRUE),EUconst_ERR_Incomplete,IF(COUNTIF(AX211:AZ211,TRUE)&gt;0,EUconst_ERR_Inconsistent,""))</f>
        <v/>
      </c>
      <c r="O211" s="1305"/>
      <c r="P211" s="33"/>
      <c r="Q211" s="33"/>
      <c r="R211" s="33"/>
      <c r="S211" s="30"/>
      <c r="T211" s="543" t="str">
        <f>EUconst_CNTR_OxidationFactor&amp;E198</f>
        <v>OxF_</v>
      </c>
      <c r="U211" s="488"/>
      <c r="V211" s="544" t="str">
        <f t="shared" si="41"/>
        <v/>
      </c>
      <c r="W211" s="30"/>
      <c r="X211" s="488"/>
      <c r="Y211" s="545" t="str">
        <f>IF(OR(T198=TRUE,E198=""),"",INDEX(EUwideConstants!$N:$N,MATCH(T211,EUwideConstants!$Q:$Q,0)))</f>
        <v/>
      </c>
      <c r="Z211" s="546" t="str">
        <f>IF(ISBLANK(F211),"",IF(F211=EUconst_NA,"",INDEX(EUwideConstants!$H:$M,MATCH(T211,EUwideConstants!$Q:$Q,0),MATCH(F211,CNTR_TierList,0))))</f>
        <v/>
      </c>
      <c r="AA211" s="525" t="str">
        <f>IF(F211=1,1,"")</f>
        <v/>
      </c>
      <c r="AB211" s="30"/>
      <c r="AC211" s="548" t="b">
        <f>AND(AC207,Y211&lt;&gt;EUconst_NA)</f>
        <v>0</v>
      </c>
      <c r="AD211" s="30"/>
      <c r="AE211" s="563"/>
      <c r="AG211" s="564"/>
      <c r="AH211" s="553"/>
      <c r="AI211" s="565"/>
      <c r="AJ211" s="553"/>
      <c r="AK211" s="566"/>
      <c r="AL211" s="333"/>
      <c r="AM211" s="549" t="str">
        <f>EUconst_CNTR_OxidationFactor&amp;EUconst_Value</f>
        <v>OxF_Vertė</v>
      </c>
      <c r="AN211" s="567"/>
      <c r="AO211" s="525">
        <v>1</v>
      </c>
      <c r="AP211" s="553"/>
      <c r="AQ211" s="568" t="str">
        <f>IF(AA211="","",AO211)</f>
        <v/>
      </c>
      <c r="AR211" s="548">
        <f>IF(AC211=TRUE,IF(COUNT(K211:L211)=0,0,IF(L211="",K211,L211)),1)</f>
        <v>1</v>
      </c>
      <c r="AS211" s="544" t="b">
        <f>AND(AC211=TRUE,OR(ISNUMBER(L211),NOT(ISNUMBER(AA211))))</f>
        <v>0</v>
      </c>
      <c r="AT211" s="544" t="b">
        <f t="shared" si="37"/>
        <v>0</v>
      </c>
      <c r="AU211" s="30"/>
      <c r="AV211" s="558" t="b">
        <f t="shared" si="38"/>
        <v>0</v>
      </c>
      <c r="AW211" s="559" t="b">
        <f t="shared" si="39"/>
        <v>0</v>
      </c>
      <c r="AX211" s="30"/>
      <c r="AY211" s="585" t="b">
        <f t="shared" si="40"/>
        <v>0</v>
      </c>
      <c r="AZ211" s="522" t="b">
        <f>AR211&gt;100%</f>
        <v>0</v>
      </c>
      <c r="BA211" s="30"/>
      <c r="BB211" s="538" t="s">
        <v>287</v>
      </c>
      <c r="BC211" s="537" t="str">
        <f>IF(K197=BC207,AR207*IF(AJ209=EUconst_tCO2pTJ,(AR210/1000),1)*AR209*AR211*(1-AR214),"")</f>
        <v/>
      </c>
      <c r="BD211" s="515" t="str">
        <f>IF(K197=BD207,AR207*AR209*AR212*(1-AR214),"")</f>
        <v/>
      </c>
      <c r="BE211" s="514" t="str">
        <f>IF(K197=BE207,3.664*AR207*AR213*(1-AR214),"")</f>
        <v/>
      </c>
      <c r="BF211" s="30"/>
      <c r="BG211" s="30"/>
      <c r="BH211" s="30"/>
      <c r="BI211" s="30"/>
      <c r="BJ211" s="30"/>
      <c r="BK211" s="30"/>
      <c r="BL211" s="30"/>
      <c r="BM211" s="30"/>
      <c r="BN211" s="30"/>
      <c r="BO211" s="30"/>
      <c r="BP211" s="30"/>
      <c r="BQ211" s="30"/>
      <c r="BR211" s="30"/>
      <c r="BS211" s="30"/>
      <c r="BT211" s="30"/>
      <c r="BU211" s="30"/>
      <c r="BV211" s="30"/>
      <c r="BW211" s="30"/>
      <c r="BX211" s="30"/>
      <c r="BY211" s="30"/>
      <c r="BZ211" s="544" t="b">
        <f>OR(BZ207,Y211=EUconst_NA)</f>
        <v>1</v>
      </c>
    </row>
    <row r="212" spans="1:78" s="140" customFormat="1" ht="12.75" customHeight="1" thickBot="1" x14ac:dyDescent="0.25">
      <c r="A212" s="777"/>
      <c r="B212" s="1248"/>
      <c r="C212" s="783" t="s">
        <v>198</v>
      </c>
      <c r="D212" s="503" t="str">
        <f>Translations!$B$639</f>
        <v>Konversijos koef.:</v>
      </c>
      <c r="E212" s="504"/>
      <c r="F212" s="539"/>
      <c r="G212" s="1603" t="str">
        <f t="shared" si="35"/>
        <v/>
      </c>
      <c r="H212" s="1604"/>
      <c r="I212" s="1113" t="str">
        <f>IF(OR(AC212=FALSE,Y212=EUconst_NA),"","-")</f>
        <v/>
      </c>
      <c r="J212" s="560"/>
      <c r="K212" s="561" t="str">
        <f t="shared" si="36"/>
        <v/>
      </c>
      <c r="L212" s="694"/>
      <c r="M212" s="700" t="str">
        <f>IF(AND(E198&lt;&gt;"",OR(F212="",COUNT(K212:L212)=0),Y212&lt;&gt;EUconst_NA,T198&lt;&gt;TRUE),EUconst_ERR_Incomplete,IF(COUNTIF(AX212:AZ212,TRUE)&gt;0,EUconst_ERR_Inconsistent,""))</f>
        <v/>
      </c>
      <c r="O212" s="1305"/>
      <c r="P212" s="33"/>
      <c r="Q212" s="33"/>
      <c r="R212" s="33"/>
      <c r="S212" s="30"/>
      <c r="T212" s="543" t="str">
        <f>EUconst_CNTR_ConversionFactor&amp;E198</f>
        <v>ConvF_</v>
      </c>
      <c r="U212" s="488"/>
      <c r="V212" s="544" t="str">
        <f t="shared" si="41"/>
        <v/>
      </c>
      <c r="W212" s="30"/>
      <c r="X212" s="488"/>
      <c r="Y212" s="545" t="str">
        <f>IF(OR(T198=TRUE,E198=""),"",INDEX(EUwideConstants!$N:$N,MATCH(T212,EUwideConstants!$Q:$Q,0)))</f>
        <v/>
      </c>
      <c r="Z212" s="546" t="str">
        <f>IF(ISBLANK(F212),"",IF(F212=EUconst_NA,"",INDEX(EUwideConstants!$H:$M,MATCH(T212,EUwideConstants!$Q:$Q,0),MATCH(F212,CNTR_TierList,0))))</f>
        <v/>
      </c>
      <c r="AA212" s="573" t="str">
        <f>IF(F212=1,1,"")</f>
        <v/>
      </c>
      <c r="AB212" s="30"/>
      <c r="AC212" s="548" t="b">
        <f>AND(AC207,Y212&lt;&gt;EUconst_NA)</f>
        <v>0</v>
      </c>
      <c r="AD212" s="30"/>
      <c r="AE212" s="563"/>
      <c r="AG212" s="564"/>
      <c r="AH212" s="574"/>
      <c r="AI212" s="565"/>
      <c r="AJ212" s="574"/>
      <c r="AK212" s="566"/>
      <c r="AL212" s="333"/>
      <c r="AM212" s="549" t="str">
        <f>EUconst_CNTR_ConversionFactor&amp;EUconst_Value</f>
        <v>ConvF_Vertė</v>
      </c>
      <c r="AN212" s="575"/>
      <c r="AO212" s="573">
        <v>1</v>
      </c>
      <c r="AP212" s="574"/>
      <c r="AQ212" s="576" t="str">
        <f>IF(AA212="","",AO212)</f>
        <v/>
      </c>
      <c r="AR212" s="548">
        <f>IF(AC212=TRUE,IF(COUNT(K212:L212)=0,0,IF(L212="",K212,L212)),1)</f>
        <v>1</v>
      </c>
      <c r="AS212" s="544" t="b">
        <f>AND(AC212=TRUE,OR(ISNUMBER(L212),NOT(ISNUMBER(AA212))))</f>
        <v>0</v>
      </c>
      <c r="AT212" s="544" t="b">
        <f t="shared" si="37"/>
        <v>0</v>
      </c>
      <c r="AU212" s="30"/>
      <c r="AV212" s="558" t="b">
        <f t="shared" si="38"/>
        <v>0</v>
      </c>
      <c r="AW212" s="559" t="b">
        <f t="shared" si="39"/>
        <v>0</v>
      </c>
      <c r="AX212" s="30"/>
      <c r="AY212" s="585" t="b">
        <f t="shared" si="40"/>
        <v>0</v>
      </c>
      <c r="AZ212" s="571" t="b">
        <f>AR212&gt;100%</f>
        <v>0</v>
      </c>
      <c r="BA212" s="30"/>
      <c r="BB212" s="569" t="s">
        <v>481</v>
      </c>
      <c r="BC212" s="570">
        <f>AR207*AR210/1000*(1-AR214)</f>
        <v>0</v>
      </c>
      <c r="BD212" s="571">
        <f>BC212</f>
        <v>0</v>
      </c>
      <c r="BE212" s="572">
        <f>BC212</f>
        <v>0</v>
      </c>
      <c r="BF212" s="30"/>
      <c r="BG212" s="30"/>
      <c r="BH212" s="30"/>
      <c r="BI212" s="30"/>
      <c r="BJ212" s="30"/>
      <c r="BK212" s="30"/>
      <c r="BL212" s="30"/>
      <c r="BM212" s="30"/>
      <c r="BN212" s="30"/>
      <c r="BO212" s="30"/>
      <c r="BP212" s="30"/>
      <c r="BQ212" s="30"/>
      <c r="BR212" s="30"/>
      <c r="BS212" s="30"/>
      <c r="BT212" s="30"/>
      <c r="BU212" s="30"/>
      <c r="BV212" s="30"/>
      <c r="BW212" s="30"/>
      <c r="BX212" s="30"/>
      <c r="BY212" s="30"/>
      <c r="BZ212" s="544" t="b">
        <f>OR(BZ207,Y212=EUconst_NA)</f>
        <v>1</v>
      </c>
    </row>
    <row r="213" spans="1:78" s="140" customFormat="1" ht="12.75" customHeight="1" thickBot="1" x14ac:dyDescent="0.25">
      <c r="A213" s="777"/>
      <c r="B213" s="1248"/>
      <c r="C213" s="783" t="s">
        <v>324</v>
      </c>
      <c r="D213" s="503" t="str">
        <f>Translations!$B$640</f>
        <v>Anglies kiekis (C):</v>
      </c>
      <c r="E213" s="504"/>
      <c r="F213" s="539"/>
      <c r="G213" s="1603" t="str">
        <f t="shared" si="35"/>
        <v/>
      </c>
      <c r="H213" s="1604"/>
      <c r="I213" s="1113" t="str">
        <f>AJ213</f>
        <v/>
      </c>
      <c r="J213" s="577"/>
      <c r="K213" s="578" t="str">
        <f t="shared" si="36"/>
        <v/>
      </c>
      <c r="L213" s="579"/>
      <c r="M213" s="700" t="str">
        <f>IF(AND(E198&lt;&gt;"",OR(F213="",COUNT(K213:L213)=0),Y213&lt;&gt;EUconst_NA,T198&lt;&gt;TRUE),EUconst_ERR_Incomplete,IF(COUNTIF(AX213:AZ213,TRUE)&gt;0,EUconst_ERR_Inconsistent,""))</f>
        <v/>
      </c>
      <c r="O213" s="1305"/>
      <c r="P213" s="33"/>
      <c r="Q213" s="33"/>
      <c r="R213" s="33"/>
      <c r="S213" s="30"/>
      <c r="T213" s="543" t="str">
        <f>EUconst_CNTR_CarbonContent&amp;E198</f>
        <v>CarbC_</v>
      </c>
      <c r="U213" s="488"/>
      <c r="V213" s="544" t="str">
        <f t="shared" si="41"/>
        <v/>
      </c>
      <c r="W213" s="30"/>
      <c r="X213" s="488"/>
      <c r="Y213" s="545" t="str">
        <f>IF(OR(T198=TRUE,E198=""),"",INDEX(EUwideConstants!$N:$N,MATCH(T213,EUwideConstants!$Q:$Q,0)))</f>
        <v/>
      </c>
      <c r="Z213" s="546" t="str">
        <f>IF(ISBLANK(F213),"",IF(F213=EUconst_NA,"",INDEX(EUwideConstants!$H:$M,MATCH(T213,EUwideConstants!$Q:$Q,0),MATCH(F213,CNTR_TierList,0))))</f>
        <v/>
      </c>
      <c r="AA213" s="580" t="str">
        <f>IF(COUNTIF(EUconst_DefaultValues,Z213)&gt;0,MATCH(Z213,EUconst_DefaultValues,0),"")</f>
        <v/>
      </c>
      <c r="AB213" s="30"/>
      <c r="AC213" s="548" t="b">
        <f>AND(AC207,Y213&lt;&gt;EUconst_NA)</f>
        <v>0</v>
      </c>
      <c r="AD213" s="30"/>
      <c r="AE213" s="549" t="str">
        <f>EUconst_CNTR_CarbonContent&amp;EUconst_Unit</f>
        <v>CarbC_Vienetas</v>
      </c>
      <c r="AF213" s="550" t="str">
        <f>IF(AC213=TRUE, IF(COUNTIF(MSPara_SourceStreamCategory,V213)=0,"",INDEX(MSPara_CalcFactorsMatrix,MATCH(V213,MSPara_SourceStreamCategory,0),MATCH(AE213&amp;"_"&amp;2,MSPara_CalcFactors,0))),"")</f>
        <v/>
      </c>
      <c r="AG213" s="551" t="str">
        <f>IF(AC213=TRUE, IF(COUNTIF(MSPara_SourceStreamCategory,V213)=0,"",INDEX(MSPara_CalcFactorsMatrix,MATCH(V213,MSPara_SourceStreamCategory,0),MATCH(AE213&amp;"_"&amp;1,MSPara_CalcFactors,0))),"")</f>
        <v/>
      </c>
      <c r="AH213" s="581" t="str">
        <f>IF(AA213="","",INDEX(AF213:AG213,3-AA213))</f>
        <v/>
      </c>
      <c r="AI213" s="565"/>
      <c r="AJ213" s="582" t="str">
        <f>IF(AC213=TRUE,IF(AJ207="","",IF(AJ207=EUconst_kNm3,EUconst_tCpkNm3,EUconst_tCpt)),"")</f>
        <v/>
      </c>
      <c r="AK213" s="566"/>
      <c r="AL213" s="333"/>
      <c r="AM213" s="549" t="str">
        <f>EUconst_CNTR_CarbonContent&amp;EUconst_Value</f>
        <v>CarbC_Vertė</v>
      </c>
      <c r="AN213" s="555" t="str">
        <f>IF(AC213=TRUE,IF(COUNTIF(MSPara_SourceStreamCategory,V213)=0,"",INDEX(MSPara_CalcFactorsMatrix,MATCH(V213,MSPara_SourceStreamCategory,0),MATCH(AM213&amp;"_"&amp;2,MSPara_CalcFactors,0))),"")</f>
        <v/>
      </c>
      <c r="AO213" s="583" t="str">
        <f>IF(AC213=TRUE,IF(COUNTIF(MSPara_SourceStreamCategory,V213)=0,"",INDEX(MSPara_CalcFactorsMatrix,MATCH(V213,MSPara_SourceStreamCategory,0),MATCH(AM213&amp;"_"&amp;1,MSPara_CalcFactors,0))),"")</f>
        <v/>
      </c>
      <c r="AP213" s="548" t="b">
        <f>AND(AND(AH213&lt;&gt;"",AJ213&lt;&gt;""),AJ213=AH213)</f>
        <v>0</v>
      </c>
      <c r="AQ213" s="584" t="str">
        <f>IF(AND(AA213&lt;&gt;"",AP213=TRUE),IF(OR(INDEX(AN213:AO213,3-AA213)=EUconst_NA,INDEX(AN213:AO213,3-AA213)=0),"",INDEX(AN213:AO213,3-AA213)),"")</f>
        <v/>
      </c>
      <c r="AR213" s="548">
        <f>IF(AC213=TRUE,IF(COUNT(K213:L213)=0,0,IF(L213="",K213,L213)),0)</f>
        <v>0</v>
      </c>
      <c r="AS213" s="544" t="b">
        <f>AND(AC213=TRUE,OR(AND(F213&lt;&gt;"",NOT(ISNUMBER(AA213))),L213&lt;&gt;"",F213="",AQ213=""))</f>
        <v>0</v>
      </c>
      <c r="AT213" s="544" t="b">
        <f t="shared" si="37"/>
        <v>0</v>
      </c>
      <c r="AU213" s="30"/>
      <c r="AV213" s="558" t="b">
        <f t="shared" si="38"/>
        <v>0</v>
      </c>
      <c r="AW213" s="559" t="b">
        <f t="shared" si="39"/>
        <v>0</v>
      </c>
      <c r="AX213" s="537" t="b">
        <f>OR(AND(AJ207=EUconst_kNm3,AJ213=EUconst_tCpt),AND(AJ207=EUconst_t,AJ213=EUconst_tCpkNm3))</f>
        <v>0</v>
      </c>
      <c r="AY213" s="544" t="b">
        <f t="shared" si="40"/>
        <v>0</v>
      </c>
      <c r="AZ213" s="30"/>
      <c r="BA213" s="30"/>
      <c r="BB213" s="569" t="s">
        <v>482</v>
      </c>
      <c r="BC213" s="570">
        <f>AR207*AR210/1000*AR214</f>
        <v>0</v>
      </c>
      <c r="BD213" s="571">
        <f>BC213</f>
        <v>0</v>
      </c>
      <c r="BE213" s="572">
        <f>BC213</f>
        <v>0</v>
      </c>
      <c r="BF213" s="30"/>
      <c r="BG213" s="30"/>
      <c r="BH213" s="30"/>
      <c r="BI213" s="30"/>
      <c r="BJ213" s="30"/>
      <c r="BK213" s="30"/>
      <c r="BL213" s="30"/>
      <c r="BM213" s="30"/>
      <c r="BN213" s="30"/>
      <c r="BO213" s="30"/>
      <c r="BP213" s="30"/>
      <c r="BQ213" s="30"/>
      <c r="BR213" s="30"/>
      <c r="BS213" s="30"/>
      <c r="BT213" s="30"/>
      <c r="BU213" s="30"/>
      <c r="BV213" s="30"/>
      <c r="BW213" s="30"/>
      <c r="BX213" s="30"/>
      <c r="BY213" s="30"/>
      <c r="BZ213" s="544" t="b">
        <f>OR(BZ207,Y213=EUconst_NA)</f>
        <v>1</v>
      </c>
    </row>
    <row r="214" spans="1:78" s="140" customFormat="1" ht="12.75" customHeight="1" x14ac:dyDescent="0.2">
      <c r="A214" s="777"/>
      <c r="B214" s="1248"/>
      <c r="C214" s="753" t="s">
        <v>325</v>
      </c>
      <c r="D214" s="503" t="str">
        <f>Translations!$B$641</f>
        <v>Biomasės dalis (BioC):</v>
      </c>
      <c r="E214" s="504"/>
      <c r="F214" s="539"/>
      <c r="G214" s="1603" t="str">
        <f t="shared" si="35"/>
        <v/>
      </c>
      <c r="H214" s="1604"/>
      <c r="I214" s="1113" t="str">
        <f>IF(OR(AC214=FALSE,Y214=EUconst_NA),"","-")</f>
        <v/>
      </c>
      <c r="J214" s="560"/>
      <c r="K214" s="561" t="str">
        <f t="shared" si="36"/>
        <v/>
      </c>
      <c r="L214" s="694"/>
      <c r="M214" s="700" t="str">
        <f>IF(AND(E198&lt;&gt;"",OR(F214="",COUNT(K214:L214)=0),Y214&lt;&gt;EUconst_NA,T198&lt;&gt;TRUE),EUconst_ERR_Incomplete,IF(COUNTIF(AX214:AZ214,TRUE)&gt;0,EUconst_ERR_Inconsistent,""))</f>
        <v/>
      </c>
      <c r="O214" s="1305"/>
      <c r="P214" s="635"/>
      <c r="Q214" s="635"/>
      <c r="R214" s="635"/>
      <c r="S214" s="30"/>
      <c r="T214" s="543" t="str">
        <f>EUconst_CNTR_BiomassContent&amp;E198</f>
        <v>BioC_</v>
      </c>
      <c r="U214" s="488"/>
      <c r="V214" s="585" t="str">
        <f t="shared" si="41"/>
        <v/>
      </c>
      <c r="W214" s="522" t="str">
        <f>IF(COUNTIF(MSPara_SourceStreamCategory,V214)=0,"",INDEX(MSPara_IsFossil,MATCH(V214,MSPara_SourceStreamCategory,0)))</f>
        <v/>
      </c>
      <c r="X214" s="488"/>
      <c r="Y214" s="545" t="str">
        <f>IF(OR(T198=TRUE,E198=""),"",IF(OR(W214=TRUE,F214=EUconst_NA),EUconst_NA,INDEX(EUwideConstants!$N:$N,MATCH(T214,EUwideConstants!$Q:$Q,0))))</f>
        <v/>
      </c>
      <c r="Z214" s="546" t="str">
        <f>IF(ISBLANK(F214),"",IF(F214=EUconst_NA,"",INDEX(EUwideConstants!$H:$M,MATCH(T214,EUwideConstants!$Q:$Q,0),MATCH(F214,CNTR_TierList,0))))</f>
        <v/>
      </c>
      <c r="AA214" s="586" t="str">
        <f>IF(F214=1,1,"")</f>
        <v/>
      </c>
      <c r="AB214" s="30"/>
      <c r="AC214" s="548" t="b">
        <f>AND(AC207,Y214&lt;&gt;EUconst_NA)</f>
        <v>0</v>
      </c>
      <c r="AD214" s="30"/>
      <c r="AE214" s="563"/>
      <c r="AG214" s="564"/>
      <c r="AH214" s="553"/>
      <c r="AI214" s="565"/>
      <c r="AJ214" s="553"/>
      <c r="AK214" s="566"/>
      <c r="AL214" s="333"/>
      <c r="AM214" s="549" t="str">
        <f>EUconst_CNTR_BiomassContent&amp;EUconst_Value</f>
        <v>BioC_Vertė</v>
      </c>
      <c r="AO214" s="587" t="str">
        <f>IF(AC214=TRUE,IF(COUNTIF(MSPara_SourceStreamCategory,V214)=0,"",INDEX(MSPara_CalcFactorsMatrix,MATCH(V214,MSPara_SourceStreamCategory,0),MATCH(AM214&amp;"_"&amp;2,MSPara_CalcFactors,0))),"")</f>
        <v/>
      </c>
      <c r="AP214" s="553"/>
      <c r="AQ214" s="568" t="str">
        <f>IF(OR(AA214="",AO214=EUconst_NA),"",AO214)</f>
        <v/>
      </c>
      <c r="AR214" s="548">
        <f>IF(AC214=TRUE,IF(COUNT(K214:L214)=0,0,IF(L214="",K214,L214)),0)</f>
        <v>0</v>
      </c>
      <c r="AS214" s="544" t="b">
        <f>AND(AC214=TRUE,OR(AND(F214&lt;&gt;"",NOT(ISNUMBER(AA214))),L214&lt;&gt;"",F214="",AQ214=""))</f>
        <v>0</v>
      </c>
      <c r="AT214" s="544" t="b">
        <f t="shared" si="37"/>
        <v>0</v>
      </c>
      <c r="AU214" s="30"/>
      <c r="AV214" s="558" t="b">
        <f t="shared" si="38"/>
        <v>0</v>
      </c>
      <c r="AW214" s="559" t="b">
        <f t="shared" si="39"/>
        <v>0</v>
      </c>
      <c r="AX214" s="30"/>
      <c r="AY214" s="585" t="b">
        <f t="shared" si="40"/>
        <v>0</v>
      </c>
      <c r="AZ214" s="522" t="b">
        <f>OR(AR214&gt;100%,(AR214+AR215)&gt;100%)</f>
        <v>0</v>
      </c>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544" t="b">
        <f>OR(BZ207,Y214=EUconst_NA)</f>
        <v>1</v>
      </c>
    </row>
    <row r="215" spans="1:78" s="140" customFormat="1" ht="12.75" customHeight="1" thickBot="1" x14ac:dyDescent="0.25">
      <c r="A215" s="777"/>
      <c r="B215" s="1248"/>
      <c r="C215" s="753" t="s">
        <v>448</v>
      </c>
      <c r="D215" s="503" t="str">
        <f>Translations!$B$647</f>
        <v>Netvarios BioC dalis:</v>
      </c>
      <c r="E215" s="504"/>
      <c r="F215" s="588"/>
      <c r="G215" s="1603" t="str">
        <f t="shared" si="35"/>
        <v/>
      </c>
      <c r="H215" s="1604"/>
      <c r="I215" s="1114" t="str">
        <f>IF(OR(AC215=FALSE,Y215=EUconst_NA),"","-")</f>
        <v/>
      </c>
      <c r="J215" s="560"/>
      <c r="K215" s="589" t="str">
        <f t="shared" si="36"/>
        <v/>
      </c>
      <c r="L215" s="1100"/>
      <c r="M215" s="700" t="str">
        <f>IF(AND(E198&lt;&gt;"",OR(F215="",COUNT(K215:L215)=0),Y215&lt;&gt;EUconst_NA,T198&lt;&gt;TRUE),EUconst_ERR_Incomplete,IF(COUNTIF(AX215:AZ215,TRUE)&gt;0,EUconst_ERR_Inconsistent,""))</f>
        <v/>
      </c>
      <c r="O215" s="1305"/>
      <c r="P215" s="635"/>
      <c r="Q215" s="635"/>
      <c r="R215" s="635"/>
      <c r="S215" s="30"/>
      <c r="T215" s="590" t="str">
        <f>EUconst_CNTR_BiomassContent&amp;E198</f>
        <v>BioC_</v>
      </c>
      <c r="U215" s="488"/>
      <c r="V215" s="570" t="str">
        <f t="shared" si="41"/>
        <v/>
      </c>
      <c r="W215" s="571" t="str">
        <f>IF(COUNTIF(MSPara_SourceStreamCategory,V215)=0,"",INDEX(MSPara_IsFossil,MATCH(V215,MSPara_SourceStreamCategory,0)))</f>
        <v/>
      </c>
      <c r="X215" s="488"/>
      <c r="Y215" s="591" t="str">
        <f>IF(OR(T198=TRUE,E198=""),"",IF(OR(W215=TRUE,F215=EUconst_NA),EUconst_NA,INDEX(EUwideConstants!$N:$N,MATCH(T215,EUwideConstants!$Q:$Q,0))))</f>
        <v/>
      </c>
      <c r="Z215" s="592" t="str">
        <f>IF(ISBLANK(F215),"",IF(F215=EUconst_NA,"",INDEX(EUwideConstants!$H:$M,MATCH(T215,EUwideConstants!$Q:$Q,0),MATCH(F215,CNTR_TierList,0))))</f>
        <v/>
      </c>
      <c r="AA215" s="593" t="str">
        <f>IF(F215=1,1,"")</f>
        <v/>
      </c>
      <c r="AB215" s="30"/>
      <c r="AC215" s="594" t="b">
        <f>AND(AC207,Y215&lt;&gt;EUconst_NA)</f>
        <v>0</v>
      </c>
      <c r="AD215" s="30"/>
      <c r="AE215" s="595"/>
      <c r="AF215" s="596"/>
      <c r="AG215" s="597"/>
      <c r="AH215" s="598"/>
      <c r="AI215" s="598"/>
      <c r="AJ215" s="598"/>
      <c r="AK215" s="599"/>
      <c r="AL215" s="333"/>
      <c r="AM215" s="600" t="str">
        <f>EUconst_CNTR_BiomassContent&amp;EUconst_Value</f>
        <v>BioC_Vertė</v>
      </c>
      <c r="AN215" s="596"/>
      <c r="AO215" s="601" t="str">
        <f>IF(AC215=TRUE,IF(COUNTIF(MSPara_SourceStreamCategory,V215)=0,"",INDEX(MSPara_CalcFactorsMatrix,MATCH(V215,MSPara_SourceStreamCategory,0),MATCH(AM215&amp;"_"&amp;2,MSPara_CalcFactors,0))),"")</f>
        <v/>
      </c>
      <c r="AP215" s="598"/>
      <c r="AQ215" s="602" t="str">
        <f>IF(OR(AA215="",AO215=EUconst_NA),"",AO215)</f>
        <v/>
      </c>
      <c r="AR215" s="594">
        <f>IF(AC215=TRUE,IF(COUNT(K215:L215)=0,0,IF(L215="",K215,L215)),0)</f>
        <v>0</v>
      </c>
      <c r="AS215" s="603" t="b">
        <f>AND(AC215=TRUE,OR(AND(F215&lt;&gt;"",NOT(ISNUMBER(AA215))),L215&lt;&gt;"",F215="",AQ215=""))</f>
        <v>0</v>
      </c>
      <c r="AT215" s="603" t="b">
        <f t="shared" si="37"/>
        <v>0</v>
      </c>
      <c r="AU215" s="30"/>
      <c r="AV215" s="604" t="b">
        <f t="shared" si="38"/>
        <v>0</v>
      </c>
      <c r="AW215" s="605" t="b">
        <f t="shared" si="39"/>
        <v>0</v>
      </c>
      <c r="AX215" s="30"/>
      <c r="AY215" s="570" t="b">
        <f t="shared" si="40"/>
        <v>0</v>
      </c>
      <c r="AZ215" s="571" t="b">
        <f>OR(AR214&gt;100%,(AR214+AR215)&gt;100%)</f>
        <v>0</v>
      </c>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571" t="b">
        <f>OR(BZ207,Y215=EUconst_NA)</f>
        <v>1</v>
      </c>
    </row>
    <row r="216" spans="1:78" s="140" customFormat="1" ht="5.0999999999999996" customHeight="1" x14ac:dyDescent="0.2">
      <c r="A216" s="777"/>
      <c r="B216" s="1248"/>
      <c r="C216" s="164"/>
      <c r="D216" s="178"/>
      <c r="O216" s="1305"/>
      <c r="P216" s="33"/>
      <c r="Q216" s="33"/>
      <c r="R216" s="33"/>
      <c r="S216" s="172"/>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row>
    <row r="217" spans="1:78" s="140" customFormat="1" ht="12.75" customHeight="1" x14ac:dyDescent="0.2">
      <c r="A217" s="777"/>
      <c r="B217" s="1248"/>
      <c r="C217" s="164"/>
      <c r="D217" s="1629" t="str">
        <f>Translations!$B$674</f>
        <v>Pakopos galioja nuo:</v>
      </c>
      <c r="E217" s="1629"/>
      <c r="F217" s="1630"/>
      <c r="G217" s="1014"/>
      <c r="H217" s="606" t="str">
        <f>Translations!$B$675</f>
        <v>iki:</v>
      </c>
      <c r="I217" s="1014"/>
      <c r="J217" s="1620" t="str">
        <f>Translations!$B$676</f>
        <v>Atliekų katalogo numeris (jeigu taikytina):</v>
      </c>
      <c r="K217" s="1621"/>
      <c r="L217" s="1621"/>
      <c r="M217" s="1622"/>
      <c r="N217" s="1232"/>
      <c r="O217" s="1305"/>
      <c r="P217" s="33"/>
      <c r="Q217" s="33"/>
      <c r="R217" s="33"/>
      <c r="S217" s="1233"/>
      <c r="T217" s="483"/>
      <c r="U217" s="483"/>
      <c r="V217" s="48" t="b">
        <f>IF(V207="",FALSE,INDEX(CNTR_IsWaste,MATCH(V207,MSParameters!$A$218:$A$376,0)))</f>
        <v>0</v>
      </c>
      <c r="W217" s="1233" t="s">
        <v>1689</v>
      </c>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2" t="b">
        <f>BZ207</f>
        <v>1</v>
      </c>
    </row>
    <row r="218" spans="1:78" s="140" customFormat="1" ht="5.0999999999999996" customHeight="1" x14ac:dyDescent="0.2">
      <c r="A218" s="777"/>
      <c r="B218" s="1248"/>
      <c r="C218" s="164"/>
      <c r="D218" s="606"/>
      <c r="E218" s="486"/>
      <c r="F218" s="486"/>
      <c r="G218" s="486"/>
      <c r="H218" s="486"/>
      <c r="I218" s="486"/>
      <c r="J218" s="486"/>
      <c r="K218" s="486"/>
      <c r="L218" s="486"/>
      <c r="M218" s="486"/>
      <c r="N218" s="486"/>
      <c r="O218" s="1305"/>
      <c r="P218" s="33"/>
      <c r="Q218" s="33"/>
      <c r="R218" s="33"/>
      <c r="S218" s="172"/>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row>
    <row r="219" spans="1:78" s="140" customFormat="1" ht="12.75" customHeight="1" x14ac:dyDescent="0.2">
      <c r="A219" s="777"/>
      <c r="B219" s="1248"/>
      <c r="C219" s="164"/>
      <c r="D219" s="486"/>
      <c r="E219" s="486"/>
      <c r="F219" s="486"/>
      <c r="G219" s="486"/>
      <c r="H219" s="486"/>
      <c r="I219" s="486"/>
      <c r="J219" s="486"/>
      <c r="K219" s="486"/>
      <c r="L219" s="486"/>
      <c r="M219" s="606" t="str">
        <f>Translations!$B$677</f>
        <v>Stebėsenos plane šiam sukėlikliui suteiktas identifikatorius:</v>
      </c>
      <c r="N219" s="705"/>
      <c r="O219" s="1305"/>
      <c r="P219" s="33"/>
      <c r="Q219" s="33"/>
      <c r="R219" s="33"/>
      <c r="S219" s="172"/>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2" t="b">
        <f>BZ217</f>
        <v>1</v>
      </c>
    </row>
    <row r="220" spans="1:78" s="140" customFormat="1" ht="5.0999999999999996" customHeight="1" x14ac:dyDescent="0.2">
      <c r="A220" s="784"/>
      <c r="B220" s="1316"/>
      <c r="D220" s="178"/>
      <c r="O220" s="1317"/>
      <c r="P220" s="488"/>
      <c r="Q220" s="488"/>
      <c r="R220" s="488"/>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row>
    <row r="221" spans="1:78" s="140" customFormat="1" x14ac:dyDescent="0.2">
      <c r="A221" s="784"/>
      <c r="B221" s="1316"/>
      <c r="D221" s="1618" t="str">
        <f>Translations!$B$160</f>
        <v>Pastabos:</v>
      </c>
      <c r="E221" s="1619"/>
      <c r="F221" s="1605"/>
      <c r="G221" s="1606"/>
      <c r="H221" s="1606"/>
      <c r="I221" s="1606"/>
      <c r="J221" s="1606"/>
      <c r="K221" s="1606"/>
      <c r="L221" s="1606"/>
      <c r="M221" s="1606"/>
      <c r="N221" s="1607"/>
      <c r="O221" s="1317"/>
      <c r="P221" s="488"/>
      <c r="Q221" s="488"/>
      <c r="R221" s="488"/>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2" t="b">
        <f>BZ217</f>
        <v>1</v>
      </c>
    </row>
    <row r="222" spans="1:78" s="28" customFormat="1" ht="12.75" customHeight="1" thickBot="1" x14ac:dyDescent="0.25">
      <c r="A222" s="777"/>
      <c r="B222" s="1312"/>
      <c r="C222" s="490"/>
      <c r="D222" s="491"/>
      <c r="E222" s="492"/>
      <c r="F222" s="490"/>
      <c r="G222" s="493"/>
      <c r="H222" s="493"/>
      <c r="I222" s="493"/>
      <c r="J222" s="493"/>
      <c r="K222" s="493"/>
      <c r="L222" s="493"/>
      <c r="M222" s="493"/>
      <c r="N222" s="493"/>
      <c r="O222" s="1313"/>
      <c r="P222" s="485"/>
      <c r="Q222" s="485"/>
      <c r="R222" s="485"/>
      <c r="S222" s="58"/>
      <c r="T222" s="58"/>
      <c r="U222" s="489"/>
      <c r="V222" s="58"/>
      <c r="W222" s="58"/>
      <c r="X222" s="489"/>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30"/>
      <c r="BJ222" s="30"/>
      <c r="BK222" s="30"/>
      <c r="BL222" s="58"/>
      <c r="BM222" s="58"/>
      <c r="BN222" s="58"/>
      <c r="BO222" s="58"/>
      <c r="BP222" s="58"/>
      <c r="BQ222" s="58"/>
      <c r="BR222" s="58"/>
      <c r="BS222" s="58"/>
      <c r="BT222" s="58"/>
      <c r="BU222" s="58"/>
      <c r="BV222" s="58"/>
      <c r="BW222" s="58"/>
      <c r="BX222" s="58"/>
      <c r="BY222" s="58"/>
      <c r="BZ222" s="58"/>
    </row>
    <row r="223" spans="1:78" s="28" customFormat="1" ht="12.75" customHeight="1" thickBot="1" x14ac:dyDescent="0.25">
      <c r="A223" s="782"/>
      <c r="B223" s="1312"/>
      <c r="C223" s="486"/>
      <c r="D223" s="178"/>
      <c r="E223" s="487"/>
      <c r="F223" s="486"/>
      <c r="G223" s="478"/>
      <c r="H223" s="478"/>
      <c r="I223" s="478"/>
      <c r="J223" s="478"/>
      <c r="K223" s="486"/>
      <c r="L223" s="478"/>
      <c r="M223" s="478"/>
      <c r="N223" s="478"/>
      <c r="O223" s="1313"/>
      <c r="P223" s="485"/>
      <c r="Q223" s="485"/>
      <c r="R223" s="485"/>
      <c r="S223" s="23"/>
      <c r="T223" s="27" t="str">
        <f>IF(ISBLANK(E224),"",MATCH(E224,CNTR_SourceStreamNames,0))</f>
        <v/>
      </c>
      <c r="U223" s="609" t="str">
        <f>IF(ISBLANK(E224),"",INDEX(B_InstallationDescription!$D$71:$D$145,MATCH(E224,CNTR_SourceStreamNames,0)))</f>
        <v/>
      </c>
      <c r="V223" s="76"/>
      <c r="W223" s="56"/>
      <c r="X223" s="56"/>
      <c r="Y223" s="56"/>
      <c r="Z223" s="58"/>
      <c r="AA223" s="58"/>
      <c r="AB223" s="58"/>
      <c r="AC223" s="58"/>
      <c r="AD223" s="58"/>
      <c r="AE223" s="58"/>
      <c r="AF223" s="58"/>
      <c r="AG223" s="58"/>
      <c r="AH223" s="58"/>
      <c r="AI223" s="58"/>
      <c r="AJ223" s="58"/>
      <c r="AK223" s="482"/>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6"/>
      <c r="BI223" s="56"/>
      <c r="BJ223" s="56"/>
      <c r="BK223" s="56"/>
      <c r="BL223" s="56"/>
      <c r="BM223" s="56"/>
      <c r="BN223" s="56"/>
      <c r="BO223" s="56"/>
      <c r="BP223" s="56"/>
      <c r="BQ223" s="56"/>
      <c r="BR223" s="56"/>
      <c r="BS223" s="56"/>
      <c r="BT223" s="56"/>
      <c r="BU223" s="56"/>
      <c r="BV223" s="56"/>
      <c r="BW223" s="56"/>
      <c r="BX223" s="56"/>
      <c r="BY223" s="56"/>
      <c r="BZ223" s="484" t="s">
        <v>259</v>
      </c>
    </row>
    <row r="224" spans="1:78" s="140" customFormat="1" ht="15" customHeight="1" thickBot="1" x14ac:dyDescent="0.25">
      <c r="A224" s="1302" t="str">
        <f>IF(E224="","","PRINT")</f>
        <v/>
      </c>
      <c r="B224" s="1248"/>
      <c r="C224" s="608">
        <f>C197+1</f>
        <v>7</v>
      </c>
      <c r="D224" s="164"/>
      <c r="E224" s="1610"/>
      <c r="F224" s="1611"/>
      <c r="G224" s="1611"/>
      <c r="H224" s="1611"/>
      <c r="I224" s="1611"/>
      <c r="J224" s="1612"/>
      <c r="K224" s="1623" t="str">
        <f>IF(E225="","",INDEX(EUwideConstants!$F$353:$F$394,MATCH(E225,EUConst_TierActivityListNames,0)))</f>
        <v/>
      </c>
      <c r="L224" s="1624"/>
      <c r="M224" s="494" t="str">
        <f>Translations!$B$665</f>
        <v>CO2, iškastinio kuro kilmės:</v>
      </c>
      <c r="N224" s="1012" t="str">
        <f>IF(OR(K224="",T225=TRUE),"",INDEX(BC238:BE238,MATCH(K224,BC234:BE234,0)))</f>
        <v/>
      </c>
      <c r="O224" s="1314" t="s">
        <v>257</v>
      </c>
      <c r="P224" s="1303" t="str">
        <f>IF(AND(E224&lt;&gt;"",COUNTIF(P225:$P$2089,"PRINT")=0),"PRINT","")</f>
        <v/>
      </c>
      <c r="Q224" s="343" t="str">
        <f>EUconst_SumCO2 &amp; "_" &amp; K224</f>
        <v>SUM_CO2_</v>
      </c>
      <c r="R224" s="485"/>
      <c r="S224" s="23"/>
      <c r="T224" s="500" t="s">
        <v>387</v>
      </c>
      <c r="U224" s="23"/>
      <c r="V224" s="76"/>
      <c r="W224" s="56"/>
      <c r="X224" s="58"/>
      <c r="Y224" s="58"/>
      <c r="Z224" s="58"/>
      <c r="AA224" s="58"/>
      <c r="AB224" s="58"/>
      <c r="AC224" s="58"/>
      <c r="AD224" s="58"/>
      <c r="AE224" s="58"/>
      <c r="AF224" s="58"/>
      <c r="AG224" s="58"/>
      <c r="AH224" s="58"/>
      <c r="AI224" s="333"/>
      <c r="AJ224" s="333"/>
      <c r="AK224" s="333"/>
      <c r="AL224" s="333"/>
      <c r="AM224" s="333"/>
      <c r="AN224" s="333"/>
      <c r="AO224" s="333"/>
      <c r="AP224" s="333"/>
      <c r="AQ224" s="333"/>
      <c r="AR224" s="333"/>
      <c r="AS224" s="333"/>
      <c r="AT224" s="333"/>
      <c r="AU224" s="333"/>
      <c r="AV224" s="333"/>
      <c r="AW224" s="333"/>
      <c r="AX224" s="333"/>
      <c r="AY224" s="333"/>
      <c r="AZ224" s="333"/>
      <c r="BA224" s="333"/>
      <c r="BB224" s="333"/>
      <c r="BC224" s="333"/>
      <c r="BD224" s="333"/>
      <c r="BE224" s="333"/>
      <c r="BF224" s="333"/>
      <c r="BG224" s="333"/>
      <c r="BH224" s="834">
        <f>AR234</f>
        <v>0</v>
      </c>
      <c r="BI224" s="834" t="str">
        <f>AJ234</f>
        <v/>
      </c>
      <c r="BJ224" s="834">
        <f>AR236</f>
        <v>0</v>
      </c>
      <c r="BK224" s="834" t="str">
        <f>AJ236</f>
        <v/>
      </c>
      <c r="BL224" s="834">
        <f>AR237</f>
        <v>0</v>
      </c>
      <c r="BM224" s="834" t="str">
        <f>AJ237</f>
        <v/>
      </c>
      <c r="BN224" s="834">
        <f>AR238</f>
        <v>1</v>
      </c>
      <c r="BO224" s="834">
        <f>AR239</f>
        <v>1</v>
      </c>
      <c r="BP224" s="834">
        <f>AR240</f>
        <v>0</v>
      </c>
      <c r="BQ224" s="834" t="str">
        <f>AJ240</f>
        <v/>
      </c>
      <c r="BR224" s="834">
        <f>AR241</f>
        <v>0</v>
      </c>
      <c r="BS224" s="834">
        <f>AR242</f>
        <v>0</v>
      </c>
      <c r="BT224" s="834" t="str">
        <f>N224</f>
        <v/>
      </c>
      <c r="BU224" s="834" t="str">
        <f>N225</f>
        <v/>
      </c>
      <c r="BV224" s="834" t="str">
        <f>R227</f>
        <v/>
      </c>
      <c r="BW224" s="834" t="str">
        <f>R233</f>
        <v/>
      </c>
      <c r="BX224" s="834" t="str">
        <f>R234</f>
        <v/>
      </c>
      <c r="BY224" s="56"/>
      <c r="BZ224" s="610" t="b">
        <f>CNTR_CalcRelevant=EUconst_NotRelevant</f>
        <v>0</v>
      </c>
    </row>
    <row r="225" spans="1:78" s="140" customFormat="1" ht="15" customHeight="1" thickBot="1" x14ac:dyDescent="0.25">
      <c r="A225" s="777"/>
      <c r="B225" s="1248"/>
      <c r="C225" s="164"/>
      <c r="D225" s="164"/>
      <c r="E225" s="1625" t="str">
        <f>IF(ISBLANK(E224),"",IF(INDEX(B_InstallationDescription!$E$71:$E$145,MATCH(U223,B_InstallationDescription!$D$71:$D$145,0))&gt;0,INDEX(B_InstallationDescription!$E$71:$E$145,MATCH(U223,B_InstallationDescription!$D$71:$D$145,0)),""))</f>
        <v/>
      </c>
      <c r="F225" s="1626"/>
      <c r="G225" s="1626"/>
      <c r="H225" s="1626"/>
      <c r="I225" s="1626"/>
      <c r="J225" s="1627"/>
      <c r="M225" s="337" t="str">
        <f>Translations!$B$666</f>
        <v>CO2, biomasės kilmės.:</v>
      </c>
      <c r="N225" s="1013" t="str">
        <f>IF(OR(K224="",T225=TRUE),"",INDEX(BC237:BE237,MATCH(K224,BC234:BE234,0)))</f>
        <v/>
      </c>
      <c r="O225" s="1315" t="s">
        <v>257</v>
      </c>
      <c r="P225" s="485"/>
      <c r="Q225" s="343" t="str">
        <f>EUconst_SumBioCO2 &amp; "_" &amp; K224</f>
        <v>SUM_bioCO2_</v>
      </c>
      <c r="R225" s="485"/>
      <c r="S225" s="23"/>
      <c r="T225" s="48" t="str">
        <f>IF(E225="","",MATCH(E225,EUConst_TierActivityListNames,0)&gt;40)</f>
        <v/>
      </c>
      <c r="U225" s="23"/>
      <c r="V225" s="76"/>
      <c r="W225" s="56"/>
      <c r="X225" s="58"/>
      <c r="Y225" s="27" t="s">
        <v>91</v>
      </c>
      <c r="Z225" s="30"/>
      <c r="AA225" s="30"/>
      <c r="AB225" s="30"/>
      <c r="AC225" s="30"/>
      <c r="AD225" s="30"/>
      <c r="AE225" s="27" t="s">
        <v>297</v>
      </c>
      <c r="AF225" s="58"/>
      <c r="AG225" s="495"/>
      <c r="AH225" s="30"/>
      <c r="AI225" s="30"/>
      <c r="AJ225" s="495"/>
      <c r="AK225" s="495"/>
      <c r="AL225" s="333"/>
      <c r="AM225" s="27" t="s">
        <v>303</v>
      </c>
      <c r="AN225" s="496"/>
      <c r="AO225" s="496"/>
      <c r="AP225" s="30"/>
      <c r="AQ225" s="30"/>
      <c r="AR225" s="30"/>
      <c r="AS225" s="30"/>
      <c r="AT225" s="30"/>
      <c r="AU225" s="30"/>
      <c r="AV225" s="27" t="s">
        <v>310</v>
      </c>
      <c r="AW225" s="30"/>
      <c r="AX225" s="483"/>
      <c r="AY225" s="30"/>
      <c r="AZ225" s="30"/>
      <c r="BA225" s="30"/>
      <c r="BB225" s="27" t="s">
        <v>217</v>
      </c>
      <c r="BC225" s="30"/>
      <c r="BD225" s="30"/>
      <c r="BE225" s="30"/>
      <c r="BF225" s="30"/>
      <c r="BG225" s="27" t="s">
        <v>486</v>
      </c>
      <c r="BH225" s="833" t="s">
        <v>552</v>
      </c>
      <c r="BI225" s="833" t="s">
        <v>487</v>
      </c>
      <c r="BJ225" s="833" t="s">
        <v>211</v>
      </c>
      <c r="BK225" s="833" t="s">
        <v>488</v>
      </c>
      <c r="BL225" s="833" t="s">
        <v>68</v>
      </c>
      <c r="BM225" s="833" t="s">
        <v>489</v>
      </c>
      <c r="BN225" s="833" t="s">
        <v>490</v>
      </c>
      <c r="BO225" s="833" t="s">
        <v>491</v>
      </c>
      <c r="BP225" s="833" t="s">
        <v>214</v>
      </c>
      <c r="BQ225" s="833" t="s">
        <v>492</v>
      </c>
      <c r="BR225" s="833" t="s">
        <v>493</v>
      </c>
      <c r="BS225" s="833" t="s">
        <v>494</v>
      </c>
      <c r="BT225" s="833" t="s">
        <v>287</v>
      </c>
      <c r="BU225" s="833" t="s">
        <v>495</v>
      </c>
      <c r="BV225" s="833" t="s">
        <v>498</v>
      </c>
      <c r="BW225" s="833" t="s">
        <v>496</v>
      </c>
      <c r="BX225" s="833" t="s">
        <v>497</v>
      </c>
      <c r="BY225" s="30"/>
      <c r="BZ225" s="30"/>
    </row>
    <row r="226" spans="1:78" s="140" customFormat="1" ht="5.0999999999999996" customHeight="1" thickBot="1" x14ac:dyDescent="0.25">
      <c r="A226" s="777"/>
      <c r="B226" s="1248"/>
      <c r="C226" s="164"/>
      <c r="D226" s="164"/>
      <c r="E226" s="164"/>
      <c r="F226" s="164"/>
      <c r="G226" s="164"/>
      <c r="M226" s="141"/>
      <c r="N226" s="141"/>
      <c r="O226" s="1305"/>
      <c r="P226" s="33"/>
      <c r="Q226" s="33"/>
      <c r="R226" s="33"/>
      <c r="S226" s="23"/>
      <c r="T226" s="23"/>
      <c r="U226" s="23"/>
      <c r="V226" s="76"/>
      <c r="W226" s="30"/>
      <c r="X226" s="30"/>
      <c r="Y226" s="485"/>
      <c r="Z226" s="30"/>
      <c r="AA226" s="30"/>
      <c r="AB226" s="30"/>
      <c r="AC226" s="30"/>
      <c r="AD226" s="30"/>
      <c r="AE226" s="30"/>
      <c r="AF226" s="58"/>
      <c r="AG226" s="30"/>
      <c r="AH226" s="30"/>
      <c r="AI226" s="30"/>
      <c r="AJ226" s="495"/>
      <c r="AK226" s="495"/>
      <c r="AL226" s="333"/>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row>
    <row r="227" spans="1:78" s="140" customFormat="1" ht="12.75" customHeight="1" thickBot="1" x14ac:dyDescent="0.25">
      <c r="A227" s="777"/>
      <c r="B227" s="1248"/>
      <c r="C227" s="164"/>
      <c r="D227" s="164"/>
      <c r="E227" s="1628" t="str">
        <f>IF(E224="","",IF(T225=TRUE,HYPERLINK("#JUMP_14",EUconst_MsgGoOnPFC),HYPERLINK("#JUMP_E_8",EUconst_FurtherGuidancePoint1)))</f>
        <v/>
      </c>
      <c r="F227" s="1628"/>
      <c r="G227" s="1628"/>
      <c r="H227" s="1628"/>
      <c r="I227" s="1628"/>
      <c r="J227" s="1628"/>
      <c r="K227" s="1628"/>
      <c r="L227" s="1628"/>
      <c r="M227" s="1628"/>
      <c r="N227" s="141"/>
      <c r="O227" s="1305"/>
      <c r="P227" s="33"/>
      <c r="Q227" s="343" t="str">
        <f>EUconst_SumNonSustBioCO2 &amp; "_" &amp; K224</f>
        <v>SUM_bioNonSustCO2_</v>
      </c>
      <c r="R227" s="698" t="str">
        <f>IF(OR(K224="",T225=TRUE),"",ROUND(INDEX(BC236:BE236,MATCH(K224,BC234:BE234,0)),0))</f>
        <v/>
      </c>
      <c r="S227" s="23"/>
      <c r="T227" s="23"/>
      <c r="U227" s="23"/>
      <c r="V227" s="30"/>
      <c r="W227" s="30"/>
      <c r="X227" s="30"/>
      <c r="Y227" s="58"/>
      <c r="Z227" s="30"/>
      <c r="AA227" s="30"/>
      <c r="AB227" s="30"/>
      <c r="AC227" s="30"/>
      <c r="AD227" s="30"/>
      <c r="AE227" s="30"/>
      <c r="AF227" s="58"/>
      <c r="AG227" s="30"/>
      <c r="AH227" s="30"/>
      <c r="AI227" s="30"/>
      <c r="AJ227" s="495"/>
      <c r="AK227" s="495"/>
      <c r="AL227" s="333"/>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row>
    <row r="228" spans="1:78" s="140" customFormat="1" ht="5.0999999999999996" customHeight="1" thickBot="1" x14ac:dyDescent="0.25">
      <c r="A228" s="777"/>
      <c r="B228" s="1248"/>
      <c r="C228" s="164"/>
      <c r="D228" s="164"/>
      <c r="E228" s="164"/>
      <c r="F228" s="164"/>
      <c r="G228" s="164"/>
      <c r="M228" s="141"/>
      <c r="N228" s="141"/>
      <c r="O228" s="1305"/>
      <c r="P228" s="23"/>
      <c r="Q228" s="23"/>
      <c r="R228" s="23"/>
      <c r="S228" s="23"/>
      <c r="T228" s="23"/>
      <c r="U228" s="23"/>
      <c r="V228" s="30"/>
      <c r="W228" s="30"/>
      <c r="X228" s="30"/>
      <c r="Y228" s="485"/>
      <c r="Z228" s="30"/>
      <c r="AA228" s="30"/>
      <c r="AB228" s="30"/>
      <c r="AC228" s="30"/>
      <c r="AD228" s="30"/>
      <c r="AE228" s="30"/>
      <c r="AF228" s="58"/>
      <c r="AG228" s="30"/>
      <c r="AH228" s="30"/>
      <c r="AI228" s="30"/>
      <c r="AJ228" s="495"/>
      <c r="AK228" s="495"/>
      <c r="AL228" s="333"/>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row>
    <row r="229" spans="1:78" s="140" customFormat="1" ht="12.75" customHeight="1" thickBot="1" x14ac:dyDescent="0.25">
      <c r="A229" s="777"/>
      <c r="B229" s="1248"/>
      <c r="C229" s="783" t="s">
        <v>4</v>
      </c>
      <c r="D229" s="503" t="str">
        <f>Translations!$B$622</f>
        <v>VD:</v>
      </c>
      <c r="E229" s="1631" t="str">
        <f>Translations!$B$667</f>
        <v>Ar veiklos duomenys gaunami sudedant išmatuotus kiekius (t. y. ne atliekant nuolatinius matavimus)?</v>
      </c>
      <c r="F229" s="1631"/>
      <c r="G229" s="1631"/>
      <c r="H229" s="1631"/>
      <c r="I229" s="1631"/>
      <c r="J229" s="1631"/>
      <c r="K229" s="1631"/>
      <c r="L229" s="1122"/>
      <c r="M229" s="498"/>
      <c r="O229" s="1305"/>
      <c r="P229" s="23"/>
      <c r="Q229" s="23"/>
      <c r="R229" s="23"/>
      <c r="S229" s="23"/>
      <c r="T229" s="23"/>
      <c r="U229" s="23"/>
      <c r="V229" s="30"/>
      <c r="W229" s="30"/>
      <c r="X229" s="30"/>
      <c r="Y229" s="485"/>
      <c r="Z229" s="30"/>
      <c r="AA229" s="30"/>
      <c r="AB229" s="30"/>
      <c r="AC229" s="1115" t="b">
        <f>AND(E224&lt;&gt;"",T225&lt;&gt;TRUE)</f>
        <v>0</v>
      </c>
      <c r="AD229" s="30"/>
      <c r="AE229" s="30"/>
      <c r="AF229" s="58"/>
      <c r="AG229" s="30"/>
      <c r="AH229" s="30"/>
      <c r="AI229" s="30"/>
      <c r="AJ229" s="495"/>
      <c r="AK229" s="495"/>
      <c r="AL229" s="333"/>
      <c r="AM229" s="30"/>
      <c r="AN229" s="30"/>
      <c r="AO229" s="30"/>
      <c r="AP229" s="30"/>
      <c r="AQ229" s="30"/>
      <c r="AR229" s="30"/>
      <c r="AS229" s="30"/>
      <c r="AT229" s="1115" t="b">
        <f>MSPara_BatchReportingMandatory&lt;&gt;TRUE</f>
        <v>0</v>
      </c>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1115" t="b">
        <f>OR(CNTR_CalcRelevant=EUconst_NotRelevant,AND(COUNTA(CNTR_ListRelevantSections)&gt;0,OR(T225=TRUE,E224="")))</f>
        <v>1</v>
      </c>
    </row>
    <row r="230" spans="1:78" s="140" customFormat="1" ht="5.0999999999999996" customHeight="1" thickBot="1" x14ac:dyDescent="0.25">
      <c r="A230" s="777"/>
      <c r="B230" s="1248"/>
      <c r="C230" s="164"/>
      <c r="D230" s="164"/>
      <c r="E230" s="164"/>
      <c r="F230" s="164"/>
      <c r="G230" s="164"/>
      <c r="H230" s="486"/>
      <c r="I230" s="486"/>
      <c r="J230" s="486"/>
      <c r="K230" s="486"/>
      <c r="L230" s="486"/>
      <c r="M230" s="498"/>
      <c r="O230" s="1305"/>
      <c r="P230" s="23"/>
      <c r="Q230" s="23"/>
      <c r="R230" s="23"/>
      <c r="S230" s="23"/>
      <c r="T230" s="23"/>
      <c r="U230" s="23"/>
      <c r="V230" s="30"/>
      <c r="W230" s="30"/>
      <c r="X230" s="30"/>
      <c r="Y230" s="485"/>
      <c r="Z230" s="30"/>
      <c r="AA230" s="30"/>
      <c r="AB230" s="30"/>
      <c r="AC230" s="483"/>
      <c r="AD230" s="30"/>
      <c r="AE230" s="30"/>
      <c r="AF230" s="58"/>
      <c r="AG230" s="30"/>
      <c r="AH230" s="30"/>
      <c r="AI230" s="30"/>
      <c r="AJ230" s="495"/>
      <c r="AK230" s="495"/>
      <c r="AL230" s="333"/>
      <c r="AM230" s="30"/>
      <c r="AN230" s="30"/>
      <c r="AO230" s="30"/>
      <c r="AP230" s="30"/>
      <c r="AQ230" s="30"/>
      <c r="AR230" s="30"/>
      <c r="AS230" s="30"/>
      <c r="AT230" s="483"/>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483"/>
    </row>
    <row r="231" spans="1:78" s="140" customFormat="1" ht="12.75" customHeight="1" thickBot="1" x14ac:dyDescent="0.25">
      <c r="A231" s="777"/>
      <c r="B231" s="1248"/>
      <c r="C231" s="783" t="s">
        <v>5</v>
      </c>
      <c r="D231" s="503" t="str">
        <f>Translations!$B$622</f>
        <v>VD:</v>
      </c>
      <c r="E231" s="1105" t="str">
        <f>Translations!$B$668</f>
        <v>Pradinis kiekis:</v>
      </c>
      <c r="F231" s="1123"/>
      <c r="G231" s="1106" t="str">
        <f>Translations!$B$669</f>
        <v>Galutinis kiekis:</v>
      </c>
      <c r="H231" s="1123"/>
      <c r="I231" s="1106" t="str">
        <f>Translations!$B$670</f>
        <v>Įsigytas kiekis:</v>
      </c>
      <c r="J231" s="1123"/>
      <c r="K231" s="1106" t="str">
        <f>Translations!$B$671</f>
        <v>Perduotas kiekis:</v>
      </c>
      <c r="L231" s="1123"/>
      <c r="M231" s="1107" t="str">
        <f>IF(AND(L229=TRUE,COUNT(F231,H231,J231,L231)&lt;4),EUconst_ERR_Incomplete,"")</f>
        <v/>
      </c>
      <c r="O231" s="1305"/>
      <c r="P231" s="23"/>
      <c r="Q231" s="23"/>
      <c r="R231" s="23"/>
      <c r="S231" s="23"/>
      <c r="T231" s="23"/>
      <c r="U231" s="23"/>
      <c r="V231" s="30"/>
      <c r="W231" s="30"/>
      <c r="X231" s="30"/>
      <c r="Y231" s="485"/>
      <c r="Z231" s="30"/>
      <c r="AA231" s="30"/>
      <c r="AB231" s="30"/>
      <c r="AC231" s="1115" t="b">
        <f>AC229</f>
        <v>0</v>
      </c>
      <c r="AD231" s="30"/>
      <c r="AE231" s="30"/>
      <c r="AF231" s="58"/>
      <c r="AG231" s="30"/>
      <c r="AH231" s="30"/>
      <c r="AI231" s="30"/>
      <c r="AJ231" s="495"/>
      <c r="AK231" s="495"/>
      <c r="AL231" s="333"/>
      <c r="AM231" s="30"/>
      <c r="AN231" s="30"/>
      <c r="AO231" s="30"/>
      <c r="AP231" s="30"/>
      <c r="AQ231" s="30"/>
      <c r="AR231" s="30"/>
      <c r="AS231" s="30"/>
      <c r="AT231" s="1115" t="b">
        <f>AND(AT229=TRUE,L229="")</f>
        <v>0</v>
      </c>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1115" t="b">
        <f>OR(BZ229,AND(NOT(ISBLANK(L229)),L229=FALSE))</f>
        <v>1</v>
      </c>
    </row>
    <row r="232" spans="1:78" s="140" customFormat="1" ht="5.0999999999999996" customHeight="1" thickBot="1" x14ac:dyDescent="0.25">
      <c r="A232" s="777"/>
      <c r="B232" s="1248"/>
      <c r="C232" s="164"/>
      <c r="D232" s="164"/>
      <c r="E232" s="164"/>
      <c r="F232" s="164"/>
      <c r="G232" s="164"/>
      <c r="M232" s="141"/>
      <c r="N232" s="141"/>
      <c r="O232" s="1305"/>
      <c r="P232" s="23"/>
      <c r="Q232" s="23"/>
      <c r="R232" s="23"/>
      <c r="S232" s="23"/>
      <c r="T232" s="23"/>
      <c r="U232" s="23"/>
      <c r="V232" s="30"/>
      <c r="W232" s="30"/>
      <c r="X232" s="30"/>
      <c r="Y232" s="485"/>
      <c r="Z232" s="30"/>
      <c r="AA232" s="30"/>
      <c r="AB232" s="30"/>
      <c r="AC232" s="30"/>
      <c r="AD232" s="30"/>
      <c r="AE232" s="30"/>
      <c r="AF232" s="58"/>
      <c r="AG232" s="30"/>
      <c r="AH232" s="30"/>
      <c r="AI232" s="30"/>
      <c r="AJ232" s="495"/>
      <c r="AK232" s="495"/>
      <c r="AL232" s="333"/>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row>
    <row r="233" spans="1:78" s="140" customFormat="1" ht="12.75" customHeight="1" thickBot="1" x14ac:dyDescent="0.25">
      <c r="A233" s="777"/>
      <c r="B233" s="1248"/>
      <c r="C233" s="164"/>
      <c r="D233" s="164"/>
      <c r="E233" s="164"/>
      <c r="F233" s="497" t="str">
        <f>Translations!$B$333</f>
        <v>Pakopa</v>
      </c>
      <c r="G233" s="1613" t="str">
        <f>Translations!$B$672</f>
        <v>pakopos aprašas</v>
      </c>
      <c r="H233" s="1613"/>
      <c r="I233" s="1608" t="str">
        <f>Translations!$B$158</f>
        <v>Vienetas</v>
      </c>
      <c r="J233" s="1608"/>
      <c r="K233" s="1608" t="str">
        <f>Translations!$B$673</f>
        <v>Vertė</v>
      </c>
      <c r="L233" s="1608"/>
      <c r="M233" s="498" t="str">
        <f>Translations!$B$610</f>
        <v>klaida</v>
      </c>
      <c r="O233" s="1305"/>
      <c r="P233" s="499"/>
      <c r="Q233" s="343" t="str">
        <f>EUconst_SumEnergyIN &amp; "_" &amp; K224</f>
        <v>SUM_EnergyIN_</v>
      </c>
      <c r="R233" s="390" t="str">
        <f>IF(OR(K224="",T225)=TRUE,"",INDEX(BC239:BE239,MATCH(K224,BC234:BE234,0)))</f>
        <v/>
      </c>
      <c r="S233" s="30"/>
      <c r="T233" s="480"/>
      <c r="U233" s="30"/>
      <c r="V233" s="500" t="s">
        <v>298</v>
      </c>
      <c r="W233" s="30"/>
      <c r="X233" s="30"/>
      <c r="Y233" s="485" t="s">
        <v>560</v>
      </c>
      <c r="Z233" s="485" t="s">
        <v>313</v>
      </c>
      <c r="AA233" s="30"/>
      <c r="AB233" s="30"/>
      <c r="AC233" s="496" t="s">
        <v>304</v>
      </c>
      <c r="AD233" s="30"/>
      <c r="AE233" s="30"/>
      <c r="AF233" s="483" t="s">
        <v>300</v>
      </c>
      <c r="AG233" s="483" t="s">
        <v>301</v>
      </c>
      <c r="AH233" s="485" t="s">
        <v>299</v>
      </c>
      <c r="AI233" s="495" t="s">
        <v>302</v>
      </c>
      <c r="AJ233" s="495" t="s">
        <v>561</v>
      </c>
      <c r="AK233" s="501" t="s">
        <v>306</v>
      </c>
      <c r="AL233" s="333"/>
      <c r="AM233" s="30"/>
      <c r="AN233" s="483" t="s">
        <v>300</v>
      </c>
      <c r="AO233" s="483" t="s">
        <v>301</v>
      </c>
      <c r="AP233" s="502" t="s">
        <v>305</v>
      </c>
      <c r="AQ233" s="495" t="s">
        <v>563</v>
      </c>
      <c r="AR233" s="495" t="s">
        <v>562</v>
      </c>
      <c r="AS233" s="501" t="s">
        <v>306</v>
      </c>
      <c r="AT233" s="501" t="s">
        <v>306</v>
      </c>
      <c r="AU233" s="30"/>
      <c r="AV233" s="483"/>
      <c r="AW233" s="483"/>
      <c r="AX233" s="483" t="s">
        <v>316</v>
      </c>
      <c r="AY233" s="483"/>
      <c r="AZ233" s="483"/>
      <c r="BA233" s="483"/>
      <c r="BB233" s="483"/>
      <c r="BC233" s="483"/>
      <c r="BD233" s="483"/>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484" t="s">
        <v>259</v>
      </c>
    </row>
    <row r="234" spans="1:78" s="140" customFormat="1" ht="12.75" customHeight="1" thickBot="1" x14ac:dyDescent="0.25">
      <c r="A234" s="777"/>
      <c r="B234" s="1248"/>
      <c r="C234" s="753" t="s">
        <v>194</v>
      </c>
      <c r="D234" s="503" t="str">
        <f>Translations!$B$622</f>
        <v>VD:</v>
      </c>
      <c r="E234" s="504"/>
      <c r="F234" s="393"/>
      <c r="G234" s="1603" t="str">
        <f>IF(OR(ISBLANK(F234),F234=EUconst_NoTier),"",IF(Z234=0,EUconst_NA,IF(ISERROR(Z234),"",Z234)))</f>
        <v/>
      </c>
      <c r="H234" s="1604"/>
      <c r="I234" s="1108" t="str">
        <f>IF(J234&lt;&gt;"","",AI234)</f>
        <v/>
      </c>
      <c r="J234" s="1109"/>
      <c r="K234" s="1116" t="str">
        <f>IF(L234="",AQ234,"")</f>
        <v/>
      </c>
      <c r="L234" s="1199"/>
      <c r="M234" s="700" t="str">
        <f>IF(AND(E225&lt;&gt;"",OR(F234="",COUNT(K234:L234)=0),Y234&lt;&gt;EUconst_NA,T225&lt;&gt;TRUE),EUconst_ERR_Incomplete,IF(COUNTIF(AX234:AZ234,TRUE)&gt;0,EUconst_ERR_Inconsistent,""))</f>
        <v/>
      </c>
      <c r="O234" s="1305"/>
      <c r="P234" s="635"/>
      <c r="Q234" s="343" t="str">
        <f>EUconst_SumBioEnergyIN &amp; "_" &amp; K224</f>
        <v>SUM_BioEnergyIN_</v>
      </c>
      <c r="R234" s="390" t="str">
        <f>IF(OR(K224="",T225)=TRUE,"",INDEX(BC240:BE240,MATCH(K224,BC234:BE234,0)))</f>
        <v/>
      </c>
      <c r="S234" s="30"/>
      <c r="T234" s="505" t="str">
        <f>EUconst_CNTR_ActivityData&amp;E225</f>
        <v>ActivityData_</v>
      </c>
      <c r="U234" s="488"/>
      <c r="V234" s="505" t="str">
        <f>IF(E224="","",INDEX(B_InstallationDescription!$I$71:$I$145,MATCH(U223,B_InstallationDescription!$D$71:$D$145,0)))</f>
        <v/>
      </c>
      <c r="W234" s="495" t="s">
        <v>533</v>
      </c>
      <c r="X234" s="488"/>
      <c r="Y234" s="506" t="str">
        <f>IF(OR(T225=TRUE,E225=""),"",INDEX(EUwideConstants!$N:$N,MATCH(T234,EUwideConstants!$Q:$Q,0)))</f>
        <v/>
      </c>
      <c r="Z234" s="507" t="str">
        <f>IF(ISBLANK(F234),"",IF(F234=EUconst_NA,"",INDEX(EUwideConstants!$H:$M,MATCH(T234,EUwideConstants!$Q:$Q,0),MATCH(F234,CNTR_TierList,0))))</f>
        <v/>
      </c>
      <c r="AA234" s="508" t="s">
        <v>299</v>
      </c>
      <c r="AB234" s="495"/>
      <c r="AC234" s="509" t="b">
        <f>AC229</f>
        <v>0</v>
      </c>
      <c r="AD234" s="30"/>
      <c r="AE234" s="510" t="str">
        <f>EUconst_CNTR_ActivityData&amp;EUconst_Unit</f>
        <v>ActivityData_Vienetas</v>
      </c>
      <c r="AF234" s="511" t="str">
        <f>IF(AC234=TRUE, IF(COUNTIF(MSPara_SourceStreamCategory,V234)=0,"",INDEX(MSPara_CalcFactorsMatrix,MATCH(V234,MSPara_SourceStreamCategory,0),MATCH(AE234&amp;"_"&amp;2,MSPara_CalcFactors,0))),"")</f>
        <v/>
      </c>
      <c r="AG234" s="512" t="str">
        <f>IF(AC234=TRUE, IF(COUNTIF(MSPara_SourceStreamCategory,V234)=0,"",INDEX(MSPara_CalcFactorsMatrix,MATCH(V234,MSPara_SourceStreamCategory,0),MATCH(AE234&amp;"_"&amp;1,MSPara_CalcFactors,0))),"")</f>
        <v/>
      </c>
      <c r="AH234" s="509" t="str">
        <f>IF(OR(AF234="",AF234=EUconst_NA),IF(OR(AG234=EUconst_NA,AG234=""),"",AG234),AF234)</f>
        <v/>
      </c>
      <c r="AI234" s="506" t="str">
        <f>IF(AC234=TRUE,IF(AH234="",EUconst_t,AH234),"")</f>
        <v/>
      </c>
      <c r="AJ234" s="513" t="str">
        <f>IF(J234="",AI234,J234)</f>
        <v/>
      </c>
      <c r="AK234" s="514" t="b">
        <f>IF(K224=EUconst_Fuel,J234&lt;&gt;"",FALSE)</f>
        <v>0</v>
      </c>
      <c r="AL234" s="333"/>
      <c r="AM234" s="505" t="str">
        <f>EUconst_CNTR_ActivityData&amp;EUconst_Value</f>
        <v>ActivityData_Vertė</v>
      </c>
      <c r="AN234" s="496"/>
      <c r="AO234" s="496"/>
      <c r="AP234" s="509" t="b">
        <f>AND(AND(AH234&lt;&gt;"",AJ234&lt;&gt;""),AJ234=AH234)</f>
        <v>0</v>
      </c>
      <c r="AQ234" s="610" t="str">
        <f>IF(L229=TRUE,SUM(F231)-SUM(H231)+SUM(J231)-SUM(L231),"")</f>
        <v/>
      </c>
      <c r="AR234" s="509">
        <f>IF(Y234=EUconst_NA,0,IF(COUNT(K234:L234)=0,0,IF(L234="",K234,L234)))</f>
        <v>0</v>
      </c>
      <c r="AS234" s="1115" t="b">
        <f>AND(AC234=TRUE,OR(L234&lt;&gt;"",AQ234=""))</f>
        <v>0</v>
      </c>
      <c r="AT234" s="1115" t="b">
        <f>AND(AC234=TRUE,NOT(AS234))</f>
        <v>0</v>
      </c>
      <c r="AU234" s="30"/>
      <c r="AV234" s="483" t="s">
        <v>309</v>
      </c>
      <c r="AW234" s="483" t="s">
        <v>314</v>
      </c>
      <c r="AX234" s="515"/>
      <c r="AY234" s="30" t="s">
        <v>536</v>
      </c>
      <c r="AZ234" s="30"/>
      <c r="BA234" s="30"/>
      <c r="BB234" s="495"/>
      <c r="BC234" s="484" t="str">
        <f>EUconst_Fuel</f>
        <v>Degimas</v>
      </c>
      <c r="BD234" s="484" t="str">
        <f>EUconst_ProcessCarbonate</f>
        <v>Proceso metu išsiskiriančios ŠESD</v>
      </c>
      <c r="BE234" s="484" t="str">
        <f>EUconst_MassBalance</f>
        <v>Masės balansas</v>
      </c>
      <c r="BF234" s="30"/>
      <c r="BG234" s="30"/>
      <c r="BH234" s="30"/>
      <c r="BI234" s="30"/>
      <c r="BJ234" s="30"/>
      <c r="BK234" s="30"/>
      <c r="BL234" s="30"/>
      <c r="BM234" s="30"/>
      <c r="BN234" s="30"/>
      <c r="BO234" s="30"/>
      <c r="BP234" s="30"/>
      <c r="BQ234" s="30"/>
      <c r="BR234" s="30"/>
      <c r="BS234" s="30"/>
      <c r="BT234" s="30"/>
      <c r="BU234" s="30"/>
      <c r="BV234" s="30"/>
      <c r="BW234" s="30"/>
      <c r="BX234" s="30"/>
      <c r="BY234" s="30"/>
      <c r="BZ234" s="515" t="b">
        <f>BZ229</f>
        <v>1</v>
      </c>
    </row>
    <row r="235" spans="1:78" s="140" customFormat="1" ht="5.0999999999999996" customHeight="1" thickBot="1" x14ac:dyDescent="0.25">
      <c r="A235" s="777"/>
      <c r="B235" s="1248"/>
      <c r="C235" s="783"/>
      <c r="D235" s="298"/>
      <c r="F235" s="141"/>
      <c r="G235" s="141"/>
      <c r="H235" s="141" t="s">
        <v>233</v>
      </c>
      <c r="I235" s="516"/>
      <c r="J235" s="516"/>
      <c r="K235" s="141"/>
      <c r="L235" s="141"/>
      <c r="M235" s="701"/>
      <c r="O235" s="1305"/>
      <c r="P235" s="33"/>
      <c r="Q235" s="33"/>
      <c r="R235" s="33"/>
      <c r="S235" s="30"/>
      <c r="T235" s="153"/>
      <c r="U235" s="488"/>
      <c r="V235" s="30"/>
      <c r="W235" s="30"/>
      <c r="X235" s="488"/>
      <c r="Y235" s="517"/>
      <c r="Z235" s="30"/>
      <c r="AA235" s="30"/>
      <c r="AB235" s="30"/>
      <c r="AC235" s="30"/>
      <c r="AD235" s="30"/>
      <c r="AE235" s="30"/>
      <c r="AF235" s="30"/>
      <c r="AG235" s="30"/>
      <c r="AH235" s="30"/>
      <c r="AI235" s="30"/>
      <c r="AJ235" s="30"/>
      <c r="AK235" s="30"/>
      <c r="AL235" s="333"/>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484"/>
    </row>
    <row r="236" spans="1:78" s="140" customFormat="1" ht="12.75" customHeight="1" thickBot="1" x14ac:dyDescent="0.25">
      <c r="A236" s="777"/>
      <c r="B236" s="1248"/>
      <c r="C236" s="783" t="s">
        <v>195</v>
      </c>
      <c r="D236" s="503" t="str">
        <f>Translations!$B$634</f>
        <v>(prelim.) ITF:</v>
      </c>
      <c r="E236" s="504"/>
      <c r="F236" s="518"/>
      <c r="G236" s="1603" t="str">
        <f t="shared" ref="G236:G242" si="42">IF(OR(ISBLANK(F236),F236=EUconst_NoTier),"",IF(Z236=0,EUconst_NotApplicable,IF(ISERROR(Z236),"",Z236)))</f>
        <v/>
      </c>
      <c r="H236" s="1609"/>
      <c r="I236" s="1110" t="str">
        <f>IF(J236&lt;&gt;"","",AI236)</f>
        <v/>
      </c>
      <c r="J236" s="1111"/>
      <c r="K236" s="519" t="str">
        <f t="shared" ref="K236:K242" si="43">IF(L236="",AQ236,"")</f>
        <v/>
      </c>
      <c r="L236" s="520"/>
      <c r="M236" s="700" t="str">
        <f>IF(AND(E225&lt;&gt;"",OR(F236="",COUNT(K236:L236)=0),Y236&lt;&gt;EUconst_NA,T225&lt;&gt;TRUE),EUconst_ERR_Incomplete,IF(COUNTIF(AX236:AZ236,TRUE)&gt;0,EUconst_ERR_Inconsistent,""))</f>
        <v/>
      </c>
      <c r="N236" s="486"/>
      <c r="O236" s="1305"/>
      <c r="P236" s="33"/>
      <c r="Q236" s="33"/>
      <c r="R236" s="33"/>
      <c r="S236" s="30"/>
      <c r="T236" s="521" t="str">
        <f>EUconst_CNTR_EF&amp;E225</f>
        <v>EF_</v>
      </c>
      <c r="U236" s="488"/>
      <c r="V236" s="522" t="str">
        <f>V234</f>
        <v/>
      </c>
      <c r="W236" s="30"/>
      <c r="X236" s="488"/>
      <c r="Y236" s="523" t="str">
        <f>IF(OR(T225=TRUE,E225=""),"",IF(F236=EUconst_NA,EUconst_NA,INDEX(EUwideConstants!$N:$N,MATCH(T236,EUwideConstants!$Q:$Q,0))))</f>
        <v/>
      </c>
      <c r="Z236" s="524" t="str">
        <f>IF(ISBLANK(F236),"",IF(F236=EUconst_NA,"",INDEX(EUwideConstants!$H:$M,MATCH(T236,EUwideConstants!$Q:$Q,0),MATCH(F236,CNTR_TierList,0))))</f>
        <v/>
      </c>
      <c r="AA236" s="525" t="str">
        <f>IF(COUNTIF(EUconst_DefaultValues,Z236)&gt;0,MATCH(Z236,EUconst_DefaultValues,0),"")</f>
        <v/>
      </c>
      <c r="AB236" s="30"/>
      <c r="AC236" s="526" t="b">
        <f>AND(AC234,Y236&lt;&gt;EUconst_NA)</f>
        <v>0</v>
      </c>
      <c r="AD236" s="30"/>
      <c r="AE236" s="510" t="str">
        <f>EUconst_CNTR_EF&amp;EUconst_Unit</f>
        <v>EF_Vienetas</v>
      </c>
      <c r="AF236" s="527" t="str">
        <f>IF(AC236=TRUE, IF(COUNTIF(MSPara_SourceStreamCategory,V236)=0,"",INDEX(MSPara_CalcFactorsMatrix,MATCH(V236,MSPara_SourceStreamCategory,0),MATCH(AE236&amp;"_"&amp;2,MSPara_CalcFactors,0))),"")</f>
        <v/>
      </c>
      <c r="AG236" s="528" t="str">
        <f>IF(AC236=TRUE, IF(COUNTIF(MSPara_SourceStreamCategory,V236)=0,"",INDEX(MSPara_CalcFactorsMatrix,MATCH(V236,MSPara_SourceStreamCategory,0),MATCH(AE236&amp;"_"&amp;1,MSPara_CalcFactors,0))),"")</f>
        <v/>
      </c>
      <c r="AH236" s="529" t="str">
        <f>IF(AA236="","",INDEX(AF236:AG236,3-AA236))</f>
        <v/>
      </c>
      <c r="AI236" s="530" t="str">
        <f>IF(AC236=TRUE,IF(OR(AH236="",AH236=EUconst_NA),IF(K224=EUconst_Fuel,EUconst_tCO2pTJ,EUconst_tCO2pt),AH236),"")</f>
        <v/>
      </c>
      <c r="AJ236" s="526" t="str">
        <f>IF(J236="",AI236,J236)</f>
        <v/>
      </c>
      <c r="AK236" s="531" t="b">
        <f>IF(K224=EUconst_Fuel,J236&lt;&gt;"",FALSE)</f>
        <v>0</v>
      </c>
      <c r="AL236" s="333"/>
      <c r="AM236" s="510" t="str">
        <f>EUconst_CNTR_EF&amp;EUconst_Value</f>
        <v>EF_Vertė</v>
      </c>
      <c r="AN236" s="532" t="str">
        <f>IF(AC236=TRUE,IF(COUNTIF(MSPara_SourceStreamCategory,V236)=0,"",INDEX(MSPara_CalcFactorsMatrix,MATCH(V236,MSPara_SourceStreamCategory,0),MATCH(AM236&amp;"_"&amp;2,MSPara_CalcFactors,0))),"")</f>
        <v/>
      </c>
      <c r="AO236" s="533" t="str">
        <f>IF(AC236=TRUE,IF(COUNTIF(MSPara_SourceStreamCategory,V236)=0,"",INDEX(MSPara_CalcFactorsMatrix,MATCH(V236,MSPara_SourceStreamCategory,0),MATCH(AM236&amp;"_"&amp;1,MSPara_CalcFactors,0))),"")</f>
        <v/>
      </c>
      <c r="AP236" s="526" t="b">
        <f>AND(AND(AH236&lt;&gt;"",AJ236&lt;&gt;""),AJ236=AH236)</f>
        <v>0</v>
      </c>
      <c r="AQ236" s="534" t="str">
        <f>IF(AND(AA236&lt;&gt;"",AP236=TRUE),IF(OR(INDEX(AN236:AO236,3-AA236)=EUconst_NA,INDEX(AN236:AO236,3-AA236)=0),"",INDEX(AN236:AO236,3-AA236)),"")</f>
        <v/>
      </c>
      <c r="AR236" s="526">
        <f>IF(AC236=TRUE,IF(COUNT(K236:L236)=0,0,IF(L236="",K236,L236)),0)</f>
        <v>0</v>
      </c>
      <c r="AS236" s="522" t="b">
        <f>AND(AC236=TRUE,OR(AND(F236&lt;&gt;"",NOT(ISNUMBER(AA236))),L236&lt;&gt;"",F236="",AQ236=""))</f>
        <v>0</v>
      </c>
      <c r="AT236" s="522" t="b">
        <f t="shared" ref="AT236:AT242" si="44">AND(AC236=TRUE,NOT(AS236))</f>
        <v>0</v>
      </c>
      <c r="AU236" s="30"/>
      <c r="AV236" s="535" t="b">
        <f t="shared" ref="AV236:AV242" si="45">AND(ISNUMBER(AA236),AQ236="")</f>
        <v>0</v>
      </c>
      <c r="AW236" s="536" t="b">
        <f t="shared" ref="AW236:AW242" si="46">AND(ISNUMBER(AA236),AQ236&lt;&gt;AR236)</f>
        <v>0</v>
      </c>
      <c r="AX236" s="537" t="b">
        <f>OR(AND(AJ234=EUconst_kNm3,AJ236=EUconst_tCO2pt),AND(AJ234=EUconst_t,AJ236=EUconst_tCO2pkNm3))</f>
        <v>0</v>
      </c>
      <c r="AY236" s="522" t="b">
        <f t="shared" ref="AY236:AY242" si="47">AND(L236&lt;&gt;"",Y236=EUconst_NA)</f>
        <v>0</v>
      </c>
      <c r="AZ236" s="30"/>
      <c r="BA236" s="30"/>
      <c r="BB236" s="538" t="s">
        <v>588</v>
      </c>
      <c r="BC236" s="537" t="str">
        <f>IF(K224=BC234,AR234*IF(AJ236=EUconst_tCO2pTJ,(AR237/1000),1)*AR236*AR238*AR242,"")</f>
        <v/>
      </c>
      <c r="BD236" s="515" t="str">
        <f>IF(K224=BD234,AR234*AR236*AR239*AR242,"")</f>
        <v/>
      </c>
      <c r="BE236" s="514" t="str">
        <f>IF(K224=BE234,3.664*AR234*AR240*AR242,"")</f>
        <v/>
      </c>
      <c r="BF236" s="30"/>
      <c r="BG236" s="30"/>
      <c r="BH236" s="30"/>
      <c r="BI236" s="30"/>
      <c r="BJ236" s="30"/>
      <c r="BK236" s="30"/>
      <c r="BL236" s="30"/>
      <c r="BM236" s="30"/>
      <c r="BN236" s="30"/>
      <c r="BO236" s="30"/>
      <c r="BP236" s="30"/>
      <c r="BQ236" s="30"/>
      <c r="BR236" s="30"/>
      <c r="BS236" s="30"/>
      <c r="BT236" s="30"/>
      <c r="BU236" s="30"/>
      <c r="BV236" s="30"/>
      <c r="BW236" s="30"/>
      <c r="BX236" s="30"/>
      <c r="BY236" s="30"/>
      <c r="BZ236" s="522" t="b">
        <f>OR(BZ234,Y236=EUconst_NA)</f>
        <v>1</v>
      </c>
    </row>
    <row r="237" spans="1:78" s="140" customFormat="1" ht="12.75" customHeight="1" thickBot="1" x14ac:dyDescent="0.25">
      <c r="A237" s="777"/>
      <c r="B237" s="1248"/>
      <c r="C237" s="783" t="s">
        <v>196</v>
      </c>
      <c r="D237" s="503" t="str">
        <f>Translations!$B$636</f>
        <v>GŠV:</v>
      </c>
      <c r="E237" s="504"/>
      <c r="F237" s="539"/>
      <c r="G237" s="1603" t="str">
        <f t="shared" si="42"/>
        <v/>
      </c>
      <c r="H237" s="1604"/>
      <c r="I237" s="1112" t="str">
        <f>AJ237</f>
        <v/>
      </c>
      <c r="J237" s="540"/>
      <c r="K237" s="541" t="str">
        <f t="shared" si="43"/>
        <v/>
      </c>
      <c r="L237" s="542"/>
      <c r="M237" s="700" t="str">
        <f>IF(AND(E225&lt;&gt;"",OR(F237="",COUNT(K237:L237)=0),Y237&lt;&gt;EUconst_NA,T225&lt;&gt;TRUE),EUconst_ERR_Incomplete,IF(COUNTIF(AX237:AZ237,TRUE)&gt;0,EUconst_ERR_Inconsistent,""))</f>
        <v/>
      </c>
      <c r="O237" s="1305"/>
      <c r="P237" s="33"/>
      <c r="Q237" s="33"/>
      <c r="R237" s="33"/>
      <c r="S237" s="30"/>
      <c r="T237" s="543" t="str">
        <f>EUconst_CNTR_NCV&amp;E225</f>
        <v>NCV_</v>
      </c>
      <c r="U237" s="488"/>
      <c r="V237" s="544" t="str">
        <f t="shared" ref="V237:V242" si="48">V236</f>
        <v/>
      </c>
      <c r="W237" s="30"/>
      <c r="X237" s="488"/>
      <c r="Y237" s="545" t="str">
        <f>IF(OR(T225=TRUE,E225=""),"",IF(F237=EUconst_NA,EUconst_NA,INDEX(EUwideConstants!$N:$N,MATCH(T237,EUwideConstants!$Q:$Q,0))))</f>
        <v/>
      </c>
      <c r="Z237" s="546" t="str">
        <f>IF(ISBLANK(F237),"",IF(F237=EUconst_NA,"",INDEX(EUwideConstants!$H:$M,MATCH(T237,EUwideConstants!$Q:$Q,0),MATCH(F237,CNTR_TierList,0))))</f>
        <v/>
      </c>
      <c r="AA237" s="547" t="str">
        <f>IF(COUNTIF(EUconst_DefaultValues,Z237)&gt;0,MATCH(Z237,EUconst_DefaultValues,0),"")</f>
        <v/>
      </c>
      <c r="AB237" s="30"/>
      <c r="AC237" s="548" t="b">
        <f>AND(AC234,Y237&lt;&gt;EUconst_NA)</f>
        <v>0</v>
      </c>
      <c r="AD237" s="30"/>
      <c r="AE237" s="549" t="str">
        <f>EUconst_CNTR_NCV&amp;EUconst_Unit</f>
        <v>NCV_Vienetas</v>
      </c>
      <c r="AF237" s="550" t="str">
        <f>IF(AC237=TRUE, IF(COUNTIF(MSPara_SourceStreamCategory,V237)=0,"",INDEX(MSPara_CalcFactorsMatrix,MATCH(V237,MSPara_SourceStreamCategory,0),MATCH(AE237&amp;"_"&amp;2,MSPara_CalcFactors,0))),"")</f>
        <v/>
      </c>
      <c r="AG237" s="551" t="str">
        <f>IF(AC237=TRUE, IF(COUNTIF(MSPara_SourceStreamCategory,V237)=0,"",INDEX(MSPara_CalcFactorsMatrix,MATCH(V237,MSPara_SourceStreamCategory,0),MATCH(AE237&amp;"_"&amp;1,MSPara_CalcFactors,0))),"")</f>
        <v/>
      </c>
      <c r="AH237" s="552" t="str">
        <f>IF(AA237="","",INDEX(AF237:AG237,3-AA237))</f>
        <v/>
      </c>
      <c r="AI237" s="553"/>
      <c r="AJ237" s="548" t="str">
        <f>IF(AC237=TRUE,IF(AJ234="","",IF(AJ234=EUconst_kNm3,EUconst_GJpkNm3,EUconst_GJpt)),"")</f>
        <v/>
      </c>
      <c r="AK237" s="554"/>
      <c r="AL237" s="333"/>
      <c r="AM237" s="549" t="str">
        <f>EUconst_CNTR_NCV&amp;EUconst_Value</f>
        <v>NCV_Vertė</v>
      </c>
      <c r="AN237" s="555" t="str">
        <f>IF(AC237=TRUE,IF(COUNTIF(MSPara_SourceStreamCategory,V237)=0,"",INDEX(MSPara_CalcFactorsMatrix,MATCH(V237,MSPara_SourceStreamCategory,0),MATCH(AM237&amp;"_"&amp;2,MSPara_CalcFactors,0))),"")</f>
        <v/>
      </c>
      <c r="AO237" s="556" t="str">
        <f>IF(AC237=TRUE,IF(COUNTIF(MSPara_SourceStreamCategory,V237)=0,"",INDEX(MSPara_CalcFactorsMatrix,MATCH(V237,MSPara_SourceStreamCategory,0),MATCH(AM237&amp;"_"&amp;1,MSPara_CalcFactors,0))),"")</f>
        <v/>
      </c>
      <c r="AP237" s="548" t="b">
        <f>AND(AND(AH237&lt;&gt;"",AJ237&lt;&gt;""),AJ237=AH237)</f>
        <v>0</v>
      </c>
      <c r="AQ237" s="557" t="str">
        <f>IF(AND(AA237&lt;&gt;"",AP237=TRUE),IF(OR(INDEX(AN237:AO237,3-AA237)=EUconst_NA,INDEX(AN237:AO237,3-AA237)=0),"",INDEX(AN237:AO237,3-AA237)),"")</f>
        <v/>
      </c>
      <c r="AR237" s="548">
        <f>IF(AC237=TRUE,IF(COUNT(K237:L237)=0,0,IF(L237="",K237,L237)),0)</f>
        <v>0</v>
      </c>
      <c r="AS237" s="544" t="b">
        <f>AND(AC237=TRUE,OR(AND(F237&lt;&gt;"",NOT(ISNUMBER(AA237))),L237&lt;&gt;"",F237="",AQ237=""))</f>
        <v>0</v>
      </c>
      <c r="AT237" s="544" t="b">
        <f t="shared" si="44"/>
        <v>0</v>
      </c>
      <c r="AU237" s="30"/>
      <c r="AV237" s="558" t="b">
        <f t="shared" si="45"/>
        <v>0</v>
      </c>
      <c r="AW237" s="559" t="b">
        <f t="shared" si="46"/>
        <v>0</v>
      </c>
      <c r="AX237" s="30"/>
      <c r="AY237" s="544" t="b">
        <f t="shared" si="47"/>
        <v>0</v>
      </c>
      <c r="AZ237" s="30"/>
      <c r="BA237" s="30"/>
      <c r="BB237" s="538" t="s">
        <v>589</v>
      </c>
      <c r="BC237" s="537" t="str">
        <f>IF(K224=BC234,AR234*IF(AJ236=EUconst_tCO2pTJ,(AR237/1000),1)*AR236*AR238*AR241,"")</f>
        <v/>
      </c>
      <c r="BD237" s="515" t="str">
        <f>IF(K224=BD234,AR234*AR236*AR239*AR241,"")</f>
        <v/>
      </c>
      <c r="BE237" s="514" t="str">
        <f>IF(K224=BE234,3.664*AR234*AR240*AR241,"")</f>
        <v/>
      </c>
      <c r="BF237" s="30"/>
      <c r="BG237" s="30"/>
      <c r="BH237" s="30"/>
      <c r="BI237" s="30"/>
      <c r="BJ237" s="30"/>
      <c r="BK237" s="30"/>
      <c r="BL237" s="30"/>
      <c r="BM237" s="30"/>
      <c r="BN237" s="30"/>
      <c r="BO237" s="30"/>
      <c r="BP237" s="30"/>
      <c r="BQ237" s="30"/>
      <c r="BR237" s="30"/>
      <c r="BS237" s="30"/>
      <c r="BT237" s="30"/>
      <c r="BU237" s="30"/>
      <c r="BV237" s="30"/>
      <c r="BW237" s="30"/>
      <c r="BX237" s="30"/>
      <c r="BY237" s="30"/>
      <c r="BZ237" s="544" t="b">
        <f>OR(BZ234,Y237=EUconst_NA)</f>
        <v>1</v>
      </c>
    </row>
    <row r="238" spans="1:78" s="140" customFormat="1" ht="12.75" customHeight="1" thickBot="1" x14ac:dyDescent="0.25">
      <c r="A238" s="777"/>
      <c r="B238" s="1248"/>
      <c r="C238" s="783" t="s">
        <v>197</v>
      </c>
      <c r="D238" s="503" t="str">
        <f>Translations!$B$638</f>
        <v>Oksidacijos koef.:</v>
      </c>
      <c r="E238" s="504"/>
      <c r="F238" s="539"/>
      <c r="G238" s="1603" t="str">
        <f t="shared" si="42"/>
        <v/>
      </c>
      <c r="H238" s="1604"/>
      <c r="I238" s="1113" t="str">
        <f>IF(OR(AC238=FALSE,Y238=EUconst_NA),"","-")</f>
        <v/>
      </c>
      <c r="J238" s="560"/>
      <c r="K238" s="561" t="str">
        <f t="shared" si="43"/>
        <v/>
      </c>
      <c r="L238" s="694"/>
      <c r="M238" s="700" t="str">
        <f>IF(AND(E225&lt;&gt;"",OR(F238="",COUNT(K238:L238)=0),Y238&lt;&gt;EUconst_NA,T225&lt;&gt;TRUE),EUconst_ERR_Incomplete,IF(COUNTIF(AX238:AZ238,TRUE)&gt;0,EUconst_ERR_Inconsistent,""))</f>
        <v/>
      </c>
      <c r="O238" s="1305"/>
      <c r="P238" s="33"/>
      <c r="Q238" s="33"/>
      <c r="R238" s="33"/>
      <c r="S238" s="30"/>
      <c r="T238" s="543" t="str">
        <f>EUconst_CNTR_OxidationFactor&amp;E225</f>
        <v>OxF_</v>
      </c>
      <c r="U238" s="488"/>
      <c r="V238" s="544" t="str">
        <f t="shared" si="48"/>
        <v/>
      </c>
      <c r="W238" s="30"/>
      <c r="X238" s="488"/>
      <c r="Y238" s="545" t="str">
        <f>IF(OR(T225=TRUE,E225=""),"",INDEX(EUwideConstants!$N:$N,MATCH(T238,EUwideConstants!$Q:$Q,0)))</f>
        <v/>
      </c>
      <c r="Z238" s="546" t="str">
        <f>IF(ISBLANK(F238),"",IF(F238=EUconst_NA,"",INDEX(EUwideConstants!$H:$M,MATCH(T238,EUwideConstants!$Q:$Q,0),MATCH(F238,CNTR_TierList,0))))</f>
        <v/>
      </c>
      <c r="AA238" s="525" t="str">
        <f>IF(F238=1,1,"")</f>
        <v/>
      </c>
      <c r="AB238" s="30"/>
      <c r="AC238" s="548" t="b">
        <f>AND(AC234,Y238&lt;&gt;EUconst_NA)</f>
        <v>0</v>
      </c>
      <c r="AD238" s="30"/>
      <c r="AE238" s="563"/>
      <c r="AG238" s="564"/>
      <c r="AH238" s="553"/>
      <c r="AI238" s="565"/>
      <c r="AJ238" s="553"/>
      <c r="AK238" s="566"/>
      <c r="AL238" s="333"/>
      <c r="AM238" s="549" t="str">
        <f>EUconst_CNTR_OxidationFactor&amp;EUconst_Value</f>
        <v>OxF_Vertė</v>
      </c>
      <c r="AN238" s="567"/>
      <c r="AO238" s="525">
        <v>1</v>
      </c>
      <c r="AP238" s="553"/>
      <c r="AQ238" s="568" t="str">
        <f>IF(AA238="","",AO238)</f>
        <v/>
      </c>
      <c r="AR238" s="548">
        <f>IF(AC238=TRUE,IF(COUNT(K238:L238)=0,0,IF(L238="",K238,L238)),1)</f>
        <v>1</v>
      </c>
      <c r="AS238" s="544" t="b">
        <f>AND(AC238=TRUE,OR(ISNUMBER(L238),NOT(ISNUMBER(AA238))))</f>
        <v>0</v>
      </c>
      <c r="AT238" s="544" t="b">
        <f t="shared" si="44"/>
        <v>0</v>
      </c>
      <c r="AU238" s="30"/>
      <c r="AV238" s="558" t="b">
        <f t="shared" si="45"/>
        <v>0</v>
      </c>
      <c r="AW238" s="559" t="b">
        <f t="shared" si="46"/>
        <v>0</v>
      </c>
      <c r="AX238" s="30"/>
      <c r="AY238" s="585" t="b">
        <f t="shared" si="47"/>
        <v>0</v>
      </c>
      <c r="AZ238" s="522" t="b">
        <f>AR238&gt;100%</f>
        <v>0</v>
      </c>
      <c r="BA238" s="30"/>
      <c r="BB238" s="538" t="s">
        <v>287</v>
      </c>
      <c r="BC238" s="537" t="str">
        <f>IF(K224=BC234,AR234*IF(AJ236=EUconst_tCO2pTJ,(AR237/1000),1)*AR236*AR238*(1-AR241),"")</f>
        <v/>
      </c>
      <c r="BD238" s="515" t="str">
        <f>IF(K224=BD234,AR234*AR236*AR239*(1-AR241),"")</f>
        <v/>
      </c>
      <c r="BE238" s="514" t="str">
        <f>IF(K224=BE234,3.664*AR234*AR240*(1-AR241),"")</f>
        <v/>
      </c>
      <c r="BF238" s="30"/>
      <c r="BG238" s="30"/>
      <c r="BH238" s="30"/>
      <c r="BI238" s="30"/>
      <c r="BJ238" s="30"/>
      <c r="BK238" s="30"/>
      <c r="BL238" s="30"/>
      <c r="BM238" s="30"/>
      <c r="BN238" s="30"/>
      <c r="BO238" s="30"/>
      <c r="BP238" s="30"/>
      <c r="BQ238" s="30"/>
      <c r="BR238" s="30"/>
      <c r="BS238" s="30"/>
      <c r="BT238" s="30"/>
      <c r="BU238" s="30"/>
      <c r="BV238" s="30"/>
      <c r="BW238" s="30"/>
      <c r="BX238" s="30"/>
      <c r="BY238" s="30"/>
      <c r="BZ238" s="544" t="b">
        <f>OR(BZ234,Y238=EUconst_NA)</f>
        <v>1</v>
      </c>
    </row>
    <row r="239" spans="1:78" s="140" customFormat="1" ht="12.75" customHeight="1" thickBot="1" x14ac:dyDescent="0.25">
      <c r="A239" s="777"/>
      <c r="B239" s="1248"/>
      <c r="C239" s="783" t="s">
        <v>198</v>
      </c>
      <c r="D239" s="503" t="str">
        <f>Translations!$B$639</f>
        <v>Konversijos koef.:</v>
      </c>
      <c r="E239" s="504"/>
      <c r="F239" s="539"/>
      <c r="G239" s="1603" t="str">
        <f t="shared" si="42"/>
        <v/>
      </c>
      <c r="H239" s="1604"/>
      <c r="I239" s="1113" t="str">
        <f>IF(OR(AC239=FALSE,Y239=EUconst_NA),"","-")</f>
        <v/>
      </c>
      <c r="J239" s="560"/>
      <c r="K239" s="561" t="str">
        <f t="shared" si="43"/>
        <v/>
      </c>
      <c r="L239" s="694"/>
      <c r="M239" s="700" t="str">
        <f>IF(AND(E225&lt;&gt;"",OR(F239="",COUNT(K239:L239)=0),Y239&lt;&gt;EUconst_NA,T225&lt;&gt;TRUE),EUconst_ERR_Incomplete,IF(COUNTIF(AX239:AZ239,TRUE)&gt;0,EUconst_ERR_Inconsistent,""))</f>
        <v/>
      </c>
      <c r="O239" s="1305"/>
      <c r="P239" s="33"/>
      <c r="Q239" s="33"/>
      <c r="R239" s="33"/>
      <c r="S239" s="30"/>
      <c r="T239" s="543" t="str">
        <f>EUconst_CNTR_ConversionFactor&amp;E225</f>
        <v>ConvF_</v>
      </c>
      <c r="U239" s="488"/>
      <c r="V239" s="544" t="str">
        <f t="shared" si="48"/>
        <v/>
      </c>
      <c r="W239" s="30"/>
      <c r="X239" s="488"/>
      <c r="Y239" s="545" t="str">
        <f>IF(OR(T225=TRUE,E225=""),"",INDEX(EUwideConstants!$N:$N,MATCH(T239,EUwideConstants!$Q:$Q,0)))</f>
        <v/>
      </c>
      <c r="Z239" s="546" t="str">
        <f>IF(ISBLANK(F239),"",IF(F239=EUconst_NA,"",INDEX(EUwideConstants!$H:$M,MATCH(T239,EUwideConstants!$Q:$Q,0),MATCH(F239,CNTR_TierList,0))))</f>
        <v/>
      </c>
      <c r="AA239" s="573" t="str">
        <f>IF(F239=1,1,"")</f>
        <v/>
      </c>
      <c r="AB239" s="30"/>
      <c r="AC239" s="548" t="b">
        <f>AND(AC234,Y239&lt;&gt;EUconst_NA)</f>
        <v>0</v>
      </c>
      <c r="AD239" s="30"/>
      <c r="AE239" s="563"/>
      <c r="AG239" s="564"/>
      <c r="AH239" s="574"/>
      <c r="AI239" s="565"/>
      <c r="AJ239" s="574"/>
      <c r="AK239" s="566"/>
      <c r="AL239" s="333"/>
      <c r="AM239" s="549" t="str">
        <f>EUconst_CNTR_ConversionFactor&amp;EUconst_Value</f>
        <v>ConvF_Vertė</v>
      </c>
      <c r="AN239" s="575"/>
      <c r="AO239" s="573">
        <v>1</v>
      </c>
      <c r="AP239" s="574"/>
      <c r="AQ239" s="576" t="str">
        <f>IF(AA239="","",AO239)</f>
        <v/>
      </c>
      <c r="AR239" s="548">
        <f>IF(AC239=TRUE,IF(COUNT(K239:L239)=0,0,IF(L239="",K239,L239)),1)</f>
        <v>1</v>
      </c>
      <c r="AS239" s="544" t="b">
        <f>AND(AC239=TRUE,OR(ISNUMBER(L239),NOT(ISNUMBER(AA239))))</f>
        <v>0</v>
      </c>
      <c r="AT239" s="544" t="b">
        <f t="shared" si="44"/>
        <v>0</v>
      </c>
      <c r="AU239" s="30"/>
      <c r="AV239" s="558" t="b">
        <f t="shared" si="45"/>
        <v>0</v>
      </c>
      <c r="AW239" s="559" t="b">
        <f t="shared" si="46"/>
        <v>0</v>
      </c>
      <c r="AX239" s="30"/>
      <c r="AY239" s="585" t="b">
        <f t="shared" si="47"/>
        <v>0</v>
      </c>
      <c r="AZ239" s="571" t="b">
        <f>AR239&gt;100%</f>
        <v>0</v>
      </c>
      <c r="BA239" s="30"/>
      <c r="BB239" s="569" t="s">
        <v>481</v>
      </c>
      <c r="BC239" s="570">
        <f>AR234*AR237/1000*(1-AR241)</f>
        <v>0</v>
      </c>
      <c r="BD239" s="571">
        <f>BC239</f>
        <v>0</v>
      </c>
      <c r="BE239" s="572">
        <f>BC239</f>
        <v>0</v>
      </c>
      <c r="BF239" s="30"/>
      <c r="BG239" s="30"/>
      <c r="BH239" s="30"/>
      <c r="BI239" s="30"/>
      <c r="BJ239" s="30"/>
      <c r="BK239" s="30"/>
      <c r="BL239" s="30"/>
      <c r="BM239" s="30"/>
      <c r="BN239" s="30"/>
      <c r="BO239" s="30"/>
      <c r="BP239" s="30"/>
      <c r="BQ239" s="30"/>
      <c r="BR239" s="30"/>
      <c r="BS239" s="30"/>
      <c r="BT239" s="30"/>
      <c r="BU239" s="30"/>
      <c r="BV239" s="30"/>
      <c r="BW239" s="30"/>
      <c r="BX239" s="30"/>
      <c r="BY239" s="30"/>
      <c r="BZ239" s="544" t="b">
        <f>OR(BZ234,Y239=EUconst_NA)</f>
        <v>1</v>
      </c>
    </row>
    <row r="240" spans="1:78" s="140" customFormat="1" ht="12.75" customHeight="1" thickBot="1" x14ac:dyDescent="0.25">
      <c r="A240" s="777"/>
      <c r="B240" s="1248"/>
      <c r="C240" s="783" t="s">
        <v>324</v>
      </c>
      <c r="D240" s="503" t="str">
        <f>Translations!$B$640</f>
        <v>Anglies kiekis (C):</v>
      </c>
      <c r="E240" s="504"/>
      <c r="F240" s="539"/>
      <c r="G240" s="1603" t="str">
        <f t="shared" si="42"/>
        <v/>
      </c>
      <c r="H240" s="1604"/>
      <c r="I240" s="1113" t="str">
        <f>AJ240</f>
        <v/>
      </c>
      <c r="J240" s="577"/>
      <c r="K240" s="578" t="str">
        <f t="shared" si="43"/>
        <v/>
      </c>
      <c r="L240" s="579"/>
      <c r="M240" s="700" t="str">
        <f>IF(AND(E225&lt;&gt;"",OR(F240="",COUNT(K240:L240)=0),Y240&lt;&gt;EUconst_NA,T225&lt;&gt;TRUE),EUconst_ERR_Incomplete,IF(COUNTIF(AX240:AZ240,TRUE)&gt;0,EUconst_ERR_Inconsistent,""))</f>
        <v/>
      </c>
      <c r="O240" s="1305"/>
      <c r="P240" s="33"/>
      <c r="Q240" s="33"/>
      <c r="R240" s="33"/>
      <c r="S240" s="30"/>
      <c r="T240" s="543" t="str">
        <f>EUconst_CNTR_CarbonContent&amp;E225</f>
        <v>CarbC_</v>
      </c>
      <c r="U240" s="488"/>
      <c r="V240" s="544" t="str">
        <f t="shared" si="48"/>
        <v/>
      </c>
      <c r="W240" s="30"/>
      <c r="X240" s="488"/>
      <c r="Y240" s="545" t="str">
        <f>IF(OR(T225=TRUE,E225=""),"",INDEX(EUwideConstants!$N:$N,MATCH(T240,EUwideConstants!$Q:$Q,0)))</f>
        <v/>
      </c>
      <c r="Z240" s="546" t="str">
        <f>IF(ISBLANK(F240),"",IF(F240=EUconst_NA,"",INDEX(EUwideConstants!$H:$M,MATCH(T240,EUwideConstants!$Q:$Q,0),MATCH(F240,CNTR_TierList,0))))</f>
        <v/>
      </c>
      <c r="AA240" s="580" t="str">
        <f>IF(COUNTIF(EUconst_DefaultValues,Z240)&gt;0,MATCH(Z240,EUconst_DefaultValues,0),"")</f>
        <v/>
      </c>
      <c r="AB240" s="30"/>
      <c r="AC240" s="548" t="b">
        <f>AND(AC234,Y240&lt;&gt;EUconst_NA)</f>
        <v>0</v>
      </c>
      <c r="AD240" s="30"/>
      <c r="AE240" s="549" t="str">
        <f>EUconst_CNTR_CarbonContent&amp;EUconst_Unit</f>
        <v>CarbC_Vienetas</v>
      </c>
      <c r="AF240" s="550" t="str">
        <f>IF(AC240=TRUE, IF(COUNTIF(MSPara_SourceStreamCategory,V240)=0,"",INDEX(MSPara_CalcFactorsMatrix,MATCH(V240,MSPara_SourceStreamCategory,0),MATCH(AE240&amp;"_"&amp;2,MSPara_CalcFactors,0))),"")</f>
        <v/>
      </c>
      <c r="AG240" s="551" t="str">
        <f>IF(AC240=TRUE, IF(COUNTIF(MSPara_SourceStreamCategory,V240)=0,"",INDEX(MSPara_CalcFactorsMatrix,MATCH(V240,MSPara_SourceStreamCategory,0),MATCH(AE240&amp;"_"&amp;1,MSPara_CalcFactors,0))),"")</f>
        <v/>
      </c>
      <c r="AH240" s="581" t="str">
        <f>IF(AA240="","",INDEX(AF240:AG240,3-AA240))</f>
        <v/>
      </c>
      <c r="AI240" s="565"/>
      <c r="AJ240" s="582" t="str">
        <f>IF(AC240=TRUE,IF(AJ234="","",IF(AJ234=EUconst_kNm3,EUconst_tCpkNm3,EUconst_tCpt)),"")</f>
        <v/>
      </c>
      <c r="AK240" s="566"/>
      <c r="AL240" s="333"/>
      <c r="AM240" s="549" t="str">
        <f>EUconst_CNTR_CarbonContent&amp;EUconst_Value</f>
        <v>CarbC_Vertė</v>
      </c>
      <c r="AN240" s="555" t="str">
        <f>IF(AC240=TRUE,IF(COUNTIF(MSPara_SourceStreamCategory,V240)=0,"",INDEX(MSPara_CalcFactorsMatrix,MATCH(V240,MSPara_SourceStreamCategory,0),MATCH(AM240&amp;"_"&amp;2,MSPara_CalcFactors,0))),"")</f>
        <v/>
      </c>
      <c r="AO240" s="583" t="str">
        <f>IF(AC240=TRUE,IF(COUNTIF(MSPara_SourceStreamCategory,V240)=0,"",INDEX(MSPara_CalcFactorsMatrix,MATCH(V240,MSPara_SourceStreamCategory,0),MATCH(AM240&amp;"_"&amp;1,MSPara_CalcFactors,0))),"")</f>
        <v/>
      </c>
      <c r="AP240" s="548" t="b">
        <f>AND(AND(AH240&lt;&gt;"",AJ240&lt;&gt;""),AJ240=AH240)</f>
        <v>0</v>
      </c>
      <c r="AQ240" s="584" t="str">
        <f>IF(AND(AA240&lt;&gt;"",AP240=TRUE),IF(OR(INDEX(AN240:AO240,3-AA240)=EUconst_NA,INDEX(AN240:AO240,3-AA240)=0),"",INDEX(AN240:AO240,3-AA240)),"")</f>
        <v/>
      </c>
      <c r="AR240" s="548">
        <f>IF(AC240=TRUE,IF(COUNT(K240:L240)=0,0,IF(L240="",K240,L240)),0)</f>
        <v>0</v>
      </c>
      <c r="AS240" s="544" t="b">
        <f>AND(AC240=TRUE,OR(AND(F240&lt;&gt;"",NOT(ISNUMBER(AA240))),L240&lt;&gt;"",F240="",AQ240=""))</f>
        <v>0</v>
      </c>
      <c r="AT240" s="544" t="b">
        <f t="shared" si="44"/>
        <v>0</v>
      </c>
      <c r="AU240" s="30"/>
      <c r="AV240" s="558" t="b">
        <f t="shared" si="45"/>
        <v>0</v>
      </c>
      <c r="AW240" s="559" t="b">
        <f t="shared" si="46"/>
        <v>0</v>
      </c>
      <c r="AX240" s="537" t="b">
        <f>OR(AND(AJ234=EUconst_kNm3,AJ240=EUconst_tCpt),AND(AJ234=EUconst_t,AJ240=EUconst_tCpkNm3))</f>
        <v>0</v>
      </c>
      <c r="AY240" s="544" t="b">
        <f t="shared" si="47"/>
        <v>0</v>
      </c>
      <c r="AZ240" s="30"/>
      <c r="BA240" s="30"/>
      <c r="BB240" s="569" t="s">
        <v>482</v>
      </c>
      <c r="BC240" s="570">
        <f>AR234*AR237/1000*AR241</f>
        <v>0</v>
      </c>
      <c r="BD240" s="571">
        <f>BC240</f>
        <v>0</v>
      </c>
      <c r="BE240" s="572">
        <f>BC240</f>
        <v>0</v>
      </c>
      <c r="BF240" s="30"/>
      <c r="BG240" s="30"/>
      <c r="BH240" s="30"/>
      <c r="BI240" s="30"/>
      <c r="BJ240" s="30"/>
      <c r="BK240" s="30"/>
      <c r="BL240" s="30"/>
      <c r="BM240" s="30"/>
      <c r="BN240" s="30"/>
      <c r="BO240" s="30"/>
      <c r="BP240" s="30"/>
      <c r="BQ240" s="30"/>
      <c r="BR240" s="30"/>
      <c r="BS240" s="30"/>
      <c r="BT240" s="30"/>
      <c r="BU240" s="30"/>
      <c r="BV240" s="30"/>
      <c r="BW240" s="30"/>
      <c r="BX240" s="30"/>
      <c r="BY240" s="30"/>
      <c r="BZ240" s="544" t="b">
        <f>OR(BZ234,Y240=EUconst_NA)</f>
        <v>1</v>
      </c>
    </row>
    <row r="241" spans="1:78" s="140" customFormat="1" ht="12.75" customHeight="1" x14ac:dyDescent="0.2">
      <c r="A241" s="777"/>
      <c r="B241" s="1248"/>
      <c r="C241" s="753" t="s">
        <v>325</v>
      </c>
      <c r="D241" s="503" t="str">
        <f>Translations!$B$641</f>
        <v>Biomasės dalis (BioC):</v>
      </c>
      <c r="E241" s="504"/>
      <c r="F241" s="539"/>
      <c r="G241" s="1603" t="str">
        <f t="shared" si="42"/>
        <v/>
      </c>
      <c r="H241" s="1604"/>
      <c r="I241" s="1113" t="str">
        <f>IF(OR(AC241=FALSE,Y241=EUconst_NA),"","-")</f>
        <v/>
      </c>
      <c r="J241" s="560"/>
      <c r="K241" s="561" t="str">
        <f t="shared" si="43"/>
        <v/>
      </c>
      <c r="L241" s="694"/>
      <c r="M241" s="700" t="str">
        <f>IF(AND(E225&lt;&gt;"",OR(F241="",COUNT(K241:L241)=0),Y241&lt;&gt;EUconst_NA,T225&lt;&gt;TRUE),EUconst_ERR_Incomplete,IF(COUNTIF(AX241:AZ241,TRUE)&gt;0,EUconst_ERR_Inconsistent,""))</f>
        <v/>
      </c>
      <c r="O241" s="1305"/>
      <c r="P241" s="635"/>
      <c r="Q241" s="635"/>
      <c r="R241" s="635"/>
      <c r="S241" s="30"/>
      <c r="T241" s="543" t="str">
        <f>EUconst_CNTR_BiomassContent&amp;E225</f>
        <v>BioC_</v>
      </c>
      <c r="U241" s="488"/>
      <c r="V241" s="585" t="str">
        <f t="shared" si="48"/>
        <v/>
      </c>
      <c r="W241" s="522" t="str">
        <f>IF(COUNTIF(MSPara_SourceStreamCategory,V241)=0,"",INDEX(MSPara_IsFossil,MATCH(V241,MSPara_SourceStreamCategory,0)))</f>
        <v/>
      </c>
      <c r="X241" s="488"/>
      <c r="Y241" s="545" t="str">
        <f>IF(OR(T225=TRUE,E225=""),"",IF(OR(W241=TRUE,F241=EUconst_NA),EUconst_NA,INDEX(EUwideConstants!$N:$N,MATCH(T241,EUwideConstants!$Q:$Q,0))))</f>
        <v/>
      </c>
      <c r="Z241" s="546" t="str">
        <f>IF(ISBLANK(F241),"",IF(F241=EUconst_NA,"",INDEX(EUwideConstants!$H:$M,MATCH(T241,EUwideConstants!$Q:$Q,0),MATCH(F241,CNTR_TierList,0))))</f>
        <v/>
      </c>
      <c r="AA241" s="586" t="str">
        <f>IF(F241=1,1,"")</f>
        <v/>
      </c>
      <c r="AB241" s="30"/>
      <c r="AC241" s="548" t="b">
        <f>AND(AC234,Y241&lt;&gt;EUconst_NA)</f>
        <v>0</v>
      </c>
      <c r="AD241" s="30"/>
      <c r="AE241" s="563"/>
      <c r="AG241" s="564"/>
      <c r="AH241" s="553"/>
      <c r="AI241" s="565"/>
      <c r="AJ241" s="553"/>
      <c r="AK241" s="566"/>
      <c r="AL241" s="333"/>
      <c r="AM241" s="549" t="str">
        <f>EUconst_CNTR_BiomassContent&amp;EUconst_Value</f>
        <v>BioC_Vertė</v>
      </c>
      <c r="AO241" s="587" t="str">
        <f>IF(AC241=TRUE,IF(COUNTIF(MSPara_SourceStreamCategory,V241)=0,"",INDEX(MSPara_CalcFactorsMatrix,MATCH(V241,MSPara_SourceStreamCategory,0),MATCH(AM241&amp;"_"&amp;2,MSPara_CalcFactors,0))),"")</f>
        <v/>
      </c>
      <c r="AP241" s="553"/>
      <c r="AQ241" s="568" t="str">
        <f>IF(OR(AA241="",AO241=EUconst_NA),"",AO241)</f>
        <v/>
      </c>
      <c r="AR241" s="548">
        <f>IF(AC241=TRUE,IF(COUNT(K241:L241)=0,0,IF(L241="",K241,L241)),0)</f>
        <v>0</v>
      </c>
      <c r="AS241" s="544" t="b">
        <f>AND(AC241=TRUE,OR(AND(F241&lt;&gt;"",NOT(ISNUMBER(AA241))),L241&lt;&gt;"",F241="",AQ241=""))</f>
        <v>0</v>
      </c>
      <c r="AT241" s="544" t="b">
        <f t="shared" si="44"/>
        <v>0</v>
      </c>
      <c r="AU241" s="30"/>
      <c r="AV241" s="558" t="b">
        <f t="shared" si="45"/>
        <v>0</v>
      </c>
      <c r="AW241" s="559" t="b">
        <f t="shared" si="46"/>
        <v>0</v>
      </c>
      <c r="AX241" s="30"/>
      <c r="AY241" s="585" t="b">
        <f t="shared" si="47"/>
        <v>0</v>
      </c>
      <c r="AZ241" s="522" t="b">
        <f>OR(AR241&gt;100%,(AR241+AR242)&gt;100%)</f>
        <v>0</v>
      </c>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544" t="b">
        <f>OR(BZ234,Y241=EUconst_NA)</f>
        <v>1</v>
      </c>
    </row>
    <row r="242" spans="1:78" s="140" customFormat="1" ht="12.75" customHeight="1" thickBot="1" x14ac:dyDescent="0.25">
      <c r="A242" s="777"/>
      <c r="B242" s="1248"/>
      <c r="C242" s="753" t="s">
        <v>448</v>
      </c>
      <c r="D242" s="503" t="str">
        <f>Translations!$B$647</f>
        <v>Netvarios BioC dalis:</v>
      </c>
      <c r="E242" s="504"/>
      <c r="F242" s="588"/>
      <c r="G242" s="1603" t="str">
        <f t="shared" si="42"/>
        <v/>
      </c>
      <c r="H242" s="1604"/>
      <c r="I242" s="1114" t="str">
        <f>IF(OR(AC242=FALSE,Y242=EUconst_NA),"","-")</f>
        <v/>
      </c>
      <c r="J242" s="560"/>
      <c r="K242" s="589" t="str">
        <f t="shared" si="43"/>
        <v/>
      </c>
      <c r="L242" s="1100"/>
      <c r="M242" s="700" t="str">
        <f>IF(AND(E225&lt;&gt;"",OR(F242="",COUNT(K242:L242)=0),Y242&lt;&gt;EUconst_NA,T225&lt;&gt;TRUE),EUconst_ERR_Incomplete,IF(COUNTIF(AX242:AZ242,TRUE)&gt;0,EUconst_ERR_Inconsistent,""))</f>
        <v/>
      </c>
      <c r="O242" s="1305"/>
      <c r="P242" s="635"/>
      <c r="Q242" s="635"/>
      <c r="R242" s="635"/>
      <c r="S242" s="30"/>
      <c r="T242" s="590" t="str">
        <f>EUconst_CNTR_BiomassContent&amp;E225</f>
        <v>BioC_</v>
      </c>
      <c r="U242" s="488"/>
      <c r="V242" s="570" t="str">
        <f t="shared" si="48"/>
        <v/>
      </c>
      <c r="W242" s="571" t="str">
        <f>IF(COUNTIF(MSPara_SourceStreamCategory,V242)=0,"",INDEX(MSPara_IsFossil,MATCH(V242,MSPara_SourceStreamCategory,0)))</f>
        <v/>
      </c>
      <c r="X242" s="488"/>
      <c r="Y242" s="591" t="str">
        <f>IF(OR(T225=TRUE,E225=""),"",IF(OR(W242=TRUE,F242=EUconst_NA),EUconst_NA,INDEX(EUwideConstants!$N:$N,MATCH(T242,EUwideConstants!$Q:$Q,0))))</f>
        <v/>
      </c>
      <c r="Z242" s="592" t="str">
        <f>IF(ISBLANK(F242),"",IF(F242=EUconst_NA,"",INDEX(EUwideConstants!$H:$M,MATCH(T242,EUwideConstants!$Q:$Q,0),MATCH(F242,CNTR_TierList,0))))</f>
        <v/>
      </c>
      <c r="AA242" s="593" t="str">
        <f>IF(F242=1,1,"")</f>
        <v/>
      </c>
      <c r="AB242" s="30"/>
      <c r="AC242" s="594" t="b">
        <f>AND(AC234,Y242&lt;&gt;EUconst_NA)</f>
        <v>0</v>
      </c>
      <c r="AD242" s="30"/>
      <c r="AE242" s="595"/>
      <c r="AF242" s="596"/>
      <c r="AG242" s="597"/>
      <c r="AH242" s="598"/>
      <c r="AI242" s="598"/>
      <c r="AJ242" s="598"/>
      <c r="AK242" s="599"/>
      <c r="AL242" s="333"/>
      <c r="AM242" s="600" t="str">
        <f>EUconst_CNTR_BiomassContent&amp;EUconst_Value</f>
        <v>BioC_Vertė</v>
      </c>
      <c r="AN242" s="596"/>
      <c r="AO242" s="601" t="str">
        <f>IF(AC242=TRUE,IF(COUNTIF(MSPara_SourceStreamCategory,V242)=0,"",INDEX(MSPara_CalcFactorsMatrix,MATCH(V242,MSPara_SourceStreamCategory,0),MATCH(AM242&amp;"_"&amp;2,MSPara_CalcFactors,0))),"")</f>
        <v/>
      </c>
      <c r="AP242" s="598"/>
      <c r="AQ242" s="602" t="str">
        <f>IF(OR(AA242="",AO242=EUconst_NA),"",AO242)</f>
        <v/>
      </c>
      <c r="AR242" s="594">
        <f>IF(AC242=TRUE,IF(COUNT(K242:L242)=0,0,IF(L242="",K242,L242)),0)</f>
        <v>0</v>
      </c>
      <c r="AS242" s="603" t="b">
        <f>AND(AC242=TRUE,OR(AND(F242&lt;&gt;"",NOT(ISNUMBER(AA242))),L242&lt;&gt;"",F242="",AQ242=""))</f>
        <v>0</v>
      </c>
      <c r="AT242" s="603" t="b">
        <f t="shared" si="44"/>
        <v>0</v>
      </c>
      <c r="AU242" s="30"/>
      <c r="AV242" s="604" t="b">
        <f t="shared" si="45"/>
        <v>0</v>
      </c>
      <c r="AW242" s="605" t="b">
        <f t="shared" si="46"/>
        <v>0</v>
      </c>
      <c r="AX242" s="30"/>
      <c r="AY242" s="570" t="b">
        <f t="shared" si="47"/>
        <v>0</v>
      </c>
      <c r="AZ242" s="571" t="b">
        <f>OR(AR241&gt;100%,(AR241+AR242)&gt;100%)</f>
        <v>0</v>
      </c>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571" t="b">
        <f>OR(BZ234,Y242=EUconst_NA)</f>
        <v>1</v>
      </c>
    </row>
    <row r="243" spans="1:78" s="140" customFormat="1" ht="5.0999999999999996" customHeight="1" x14ac:dyDescent="0.2">
      <c r="A243" s="777"/>
      <c r="B243" s="1248"/>
      <c r="C243" s="164"/>
      <c r="D243" s="178"/>
      <c r="O243" s="1305"/>
      <c r="P243" s="33"/>
      <c r="Q243" s="33"/>
      <c r="R243" s="33"/>
      <c r="S243" s="172"/>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row>
    <row r="244" spans="1:78" s="140" customFormat="1" ht="12.75" customHeight="1" x14ac:dyDescent="0.2">
      <c r="A244" s="777"/>
      <c r="B244" s="1248"/>
      <c r="C244" s="164"/>
      <c r="D244" s="1629" t="str">
        <f>Translations!$B$674</f>
        <v>Pakopos galioja nuo:</v>
      </c>
      <c r="E244" s="1629"/>
      <c r="F244" s="1630"/>
      <c r="G244" s="1014"/>
      <c r="H244" s="606" t="str">
        <f>Translations!$B$675</f>
        <v>iki:</v>
      </c>
      <c r="I244" s="1014"/>
      <c r="J244" s="1620" t="str">
        <f>Translations!$B$676</f>
        <v>Atliekų katalogo numeris (jeigu taikytina):</v>
      </c>
      <c r="K244" s="1621"/>
      <c r="L244" s="1621"/>
      <c r="M244" s="1622"/>
      <c r="N244" s="1232"/>
      <c r="O244" s="1305"/>
      <c r="P244" s="33"/>
      <c r="Q244" s="33"/>
      <c r="R244" s="33"/>
      <c r="S244" s="1233"/>
      <c r="T244" s="483"/>
      <c r="U244" s="483"/>
      <c r="V244" s="48" t="b">
        <f>IF(V234="",FALSE,INDEX(CNTR_IsWaste,MATCH(V234,MSParameters!$A$218:$A$376,0)))</f>
        <v>0</v>
      </c>
      <c r="W244" s="1233" t="s">
        <v>1689</v>
      </c>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2" t="b">
        <f>BZ234</f>
        <v>1</v>
      </c>
    </row>
    <row r="245" spans="1:78" s="140" customFormat="1" ht="5.0999999999999996" customHeight="1" x14ac:dyDescent="0.2">
      <c r="A245" s="777"/>
      <c r="B245" s="1248"/>
      <c r="C245" s="164"/>
      <c r="D245" s="606"/>
      <c r="E245" s="486"/>
      <c r="F245" s="486"/>
      <c r="G245" s="486"/>
      <c r="H245" s="486"/>
      <c r="I245" s="486"/>
      <c r="J245" s="486"/>
      <c r="K245" s="486"/>
      <c r="L245" s="486"/>
      <c r="M245" s="486"/>
      <c r="N245" s="486"/>
      <c r="O245" s="1305"/>
      <c r="P245" s="33"/>
      <c r="Q245" s="33"/>
      <c r="R245" s="33"/>
      <c r="S245" s="172"/>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row>
    <row r="246" spans="1:78" s="140" customFormat="1" ht="12.75" customHeight="1" x14ac:dyDescent="0.2">
      <c r="A246" s="777"/>
      <c r="B246" s="1248"/>
      <c r="C246" s="164"/>
      <c r="D246" s="486"/>
      <c r="E246" s="486"/>
      <c r="F246" s="486"/>
      <c r="G246" s="486"/>
      <c r="H246" s="486"/>
      <c r="I246" s="486"/>
      <c r="J246" s="486"/>
      <c r="K246" s="486"/>
      <c r="L246" s="486"/>
      <c r="M246" s="606" t="str">
        <f>Translations!$B$677</f>
        <v>Stebėsenos plane šiam sukėlikliui suteiktas identifikatorius:</v>
      </c>
      <c r="N246" s="705"/>
      <c r="O246" s="1305"/>
      <c r="P246" s="33"/>
      <c r="Q246" s="33"/>
      <c r="R246" s="33"/>
      <c r="S246" s="172"/>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2" t="b">
        <f>BZ244</f>
        <v>1</v>
      </c>
    </row>
    <row r="247" spans="1:78" s="140" customFormat="1" ht="5.0999999999999996" customHeight="1" x14ac:dyDescent="0.2">
      <c r="A247" s="784"/>
      <c r="B247" s="1316"/>
      <c r="D247" s="178"/>
      <c r="O247" s="1317"/>
      <c r="P247" s="488"/>
      <c r="Q247" s="488"/>
      <c r="R247" s="488"/>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row>
    <row r="248" spans="1:78" s="140" customFormat="1" x14ac:dyDescent="0.2">
      <c r="A248" s="784"/>
      <c r="B248" s="1316"/>
      <c r="D248" s="1618" t="str">
        <f>Translations!$B$160</f>
        <v>Pastabos:</v>
      </c>
      <c r="E248" s="1619"/>
      <c r="F248" s="1605"/>
      <c r="G248" s="1606"/>
      <c r="H248" s="1606"/>
      <c r="I248" s="1606"/>
      <c r="J248" s="1606"/>
      <c r="K248" s="1606"/>
      <c r="L248" s="1606"/>
      <c r="M248" s="1606"/>
      <c r="N248" s="1607"/>
      <c r="O248" s="1317"/>
      <c r="P248" s="488"/>
      <c r="Q248" s="488"/>
      <c r="R248" s="488"/>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2" t="b">
        <f>BZ244</f>
        <v>1</v>
      </c>
    </row>
    <row r="249" spans="1:78" s="28" customFormat="1" ht="12.75" customHeight="1" thickBot="1" x14ac:dyDescent="0.25">
      <c r="A249" s="777"/>
      <c r="B249" s="1312"/>
      <c r="C249" s="490"/>
      <c r="D249" s="491"/>
      <c r="E249" s="492"/>
      <c r="F249" s="490"/>
      <c r="G249" s="493"/>
      <c r="H249" s="493"/>
      <c r="I249" s="493"/>
      <c r="J249" s="493"/>
      <c r="K249" s="493"/>
      <c r="L249" s="493"/>
      <c r="M249" s="493"/>
      <c r="N249" s="493"/>
      <c r="O249" s="1313"/>
      <c r="P249" s="485"/>
      <c r="Q249" s="485"/>
      <c r="R249" s="485"/>
      <c r="S249" s="58"/>
      <c r="T249" s="58"/>
      <c r="U249" s="489"/>
      <c r="V249" s="58"/>
      <c r="W249" s="58"/>
      <c r="X249" s="489"/>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30"/>
      <c r="BJ249" s="30"/>
      <c r="BK249" s="30"/>
      <c r="BL249" s="58"/>
      <c r="BM249" s="58"/>
      <c r="BN249" s="58"/>
      <c r="BO249" s="58"/>
      <c r="BP249" s="58"/>
      <c r="BQ249" s="58"/>
      <c r="BR249" s="58"/>
      <c r="BS249" s="58"/>
      <c r="BT249" s="58"/>
      <c r="BU249" s="58"/>
      <c r="BV249" s="58"/>
      <c r="BW249" s="58"/>
      <c r="BX249" s="58"/>
      <c r="BY249" s="58"/>
      <c r="BZ249" s="58"/>
    </row>
    <row r="250" spans="1:78" s="28" customFormat="1" ht="12.75" customHeight="1" thickBot="1" x14ac:dyDescent="0.25">
      <c r="A250" s="782"/>
      <c r="B250" s="1312"/>
      <c r="C250" s="486"/>
      <c r="D250" s="178"/>
      <c r="E250" s="487"/>
      <c r="F250" s="486"/>
      <c r="G250" s="478"/>
      <c r="H250" s="478"/>
      <c r="I250" s="478"/>
      <c r="J250" s="478"/>
      <c r="K250" s="486"/>
      <c r="L250" s="478"/>
      <c r="M250" s="478"/>
      <c r="N250" s="478"/>
      <c r="O250" s="1313"/>
      <c r="P250" s="485"/>
      <c r="Q250" s="485"/>
      <c r="R250" s="485"/>
      <c r="S250" s="23"/>
      <c r="T250" s="27" t="str">
        <f>IF(ISBLANK(E251),"",MATCH(E251,CNTR_SourceStreamNames,0))</f>
        <v/>
      </c>
      <c r="U250" s="609" t="str">
        <f>IF(ISBLANK(E251),"",INDEX(B_InstallationDescription!$D$71:$D$145,MATCH(E251,CNTR_SourceStreamNames,0)))</f>
        <v/>
      </c>
      <c r="V250" s="76"/>
      <c r="W250" s="56"/>
      <c r="X250" s="56"/>
      <c r="Y250" s="56"/>
      <c r="Z250" s="58"/>
      <c r="AA250" s="58"/>
      <c r="AB250" s="58"/>
      <c r="AC250" s="58"/>
      <c r="AD250" s="58"/>
      <c r="AE250" s="58"/>
      <c r="AF250" s="58"/>
      <c r="AG250" s="58"/>
      <c r="AH250" s="58"/>
      <c r="AI250" s="58"/>
      <c r="AJ250" s="58"/>
      <c r="AK250" s="482"/>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6"/>
      <c r="BI250" s="56"/>
      <c r="BJ250" s="56"/>
      <c r="BK250" s="56"/>
      <c r="BL250" s="56"/>
      <c r="BM250" s="56"/>
      <c r="BN250" s="56"/>
      <c r="BO250" s="56"/>
      <c r="BP250" s="56"/>
      <c r="BQ250" s="56"/>
      <c r="BR250" s="56"/>
      <c r="BS250" s="56"/>
      <c r="BT250" s="56"/>
      <c r="BU250" s="56"/>
      <c r="BV250" s="56"/>
      <c r="BW250" s="56"/>
      <c r="BX250" s="56"/>
      <c r="BY250" s="56"/>
      <c r="BZ250" s="484" t="s">
        <v>259</v>
      </c>
    </row>
    <row r="251" spans="1:78" s="140" customFormat="1" ht="15" customHeight="1" thickBot="1" x14ac:dyDescent="0.25">
      <c r="A251" s="1302" t="str">
        <f>IF(E251="","","PRINT")</f>
        <v/>
      </c>
      <c r="B251" s="1248"/>
      <c r="C251" s="608">
        <f>C224+1</f>
        <v>8</v>
      </c>
      <c r="D251" s="164"/>
      <c r="E251" s="1610"/>
      <c r="F251" s="1611"/>
      <c r="G251" s="1611"/>
      <c r="H251" s="1611"/>
      <c r="I251" s="1611"/>
      <c r="J251" s="1612"/>
      <c r="K251" s="1623" t="str">
        <f>IF(E252="","",INDEX(EUwideConstants!$F$353:$F$394,MATCH(E252,EUConst_TierActivityListNames,0)))</f>
        <v/>
      </c>
      <c r="L251" s="1624"/>
      <c r="M251" s="494" t="str">
        <f>Translations!$B$665</f>
        <v>CO2, iškastinio kuro kilmės:</v>
      </c>
      <c r="N251" s="1012" t="str">
        <f>IF(OR(K251="",T252=TRUE),"",INDEX(BC265:BE265,MATCH(K251,BC261:BE261,0)))</f>
        <v/>
      </c>
      <c r="O251" s="1314" t="s">
        <v>257</v>
      </c>
      <c r="P251" s="1303" t="str">
        <f>IF(AND(E251&lt;&gt;"",COUNTIF(P252:$P$2089,"PRINT")=0),"PRINT","")</f>
        <v/>
      </c>
      <c r="Q251" s="343" t="str">
        <f>EUconst_SumCO2 &amp; "_" &amp; K251</f>
        <v>SUM_CO2_</v>
      </c>
      <c r="R251" s="485"/>
      <c r="S251" s="23"/>
      <c r="T251" s="500" t="s">
        <v>387</v>
      </c>
      <c r="U251" s="23"/>
      <c r="V251" s="76"/>
      <c r="W251" s="56"/>
      <c r="X251" s="58"/>
      <c r="Y251" s="58"/>
      <c r="Z251" s="58"/>
      <c r="AA251" s="58"/>
      <c r="AB251" s="58"/>
      <c r="AC251" s="58"/>
      <c r="AD251" s="58"/>
      <c r="AE251" s="58"/>
      <c r="AF251" s="58"/>
      <c r="AG251" s="58"/>
      <c r="AH251" s="58"/>
      <c r="AI251" s="333"/>
      <c r="AJ251" s="333"/>
      <c r="AK251" s="333"/>
      <c r="AL251" s="333"/>
      <c r="AM251" s="333"/>
      <c r="AN251" s="333"/>
      <c r="AO251" s="333"/>
      <c r="AP251" s="333"/>
      <c r="AQ251" s="333"/>
      <c r="AR251" s="333"/>
      <c r="AS251" s="333"/>
      <c r="AT251" s="333"/>
      <c r="AU251" s="333"/>
      <c r="AV251" s="333"/>
      <c r="AW251" s="333"/>
      <c r="AX251" s="333"/>
      <c r="AY251" s="333"/>
      <c r="AZ251" s="333"/>
      <c r="BA251" s="333"/>
      <c r="BB251" s="333"/>
      <c r="BC251" s="333"/>
      <c r="BD251" s="333"/>
      <c r="BE251" s="333"/>
      <c r="BF251" s="333"/>
      <c r="BG251" s="333"/>
      <c r="BH251" s="834">
        <f>AR261</f>
        <v>0</v>
      </c>
      <c r="BI251" s="834" t="str">
        <f>AJ261</f>
        <v/>
      </c>
      <c r="BJ251" s="834">
        <f>AR263</f>
        <v>0</v>
      </c>
      <c r="BK251" s="834" t="str">
        <f>AJ263</f>
        <v/>
      </c>
      <c r="BL251" s="834">
        <f>AR264</f>
        <v>0</v>
      </c>
      <c r="BM251" s="834" t="str">
        <f>AJ264</f>
        <v/>
      </c>
      <c r="BN251" s="834">
        <f>AR265</f>
        <v>1</v>
      </c>
      <c r="BO251" s="834">
        <f>AR266</f>
        <v>1</v>
      </c>
      <c r="BP251" s="834">
        <f>AR267</f>
        <v>0</v>
      </c>
      <c r="BQ251" s="834" t="str">
        <f>AJ267</f>
        <v/>
      </c>
      <c r="BR251" s="834">
        <f>AR268</f>
        <v>0</v>
      </c>
      <c r="BS251" s="834">
        <f>AR269</f>
        <v>0</v>
      </c>
      <c r="BT251" s="834" t="str">
        <f>N251</f>
        <v/>
      </c>
      <c r="BU251" s="834" t="str">
        <f>N252</f>
        <v/>
      </c>
      <c r="BV251" s="834" t="str">
        <f>R254</f>
        <v/>
      </c>
      <c r="BW251" s="834" t="str">
        <f>R260</f>
        <v/>
      </c>
      <c r="BX251" s="834" t="str">
        <f>R261</f>
        <v/>
      </c>
      <c r="BY251" s="56"/>
      <c r="BZ251" s="610" t="b">
        <f>CNTR_CalcRelevant=EUconst_NotRelevant</f>
        <v>0</v>
      </c>
    </row>
    <row r="252" spans="1:78" s="140" customFormat="1" ht="15" customHeight="1" thickBot="1" x14ac:dyDescent="0.25">
      <c r="A252" s="777"/>
      <c r="B252" s="1248"/>
      <c r="C252" s="164"/>
      <c r="D252" s="164"/>
      <c r="E252" s="1625" t="str">
        <f>IF(ISBLANK(E251),"",IF(INDEX(B_InstallationDescription!$E$71:$E$145,MATCH(U250,B_InstallationDescription!$D$71:$D$145,0))&gt;0,INDEX(B_InstallationDescription!$E$71:$E$145,MATCH(U250,B_InstallationDescription!$D$71:$D$145,0)),""))</f>
        <v/>
      </c>
      <c r="F252" s="1626"/>
      <c r="G252" s="1626"/>
      <c r="H252" s="1626"/>
      <c r="I252" s="1626"/>
      <c r="J252" s="1627"/>
      <c r="M252" s="337" t="str">
        <f>Translations!$B$666</f>
        <v>CO2, biomasės kilmės.:</v>
      </c>
      <c r="N252" s="1013" t="str">
        <f>IF(OR(K251="",T252=TRUE),"",INDEX(BC264:BE264,MATCH(K251,BC261:BE261,0)))</f>
        <v/>
      </c>
      <c r="O252" s="1315" t="s">
        <v>257</v>
      </c>
      <c r="P252" s="485"/>
      <c r="Q252" s="343" t="str">
        <f>EUconst_SumBioCO2 &amp; "_" &amp; K251</f>
        <v>SUM_bioCO2_</v>
      </c>
      <c r="R252" s="485"/>
      <c r="S252" s="23"/>
      <c r="T252" s="48" t="str">
        <f>IF(E252="","",MATCH(E252,EUConst_TierActivityListNames,0)&gt;40)</f>
        <v/>
      </c>
      <c r="U252" s="23"/>
      <c r="V252" s="76"/>
      <c r="W252" s="56"/>
      <c r="X252" s="58"/>
      <c r="Y252" s="27" t="s">
        <v>91</v>
      </c>
      <c r="Z252" s="30"/>
      <c r="AA252" s="30"/>
      <c r="AB252" s="30"/>
      <c r="AC252" s="30"/>
      <c r="AD252" s="30"/>
      <c r="AE252" s="27" t="s">
        <v>297</v>
      </c>
      <c r="AF252" s="58"/>
      <c r="AG252" s="495"/>
      <c r="AH252" s="30"/>
      <c r="AI252" s="30"/>
      <c r="AJ252" s="495"/>
      <c r="AK252" s="495"/>
      <c r="AL252" s="333"/>
      <c r="AM252" s="27" t="s">
        <v>303</v>
      </c>
      <c r="AN252" s="496"/>
      <c r="AO252" s="496"/>
      <c r="AP252" s="30"/>
      <c r="AQ252" s="30"/>
      <c r="AR252" s="30"/>
      <c r="AS252" s="30"/>
      <c r="AT252" s="30"/>
      <c r="AU252" s="30"/>
      <c r="AV252" s="27" t="s">
        <v>310</v>
      </c>
      <c r="AW252" s="30"/>
      <c r="AX252" s="483"/>
      <c r="AY252" s="30"/>
      <c r="AZ252" s="30"/>
      <c r="BA252" s="30"/>
      <c r="BB252" s="27" t="s">
        <v>217</v>
      </c>
      <c r="BC252" s="30"/>
      <c r="BD252" s="30"/>
      <c r="BE252" s="30"/>
      <c r="BF252" s="30"/>
      <c r="BG252" s="27" t="s">
        <v>486</v>
      </c>
      <c r="BH252" s="833" t="s">
        <v>552</v>
      </c>
      <c r="BI252" s="833" t="s">
        <v>487</v>
      </c>
      <c r="BJ252" s="833" t="s">
        <v>211</v>
      </c>
      <c r="BK252" s="833" t="s">
        <v>488</v>
      </c>
      <c r="BL252" s="833" t="s">
        <v>68</v>
      </c>
      <c r="BM252" s="833" t="s">
        <v>489</v>
      </c>
      <c r="BN252" s="833" t="s">
        <v>490</v>
      </c>
      <c r="BO252" s="833" t="s">
        <v>491</v>
      </c>
      <c r="BP252" s="833" t="s">
        <v>214</v>
      </c>
      <c r="BQ252" s="833" t="s">
        <v>492</v>
      </c>
      <c r="BR252" s="833" t="s">
        <v>493</v>
      </c>
      <c r="BS252" s="833" t="s">
        <v>494</v>
      </c>
      <c r="BT252" s="833" t="s">
        <v>287</v>
      </c>
      <c r="BU252" s="833" t="s">
        <v>495</v>
      </c>
      <c r="BV252" s="833" t="s">
        <v>498</v>
      </c>
      <c r="BW252" s="833" t="s">
        <v>496</v>
      </c>
      <c r="BX252" s="833" t="s">
        <v>497</v>
      </c>
      <c r="BY252" s="30"/>
      <c r="BZ252" s="30"/>
    </row>
    <row r="253" spans="1:78" s="140" customFormat="1" ht="5.0999999999999996" customHeight="1" thickBot="1" x14ac:dyDescent="0.25">
      <c r="A253" s="777"/>
      <c r="B253" s="1248"/>
      <c r="C253" s="164"/>
      <c r="D253" s="164"/>
      <c r="E253" s="164"/>
      <c r="F253" s="164"/>
      <c r="G253" s="164"/>
      <c r="M253" s="141"/>
      <c r="N253" s="141"/>
      <c r="O253" s="1305"/>
      <c r="P253" s="33"/>
      <c r="Q253" s="33"/>
      <c r="R253" s="33"/>
      <c r="S253" s="23"/>
      <c r="T253" s="23"/>
      <c r="U253" s="23"/>
      <c r="V253" s="76"/>
      <c r="W253" s="30"/>
      <c r="X253" s="30"/>
      <c r="Y253" s="485"/>
      <c r="Z253" s="30"/>
      <c r="AA253" s="30"/>
      <c r="AB253" s="30"/>
      <c r="AC253" s="30"/>
      <c r="AD253" s="30"/>
      <c r="AE253" s="30"/>
      <c r="AF253" s="58"/>
      <c r="AG253" s="30"/>
      <c r="AH253" s="30"/>
      <c r="AI253" s="30"/>
      <c r="AJ253" s="495"/>
      <c r="AK253" s="495"/>
      <c r="AL253" s="333"/>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row>
    <row r="254" spans="1:78" s="140" customFormat="1" ht="12.75" customHeight="1" thickBot="1" x14ac:dyDescent="0.25">
      <c r="A254" s="777"/>
      <c r="B254" s="1248"/>
      <c r="C254" s="164"/>
      <c r="D254" s="164"/>
      <c r="E254" s="1628" t="str">
        <f>IF(E251="","",IF(T252=TRUE,HYPERLINK("#JUMP_14",EUconst_MsgGoOnPFC),HYPERLINK("#JUMP_E_8",EUconst_FurtherGuidancePoint1)))</f>
        <v/>
      </c>
      <c r="F254" s="1628"/>
      <c r="G254" s="1628"/>
      <c r="H254" s="1628"/>
      <c r="I254" s="1628"/>
      <c r="J254" s="1628"/>
      <c r="K254" s="1628"/>
      <c r="L254" s="1628"/>
      <c r="M254" s="1628"/>
      <c r="N254" s="141"/>
      <c r="O254" s="1305"/>
      <c r="P254" s="33"/>
      <c r="Q254" s="343" t="str">
        <f>EUconst_SumNonSustBioCO2 &amp; "_" &amp; K251</f>
        <v>SUM_bioNonSustCO2_</v>
      </c>
      <c r="R254" s="698" t="str">
        <f>IF(OR(K251="",T252=TRUE),"",ROUND(INDEX(BC263:BE263,MATCH(K251,BC261:BE261,0)),0))</f>
        <v/>
      </c>
      <c r="S254" s="23"/>
      <c r="T254" s="23"/>
      <c r="U254" s="23"/>
      <c r="V254" s="30"/>
      <c r="W254" s="30"/>
      <c r="X254" s="30"/>
      <c r="Y254" s="58"/>
      <c r="Z254" s="30"/>
      <c r="AA254" s="30"/>
      <c r="AB254" s="30"/>
      <c r="AC254" s="30"/>
      <c r="AD254" s="30"/>
      <c r="AE254" s="30"/>
      <c r="AF254" s="58"/>
      <c r="AG254" s="30"/>
      <c r="AH254" s="30"/>
      <c r="AI254" s="30"/>
      <c r="AJ254" s="495"/>
      <c r="AK254" s="495"/>
      <c r="AL254" s="333"/>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row>
    <row r="255" spans="1:78" s="140" customFormat="1" ht="5.0999999999999996" customHeight="1" thickBot="1" x14ac:dyDescent="0.25">
      <c r="A255" s="777"/>
      <c r="B255" s="1248"/>
      <c r="C255" s="164"/>
      <c r="D255" s="164"/>
      <c r="E255" s="164"/>
      <c r="F255" s="164"/>
      <c r="G255" s="164"/>
      <c r="M255" s="141"/>
      <c r="N255" s="141"/>
      <c r="O255" s="1305"/>
      <c r="P255" s="23"/>
      <c r="Q255" s="23"/>
      <c r="R255" s="23"/>
      <c r="S255" s="23"/>
      <c r="T255" s="23"/>
      <c r="U255" s="23"/>
      <c r="V255" s="30"/>
      <c r="W255" s="30"/>
      <c r="X255" s="30"/>
      <c r="Y255" s="485"/>
      <c r="Z255" s="30"/>
      <c r="AA255" s="30"/>
      <c r="AB255" s="30"/>
      <c r="AC255" s="30"/>
      <c r="AD255" s="30"/>
      <c r="AE255" s="30"/>
      <c r="AF255" s="58"/>
      <c r="AG255" s="30"/>
      <c r="AH255" s="30"/>
      <c r="AI255" s="30"/>
      <c r="AJ255" s="495"/>
      <c r="AK255" s="495"/>
      <c r="AL255" s="333"/>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row>
    <row r="256" spans="1:78" s="140" customFormat="1" ht="12.75" customHeight="1" thickBot="1" x14ac:dyDescent="0.25">
      <c r="A256" s="777"/>
      <c r="B256" s="1248"/>
      <c r="C256" s="783" t="s">
        <v>4</v>
      </c>
      <c r="D256" s="503" t="str">
        <f>Translations!$B$622</f>
        <v>VD:</v>
      </c>
      <c r="E256" s="1631" t="str">
        <f>Translations!$B$667</f>
        <v>Ar veiklos duomenys gaunami sudedant išmatuotus kiekius (t. y. ne atliekant nuolatinius matavimus)?</v>
      </c>
      <c r="F256" s="1631"/>
      <c r="G256" s="1631"/>
      <c r="H256" s="1631"/>
      <c r="I256" s="1631"/>
      <c r="J256" s="1631"/>
      <c r="K256" s="1631"/>
      <c r="L256" s="1122"/>
      <c r="M256" s="498"/>
      <c r="O256" s="1305"/>
      <c r="P256" s="23"/>
      <c r="Q256" s="23"/>
      <c r="R256" s="23"/>
      <c r="S256" s="23"/>
      <c r="T256" s="23"/>
      <c r="U256" s="23"/>
      <c r="V256" s="30"/>
      <c r="W256" s="30"/>
      <c r="X256" s="30"/>
      <c r="Y256" s="485"/>
      <c r="Z256" s="30"/>
      <c r="AA256" s="30"/>
      <c r="AB256" s="30"/>
      <c r="AC256" s="1115" t="b">
        <f>AND(E251&lt;&gt;"",T252&lt;&gt;TRUE)</f>
        <v>0</v>
      </c>
      <c r="AD256" s="30"/>
      <c r="AE256" s="30"/>
      <c r="AF256" s="58"/>
      <c r="AG256" s="30"/>
      <c r="AH256" s="30"/>
      <c r="AI256" s="30"/>
      <c r="AJ256" s="495"/>
      <c r="AK256" s="495"/>
      <c r="AL256" s="333"/>
      <c r="AM256" s="30"/>
      <c r="AN256" s="30"/>
      <c r="AO256" s="30"/>
      <c r="AP256" s="30"/>
      <c r="AQ256" s="30"/>
      <c r="AR256" s="30"/>
      <c r="AS256" s="30"/>
      <c r="AT256" s="1115" t="b">
        <f>MSPara_BatchReportingMandatory&lt;&gt;TRUE</f>
        <v>0</v>
      </c>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1115" t="b">
        <f>OR(CNTR_CalcRelevant=EUconst_NotRelevant,AND(COUNTA(CNTR_ListRelevantSections)&gt;0,OR(T252=TRUE,E251="")))</f>
        <v>1</v>
      </c>
    </row>
    <row r="257" spans="1:78" s="140" customFormat="1" ht="5.0999999999999996" customHeight="1" thickBot="1" x14ac:dyDescent="0.25">
      <c r="A257" s="777"/>
      <c r="B257" s="1248"/>
      <c r="C257" s="164"/>
      <c r="D257" s="164"/>
      <c r="E257" s="164"/>
      <c r="F257" s="164"/>
      <c r="G257" s="164"/>
      <c r="H257" s="486"/>
      <c r="I257" s="486"/>
      <c r="J257" s="486"/>
      <c r="K257" s="486"/>
      <c r="L257" s="486"/>
      <c r="M257" s="498"/>
      <c r="O257" s="1305"/>
      <c r="P257" s="23"/>
      <c r="Q257" s="23"/>
      <c r="R257" s="23"/>
      <c r="S257" s="23"/>
      <c r="T257" s="23"/>
      <c r="U257" s="23"/>
      <c r="V257" s="30"/>
      <c r="W257" s="30"/>
      <c r="X257" s="30"/>
      <c r="Y257" s="485"/>
      <c r="Z257" s="30"/>
      <c r="AA257" s="30"/>
      <c r="AB257" s="30"/>
      <c r="AC257" s="483"/>
      <c r="AD257" s="30"/>
      <c r="AE257" s="30"/>
      <c r="AF257" s="58"/>
      <c r="AG257" s="30"/>
      <c r="AH257" s="30"/>
      <c r="AI257" s="30"/>
      <c r="AJ257" s="495"/>
      <c r="AK257" s="495"/>
      <c r="AL257" s="333"/>
      <c r="AM257" s="30"/>
      <c r="AN257" s="30"/>
      <c r="AO257" s="30"/>
      <c r="AP257" s="30"/>
      <c r="AQ257" s="30"/>
      <c r="AR257" s="30"/>
      <c r="AS257" s="30"/>
      <c r="AT257" s="483"/>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483"/>
    </row>
    <row r="258" spans="1:78" s="140" customFormat="1" ht="12.75" customHeight="1" thickBot="1" x14ac:dyDescent="0.25">
      <c r="A258" s="777"/>
      <c r="B258" s="1248"/>
      <c r="C258" s="783" t="s">
        <v>5</v>
      </c>
      <c r="D258" s="503" t="str">
        <f>Translations!$B$622</f>
        <v>VD:</v>
      </c>
      <c r="E258" s="1105" t="str">
        <f>Translations!$B$668</f>
        <v>Pradinis kiekis:</v>
      </c>
      <c r="F258" s="1123"/>
      <c r="G258" s="1106" t="str">
        <f>Translations!$B$669</f>
        <v>Galutinis kiekis:</v>
      </c>
      <c r="H258" s="1123"/>
      <c r="I258" s="1106" t="str">
        <f>Translations!$B$670</f>
        <v>Įsigytas kiekis:</v>
      </c>
      <c r="J258" s="1123"/>
      <c r="K258" s="1106" t="str">
        <f>Translations!$B$671</f>
        <v>Perduotas kiekis:</v>
      </c>
      <c r="L258" s="1123"/>
      <c r="M258" s="1107" t="str">
        <f>IF(AND(L256=TRUE,COUNT(F258,H258,J258,L258)&lt;4),EUconst_ERR_Incomplete,"")</f>
        <v/>
      </c>
      <c r="O258" s="1305"/>
      <c r="P258" s="23"/>
      <c r="Q258" s="23"/>
      <c r="R258" s="23"/>
      <c r="S258" s="23"/>
      <c r="T258" s="23"/>
      <c r="U258" s="23"/>
      <c r="V258" s="30"/>
      <c r="W258" s="30"/>
      <c r="X258" s="30"/>
      <c r="Y258" s="485"/>
      <c r="Z258" s="30"/>
      <c r="AA258" s="30"/>
      <c r="AB258" s="30"/>
      <c r="AC258" s="1115" t="b">
        <f>AC256</f>
        <v>0</v>
      </c>
      <c r="AD258" s="30"/>
      <c r="AE258" s="30"/>
      <c r="AF258" s="58"/>
      <c r="AG258" s="30"/>
      <c r="AH258" s="30"/>
      <c r="AI258" s="30"/>
      <c r="AJ258" s="495"/>
      <c r="AK258" s="495"/>
      <c r="AL258" s="333"/>
      <c r="AM258" s="30"/>
      <c r="AN258" s="30"/>
      <c r="AO258" s="30"/>
      <c r="AP258" s="30"/>
      <c r="AQ258" s="30"/>
      <c r="AR258" s="30"/>
      <c r="AS258" s="30"/>
      <c r="AT258" s="1115" t="b">
        <f>AND(AT256=TRUE,L256="")</f>
        <v>0</v>
      </c>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1115" t="b">
        <f>OR(BZ256,AND(NOT(ISBLANK(L256)),L256=FALSE))</f>
        <v>1</v>
      </c>
    </row>
    <row r="259" spans="1:78" s="140" customFormat="1" ht="5.0999999999999996" customHeight="1" thickBot="1" x14ac:dyDescent="0.25">
      <c r="A259" s="777"/>
      <c r="B259" s="1248"/>
      <c r="C259" s="164"/>
      <c r="D259" s="164"/>
      <c r="E259" s="164"/>
      <c r="F259" s="164"/>
      <c r="G259" s="164"/>
      <c r="M259" s="141"/>
      <c r="N259" s="141"/>
      <c r="O259" s="1305"/>
      <c r="P259" s="23"/>
      <c r="Q259" s="23"/>
      <c r="R259" s="23"/>
      <c r="S259" s="23"/>
      <c r="T259" s="23"/>
      <c r="U259" s="23"/>
      <c r="V259" s="30"/>
      <c r="W259" s="30"/>
      <c r="X259" s="30"/>
      <c r="Y259" s="485"/>
      <c r="Z259" s="30"/>
      <c r="AA259" s="30"/>
      <c r="AB259" s="30"/>
      <c r="AC259" s="30"/>
      <c r="AD259" s="30"/>
      <c r="AE259" s="30"/>
      <c r="AF259" s="58"/>
      <c r="AG259" s="30"/>
      <c r="AH259" s="30"/>
      <c r="AI259" s="30"/>
      <c r="AJ259" s="495"/>
      <c r="AK259" s="495"/>
      <c r="AL259" s="333"/>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row>
    <row r="260" spans="1:78" s="140" customFormat="1" ht="12.75" customHeight="1" thickBot="1" x14ac:dyDescent="0.25">
      <c r="A260" s="777"/>
      <c r="B260" s="1248"/>
      <c r="C260" s="164"/>
      <c r="D260" s="164"/>
      <c r="E260" s="164"/>
      <c r="F260" s="497" t="str">
        <f>Translations!$B$333</f>
        <v>Pakopa</v>
      </c>
      <c r="G260" s="1613" t="str">
        <f>Translations!$B$672</f>
        <v>pakopos aprašas</v>
      </c>
      <c r="H260" s="1613"/>
      <c r="I260" s="1608" t="str">
        <f>Translations!$B$158</f>
        <v>Vienetas</v>
      </c>
      <c r="J260" s="1608"/>
      <c r="K260" s="1608" t="str">
        <f>Translations!$B$673</f>
        <v>Vertė</v>
      </c>
      <c r="L260" s="1608"/>
      <c r="M260" s="498" t="str">
        <f>Translations!$B$610</f>
        <v>klaida</v>
      </c>
      <c r="O260" s="1305"/>
      <c r="P260" s="499"/>
      <c r="Q260" s="343" t="str">
        <f>EUconst_SumEnergyIN &amp; "_" &amp; K251</f>
        <v>SUM_EnergyIN_</v>
      </c>
      <c r="R260" s="390" t="str">
        <f>IF(OR(K251="",T252)=TRUE,"",INDEX(BC266:BE266,MATCH(K251,BC261:BE261,0)))</f>
        <v/>
      </c>
      <c r="S260" s="30"/>
      <c r="T260" s="480"/>
      <c r="U260" s="30"/>
      <c r="V260" s="500" t="s">
        <v>298</v>
      </c>
      <c r="W260" s="30"/>
      <c r="X260" s="30"/>
      <c r="Y260" s="485" t="s">
        <v>560</v>
      </c>
      <c r="Z260" s="485" t="s">
        <v>313</v>
      </c>
      <c r="AA260" s="30"/>
      <c r="AB260" s="30"/>
      <c r="AC260" s="496" t="s">
        <v>304</v>
      </c>
      <c r="AD260" s="30"/>
      <c r="AE260" s="30"/>
      <c r="AF260" s="483" t="s">
        <v>300</v>
      </c>
      <c r="AG260" s="483" t="s">
        <v>301</v>
      </c>
      <c r="AH260" s="485" t="s">
        <v>299</v>
      </c>
      <c r="AI260" s="495" t="s">
        <v>302</v>
      </c>
      <c r="AJ260" s="495" t="s">
        <v>561</v>
      </c>
      <c r="AK260" s="501" t="s">
        <v>306</v>
      </c>
      <c r="AL260" s="333"/>
      <c r="AM260" s="30"/>
      <c r="AN260" s="483" t="s">
        <v>300</v>
      </c>
      <c r="AO260" s="483" t="s">
        <v>301</v>
      </c>
      <c r="AP260" s="502" t="s">
        <v>305</v>
      </c>
      <c r="AQ260" s="495" t="s">
        <v>563</v>
      </c>
      <c r="AR260" s="495" t="s">
        <v>562</v>
      </c>
      <c r="AS260" s="501" t="s">
        <v>306</v>
      </c>
      <c r="AT260" s="501" t="s">
        <v>306</v>
      </c>
      <c r="AU260" s="30"/>
      <c r="AV260" s="483"/>
      <c r="AW260" s="483"/>
      <c r="AX260" s="483" t="s">
        <v>316</v>
      </c>
      <c r="AY260" s="483"/>
      <c r="AZ260" s="483"/>
      <c r="BA260" s="483"/>
      <c r="BB260" s="483"/>
      <c r="BC260" s="483"/>
      <c r="BD260" s="483"/>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484" t="s">
        <v>259</v>
      </c>
    </row>
    <row r="261" spans="1:78" s="140" customFormat="1" ht="12.75" customHeight="1" thickBot="1" x14ac:dyDescent="0.25">
      <c r="A261" s="777"/>
      <c r="B261" s="1248"/>
      <c r="C261" s="753" t="s">
        <v>194</v>
      </c>
      <c r="D261" s="503" t="str">
        <f>Translations!$B$622</f>
        <v>VD:</v>
      </c>
      <c r="E261" s="504"/>
      <c r="F261" s="393"/>
      <c r="G261" s="1603" t="str">
        <f>IF(OR(ISBLANK(F261),F261=EUconst_NoTier),"",IF(Z261=0,EUconst_NA,IF(ISERROR(Z261),"",Z261)))</f>
        <v/>
      </c>
      <c r="H261" s="1604"/>
      <c r="I261" s="1108" t="str">
        <f>IF(J261&lt;&gt;"","",AI261)</f>
        <v/>
      </c>
      <c r="J261" s="1109"/>
      <c r="K261" s="1116" t="str">
        <f>IF(L261="",AQ261,"")</f>
        <v/>
      </c>
      <c r="L261" s="1199"/>
      <c r="M261" s="700" t="str">
        <f>IF(AND(E252&lt;&gt;"",OR(F261="",COUNT(K261:L261)=0),Y261&lt;&gt;EUconst_NA,T252&lt;&gt;TRUE),EUconst_ERR_Incomplete,IF(COUNTIF(AX261:AZ261,TRUE)&gt;0,EUconst_ERR_Inconsistent,""))</f>
        <v/>
      </c>
      <c r="O261" s="1305"/>
      <c r="P261" s="635"/>
      <c r="Q261" s="343" t="str">
        <f>EUconst_SumBioEnergyIN &amp; "_" &amp; K251</f>
        <v>SUM_BioEnergyIN_</v>
      </c>
      <c r="R261" s="390" t="str">
        <f>IF(OR(K251="",T252)=TRUE,"",INDEX(BC267:BE267,MATCH(K251,BC261:BE261,0)))</f>
        <v/>
      </c>
      <c r="S261" s="30"/>
      <c r="T261" s="505" t="str">
        <f>EUconst_CNTR_ActivityData&amp;E252</f>
        <v>ActivityData_</v>
      </c>
      <c r="U261" s="488"/>
      <c r="V261" s="505" t="str">
        <f>IF(E251="","",INDEX(B_InstallationDescription!$I$71:$I$145,MATCH(U250,B_InstallationDescription!$D$71:$D$145,0)))</f>
        <v/>
      </c>
      <c r="W261" s="495" t="s">
        <v>533</v>
      </c>
      <c r="X261" s="488"/>
      <c r="Y261" s="506" t="str">
        <f>IF(OR(T252=TRUE,E252=""),"",INDEX(EUwideConstants!$N:$N,MATCH(T261,EUwideConstants!$Q:$Q,0)))</f>
        <v/>
      </c>
      <c r="Z261" s="507" t="str">
        <f>IF(ISBLANK(F261),"",IF(F261=EUconst_NA,"",INDEX(EUwideConstants!$H:$M,MATCH(T261,EUwideConstants!$Q:$Q,0),MATCH(F261,CNTR_TierList,0))))</f>
        <v/>
      </c>
      <c r="AA261" s="508" t="s">
        <v>299</v>
      </c>
      <c r="AB261" s="495"/>
      <c r="AC261" s="509" t="b">
        <f>AC256</f>
        <v>0</v>
      </c>
      <c r="AD261" s="30"/>
      <c r="AE261" s="510" t="str">
        <f>EUconst_CNTR_ActivityData&amp;EUconst_Unit</f>
        <v>ActivityData_Vienetas</v>
      </c>
      <c r="AF261" s="511" t="str">
        <f>IF(AC261=TRUE, IF(COUNTIF(MSPara_SourceStreamCategory,V261)=0,"",INDEX(MSPara_CalcFactorsMatrix,MATCH(V261,MSPara_SourceStreamCategory,0),MATCH(AE261&amp;"_"&amp;2,MSPara_CalcFactors,0))),"")</f>
        <v/>
      </c>
      <c r="AG261" s="512" t="str">
        <f>IF(AC261=TRUE, IF(COUNTIF(MSPara_SourceStreamCategory,V261)=0,"",INDEX(MSPara_CalcFactorsMatrix,MATCH(V261,MSPara_SourceStreamCategory,0),MATCH(AE261&amp;"_"&amp;1,MSPara_CalcFactors,0))),"")</f>
        <v/>
      </c>
      <c r="AH261" s="509" t="str">
        <f>IF(OR(AF261="",AF261=EUconst_NA),IF(OR(AG261=EUconst_NA,AG261=""),"",AG261),AF261)</f>
        <v/>
      </c>
      <c r="AI261" s="506" t="str">
        <f>IF(AC261=TRUE,IF(AH261="",EUconst_t,AH261),"")</f>
        <v/>
      </c>
      <c r="AJ261" s="513" t="str">
        <f>IF(J261="",AI261,J261)</f>
        <v/>
      </c>
      <c r="AK261" s="514" t="b">
        <f>IF(K251=EUconst_Fuel,J261&lt;&gt;"",FALSE)</f>
        <v>0</v>
      </c>
      <c r="AL261" s="333"/>
      <c r="AM261" s="505" t="str">
        <f>EUconst_CNTR_ActivityData&amp;EUconst_Value</f>
        <v>ActivityData_Vertė</v>
      </c>
      <c r="AN261" s="496"/>
      <c r="AO261" s="496"/>
      <c r="AP261" s="509" t="b">
        <f>AND(AND(AH261&lt;&gt;"",AJ261&lt;&gt;""),AJ261=AH261)</f>
        <v>0</v>
      </c>
      <c r="AQ261" s="610" t="str">
        <f>IF(L256=TRUE,SUM(F258)-SUM(H258)+SUM(J258)-SUM(L258),"")</f>
        <v/>
      </c>
      <c r="AR261" s="509">
        <f>IF(Y261=EUconst_NA,0,IF(COUNT(K261:L261)=0,0,IF(L261="",K261,L261)))</f>
        <v>0</v>
      </c>
      <c r="AS261" s="1115" t="b">
        <f>AND(AC261=TRUE,OR(L261&lt;&gt;"",AQ261=""))</f>
        <v>0</v>
      </c>
      <c r="AT261" s="1115" t="b">
        <f>AND(AC261=TRUE,NOT(AS261))</f>
        <v>0</v>
      </c>
      <c r="AU261" s="30"/>
      <c r="AV261" s="483" t="s">
        <v>309</v>
      </c>
      <c r="AW261" s="483" t="s">
        <v>314</v>
      </c>
      <c r="AX261" s="515"/>
      <c r="AY261" s="30" t="s">
        <v>536</v>
      </c>
      <c r="AZ261" s="30"/>
      <c r="BA261" s="30"/>
      <c r="BB261" s="495"/>
      <c r="BC261" s="484" t="str">
        <f>EUconst_Fuel</f>
        <v>Degimas</v>
      </c>
      <c r="BD261" s="484" t="str">
        <f>EUconst_ProcessCarbonate</f>
        <v>Proceso metu išsiskiriančios ŠESD</v>
      </c>
      <c r="BE261" s="484" t="str">
        <f>EUconst_MassBalance</f>
        <v>Masės balansas</v>
      </c>
      <c r="BF261" s="30"/>
      <c r="BG261" s="30"/>
      <c r="BH261" s="30"/>
      <c r="BI261" s="30"/>
      <c r="BJ261" s="30"/>
      <c r="BK261" s="30"/>
      <c r="BL261" s="30"/>
      <c r="BM261" s="30"/>
      <c r="BN261" s="30"/>
      <c r="BO261" s="30"/>
      <c r="BP261" s="30"/>
      <c r="BQ261" s="30"/>
      <c r="BR261" s="30"/>
      <c r="BS261" s="30"/>
      <c r="BT261" s="30"/>
      <c r="BU261" s="30"/>
      <c r="BV261" s="30"/>
      <c r="BW261" s="30"/>
      <c r="BX261" s="30"/>
      <c r="BY261" s="30"/>
      <c r="BZ261" s="515" t="b">
        <f>BZ256</f>
        <v>1</v>
      </c>
    </row>
    <row r="262" spans="1:78" s="140" customFormat="1" ht="5.0999999999999996" customHeight="1" thickBot="1" x14ac:dyDescent="0.25">
      <c r="A262" s="777"/>
      <c r="B262" s="1248"/>
      <c r="C262" s="783"/>
      <c r="D262" s="298"/>
      <c r="F262" s="141"/>
      <c r="G262" s="141"/>
      <c r="H262" s="141" t="s">
        <v>233</v>
      </c>
      <c r="I262" s="516"/>
      <c r="J262" s="516"/>
      <c r="K262" s="141"/>
      <c r="L262" s="141"/>
      <c r="M262" s="701"/>
      <c r="O262" s="1305"/>
      <c r="P262" s="33"/>
      <c r="Q262" s="33"/>
      <c r="R262" s="33"/>
      <c r="S262" s="30"/>
      <c r="T262" s="153"/>
      <c r="U262" s="488"/>
      <c r="V262" s="30"/>
      <c r="W262" s="30"/>
      <c r="X262" s="488"/>
      <c r="Y262" s="517"/>
      <c r="Z262" s="30"/>
      <c r="AA262" s="30"/>
      <c r="AB262" s="30"/>
      <c r="AC262" s="30"/>
      <c r="AD262" s="30"/>
      <c r="AE262" s="30"/>
      <c r="AF262" s="30"/>
      <c r="AG262" s="30"/>
      <c r="AH262" s="30"/>
      <c r="AI262" s="30"/>
      <c r="AJ262" s="30"/>
      <c r="AK262" s="30"/>
      <c r="AL262" s="333"/>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484"/>
    </row>
    <row r="263" spans="1:78" s="140" customFormat="1" ht="12.75" customHeight="1" thickBot="1" x14ac:dyDescent="0.25">
      <c r="A263" s="777"/>
      <c r="B263" s="1248"/>
      <c r="C263" s="783" t="s">
        <v>195</v>
      </c>
      <c r="D263" s="503" t="str">
        <f>Translations!$B$634</f>
        <v>(prelim.) ITF:</v>
      </c>
      <c r="E263" s="504"/>
      <c r="F263" s="518"/>
      <c r="G263" s="1603" t="str">
        <f t="shared" ref="G263:G269" si="49">IF(OR(ISBLANK(F263),F263=EUconst_NoTier),"",IF(Z263=0,EUconst_NotApplicable,IF(ISERROR(Z263),"",Z263)))</f>
        <v/>
      </c>
      <c r="H263" s="1609"/>
      <c r="I263" s="1110" t="str">
        <f>IF(J263&lt;&gt;"","",AI263)</f>
        <v/>
      </c>
      <c r="J263" s="1111"/>
      <c r="K263" s="519" t="str">
        <f t="shared" ref="K263:K269" si="50">IF(L263="",AQ263,"")</f>
        <v/>
      </c>
      <c r="L263" s="520"/>
      <c r="M263" s="700" t="str">
        <f>IF(AND(E252&lt;&gt;"",OR(F263="",COUNT(K263:L263)=0),Y263&lt;&gt;EUconst_NA,T252&lt;&gt;TRUE),EUconst_ERR_Incomplete,IF(COUNTIF(AX263:AZ263,TRUE)&gt;0,EUconst_ERR_Inconsistent,""))</f>
        <v/>
      </c>
      <c r="N263" s="486"/>
      <c r="O263" s="1305"/>
      <c r="P263" s="33"/>
      <c r="Q263" s="33"/>
      <c r="R263" s="33"/>
      <c r="S263" s="30"/>
      <c r="T263" s="521" t="str">
        <f>EUconst_CNTR_EF&amp;E252</f>
        <v>EF_</v>
      </c>
      <c r="U263" s="488"/>
      <c r="V263" s="522" t="str">
        <f>V261</f>
        <v/>
      </c>
      <c r="W263" s="30"/>
      <c r="X263" s="488"/>
      <c r="Y263" s="523" t="str">
        <f>IF(OR(T252=TRUE,E252=""),"",IF(F263=EUconst_NA,EUconst_NA,INDEX(EUwideConstants!$N:$N,MATCH(T263,EUwideConstants!$Q:$Q,0))))</f>
        <v/>
      </c>
      <c r="Z263" s="524" t="str">
        <f>IF(ISBLANK(F263),"",IF(F263=EUconst_NA,"",INDEX(EUwideConstants!$H:$M,MATCH(T263,EUwideConstants!$Q:$Q,0),MATCH(F263,CNTR_TierList,0))))</f>
        <v/>
      </c>
      <c r="AA263" s="525" t="str">
        <f>IF(COUNTIF(EUconst_DefaultValues,Z263)&gt;0,MATCH(Z263,EUconst_DefaultValues,0),"")</f>
        <v/>
      </c>
      <c r="AB263" s="30"/>
      <c r="AC263" s="526" t="b">
        <f>AND(AC261,Y263&lt;&gt;EUconst_NA)</f>
        <v>0</v>
      </c>
      <c r="AD263" s="30"/>
      <c r="AE263" s="510" t="str">
        <f>EUconst_CNTR_EF&amp;EUconst_Unit</f>
        <v>EF_Vienetas</v>
      </c>
      <c r="AF263" s="527" t="str">
        <f>IF(AC263=TRUE, IF(COUNTIF(MSPara_SourceStreamCategory,V263)=0,"",INDEX(MSPara_CalcFactorsMatrix,MATCH(V263,MSPara_SourceStreamCategory,0),MATCH(AE263&amp;"_"&amp;2,MSPara_CalcFactors,0))),"")</f>
        <v/>
      </c>
      <c r="AG263" s="528" t="str">
        <f>IF(AC263=TRUE, IF(COUNTIF(MSPara_SourceStreamCategory,V263)=0,"",INDEX(MSPara_CalcFactorsMatrix,MATCH(V263,MSPara_SourceStreamCategory,0),MATCH(AE263&amp;"_"&amp;1,MSPara_CalcFactors,0))),"")</f>
        <v/>
      </c>
      <c r="AH263" s="529" t="str">
        <f>IF(AA263="","",INDEX(AF263:AG263,3-AA263))</f>
        <v/>
      </c>
      <c r="AI263" s="530" t="str">
        <f>IF(AC263=TRUE,IF(OR(AH263="",AH263=EUconst_NA),IF(K251=EUconst_Fuel,EUconst_tCO2pTJ,EUconst_tCO2pt),AH263),"")</f>
        <v/>
      </c>
      <c r="AJ263" s="526" t="str">
        <f>IF(J263="",AI263,J263)</f>
        <v/>
      </c>
      <c r="AK263" s="531" t="b">
        <f>IF(K251=EUconst_Fuel,J263&lt;&gt;"",FALSE)</f>
        <v>0</v>
      </c>
      <c r="AL263" s="333"/>
      <c r="AM263" s="510" t="str">
        <f>EUconst_CNTR_EF&amp;EUconst_Value</f>
        <v>EF_Vertė</v>
      </c>
      <c r="AN263" s="532" t="str">
        <f>IF(AC263=TRUE,IF(COUNTIF(MSPara_SourceStreamCategory,V263)=0,"",INDEX(MSPara_CalcFactorsMatrix,MATCH(V263,MSPara_SourceStreamCategory,0),MATCH(AM263&amp;"_"&amp;2,MSPara_CalcFactors,0))),"")</f>
        <v/>
      </c>
      <c r="AO263" s="533" t="str">
        <f>IF(AC263=TRUE,IF(COUNTIF(MSPara_SourceStreamCategory,V263)=0,"",INDEX(MSPara_CalcFactorsMatrix,MATCH(V263,MSPara_SourceStreamCategory,0),MATCH(AM263&amp;"_"&amp;1,MSPara_CalcFactors,0))),"")</f>
        <v/>
      </c>
      <c r="AP263" s="526" t="b">
        <f>AND(AND(AH263&lt;&gt;"",AJ263&lt;&gt;""),AJ263=AH263)</f>
        <v>0</v>
      </c>
      <c r="AQ263" s="534" t="str">
        <f>IF(AND(AA263&lt;&gt;"",AP263=TRUE),IF(OR(INDEX(AN263:AO263,3-AA263)=EUconst_NA,INDEX(AN263:AO263,3-AA263)=0),"",INDEX(AN263:AO263,3-AA263)),"")</f>
        <v/>
      </c>
      <c r="AR263" s="526">
        <f>IF(AC263=TRUE,IF(COUNT(K263:L263)=0,0,IF(L263="",K263,L263)),0)</f>
        <v>0</v>
      </c>
      <c r="AS263" s="522" t="b">
        <f>AND(AC263=TRUE,OR(AND(F263&lt;&gt;"",NOT(ISNUMBER(AA263))),L263&lt;&gt;"",F263="",AQ263=""))</f>
        <v>0</v>
      </c>
      <c r="AT263" s="522" t="b">
        <f t="shared" ref="AT263:AT269" si="51">AND(AC263=TRUE,NOT(AS263))</f>
        <v>0</v>
      </c>
      <c r="AU263" s="30"/>
      <c r="AV263" s="535" t="b">
        <f t="shared" ref="AV263:AV269" si="52">AND(ISNUMBER(AA263),AQ263="")</f>
        <v>0</v>
      </c>
      <c r="AW263" s="536" t="b">
        <f t="shared" ref="AW263:AW269" si="53">AND(ISNUMBER(AA263),AQ263&lt;&gt;AR263)</f>
        <v>0</v>
      </c>
      <c r="AX263" s="537" t="b">
        <f>OR(AND(AJ261=EUconst_kNm3,AJ263=EUconst_tCO2pt),AND(AJ261=EUconst_t,AJ263=EUconst_tCO2pkNm3))</f>
        <v>0</v>
      </c>
      <c r="AY263" s="522" t="b">
        <f t="shared" ref="AY263:AY269" si="54">AND(L263&lt;&gt;"",Y263=EUconst_NA)</f>
        <v>0</v>
      </c>
      <c r="AZ263" s="30"/>
      <c r="BA263" s="30"/>
      <c r="BB263" s="538" t="s">
        <v>588</v>
      </c>
      <c r="BC263" s="537" t="str">
        <f>IF(K251=BC261,AR261*IF(AJ263=EUconst_tCO2pTJ,(AR264/1000),1)*AR263*AR265*AR269,"")</f>
        <v/>
      </c>
      <c r="BD263" s="515" t="str">
        <f>IF(K251=BD261,AR261*AR263*AR266*AR269,"")</f>
        <v/>
      </c>
      <c r="BE263" s="514" t="str">
        <f>IF(K251=BE261,3.664*AR261*AR267*AR269,"")</f>
        <v/>
      </c>
      <c r="BF263" s="30"/>
      <c r="BG263" s="30"/>
      <c r="BH263" s="30"/>
      <c r="BI263" s="30"/>
      <c r="BJ263" s="30"/>
      <c r="BK263" s="30"/>
      <c r="BL263" s="30"/>
      <c r="BM263" s="30"/>
      <c r="BN263" s="30"/>
      <c r="BO263" s="30"/>
      <c r="BP263" s="30"/>
      <c r="BQ263" s="30"/>
      <c r="BR263" s="30"/>
      <c r="BS263" s="30"/>
      <c r="BT263" s="30"/>
      <c r="BU263" s="30"/>
      <c r="BV263" s="30"/>
      <c r="BW263" s="30"/>
      <c r="BX263" s="30"/>
      <c r="BY263" s="30"/>
      <c r="BZ263" s="522" t="b">
        <f>OR(BZ261,Y263=EUconst_NA)</f>
        <v>1</v>
      </c>
    </row>
    <row r="264" spans="1:78" s="140" customFormat="1" ht="12.75" customHeight="1" thickBot="1" x14ac:dyDescent="0.25">
      <c r="A264" s="777"/>
      <c r="B264" s="1248"/>
      <c r="C264" s="783" t="s">
        <v>196</v>
      </c>
      <c r="D264" s="503" t="str">
        <f>Translations!$B$636</f>
        <v>GŠV:</v>
      </c>
      <c r="E264" s="504"/>
      <c r="F264" s="539"/>
      <c r="G264" s="1603" t="str">
        <f t="shared" si="49"/>
        <v/>
      </c>
      <c r="H264" s="1604"/>
      <c r="I264" s="1112" t="str">
        <f>AJ264</f>
        <v/>
      </c>
      <c r="J264" s="540"/>
      <c r="K264" s="541" t="str">
        <f t="shared" si="50"/>
        <v/>
      </c>
      <c r="L264" s="542"/>
      <c r="M264" s="700" t="str">
        <f>IF(AND(E252&lt;&gt;"",OR(F264="",COUNT(K264:L264)=0),Y264&lt;&gt;EUconst_NA,T252&lt;&gt;TRUE),EUconst_ERR_Incomplete,IF(COUNTIF(AX264:AZ264,TRUE)&gt;0,EUconst_ERR_Inconsistent,""))</f>
        <v/>
      </c>
      <c r="O264" s="1305"/>
      <c r="P264" s="33"/>
      <c r="Q264" s="33"/>
      <c r="R264" s="33"/>
      <c r="S264" s="30"/>
      <c r="T264" s="543" t="str">
        <f>EUconst_CNTR_NCV&amp;E252</f>
        <v>NCV_</v>
      </c>
      <c r="U264" s="488"/>
      <c r="V264" s="544" t="str">
        <f t="shared" ref="V264:V269" si="55">V263</f>
        <v/>
      </c>
      <c r="W264" s="30"/>
      <c r="X264" s="488"/>
      <c r="Y264" s="545" t="str">
        <f>IF(OR(T252=TRUE,E252=""),"",IF(F264=EUconst_NA,EUconst_NA,INDEX(EUwideConstants!$N:$N,MATCH(T264,EUwideConstants!$Q:$Q,0))))</f>
        <v/>
      </c>
      <c r="Z264" s="546" t="str">
        <f>IF(ISBLANK(F264),"",IF(F264=EUconst_NA,"",INDEX(EUwideConstants!$H:$M,MATCH(T264,EUwideConstants!$Q:$Q,0),MATCH(F264,CNTR_TierList,0))))</f>
        <v/>
      </c>
      <c r="AA264" s="547" t="str">
        <f>IF(COUNTIF(EUconst_DefaultValues,Z264)&gt;0,MATCH(Z264,EUconst_DefaultValues,0),"")</f>
        <v/>
      </c>
      <c r="AB264" s="30"/>
      <c r="AC264" s="548" t="b">
        <f>AND(AC261,Y264&lt;&gt;EUconst_NA)</f>
        <v>0</v>
      </c>
      <c r="AD264" s="30"/>
      <c r="AE264" s="549" t="str">
        <f>EUconst_CNTR_NCV&amp;EUconst_Unit</f>
        <v>NCV_Vienetas</v>
      </c>
      <c r="AF264" s="550" t="str">
        <f>IF(AC264=TRUE, IF(COUNTIF(MSPara_SourceStreamCategory,V264)=0,"",INDEX(MSPara_CalcFactorsMatrix,MATCH(V264,MSPara_SourceStreamCategory,0),MATCH(AE264&amp;"_"&amp;2,MSPara_CalcFactors,0))),"")</f>
        <v/>
      </c>
      <c r="AG264" s="551" t="str">
        <f>IF(AC264=TRUE, IF(COUNTIF(MSPara_SourceStreamCategory,V264)=0,"",INDEX(MSPara_CalcFactorsMatrix,MATCH(V264,MSPara_SourceStreamCategory,0),MATCH(AE264&amp;"_"&amp;1,MSPara_CalcFactors,0))),"")</f>
        <v/>
      </c>
      <c r="AH264" s="552" t="str">
        <f>IF(AA264="","",INDEX(AF264:AG264,3-AA264))</f>
        <v/>
      </c>
      <c r="AI264" s="553"/>
      <c r="AJ264" s="548" t="str">
        <f>IF(AC264=TRUE,IF(AJ261="","",IF(AJ261=EUconst_kNm3,EUconst_GJpkNm3,EUconst_GJpt)),"")</f>
        <v/>
      </c>
      <c r="AK264" s="554"/>
      <c r="AL264" s="333"/>
      <c r="AM264" s="549" t="str">
        <f>EUconst_CNTR_NCV&amp;EUconst_Value</f>
        <v>NCV_Vertė</v>
      </c>
      <c r="AN264" s="555" t="str">
        <f>IF(AC264=TRUE,IF(COUNTIF(MSPara_SourceStreamCategory,V264)=0,"",INDEX(MSPara_CalcFactorsMatrix,MATCH(V264,MSPara_SourceStreamCategory,0),MATCH(AM264&amp;"_"&amp;2,MSPara_CalcFactors,0))),"")</f>
        <v/>
      </c>
      <c r="AO264" s="556" t="str">
        <f>IF(AC264=TRUE,IF(COUNTIF(MSPara_SourceStreamCategory,V264)=0,"",INDEX(MSPara_CalcFactorsMatrix,MATCH(V264,MSPara_SourceStreamCategory,0),MATCH(AM264&amp;"_"&amp;1,MSPara_CalcFactors,0))),"")</f>
        <v/>
      </c>
      <c r="AP264" s="548" t="b">
        <f>AND(AND(AH264&lt;&gt;"",AJ264&lt;&gt;""),AJ264=AH264)</f>
        <v>0</v>
      </c>
      <c r="AQ264" s="557" t="str">
        <f>IF(AND(AA264&lt;&gt;"",AP264=TRUE),IF(OR(INDEX(AN264:AO264,3-AA264)=EUconst_NA,INDEX(AN264:AO264,3-AA264)=0),"",INDEX(AN264:AO264,3-AA264)),"")</f>
        <v/>
      </c>
      <c r="AR264" s="548">
        <f>IF(AC264=TRUE,IF(COUNT(K264:L264)=0,0,IF(L264="",K264,L264)),0)</f>
        <v>0</v>
      </c>
      <c r="AS264" s="544" t="b">
        <f>AND(AC264=TRUE,OR(AND(F264&lt;&gt;"",NOT(ISNUMBER(AA264))),L264&lt;&gt;"",F264="",AQ264=""))</f>
        <v>0</v>
      </c>
      <c r="AT264" s="544" t="b">
        <f t="shared" si="51"/>
        <v>0</v>
      </c>
      <c r="AU264" s="30"/>
      <c r="AV264" s="558" t="b">
        <f t="shared" si="52"/>
        <v>0</v>
      </c>
      <c r="AW264" s="559" t="b">
        <f t="shared" si="53"/>
        <v>0</v>
      </c>
      <c r="AX264" s="30"/>
      <c r="AY264" s="544" t="b">
        <f t="shared" si="54"/>
        <v>0</v>
      </c>
      <c r="AZ264" s="30"/>
      <c r="BA264" s="30"/>
      <c r="BB264" s="538" t="s">
        <v>589</v>
      </c>
      <c r="BC264" s="537" t="str">
        <f>IF(K251=BC261,AR261*IF(AJ263=EUconst_tCO2pTJ,(AR264/1000),1)*AR263*AR265*AR268,"")</f>
        <v/>
      </c>
      <c r="BD264" s="515" t="str">
        <f>IF(K251=BD261,AR261*AR263*AR266*AR268,"")</f>
        <v/>
      </c>
      <c r="BE264" s="514" t="str">
        <f>IF(K251=BE261,3.664*AR261*AR267*AR268,"")</f>
        <v/>
      </c>
      <c r="BF264" s="30"/>
      <c r="BG264" s="30"/>
      <c r="BH264" s="30"/>
      <c r="BI264" s="30"/>
      <c r="BJ264" s="30"/>
      <c r="BK264" s="30"/>
      <c r="BL264" s="30"/>
      <c r="BM264" s="30"/>
      <c r="BN264" s="30"/>
      <c r="BO264" s="30"/>
      <c r="BP264" s="30"/>
      <c r="BQ264" s="30"/>
      <c r="BR264" s="30"/>
      <c r="BS264" s="30"/>
      <c r="BT264" s="30"/>
      <c r="BU264" s="30"/>
      <c r="BV264" s="30"/>
      <c r="BW264" s="30"/>
      <c r="BX264" s="30"/>
      <c r="BY264" s="30"/>
      <c r="BZ264" s="544" t="b">
        <f>OR(BZ261,Y264=EUconst_NA)</f>
        <v>1</v>
      </c>
    </row>
    <row r="265" spans="1:78" s="140" customFormat="1" ht="12.75" customHeight="1" thickBot="1" x14ac:dyDescent="0.25">
      <c r="A265" s="777"/>
      <c r="B265" s="1248"/>
      <c r="C265" s="783" t="s">
        <v>197</v>
      </c>
      <c r="D265" s="503" t="str">
        <f>Translations!$B$638</f>
        <v>Oksidacijos koef.:</v>
      </c>
      <c r="E265" s="504"/>
      <c r="F265" s="539"/>
      <c r="G265" s="1603" t="str">
        <f t="shared" si="49"/>
        <v/>
      </c>
      <c r="H265" s="1604"/>
      <c r="I265" s="1113" t="str">
        <f>IF(OR(AC265=FALSE,Y265=EUconst_NA),"","-")</f>
        <v/>
      </c>
      <c r="J265" s="560"/>
      <c r="K265" s="561" t="str">
        <f t="shared" si="50"/>
        <v/>
      </c>
      <c r="L265" s="694"/>
      <c r="M265" s="700" t="str">
        <f>IF(AND(E252&lt;&gt;"",OR(F265="",COUNT(K265:L265)=0),Y265&lt;&gt;EUconst_NA,T252&lt;&gt;TRUE),EUconst_ERR_Incomplete,IF(COUNTIF(AX265:AZ265,TRUE)&gt;0,EUconst_ERR_Inconsistent,""))</f>
        <v/>
      </c>
      <c r="O265" s="1305"/>
      <c r="P265" s="33"/>
      <c r="Q265" s="33"/>
      <c r="R265" s="33"/>
      <c r="S265" s="30"/>
      <c r="T265" s="543" t="str">
        <f>EUconst_CNTR_OxidationFactor&amp;E252</f>
        <v>OxF_</v>
      </c>
      <c r="U265" s="488"/>
      <c r="V265" s="544" t="str">
        <f t="shared" si="55"/>
        <v/>
      </c>
      <c r="W265" s="30"/>
      <c r="X265" s="488"/>
      <c r="Y265" s="545" t="str">
        <f>IF(OR(T252=TRUE,E252=""),"",INDEX(EUwideConstants!$N:$N,MATCH(T265,EUwideConstants!$Q:$Q,0)))</f>
        <v/>
      </c>
      <c r="Z265" s="546" t="str">
        <f>IF(ISBLANK(F265),"",IF(F265=EUconst_NA,"",INDEX(EUwideConstants!$H:$M,MATCH(T265,EUwideConstants!$Q:$Q,0),MATCH(F265,CNTR_TierList,0))))</f>
        <v/>
      </c>
      <c r="AA265" s="525" t="str">
        <f>IF(F265=1,1,"")</f>
        <v/>
      </c>
      <c r="AB265" s="30"/>
      <c r="AC265" s="548" t="b">
        <f>AND(AC261,Y265&lt;&gt;EUconst_NA)</f>
        <v>0</v>
      </c>
      <c r="AD265" s="30"/>
      <c r="AE265" s="563"/>
      <c r="AG265" s="564"/>
      <c r="AH265" s="553"/>
      <c r="AI265" s="565"/>
      <c r="AJ265" s="553"/>
      <c r="AK265" s="566"/>
      <c r="AL265" s="333"/>
      <c r="AM265" s="549" t="str">
        <f>EUconst_CNTR_OxidationFactor&amp;EUconst_Value</f>
        <v>OxF_Vertė</v>
      </c>
      <c r="AN265" s="567"/>
      <c r="AO265" s="525">
        <v>1</v>
      </c>
      <c r="AP265" s="553"/>
      <c r="AQ265" s="568" t="str">
        <f>IF(AA265="","",AO265)</f>
        <v/>
      </c>
      <c r="AR265" s="548">
        <f>IF(AC265=TRUE,IF(COUNT(K265:L265)=0,0,IF(L265="",K265,L265)),1)</f>
        <v>1</v>
      </c>
      <c r="AS265" s="544" t="b">
        <f>AND(AC265=TRUE,OR(ISNUMBER(L265),NOT(ISNUMBER(AA265))))</f>
        <v>0</v>
      </c>
      <c r="AT265" s="544" t="b">
        <f t="shared" si="51"/>
        <v>0</v>
      </c>
      <c r="AU265" s="30"/>
      <c r="AV265" s="558" t="b">
        <f t="shared" si="52"/>
        <v>0</v>
      </c>
      <c r="AW265" s="559" t="b">
        <f t="shared" si="53"/>
        <v>0</v>
      </c>
      <c r="AX265" s="30"/>
      <c r="AY265" s="585" t="b">
        <f t="shared" si="54"/>
        <v>0</v>
      </c>
      <c r="AZ265" s="522" t="b">
        <f>AR265&gt;100%</f>
        <v>0</v>
      </c>
      <c r="BA265" s="30"/>
      <c r="BB265" s="538" t="s">
        <v>287</v>
      </c>
      <c r="BC265" s="537" t="str">
        <f>IF(K251=BC261,AR261*IF(AJ263=EUconst_tCO2pTJ,(AR264/1000),1)*AR263*AR265*(1-AR268),"")</f>
        <v/>
      </c>
      <c r="BD265" s="515" t="str">
        <f>IF(K251=BD261,AR261*AR263*AR266*(1-AR268),"")</f>
        <v/>
      </c>
      <c r="BE265" s="514" t="str">
        <f>IF(K251=BE261,3.664*AR261*AR267*(1-AR268),"")</f>
        <v/>
      </c>
      <c r="BF265" s="30"/>
      <c r="BG265" s="30"/>
      <c r="BH265" s="30"/>
      <c r="BI265" s="30"/>
      <c r="BJ265" s="30"/>
      <c r="BK265" s="30"/>
      <c r="BL265" s="30"/>
      <c r="BM265" s="30"/>
      <c r="BN265" s="30"/>
      <c r="BO265" s="30"/>
      <c r="BP265" s="30"/>
      <c r="BQ265" s="30"/>
      <c r="BR265" s="30"/>
      <c r="BS265" s="30"/>
      <c r="BT265" s="30"/>
      <c r="BU265" s="30"/>
      <c r="BV265" s="30"/>
      <c r="BW265" s="30"/>
      <c r="BX265" s="30"/>
      <c r="BY265" s="30"/>
      <c r="BZ265" s="544" t="b">
        <f>OR(BZ261,Y265=EUconst_NA)</f>
        <v>1</v>
      </c>
    </row>
    <row r="266" spans="1:78" s="140" customFormat="1" ht="12.75" customHeight="1" thickBot="1" x14ac:dyDescent="0.25">
      <c r="A266" s="777"/>
      <c r="B266" s="1248"/>
      <c r="C266" s="783" t="s">
        <v>198</v>
      </c>
      <c r="D266" s="503" t="str">
        <f>Translations!$B$639</f>
        <v>Konversijos koef.:</v>
      </c>
      <c r="E266" s="504"/>
      <c r="F266" s="539"/>
      <c r="G266" s="1603" t="str">
        <f t="shared" si="49"/>
        <v/>
      </c>
      <c r="H266" s="1604"/>
      <c r="I266" s="1113" t="str">
        <f>IF(OR(AC266=FALSE,Y266=EUconst_NA),"","-")</f>
        <v/>
      </c>
      <c r="J266" s="560"/>
      <c r="K266" s="561" t="str">
        <f t="shared" si="50"/>
        <v/>
      </c>
      <c r="L266" s="694"/>
      <c r="M266" s="700" t="str">
        <f>IF(AND(E252&lt;&gt;"",OR(F266="",COUNT(K266:L266)=0),Y266&lt;&gt;EUconst_NA,T252&lt;&gt;TRUE),EUconst_ERR_Incomplete,IF(COUNTIF(AX266:AZ266,TRUE)&gt;0,EUconst_ERR_Inconsistent,""))</f>
        <v/>
      </c>
      <c r="O266" s="1305"/>
      <c r="P266" s="33"/>
      <c r="Q266" s="33"/>
      <c r="R266" s="33"/>
      <c r="S266" s="30"/>
      <c r="T266" s="543" t="str">
        <f>EUconst_CNTR_ConversionFactor&amp;E252</f>
        <v>ConvF_</v>
      </c>
      <c r="U266" s="488"/>
      <c r="V266" s="544" t="str">
        <f t="shared" si="55"/>
        <v/>
      </c>
      <c r="W266" s="30"/>
      <c r="X266" s="488"/>
      <c r="Y266" s="545" t="str">
        <f>IF(OR(T252=TRUE,E252=""),"",INDEX(EUwideConstants!$N:$N,MATCH(T266,EUwideConstants!$Q:$Q,0)))</f>
        <v/>
      </c>
      <c r="Z266" s="546" t="str">
        <f>IF(ISBLANK(F266),"",IF(F266=EUconst_NA,"",INDEX(EUwideConstants!$H:$M,MATCH(T266,EUwideConstants!$Q:$Q,0),MATCH(F266,CNTR_TierList,0))))</f>
        <v/>
      </c>
      <c r="AA266" s="573" t="str">
        <f>IF(F266=1,1,"")</f>
        <v/>
      </c>
      <c r="AB266" s="30"/>
      <c r="AC266" s="548" t="b">
        <f>AND(AC261,Y266&lt;&gt;EUconst_NA)</f>
        <v>0</v>
      </c>
      <c r="AD266" s="30"/>
      <c r="AE266" s="563"/>
      <c r="AG266" s="564"/>
      <c r="AH266" s="574"/>
      <c r="AI266" s="565"/>
      <c r="AJ266" s="574"/>
      <c r="AK266" s="566"/>
      <c r="AL266" s="333"/>
      <c r="AM266" s="549" t="str">
        <f>EUconst_CNTR_ConversionFactor&amp;EUconst_Value</f>
        <v>ConvF_Vertė</v>
      </c>
      <c r="AN266" s="575"/>
      <c r="AO266" s="573">
        <v>1</v>
      </c>
      <c r="AP266" s="574"/>
      <c r="AQ266" s="576" t="str">
        <f>IF(AA266="","",AO266)</f>
        <v/>
      </c>
      <c r="AR266" s="548">
        <f>IF(AC266=TRUE,IF(COUNT(K266:L266)=0,0,IF(L266="",K266,L266)),1)</f>
        <v>1</v>
      </c>
      <c r="AS266" s="544" t="b">
        <f>AND(AC266=TRUE,OR(ISNUMBER(L266),NOT(ISNUMBER(AA266))))</f>
        <v>0</v>
      </c>
      <c r="AT266" s="544" t="b">
        <f t="shared" si="51"/>
        <v>0</v>
      </c>
      <c r="AU266" s="30"/>
      <c r="AV266" s="558" t="b">
        <f t="shared" si="52"/>
        <v>0</v>
      </c>
      <c r="AW266" s="559" t="b">
        <f t="shared" si="53"/>
        <v>0</v>
      </c>
      <c r="AX266" s="30"/>
      <c r="AY266" s="585" t="b">
        <f t="shared" si="54"/>
        <v>0</v>
      </c>
      <c r="AZ266" s="571" t="b">
        <f>AR266&gt;100%</f>
        <v>0</v>
      </c>
      <c r="BA266" s="30"/>
      <c r="BB266" s="569" t="s">
        <v>481</v>
      </c>
      <c r="BC266" s="570">
        <f>AR261*AR264/1000*(1-AR268)</f>
        <v>0</v>
      </c>
      <c r="BD266" s="571">
        <f>BC266</f>
        <v>0</v>
      </c>
      <c r="BE266" s="572">
        <f>BC266</f>
        <v>0</v>
      </c>
      <c r="BF266" s="30"/>
      <c r="BG266" s="30"/>
      <c r="BH266" s="30"/>
      <c r="BI266" s="30"/>
      <c r="BJ266" s="30"/>
      <c r="BK266" s="30"/>
      <c r="BL266" s="30"/>
      <c r="BM266" s="30"/>
      <c r="BN266" s="30"/>
      <c r="BO266" s="30"/>
      <c r="BP266" s="30"/>
      <c r="BQ266" s="30"/>
      <c r="BR266" s="30"/>
      <c r="BS266" s="30"/>
      <c r="BT266" s="30"/>
      <c r="BU266" s="30"/>
      <c r="BV266" s="30"/>
      <c r="BW266" s="30"/>
      <c r="BX266" s="30"/>
      <c r="BY266" s="30"/>
      <c r="BZ266" s="544" t="b">
        <f>OR(BZ261,Y266=EUconst_NA)</f>
        <v>1</v>
      </c>
    </row>
    <row r="267" spans="1:78" s="140" customFormat="1" ht="12.75" customHeight="1" thickBot="1" x14ac:dyDescent="0.25">
      <c r="A267" s="777"/>
      <c r="B267" s="1248"/>
      <c r="C267" s="783" t="s">
        <v>324</v>
      </c>
      <c r="D267" s="503" t="str">
        <f>Translations!$B$640</f>
        <v>Anglies kiekis (C):</v>
      </c>
      <c r="E267" s="504"/>
      <c r="F267" s="539"/>
      <c r="G267" s="1603" t="str">
        <f t="shared" si="49"/>
        <v/>
      </c>
      <c r="H267" s="1604"/>
      <c r="I267" s="1113" t="str">
        <f>AJ267</f>
        <v/>
      </c>
      <c r="J267" s="577"/>
      <c r="K267" s="578" t="str">
        <f t="shared" si="50"/>
        <v/>
      </c>
      <c r="L267" s="579"/>
      <c r="M267" s="700" t="str">
        <f>IF(AND(E252&lt;&gt;"",OR(F267="",COUNT(K267:L267)=0),Y267&lt;&gt;EUconst_NA,T252&lt;&gt;TRUE),EUconst_ERR_Incomplete,IF(COUNTIF(AX267:AZ267,TRUE)&gt;0,EUconst_ERR_Inconsistent,""))</f>
        <v/>
      </c>
      <c r="O267" s="1305"/>
      <c r="P267" s="33"/>
      <c r="Q267" s="33"/>
      <c r="R267" s="33"/>
      <c r="S267" s="30"/>
      <c r="T267" s="543" t="str">
        <f>EUconst_CNTR_CarbonContent&amp;E252</f>
        <v>CarbC_</v>
      </c>
      <c r="U267" s="488"/>
      <c r="V267" s="544" t="str">
        <f t="shared" si="55"/>
        <v/>
      </c>
      <c r="W267" s="30"/>
      <c r="X267" s="488"/>
      <c r="Y267" s="545" t="str">
        <f>IF(OR(T252=TRUE,E252=""),"",INDEX(EUwideConstants!$N:$N,MATCH(T267,EUwideConstants!$Q:$Q,0)))</f>
        <v/>
      </c>
      <c r="Z267" s="546" t="str">
        <f>IF(ISBLANK(F267),"",IF(F267=EUconst_NA,"",INDEX(EUwideConstants!$H:$M,MATCH(T267,EUwideConstants!$Q:$Q,0),MATCH(F267,CNTR_TierList,0))))</f>
        <v/>
      </c>
      <c r="AA267" s="580" t="str">
        <f>IF(COUNTIF(EUconst_DefaultValues,Z267)&gt;0,MATCH(Z267,EUconst_DefaultValues,0),"")</f>
        <v/>
      </c>
      <c r="AB267" s="30"/>
      <c r="AC267" s="548" t="b">
        <f>AND(AC261,Y267&lt;&gt;EUconst_NA)</f>
        <v>0</v>
      </c>
      <c r="AD267" s="30"/>
      <c r="AE267" s="549" t="str">
        <f>EUconst_CNTR_CarbonContent&amp;EUconst_Unit</f>
        <v>CarbC_Vienetas</v>
      </c>
      <c r="AF267" s="550" t="str">
        <f>IF(AC267=TRUE, IF(COUNTIF(MSPara_SourceStreamCategory,V267)=0,"",INDEX(MSPara_CalcFactorsMatrix,MATCH(V267,MSPara_SourceStreamCategory,0),MATCH(AE267&amp;"_"&amp;2,MSPara_CalcFactors,0))),"")</f>
        <v/>
      </c>
      <c r="AG267" s="551" t="str">
        <f>IF(AC267=TRUE, IF(COUNTIF(MSPara_SourceStreamCategory,V267)=0,"",INDEX(MSPara_CalcFactorsMatrix,MATCH(V267,MSPara_SourceStreamCategory,0),MATCH(AE267&amp;"_"&amp;1,MSPara_CalcFactors,0))),"")</f>
        <v/>
      </c>
      <c r="AH267" s="581" t="str">
        <f>IF(AA267="","",INDEX(AF267:AG267,3-AA267))</f>
        <v/>
      </c>
      <c r="AI267" s="565"/>
      <c r="AJ267" s="582" t="str">
        <f>IF(AC267=TRUE,IF(AJ261="","",IF(AJ261=EUconst_kNm3,EUconst_tCpkNm3,EUconst_tCpt)),"")</f>
        <v/>
      </c>
      <c r="AK267" s="566"/>
      <c r="AL267" s="333"/>
      <c r="AM267" s="549" t="str">
        <f>EUconst_CNTR_CarbonContent&amp;EUconst_Value</f>
        <v>CarbC_Vertė</v>
      </c>
      <c r="AN267" s="555" t="str">
        <f>IF(AC267=TRUE,IF(COUNTIF(MSPara_SourceStreamCategory,V267)=0,"",INDEX(MSPara_CalcFactorsMatrix,MATCH(V267,MSPara_SourceStreamCategory,0),MATCH(AM267&amp;"_"&amp;2,MSPara_CalcFactors,0))),"")</f>
        <v/>
      </c>
      <c r="AO267" s="583" t="str">
        <f>IF(AC267=TRUE,IF(COUNTIF(MSPara_SourceStreamCategory,V267)=0,"",INDEX(MSPara_CalcFactorsMatrix,MATCH(V267,MSPara_SourceStreamCategory,0),MATCH(AM267&amp;"_"&amp;1,MSPara_CalcFactors,0))),"")</f>
        <v/>
      </c>
      <c r="AP267" s="548" t="b">
        <f>AND(AND(AH267&lt;&gt;"",AJ267&lt;&gt;""),AJ267=AH267)</f>
        <v>0</v>
      </c>
      <c r="AQ267" s="584" t="str">
        <f>IF(AND(AA267&lt;&gt;"",AP267=TRUE),IF(OR(INDEX(AN267:AO267,3-AA267)=EUconst_NA,INDEX(AN267:AO267,3-AA267)=0),"",INDEX(AN267:AO267,3-AA267)),"")</f>
        <v/>
      </c>
      <c r="AR267" s="548">
        <f>IF(AC267=TRUE,IF(COUNT(K267:L267)=0,0,IF(L267="",K267,L267)),0)</f>
        <v>0</v>
      </c>
      <c r="AS267" s="544" t="b">
        <f>AND(AC267=TRUE,OR(AND(F267&lt;&gt;"",NOT(ISNUMBER(AA267))),L267&lt;&gt;"",F267="",AQ267=""))</f>
        <v>0</v>
      </c>
      <c r="AT267" s="544" t="b">
        <f t="shared" si="51"/>
        <v>0</v>
      </c>
      <c r="AU267" s="30"/>
      <c r="AV267" s="558" t="b">
        <f t="shared" si="52"/>
        <v>0</v>
      </c>
      <c r="AW267" s="559" t="b">
        <f t="shared" si="53"/>
        <v>0</v>
      </c>
      <c r="AX267" s="537" t="b">
        <f>OR(AND(AJ261=EUconst_kNm3,AJ267=EUconst_tCpt),AND(AJ261=EUconst_t,AJ267=EUconst_tCpkNm3))</f>
        <v>0</v>
      </c>
      <c r="AY267" s="544" t="b">
        <f t="shared" si="54"/>
        <v>0</v>
      </c>
      <c r="AZ267" s="30"/>
      <c r="BA267" s="30"/>
      <c r="BB267" s="569" t="s">
        <v>482</v>
      </c>
      <c r="BC267" s="570">
        <f>AR261*AR264/1000*AR268</f>
        <v>0</v>
      </c>
      <c r="BD267" s="571">
        <f>BC267</f>
        <v>0</v>
      </c>
      <c r="BE267" s="572">
        <f>BC267</f>
        <v>0</v>
      </c>
      <c r="BF267" s="30"/>
      <c r="BG267" s="30"/>
      <c r="BH267" s="30"/>
      <c r="BI267" s="30"/>
      <c r="BJ267" s="30"/>
      <c r="BK267" s="30"/>
      <c r="BL267" s="30"/>
      <c r="BM267" s="30"/>
      <c r="BN267" s="30"/>
      <c r="BO267" s="30"/>
      <c r="BP267" s="30"/>
      <c r="BQ267" s="30"/>
      <c r="BR267" s="30"/>
      <c r="BS267" s="30"/>
      <c r="BT267" s="30"/>
      <c r="BU267" s="30"/>
      <c r="BV267" s="30"/>
      <c r="BW267" s="30"/>
      <c r="BX267" s="30"/>
      <c r="BY267" s="30"/>
      <c r="BZ267" s="544" t="b">
        <f>OR(BZ261,Y267=EUconst_NA)</f>
        <v>1</v>
      </c>
    </row>
    <row r="268" spans="1:78" s="140" customFormat="1" ht="12.75" customHeight="1" x14ac:dyDescent="0.2">
      <c r="A268" s="777"/>
      <c r="B268" s="1248"/>
      <c r="C268" s="753" t="s">
        <v>325</v>
      </c>
      <c r="D268" s="503" t="str">
        <f>Translations!$B$641</f>
        <v>Biomasės dalis (BioC):</v>
      </c>
      <c r="E268" s="504"/>
      <c r="F268" s="539"/>
      <c r="G268" s="1603" t="str">
        <f t="shared" si="49"/>
        <v/>
      </c>
      <c r="H268" s="1604"/>
      <c r="I268" s="1113" t="str">
        <f>IF(OR(AC268=FALSE,Y268=EUconst_NA),"","-")</f>
        <v/>
      </c>
      <c r="J268" s="560"/>
      <c r="K268" s="561" t="str">
        <f t="shared" si="50"/>
        <v/>
      </c>
      <c r="L268" s="694"/>
      <c r="M268" s="700" t="str">
        <f>IF(AND(E252&lt;&gt;"",OR(F268="",COUNT(K268:L268)=0),Y268&lt;&gt;EUconst_NA,T252&lt;&gt;TRUE),EUconst_ERR_Incomplete,IF(COUNTIF(AX268:AZ268,TRUE)&gt;0,EUconst_ERR_Inconsistent,""))</f>
        <v/>
      </c>
      <c r="O268" s="1305"/>
      <c r="P268" s="635"/>
      <c r="Q268" s="635"/>
      <c r="R268" s="635"/>
      <c r="S268" s="30"/>
      <c r="T268" s="543" t="str">
        <f>EUconst_CNTR_BiomassContent&amp;E252</f>
        <v>BioC_</v>
      </c>
      <c r="U268" s="488"/>
      <c r="V268" s="585" t="str">
        <f t="shared" si="55"/>
        <v/>
      </c>
      <c r="W268" s="522" t="str">
        <f>IF(COUNTIF(MSPara_SourceStreamCategory,V268)=0,"",INDEX(MSPara_IsFossil,MATCH(V268,MSPara_SourceStreamCategory,0)))</f>
        <v/>
      </c>
      <c r="X268" s="488"/>
      <c r="Y268" s="545" t="str">
        <f>IF(OR(T252=TRUE,E252=""),"",IF(OR(W268=TRUE,F268=EUconst_NA),EUconst_NA,INDEX(EUwideConstants!$N:$N,MATCH(T268,EUwideConstants!$Q:$Q,0))))</f>
        <v/>
      </c>
      <c r="Z268" s="546" t="str">
        <f>IF(ISBLANK(F268),"",IF(F268=EUconst_NA,"",INDEX(EUwideConstants!$H:$M,MATCH(T268,EUwideConstants!$Q:$Q,0),MATCH(F268,CNTR_TierList,0))))</f>
        <v/>
      </c>
      <c r="AA268" s="586" t="str">
        <f>IF(F268=1,1,"")</f>
        <v/>
      </c>
      <c r="AB268" s="30"/>
      <c r="AC268" s="548" t="b">
        <f>AND(AC261,Y268&lt;&gt;EUconst_NA)</f>
        <v>0</v>
      </c>
      <c r="AD268" s="30"/>
      <c r="AE268" s="563"/>
      <c r="AG268" s="564"/>
      <c r="AH268" s="553"/>
      <c r="AI268" s="565"/>
      <c r="AJ268" s="553"/>
      <c r="AK268" s="566"/>
      <c r="AL268" s="333"/>
      <c r="AM268" s="549" t="str">
        <f>EUconst_CNTR_BiomassContent&amp;EUconst_Value</f>
        <v>BioC_Vertė</v>
      </c>
      <c r="AO268" s="587" t="str">
        <f>IF(AC268=TRUE,IF(COUNTIF(MSPara_SourceStreamCategory,V268)=0,"",INDEX(MSPara_CalcFactorsMatrix,MATCH(V268,MSPara_SourceStreamCategory,0),MATCH(AM268&amp;"_"&amp;2,MSPara_CalcFactors,0))),"")</f>
        <v/>
      </c>
      <c r="AP268" s="553"/>
      <c r="AQ268" s="568" t="str">
        <f>IF(OR(AA268="",AO268=EUconst_NA),"",AO268)</f>
        <v/>
      </c>
      <c r="AR268" s="548">
        <f>IF(AC268=TRUE,IF(COUNT(K268:L268)=0,0,IF(L268="",K268,L268)),0)</f>
        <v>0</v>
      </c>
      <c r="AS268" s="544" t="b">
        <f>AND(AC268=TRUE,OR(AND(F268&lt;&gt;"",NOT(ISNUMBER(AA268))),L268&lt;&gt;"",F268="",AQ268=""))</f>
        <v>0</v>
      </c>
      <c r="AT268" s="544" t="b">
        <f t="shared" si="51"/>
        <v>0</v>
      </c>
      <c r="AU268" s="30"/>
      <c r="AV268" s="558" t="b">
        <f t="shared" si="52"/>
        <v>0</v>
      </c>
      <c r="AW268" s="559" t="b">
        <f t="shared" si="53"/>
        <v>0</v>
      </c>
      <c r="AX268" s="30"/>
      <c r="AY268" s="585" t="b">
        <f t="shared" si="54"/>
        <v>0</v>
      </c>
      <c r="AZ268" s="522" t="b">
        <f>OR(AR268&gt;100%,(AR268+AR269)&gt;100%)</f>
        <v>0</v>
      </c>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544" t="b">
        <f>OR(BZ261,Y268=EUconst_NA)</f>
        <v>1</v>
      </c>
    </row>
    <row r="269" spans="1:78" s="140" customFormat="1" ht="12.75" customHeight="1" thickBot="1" x14ac:dyDescent="0.25">
      <c r="A269" s="777"/>
      <c r="B269" s="1248"/>
      <c r="C269" s="753" t="s">
        <v>448</v>
      </c>
      <c r="D269" s="503" t="str">
        <f>Translations!$B$647</f>
        <v>Netvarios BioC dalis:</v>
      </c>
      <c r="E269" s="504"/>
      <c r="F269" s="588"/>
      <c r="G269" s="1603" t="str">
        <f t="shared" si="49"/>
        <v/>
      </c>
      <c r="H269" s="1604"/>
      <c r="I269" s="1114" t="str">
        <f>IF(OR(AC269=FALSE,Y269=EUconst_NA),"","-")</f>
        <v/>
      </c>
      <c r="J269" s="560"/>
      <c r="K269" s="589" t="str">
        <f t="shared" si="50"/>
        <v/>
      </c>
      <c r="L269" s="1100"/>
      <c r="M269" s="700" t="str">
        <f>IF(AND(E252&lt;&gt;"",OR(F269="",COUNT(K269:L269)=0),Y269&lt;&gt;EUconst_NA,T252&lt;&gt;TRUE),EUconst_ERR_Incomplete,IF(COUNTIF(AX269:AZ269,TRUE)&gt;0,EUconst_ERR_Inconsistent,""))</f>
        <v/>
      </c>
      <c r="O269" s="1305"/>
      <c r="P269" s="635"/>
      <c r="Q269" s="635"/>
      <c r="R269" s="635"/>
      <c r="S269" s="30"/>
      <c r="T269" s="590" t="str">
        <f>EUconst_CNTR_BiomassContent&amp;E252</f>
        <v>BioC_</v>
      </c>
      <c r="U269" s="488"/>
      <c r="V269" s="570" t="str">
        <f t="shared" si="55"/>
        <v/>
      </c>
      <c r="W269" s="571" t="str">
        <f>IF(COUNTIF(MSPara_SourceStreamCategory,V269)=0,"",INDEX(MSPara_IsFossil,MATCH(V269,MSPara_SourceStreamCategory,0)))</f>
        <v/>
      </c>
      <c r="X269" s="488"/>
      <c r="Y269" s="591" t="str">
        <f>IF(OR(T252=TRUE,E252=""),"",IF(OR(W269=TRUE,F269=EUconst_NA),EUconst_NA,INDEX(EUwideConstants!$N:$N,MATCH(T269,EUwideConstants!$Q:$Q,0))))</f>
        <v/>
      </c>
      <c r="Z269" s="592" t="str">
        <f>IF(ISBLANK(F269),"",IF(F269=EUconst_NA,"",INDEX(EUwideConstants!$H:$M,MATCH(T269,EUwideConstants!$Q:$Q,0),MATCH(F269,CNTR_TierList,0))))</f>
        <v/>
      </c>
      <c r="AA269" s="593" t="str">
        <f>IF(F269=1,1,"")</f>
        <v/>
      </c>
      <c r="AB269" s="30"/>
      <c r="AC269" s="594" t="b">
        <f>AND(AC261,Y269&lt;&gt;EUconst_NA)</f>
        <v>0</v>
      </c>
      <c r="AD269" s="30"/>
      <c r="AE269" s="595"/>
      <c r="AF269" s="596"/>
      <c r="AG269" s="597"/>
      <c r="AH269" s="598"/>
      <c r="AI269" s="598"/>
      <c r="AJ269" s="598"/>
      <c r="AK269" s="599"/>
      <c r="AL269" s="333"/>
      <c r="AM269" s="600" t="str">
        <f>EUconst_CNTR_BiomassContent&amp;EUconst_Value</f>
        <v>BioC_Vertė</v>
      </c>
      <c r="AN269" s="596"/>
      <c r="AO269" s="601" t="str">
        <f>IF(AC269=TRUE,IF(COUNTIF(MSPara_SourceStreamCategory,V269)=0,"",INDEX(MSPara_CalcFactorsMatrix,MATCH(V269,MSPara_SourceStreamCategory,0),MATCH(AM269&amp;"_"&amp;2,MSPara_CalcFactors,0))),"")</f>
        <v/>
      </c>
      <c r="AP269" s="598"/>
      <c r="AQ269" s="602" t="str">
        <f>IF(OR(AA269="",AO269=EUconst_NA),"",AO269)</f>
        <v/>
      </c>
      <c r="AR269" s="594">
        <f>IF(AC269=TRUE,IF(COUNT(K269:L269)=0,0,IF(L269="",K269,L269)),0)</f>
        <v>0</v>
      </c>
      <c r="AS269" s="603" t="b">
        <f>AND(AC269=TRUE,OR(AND(F269&lt;&gt;"",NOT(ISNUMBER(AA269))),L269&lt;&gt;"",F269="",AQ269=""))</f>
        <v>0</v>
      </c>
      <c r="AT269" s="603" t="b">
        <f t="shared" si="51"/>
        <v>0</v>
      </c>
      <c r="AU269" s="30"/>
      <c r="AV269" s="604" t="b">
        <f t="shared" si="52"/>
        <v>0</v>
      </c>
      <c r="AW269" s="605" t="b">
        <f t="shared" si="53"/>
        <v>0</v>
      </c>
      <c r="AX269" s="30"/>
      <c r="AY269" s="570" t="b">
        <f t="shared" si="54"/>
        <v>0</v>
      </c>
      <c r="AZ269" s="571" t="b">
        <f>OR(AR268&gt;100%,(AR268+AR269)&gt;100%)</f>
        <v>0</v>
      </c>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571" t="b">
        <f>OR(BZ261,Y269=EUconst_NA)</f>
        <v>1</v>
      </c>
    </row>
    <row r="270" spans="1:78" s="140" customFormat="1" ht="5.0999999999999996" customHeight="1" x14ac:dyDescent="0.2">
      <c r="A270" s="777"/>
      <c r="B270" s="1248"/>
      <c r="C270" s="164"/>
      <c r="D270" s="178"/>
      <c r="O270" s="1305"/>
      <c r="P270" s="33"/>
      <c r="Q270" s="33"/>
      <c r="R270" s="33"/>
      <c r="S270" s="172"/>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row>
    <row r="271" spans="1:78" s="140" customFormat="1" ht="12.75" customHeight="1" x14ac:dyDescent="0.2">
      <c r="A271" s="777"/>
      <c r="B271" s="1248"/>
      <c r="C271" s="164"/>
      <c r="D271" s="1629" t="str">
        <f>Translations!$B$674</f>
        <v>Pakopos galioja nuo:</v>
      </c>
      <c r="E271" s="1629"/>
      <c r="F271" s="1630"/>
      <c r="G271" s="1014"/>
      <c r="H271" s="606" t="str">
        <f>Translations!$B$675</f>
        <v>iki:</v>
      </c>
      <c r="I271" s="1014"/>
      <c r="J271" s="1620" t="str">
        <f>Translations!$B$676</f>
        <v>Atliekų katalogo numeris (jeigu taikytina):</v>
      </c>
      <c r="K271" s="1621"/>
      <c r="L271" s="1621"/>
      <c r="M271" s="1622"/>
      <c r="N271" s="1232"/>
      <c r="O271" s="1305"/>
      <c r="P271" s="33"/>
      <c r="Q271" s="33"/>
      <c r="R271" s="33"/>
      <c r="S271" s="1233"/>
      <c r="T271" s="483"/>
      <c r="U271" s="483"/>
      <c r="V271" s="48" t="b">
        <f>IF(V261="",FALSE,INDEX(CNTR_IsWaste,MATCH(V261,MSParameters!$A$218:$A$376,0)))</f>
        <v>0</v>
      </c>
      <c r="W271" s="1233" t="s">
        <v>1689</v>
      </c>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2" t="b">
        <f>BZ261</f>
        <v>1</v>
      </c>
    </row>
    <row r="272" spans="1:78" s="140" customFormat="1" ht="5.0999999999999996" customHeight="1" x14ac:dyDescent="0.2">
      <c r="A272" s="777"/>
      <c r="B272" s="1248"/>
      <c r="C272" s="164"/>
      <c r="D272" s="606"/>
      <c r="E272" s="486"/>
      <c r="F272" s="486"/>
      <c r="G272" s="486"/>
      <c r="H272" s="486"/>
      <c r="I272" s="486"/>
      <c r="J272" s="486"/>
      <c r="K272" s="486"/>
      <c r="L272" s="486"/>
      <c r="M272" s="486"/>
      <c r="N272" s="486"/>
      <c r="O272" s="1305"/>
      <c r="P272" s="33"/>
      <c r="Q272" s="33"/>
      <c r="R272" s="33"/>
      <c r="S272" s="172"/>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row>
    <row r="273" spans="1:78" s="140" customFormat="1" ht="12.75" customHeight="1" x14ac:dyDescent="0.2">
      <c r="A273" s="777"/>
      <c r="B273" s="1248"/>
      <c r="C273" s="164"/>
      <c r="D273" s="486"/>
      <c r="E273" s="486"/>
      <c r="F273" s="486"/>
      <c r="G273" s="486"/>
      <c r="H273" s="486"/>
      <c r="I273" s="486"/>
      <c r="J273" s="486"/>
      <c r="K273" s="486"/>
      <c r="L273" s="486"/>
      <c r="M273" s="606" t="str">
        <f>Translations!$B$677</f>
        <v>Stebėsenos plane šiam sukėlikliui suteiktas identifikatorius:</v>
      </c>
      <c r="N273" s="705"/>
      <c r="O273" s="1305"/>
      <c r="P273" s="33"/>
      <c r="Q273" s="33"/>
      <c r="R273" s="33"/>
      <c r="S273" s="172"/>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2" t="b">
        <f>BZ271</f>
        <v>1</v>
      </c>
    </row>
    <row r="274" spans="1:78" s="140" customFormat="1" ht="5.0999999999999996" customHeight="1" x14ac:dyDescent="0.2">
      <c r="A274" s="784"/>
      <c r="B274" s="1316"/>
      <c r="D274" s="178"/>
      <c r="O274" s="1317"/>
      <c r="P274" s="488"/>
      <c r="Q274" s="488"/>
      <c r="R274" s="488"/>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row>
    <row r="275" spans="1:78" s="140" customFormat="1" x14ac:dyDescent="0.2">
      <c r="A275" s="784"/>
      <c r="B275" s="1316"/>
      <c r="D275" s="1618" t="str">
        <f>Translations!$B$160</f>
        <v>Pastabos:</v>
      </c>
      <c r="E275" s="1619"/>
      <c r="F275" s="1605"/>
      <c r="G275" s="1606"/>
      <c r="H275" s="1606"/>
      <c r="I275" s="1606"/>
      <c r="J275" s="1606"/>
      <c r="K275" s="1606"/>
      <c r="L275" s="1606"/>
      <c r="M275" s="1606"/>
      <c r="N275" s="1607"/>
      <c r="O275" s="1317"/>
      <c r="P275" s="488"/>
      <c r="Q275" s="488"/>
      <c r="R275" s="488"/>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2" t="b">
        <f>BZ271</f>
        <v>1</v>
      </c>
    </row>
    <row r="276" spans="1:78" s="28" customFormat="1" ht="12.75" customHeight="1" thickBot="1" x14ac:dyDescent="0.25">
      <c r="A276" s="777"/>
      <c r="B276" s="1312"/>
      <c r="C276" s="490"/>
      <c r="D276" s="491"/>
      <c r="E276" s="492"/>
      <c r="F276" s="490"/>
      <c r="G276" s="493"/>
      <c r="H276" s="493"/>
      <c r="I276" s="493"/>
      <c r="J276" s="493"/>
      <c r="K276" s="493"/>
      <c r="L276" s="493"/>
      <c r="M276" s="493"/>
      <c r="N276" s="493"/>
      <c r="O276" s="1313"/>
      <c r="P276" s="485"/>
      <c r="Q276" s="485"/>
      <c r="R276" s="485"/>
      <c r="S276" s="58"/>
      <c r="T276" s="58"/>
      <c r="U276" s="489"/>
      <c r="V276" s="58"/>
      <c r="W276" s="58"/>
      <c r="X276" s="489"/>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30"/>
      <c r="BJ276" s="30"/>
      <c r="BK276" s="30"/>
      <c r="BL276" s="58"/>
      <c r="BM276" s="58"/>
      <c r="BN276" s="58"/>
      <c r="BO276" s="58"/>
      <c r="BP276" s="58"/>
      <c r="BQ276" s="58"/>
      <c r="BR276" s="58"/>
      <c r="BS276" s="58"/>
      <c r="BT276" s="58"/>
      <c r="BU276" s="58"/>
      <c r="BV276" s="58"/>
      <c r="BW276" s="58"/>
      <c r="BX276" s="58"/>
      <c r="BY276" s="58"/>
      <c r="BZ276" s="58"/>
    </row>
    <row r="277" spans="1:78" s="28" customFormat="1" ht="12.75" customHeight="1" thickBot="1" x14ac:dyDescent="0.25">
      <c r="A277" s="782"/>
      <c r="B277" s="1312"/>
      <c r="C277" s="486"/>
      <c r="D277" s="178"/>
      <c r="E277" s="487"/>
      <c r="F277" s="486"/>
      <c r="G277" s="478"/>
      <c r="H277" s="478"/>
      <c r="I277" s="478"/>
      <c r="J277" s="478"/>
      <c r="K277" s="486"/>
      <c r="L277" s="478"/>
      <c r="M277" s="478"/>
      <c r="N277" s="478"/>
      <c r="O277" s="1313"/>
      <c r="P277" s="485"/>
      <c r="Q277" s="485"/>
      <c r="R277" s="485"/>
      <c r="S277" s="23"/>
      <c r="T277" s="27" t="str">
        <f>IF(ISBLANK(E278),"",MATCH(E278,CNTR_SourceStreamNames,0))</f>
        <v/>
      </c>
      <c r="U277" s="609" t="str">
        <f>IF(ISBLANK(E278),"",INDEX(B_InstallationDescription!$D$71:$D$145,MATCH(E278,CNTR_SourceStreamNames,0)))</f>
        <v/>
      </c>
      <c r="V277" s="76"/>
      <c r="W277" s="56"/>
      <c r="X277" s="56"/>
      <c r="Y277" s="56"/>
      <c r="Z277" s="58"/>
      <c r="AA277" s="58"/>
      <c r="AB277" s="58"/>
      <c r="AC277" s="58"/>
      <c r="AD277" s="58"/>
      <c r="AE277" s="58"/>
      <c r="AF277" s="58"/>
      <c r="AG277" s="58"/>
      <c r="AH277" s="58"/>
      <c r="AI277" s="58"/>
      <c r="AJ277" s="58"/>
      <c r="AK277" s="482"/>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6"/>
      <c r="BI277" s="56"/>
      <c r="BJ277" s="56"/>
      <c r="BK277" s="56"/>
      <c r="BL277" s="56"/>
      <c r="BM277" s="56"/>
      <c r="BN277" s="56"/>
      <c r="BO277" s="56"/>
      <c r="BP277" s="56"/>
      <c r="BQ277" s="56"/>
      <c r="BR277" s="56"/>
      <c r="BS277" s="56"/>
      <c r="BT277" s="56"/>
      <c r="BU277" s="56"/>
      <c r="BV277" s="56"/>
      <c r="BW277" s="56"/>
      <c r="BX277" s="56"/>
      <c r="BY277" s="56"/>
      <c r="BZ277" s="484" t="s">
        <v>259</v>
      </c>
    </row>
    <row r="278" spans="1:78" s="140" customFormat="1" ht="15" customHeight="1" thickBot="1" x14ac:dyDescent="0.25">
      <c r="A278" s="1302" t="str">
        <f>IF(E278="","","PRINT")</f>
        <v/>
      </c>
      <c r="B278" s="1248"/>
      <c r="C278" s="608">
        <f>C251+1</f>
        <v>9</v>
      </c>
      <c r="D278" s="164"/>
      <c r="E278" s="1610"/>
      <c r="F278" s="1611"/>
      <c r="G278" s="1611"/>
      <c r="H278" s="1611"/>
      <c r="I278" s="1611"/>
      <c r="J278" s="1612"/>
      <c r="K278" s="1623" t="str">
        <f>IF(E279="","",INDEX(EUwideConstants!$F$353:$F$394,MATCH(E279,EUConst_TierActivityListNames,0)))</f>
        <v/>
      </c>
      <c r="L278" s="1624"/>
      <c r="M278" s="494" t="str">
        <f>Translations!$B$665</f>
        <v>CO2, iškastinio kuro kilmės:</v>
      </c>
      <c r="N278" s="1012" t="str">
        <f>IF(OR(K278="",T279=TRUE),"",INDEX(BC292:BE292,MATCH(K278,BC288:BE288,0)))</f>
        <v/>
      </c>
      <c r="O278" s="1314" t="s">
        <v>257</v>
      </c>
      <c r="P278" s="1303" t="str">
        <f>IF(AND(E278&lt;&gt;"",COUNTIF(P279:$P$2089,"PRINT")=0),"PRINT","")</f>
        <v/>
      </c>
      <c r="Q278" s="343" t="str">
        <f>EUconst_SumCO2 &amp; "_" &amp; K278</f>
        <v>SUM_CO2_</v>
      </c>
      <c r="R278" s="485"/>
      <c r="S278" s="23"/>
      <c r="T278" s="500" t="s">
        <v>387</v>
      </c>
      <c r="U278" s="23"/>
      <c r="V278" s="76"/>
      <c r="W278" s="56"/>
      <c r="X278" s="58"/>
      <c r="Y278" s="58"/>
      <c r="Z278" s="58"/>
      <c r="AA278" s="58"/>
      <c r="AB278" s="58"/>
      <c r="AC278" s="58"/>
      <c r="AD278" s="58"/>
      <c r="AE278" s="58"/>
      <c r="AF278" s="58"/>
      <c r="AG278" s="58"/>
      <c r="AH278" s="58"/>
      <c r="AI278" s="333"/>
      <c r="AJ278" s="333"/>
      <c r="AK278" s="333"/>
      <c r="AL278" s="333"/>
      <c r="AM278" s="333"/>
      <c r="AN278" s="333"/>
      <c r="AO278" s="333"/>
      <c r="AP278" s="333"/>
      <c r="AQ278" s="333"/>
      <c r="AR278" s="333"/>
      <c r="AS278" s="333"/>
      <c r="AT278" s="333"/>
      <c r="AU278" s="333"/>
      <c r="AV278" s="333"/>
      <c r="AW278" s="333"/>
      <c r="AX278" s="333"/>
      <c r="AY278" s="333"/>
      <c r="AZ278" s="333"/>
      <c r="BA278" s="333"/>
      <c r="BB278" s="333"/>
      <c r="BC278" s="333"/>
      <c r="BD278" s="333"/>
      <c r="BE278" s="333"/>
      <c r="BF278" s="333"/>
      <c r="BG278" s="333"/>
      <c r="BH278" s="834">
        <f>AR288</f>
        <v>0</v>
      </c>
      <c r="BI278" s="834" t="str">
        <f>AJ288</f>
        <v/>
      </c>
      <c r="BJ278" s="834">
        <f>AR290</f>
        <v>0</v>
      </c>
      <c r="BK278" s="834" t="str">
        <f>AJ290</f>
        <v/>
      </c>
      <c r="BL278" s="834">
        <f>AR291</f>
        <v>0</v>
      </c>
      <c r="BM278" s="834" t="str">
        <f>AJ291</f>
        <v/>
      </c>
      <c r="BN278" s="834">
        <f>AR292</f>
        <v>1</v>
      </c>
      <c r="BO278" s="834">
        <f>AR293</f>
        <v>1</v>
      </c>
      <c r="BP278" s="834">
        <f>AR294</f>
        <v>0</v>
      </c>
      <c r="BQ278" s="834" t="str">
        <f>AJ294</f>
        <v/>
      </c>
      <c r="BR278" s="834">
        <f>AR295</f>
        <v>0</v>
      </c>
      <c r="BS278" s="834">
        <f>AR296</f>
        <v>0</v>
      </c>
      <c r="BT278" s="834" t="str">
        <f>N278</f>
        <v/>
      </c>
      <c r="BU278" s="834" t="str">
        <f>N279</f>
        <v/>
      </c>
      <c r="BV278" s="834" t="str">
        <f>R281</f>
        <v/>
      </c>
      <c r="BW278" s="834" t="str">
        <f>R287</f>
        <v/>
      </c>
      <c r="BX278" s="834" t="str">
        <f>R288</f>
        <v/>
      </c>
      <c r="BY278" s="56"/>
      <c r="BZ278" s="610" t="b">
        <f>CNTR_CalcRelevant=EUconst_NotRelevant</f>
        <v>0</v>
      </c>
    </row>
    <row r="279" spans="1:78" s="140" customFormat="1" ht="15" customHeight="1" thickBot="1" x14ac:dyDescent="0.25">
      <c r="A279" s="777"/>
      <c r="B279" s="1248"/>
      <c r="C279" s="164"/>
      <c r="D279" s="164"/>
      <c r="E279" s="1625" t="str">
        <f>IF(ISBLANK(E278),"",IF(INDEX(B_InstallationDescription!$E$71:$E$145,MATCH(U277,B_InstallationDescription!$D$71:$D$145,0))&gt;0,INDEX(B_InstallationDescription!$E$71:$E$145,MATCH(U277,B_InstallationDescription!$D$71:$D$145,0)),""))</f>
        <v/>
      </c>
      <c r="F279" s="1626"/>
      <c r="G279" s="1626"/>
      <c r="H279" s="1626"/>
      <c r="I279" s="1626"/>
      <c r="J279" s="1627"/>
      <c r="M279" s="337" t="str">
        <f>Translations!$B$666</f>
        <v>CO2, biomasės kilmės.:</v>
      </c>
      <c r="N279" s="1013" t="str">
        <f>IF(OR(K278="",T279=TRUE),"",INDEX(BC291:BE291,MATCH(K278,BC288:BE288,0)))</f>
        <v/>
      </c>
      <c r="O279" s="1315" t="s">
        <v>257</v>
      </c>
      <c r="P279" s="485"/>
      <c r="Q279" s="343" t="str">
        <f>EUconst_SumBioCO2 &amp; "_" &amp; K278</f>
        <v>SUM_bioCO2_</v>
      </c>
      <c r="R279" s="485"/>
      <c r="S279" s="23"/>
      <c r="T279" s="48" t="str">
        <f>IF(E279="","",MATCH(E279,EUConst_TierActivityListNames,0)&gt;40)</f>
        <v/>
      </c>
      <c r="U279" s="23"/>
      <c r="V279" s="76"/>
      <c r="W279" s="56"/>
      <c r="X279" s="58"/>
      <c r="Y279" s="27" t="s">
        <v>91</v>
      </c>
      <c r="Z279" s="30"/>
      <c r="AA279" s="30"/>
      <c r="AB279" s="30"/>
      <c r="AC279" s="30"/>
      <c r="AD279" s="30"/>
      <c r="AE279" s="27" t="s">
        <v>297</v>
      </c>
      <c r="AF279" s="58"/>
      <c r="AG279" s="495"/>
      <c r="AH279" s="30"/>
      <c r="AI279" s="30"/>
      <c r="AJ279" s="495"/>
      <c r="AK279" s="495"/>
      <c r="AL279" s="333"/>
      <c r="AM279" s="27" t="s">
        <v>303</v>
      </c>
      <c r="AN279" s="496"/>
      <c r="AO279" s="496"/>
      <c r="AP279" s="30"/>
      <c r="AQ279" s="30"/>
      <c r="AR279" s="30"/>
      <c r="AS279" s="30"/>
      <c r="AT279" s="30"/>
      <c r="AU279" s="30"/>
      <c r="AV279" s="27" t="s">
        <v>310</v>
      </c>
      <c r="AW279" s="30"/>
      <c r="AX279" s="483"/>
      <c r="AY279" s="30"/>
      <c r="AZ279" s="30"/>
      <c r="BA279" s="30"/>
      <c r="BB279" s="27" t="s">
        <v>217</v>
      </c>
      <c r="BC279" s="30"/>
      <c r="BD279" s="30"/>
      <c r="BE279" s="30"/>
      <c r="BF279" s="30"/>
      <c r="BG279" s="27" t="s">
        <v>486</v>
      </c>
      <c r="BH279" s="833" t="s">
        <v>552</v>
      </c>
      <c r="BI279" s="833" t="s">
        <v>487</v>
      </c>
      <c r="BJ279" s="833" t="s">
        <v>211</v>
      </c>
      <c r="BK279" s="833" t="s">
        <v>488</v>
      </c>
      <c r="BL279" s="833" t="s">
        <v>68</v>
      </c>
      <c r="BM279" s="833" t="s">
        <v>489</v>
      </c>
      <c r="BN279" s="833" t="s">
        <v>490</v>
      </c>
      <c r="BO279" s="833" t="s">
        <v>491</v>
      </c>
      <c r="BP279" s="833" t="s">
        <v>214</v>
      </c>
      <c r="BQ279" s="833" t="s">
        <v>492</v>
      </c>
      <c r="BR279" s="833" t="s">
        <v>493</v>
      </c>
      <c r="BS279" s="833" t="s">
        <v>494</v>
      </c>
      <c r="BT279" s="833" t="s">
        <v>287</v>
      </c>
      <c r="BU279" s="833" t="s">
        <v>495</v>
      </c>
      <c r="BV279" s="833" t="s">
        <v>498</v>
      </c>
      <c r="BW279" s="833" t="s">
        <v>496</v>
      </c>
      <c r="BX279" s="833" t="s">
        <v>497</v>
      </c>
      <c r="BY279" s="30"/>
      <c r="BZ279" s="30"/>
    </row>
    <row r="280" spans="1:78" s="140" customFormat="1" ht="5.0999999999999996" customHeight="1" thickBot="1" x14ac:dyDescent="0.25">
      <c r="A280" s="777"/>
      <c r="B280" s="1248"/>
      <c r="C280" s="164"/>
      <c r="D280" s="164"/>
      <c r="E280" s="164"/>
      <c r="F280" s="164"/>
      <c r="G280" s="164"/>
      <c r="M280" s="141"/>
      <c r="N280" s="141"/>
      <c r="O280" s="1305"/>
      <c r="P280" s="33"/>
      <c r="Q280" s="33"/>
      <c r="R280" s="33"/>
      <c r="S280" s="23"/>
      <c r="T280" s="23"/>
      <c r="U280" s="23"/>
      <c r="V280" s="76"/>
      <c r="W280" s="30"/>
      <c r="X280" s="30"/>
      <c r="Y280" s="485"/>
      <c r="Z280" s="30"/>
      <c r="AA280" s="30"/>
      <c r="AB280" s="30"/>
      <c r="AC280" s="30"/>
      <c r="AD280" s="30"/>
      <c r="AE280" s="30"/>
      <c r="AF280" s="58"/>
      <c r="AG280" s="30"/>
      <c r="AH280" s="30"/>
      <c r="AI280" s="30"/>
      <c r="AJ280" s="495"/>
      <c r="AK280" s="495"/>
      <c r="AL280" s="333"/>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row>
    <row r="281" spans="1:78" s="140" customFormat="1" ht="12.75" customHeight="1" thickBot="1" x14ac:dyDescent="0.25">
      <c r="A281" s="777"/>
      <c r="B281" s="1248"/>
      <c r="C281" s="164"/>
      <c r="D281" s="164"/>
      <c r="E281" s="1628" t="str">
        <f>IF(E278="","",IF(T279=TRUE,HYPERLINK("#JUMP_14",EUconst_MsgGoOnPFC),HYPERLINK("#JUMP_E_8",EUconst_FurtherGuidancePoint1)))</f>
        <v/>
      </c>
      <c r="F281" s="1628"/>
      <c r="G281" s="1628"/>
      <c r="H281" s="1628"/>
      <c r="I281" s="1628"/>
      <c r="J281" s="1628"/>
      <c r="K281" s="1628"/>
      <c r="L281" s="1628"/>
      <c r="M281" s="1628"/>
      <c r="N281" s="141"/>
      <c r="O281" s="1305"/>
      <c r="P281" s="33"/>
      <c r="Q281" s="343" t="str">
        <f>EUconst_SumNonSustBioCO2 &amp; "_" &amp; K278</f>
        <v>SUM_bioNonSustCO2_</v>
      </c>
      <c r="R281" s="698" t="str">
        <f>IF(OR(K278="",T279=TRUE),"",ROUND(INDEX(BC290:BE290,MATCH(K278,BC288:BE288,0)),0))</f>
        <v/>
      </c>
      <c r="S281" s="23"/>
      <c r="T281" s="23"/>
      <c r="U281" s="23"/>
      <c r="V281" s="30"/>
      <c r="W281" s="30"/>
      <c r="X281" s="30"/>
      <c r="Y281" s="58"/>
      <c r="Z281" s="30"/>
      <c r="AA281" s="30"/>
      <c r="AB281" s="30"/>
      <c r="AC281" s="30"/>
      <c r="AD281" s="30"/>
      <c r="AE281" s="30"/>
      <c r="AF281" s="58"/>
      <c r="AG281" s="30"/>
      <c r="AH281" s="30"/>
      <c r="AI281" s="30"/>
      <c r="AJ281" s="495"/>
      <c r="AK281" s="495"/>
      <c r="AL281" s="333"/>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row>
    <row r="282" spans="1:78" s="140" customFormat="1" ht="5.0999999999999996" customHeight="1" thickBot="1" x14ac:dyDescent="0.25">
      <c r="A282" s="777"/>
      <c r="B282" s="1248"/>
      <c r="C282" s="164"/>
      <c r="D282" s="164"/>
      <c r="E282" s="164"/>
      <c r="F282" s="164"/>
      <c r="G282" s="164"/>
      <c r="M282" s="141"/>
      <c r="N282" s="141"/>
      <c r="O282" s="1305"/>
      <c r="P282" s="23"/>
      <c r="Q282" s="23"/>
      <c r="R282" s="23"/>
      <c r="S282" s="23"/>
      <c r="T282" s="23"/>
      <c r="U282" s="23"/>
      <c r="V282" s="30"/>
      <c r="W282" s="30"/>
      <c r="X282" s="30"/>
      <c r="Y282" s="485"/>
      <c r="Z282" s="30"/>
      <c r="AA282" s="30"/>
      <c r="AB282" s="30"/>
      <c r="AC282" s="30"/>
      <c r="AD282" s="30"/>
      <c r="AE282" s="30"/>
      <c r="AF282" s="58"/>
      <c r="AG282" s="30"/>
      <c r="AH282" s="30"/>
      <c r="AI282" s="30"/>
      <c r="AJ282" s="495"/>
      <c r="AK282" s="495"/>
      <c r="AL282" s="333"/>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row>
    <row r="283" spans="1:78" s="140" customFormat="1" ht="12.75" customHeight="1" thickBot="1" x14ac:dyDescent="0.25">
      <c r="A283" s="777"/>
      <c r="B283" s="1248"/>
      <c r="C283" s="783" t="s">
        <v>4</v>
      </c>
      <c r="D283" s="503" t="str">
        <f>Translations!$B$622</f>
        <v>VD:</v>
      </c>
      <c r="E283" s="1631" t="str">
        <f>Translations!$B$667</f>
        <v>Ar veiklos duomenys gaunami sudedant išmatuotus kiekius (t. y. ne atliekant nuolatinius matavimus)?</v>
      </c>
      <c r="F283" s="1631"/>
      <c r="G283" s="1631"/>
      <c r="H283" s="1631"/>
      <c r="I283" s="1631"/>
      <c r="J283" s="1631"/>
      <c r="K283" s="1631"/>
      <c r="L283" s="1122"/>
      <c r="M283" s="498"/>
      <c r="O283" s="1305"/>
      <c r="P283" s="23"/>
      <c r="Q283" s="23"/>
      <c r="R283" s="23"/>
      <c r="S283" s="23"/>
      <c r="T283" s="23"/>
      <c r="U283" s="23"/>
      <c r="V283" s="30"/>
      <c r="W283" s="30"/>
      <c r="X283" s="30"/>
      <c r="Y283" s="485"/>
      <c r="Z283" s="30"/>
      <c r="AA283" s="30"/>
      <c r="AB283" s="30"/>
      <c r="AC283" s="1115" t="b">
        <f>AND(E278&lt;&gt;"",T279&lt;&gt;TRUE)</f>
        <v>0</v>
      </c>
      <c r="AD283" s="30"/>
      <c r="AE283" s="30"/>
      <c r="AF283" s="58"/>
      <c r="AG283" s="30"/>
      <c r="AH283" s="30"/>
      <c r="AI283" s="30"/>
      <c r="AJ283" s="495"/>
      <c r="AK283" s="495"/>
      <c r="AL283" s="333"/>
      <c r="AM283" s="30"/>
      <c r="AN283" s="30"/>
      <c r="AO283" s="30"/>
      <c r="AP283" s="30"/>
      <c r="AQ283" s="30"/>
      <c r="AR283" s="30"/>
      <c r="AS283" s="30"/>
      <c r="AT283" s="1115" t="b">
        <f>MSPara_BatchReportingMandatory&lt;&gt;TRUE</f>
        <v>0</v>
      </c>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1115" t="b">
        <f>OR(CNTR_CalcRelevant=EUconst_NotRelevant,AND(COUNTA(CNTR_ListRelevantSections)&gt;0,OR(T279=TRUE,E278="")))</f>
        <v>1</v>
      </c>
    </row>
    <row r="284" spans="1:78" s="140" customFormat="1" ht="5.0999999999999996" customHeight="1" thickBot="1" x14ac:dyDescent="0.25">
      <c r="A284" s="777"/>
      <c r="B284" s="1248"/>
      <c r="C284" s="164"/>
      <c r="D284" s="164"/>
      <c r="E284" s="164"/>
      <c r="F284" s="164"/>
      <c r="G284" s="164"/>
      <c r="H284" s="486"/>
      <c r="I284" s="486"/>
      <c r="J284" s="486"/>
      <c r="K284" s="486"/>
      <c r="L284" s="486"/>
      <c r="M284" s="498"/>
      <c r="O284" s="1305"/>
      <c r="P284" s="23"/>
      <c r="Q284" s="23"/>
      <c r="R284" s="23"/>
      <c r="S284" s="23"/>
      <c r="T284" s="23"/>
      <c r="U284" s="23"/>
      <c r="V284" s="30"/>
      <c r="W284" s="30"/>
      <c r="X284" s="30"/>
      <c r="Y284" s="485"/>
      <c r="Z284" s="30"/>
      <c r="AA284" s="30"/>
      <c r="AB284" s="30"/>
      <c r="AC284" s="483"/>
      <c r="AD284" s="30"/>
      <c r="AE284" s="30"/>
      <c r="AF284" s="58"/>
      <c r="AG284" s="30"/>
      <c r="AH284" s="30"/>
      <c r="AI284" s="30"/>
      <c r="AJ284" s="495"/>
      <c r="AK284" s="495"/>
      <c r="AL284" s="333"/>
      <c r="AM284" s="30"/>
      <c r="AN284" s="30"/>
      <c r="AO284" s="30"/>
      <c r="AP284" s="30"/>
      <c r="AQ284" s="30"/>
      <c r="AR284" s="30"/>
      <c r="AS284" s="30"/>
      <c r="AT284" s="483"/>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483"/>
    </row>
    <row r="285" spans="1:78" s="140" customFormat="1" ht="12.75" customHeight="1" thickBot="1" x14ac:dyDescent="0.25">
      <c r="A285" s="777"/>
      <c r="B285" s="1248"/>
      <c r="C285" s="783" t="s">
        <v>5</v>
      </c>
      <c r="D285" s="503" t="str">
        <f>Translations!$B$622</f>
        <v>VD:</v>
      </c>
      <c r="E285" s="1105" t="str">
        <f>Translations!$B$668</f>
        <v>Pradinis kiekis:</v>
      </c>
      <c r="F285" s="1123"/>
      <c r="G285" s="1106" t="str">
        <f>Translations!$B$669</f>
        <v>Galutinis kiekis:</v>
      </c>
      <c r="H285" s="1123"/>
      <c r="I285" s="1106" t="str">
        <f>Translations!$B$670</f>
        <v>Įsigytas kiekis:</v>
      </c>
      <c r="J285" s="1123"/>
      <c r="K285" s="1106" t="str">
        <f>Translations!$B$671</f>
        <v>Perduotas kiekis:</v>
      </c>
      <c r="L285" s="1123"/>
      <c r="M285" s="1107" t="str">
        <f>IF(AND(L283=TRUE,COUNT(F285,H285,J285,L285)&lt;4),EUconst_ERR_Incomplete,"")</f>
        <v/>
      </c>
      <c r="O285" s="1305"/>
      <c r="P285" s="23"/>
      <c r="Q285" s="23"/>
      <c r="R285" s="23"/>
      <c r="S285" s="23"/>
      <c r="T285" s="23"/>
      <c r="U285" s="23"/>
      <c r="V285" s="30"/>
      <c r="W285" s="30"/>
      <c r="X285" s="30"/>
      <c r="Y285" s="485"/>
      <c r="Z285" s="30"/>
      <c r="AA285" s="30"/>
      <c r="AB285" s="30"/>
      <c r="AC285" s="1115" t="b">
        <f>AC283</f>
        <v>0</v>
      </c>
      <c r="AD285" s="30"/>
      <c r="AE285" s="30"/>
      <c r="AF285" s="58"/>
      <c r="AG285" s="30"/>
      <c r="AH285" s="30"/>
      <c r="AI285" s="30"/>
      <c r="AJ285" s="495"/>
      <c r="AK285" s="495"/>
      <c r="AL285" s="333"/>
      <c r="AM285" s="30"/>
      <c r="AN285" s="30"/>
      <c r="AO285" s="30"/>
      <c r="AP285" s="30"/>
      <c r="AQ285" s="30"/>
      <c r="AR285" s="30"/>
      <c r="AS285" s="30"/>
      <c r="AT285" s="1115" t="b">
        <f>AND(AT283=TRUE,L283="")</f>
        <v>0</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1115" t="b">
        <f>OR(BZ283,AND(NOT(ISBLANK(L283)),L283=FALSE))</f>
        <v>1</v>
      </c>
    </row>
    <row r="286" spans="1:78" s="140" customFormat="1" ht="5.0999999999999996" customHeight="1" thickBot="1" x14ac:dyDescent="0.25">
      <c r="A286" s="777"/>
      <c r="B286" s="1248"/>
      <c r="C286" s="164"/>
      <c r="D286" s="164"/>
      <c r="E286" s="164"/>
      <c r="F286" s="164"/>
      <c r="G286" s="164"/>
      <c r="M286" s="141"/>
      <c r="N286" s="141"/>
      <c r="O286" s="1305"/>
      <c r="P286" s="23"/>
      <c r="Q286" s="23"/>
      <c r="R286" s="23"/>
      <c r="S286" s="23"/>
      <c r="T286" s="23"/>
      <c r="U286" s="23"/>
      <c r="V286" s="30"/>
      <c r="W286" s="30"/>
      <c r="X286" s="30"/>
      <c r="Y286" s="485"/>
      <c r="Z286" s="30"/>
      <c r="AA286" s="30"/>
      <c r="AB286" s="30"/>
      <c r="AC286" s="30"/>
      <c r="AD286" s="30"/>
      <c r="AE286" s="30"/>
      <c r="AF286" s="58"/>
      <c r="AG286" s="30"/>
      <c r="AH286" s="30"/>
      <c r="AI286" s="30"/>
      <c r="AJ286" s="495"/>
      <c r="AK286" s="495"/>
      <c r="AL286" s="333"/>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row>
    <row r="287" spans="1:78" s="140" customFormat="1" ht="12.75" customHeight="1" thickBot="1" x14ac:dyDescent="0.25">
      <c r="A287" s="777"/>
      <c r="B287" s="1248"/>
      <c r="C287" s="164"/>
      <c r="D287" s="164"/>
      <c r="E287" s="164"/>
      <c r="F287" s="497" t="str">
        <f>Translations!$B$333</f>
        <v>Pakopa</v>
      </c>
      <c r="G287" s="1613" t="str">
        <f>Translations!$B$672</f>
        <v>pakopos aprašas</v>
      </c>
      <c r="H287" s="1613"/>
      <c r="I287" s="1608" t="str">
        <f>Translations!$B$158</f>
        <v>Vienetas</v>
      </c>
      <c r="J287" s="1608"/>
      <c r="K287" s="1608" t="str">
        <f>Translations!$B$673</f>
        <v>Vertė</v>
      </c>
      <c r="L287" s="1608"/>
      <c r="M287" s="498" t="str">
        <f>Translations!$B$610</f>
        <v>klaida</v>
      </c>
      <c r="O287" s="1305"/>
      <c r="P287" s="499"/>
      <c r="Q287" s="343" t="str">
        <f>EUconst_SumEnergyIN &amp; "_" &amp; K278</f>
        <v>SUM_EnergyIN_</v>
      </c>
      <c r="R287" s="390" t="str">
        <f>IF(OR(K278="",T279)=TRUE,"",INDEX(BC293:BE293,MATCH(K278,BC288:BE288,0)))</f>
        <v/>
      </c>
      <c r="S287" s="30"/>
      <c r="T287" s="480"/>
      <c r="U287" s="30"/>
      <c r="V287" s="500" t="s">
        <v>298</v>
      </c>
      <c r="W287" s="30"/>
      <c r="X287" s="30"/>
      <c r="Y287" s="485" t="s">
        <v>560</v>
      </c>
      <c r="Z287" s="485" t="s">
        <v>313</v>
      </c>
      <c r="AA287" s="30"/>
      <c r="AB287" s="30"/>
      <c r="AC287" s="496" t="s">
        <v>304</v>
      </c>
      <c r="AD287" s="30"/>
      <c r="AE287" s="30"/>
      <c r="AF287" s="483" t="s">
        <v>300</v>
      </c>
      <c r="AG287" s="483" t="s">
        <v>301</v>
      </c>
      <c r="AH287" s="485" t="s">
        <v>299</v>
      </c>
      <c r="AI287" s="495" t="s">
        <v>302</v>
      </c>
      <c r="AJ287" s="495" t="s">
        <v>561</v>
      </c>
      <c r="AK287" s="501" t="s">
        <v>306</v>
      </c>
      <c r="AL287" s="333"/>
      <c r="AM287" s="30"/>
      <c r="AN287" s="483" t="s">
        <v>300</v>
      </c>
      <c r="AO287" s="483" t="s">
        <v>301</v>
      </c>
      <c r="AP287" s="502" t="s">
        <v>305</v>
      </c>
      <c r="AQ287" s="495" t="s">
        <v>563</v>
      </c>
      <c r="AR287" s="495" t="s">
        <v>562</v>
      </c>
      <c r="AS287" s="501" t="s">
        <v>306</v>
      </c>
      <c r="AT287" s="501" t="s">
        <v>306</v>
      </c>
      <c r="AU287" s="30"/>
      <c r="AV287" s="483"/>
      <c r="AW287" s="483"/>
      <c r="AX287" s="483" t="s">
        <v>316</v>
      </c>
      <c r="AY287" s="483"/>
      <c r="AZ287" s="483"/>
      <c r="BA287" s="483"/>
      <c r="BB287" s="483"/>
      <c r="BC287" s="483"/>
      <c r="BD287" s="483"/>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484" t="s">
        <v>259</v>
      </c>
    </row>
    <row r="288" spans="1:78" s="140" customFormat="1" ht="12.75" customHeight="1" thickBot="1" x14ac:dyDescent="0.25">
      <c r="A288" s="777"/>
      <c r="B288" s="1248"/>
      <c r="C288" s="753" t="s">
        <v>194</v>
      </c>
      <c r="D288" s="503" t="str">
        <f>Translations!$B$622</f>
        <v>VD:</v>
      </c>
      <c r="E288" s="504"/>
      <c r="F288" s="393"/>
      <c r="G288" s="1603" t="str">
        <f>IF(OR(ISBLANK(F288),F288=EUconst_NoTier),"",IF(Z288=0,EUconst_NA,IF(ISERROR(Z288),"",Z288)))</f>
        <v/>
      </c>
      <c r="H288" s="1604"/>
      <c r="I288" s="1108" t="str">
        <f>IF(J288&lt;&gt;"","",AI288)</f>
        <v/>
      </c>
      <c r="J288" s="1109"/>
      <c r="K288" s="1116" t="str">
        <f>IF(L288="",AQ288,"")</f>
        <v/>
      </c>
      <c r="L288" s="1199"/>
      <c r="M288" s="700" t="str">
        <f>IF(AND(E279&lt;&gt;"",OR(F288="",COUNT(K288:L288)=0),Y288&lt;&gt;EUconst_NA,T279&lt;&gt;TRUE),EUconst_ERR_Incomplete,IF(COUNTIF(AX288:AZ288,TRUE)&gt;0,EUconst_ERR_Inconsistent,""))</f>
        <v/>
      </c>
      <c r="O288" s="1305"/>
      <c r="P288" s="635"/>
      <c r="Q288" s="343" t="str">
        <f>EUconst_SumBioEnergyIN &amp; "_" &amp; K278</f>
        <v>SUM_BioEnergyIN_</v>
      </c>
      <c r="R288" s="390" t="str">
        <f>IF(OR(K278="",T279)=TRUE,"",INDEX(BC294:BE294,MATCH(K278,BC288:BE288,0)))</f>
        <v/>
      </c>
      <c r="S288" s="30"/>
      <c r="T288" s="505" t="str">
        <f>EUconst_CNTR_ActivityData&amp;E279</f>
        <v>ActivityData_</v>
      </c>
      <c r="U288" s="488"/>
      <c r="V288" s="505" t="str">
        <f>IF(E278="","",INDEX(B_InstallationDescription!$I$71:$I$145,MATCH(U277,B_InstallationDescription!$D$71:$D$145,0)))</f>
        <v/>
      </c>
      <c r="W288" s="495" t="s">
        <v>533</v>
      </c>
      <c r="X288" s="488"/>
      <c r="Y288" s="506" t="str">
        <f>IF(OR(T279=TRUE,E279=""),"",INDEX(EUwideConstants!$N:$N,MATCH(T288,EUwideConstants!$Q:$Q,0)))</f>
        <v/>
      </c>
      <c r="Z288" s="507" t="str">
        <f>IF(ISBLANK(F288),"",IF(F288=EUconst_NA,"",INDEX(EUwideConstants!$H:$M,MATCH(T288,EUwideConstants!$Q:$Q,0),MATCH(F288,CNTR_TierList,0))))</f>
        <v/>
      </c>
      <c r="AA288" s="508" t="s">
        <v>299</v>
      </c>
      <c r="AB288" s="495"/>
      <c r="AC288" s="509" t="b">
        <f>AC283</f>
        <v>0</v>
      </c>
      <c r="AD288" s="30"/>
      <c r="AE288" s="510" t="str">
        <f>EUconst_CNTR_ActivityData&amp;EUconst_Unit</f>
        <v>ActivityData_Vienetas</v>
      </c>
      <c r="AF288" s="511" t="str">
        <f>IF(AC288=TRUE, IF(COUNTIF(MSPara_SourceStreamCategory,V288)=0,"",INDEX(MSPara_CalcFactorsMatrix,MATCH(V288,MSPara_SourceStreamCategory,0),MATCH(AE288&amp;"_"&amp;2,MSPara_CalcFactors,0))),"")</f>
        <v/>
      </c>
      <c r="AG288" s="512" t="str">
        <f>IF(AC288=TRUE, IF(COUNTIF(MSPara_SourceStreamCategory,V288)=0,"",INDEX(MSPara_CalcFactorsMatrix,MATCH(V288,MSPara_SourceStreamCategory,0),MATCH(AE288&amp;"_"&amp;1,MSPara_CalcFactors,0))),"")</f>
        <v/>
      </c>
      <c r="AH288" s="509" t="str">
        <f>IF(OR(AF288="",AF288=EUconst_NA),IF(OR(AG288=EUconst_NA,AG288=""),"",AG288),AF288)</f>
        <v/>
      </c>
      <c r="AI288" s="506" t="str">
        <f>IF(AC288=TRUE,IF(AH288="",EUconst_t,AH288),"")</f>
        <v/>
      </c>
      <c r="AJ288" s="513" t="str">
        <f>IF(J288="",AI288,J288)</f>
        <v/>
      </c>
      <c r="AK288" s="514" t="b">
        <f>IF(K278=EUconst_Fuel,J288&lt;&gt;"",FALSE)</f>
        <v>0</v>
      </c>
      <c r="AL288" s="333"/>
      <c r="AM288" s="505" t="str">
        <f>EUconst_CNTR_ActivityData&amp;EUconst_Value</f>
        <v>ActivityData_Vertė</v>
      </c>
      <c r="AN288" s="496"/>
      <c r="AO288" s="496"/>
      <c r="AP288" s="509" t="b">
        <f>AND(AND(AH288&lt;&gt;"",AJ288&lt;&gt;""),AJ288=AH288)</f>
        <v>0</v>
      </c>
      <c r="AQ288" s="610" t="str">
        <f>IF(L283=TRUE,SUM(F285)-SUM(H285)+SUM(J285)-SUM(L285),"")</f>
        <v/>
      </c>
      <c r="AR288" s="509">
        <f>IF(Y288=EUconst_NA,0,IF(COUNT(K288:L288)=0,0,IF(L288="",K288,L288)))</f>
        <v>0</v>
      </c>
      <c r="AS288" s="1115" t="b">
        <f>AND(AC288=TRUE,OR(L288&lt;&gt;"",AQ288=""))</f>
        <v>0</v>
      </c>
      <c r="AT288" s="1115" t="b">
        <f>AND(AC288=TRUE,NOT(AS288))</f>
        <v>0</v>
      </c>
      <c r="AU288" s="30"/>
      <c r="AV288" s="483" t="s">
        <v>309</v>
      </c>
      <c r="AW288" s="483" t="s">
        <v>314</v>
      </c>
      <c r="AX288" s="515"/>
      <c r="AY288" s="30" t="s">
        <v>536</v>
      </c>
      <c r="AZ288" s="30"/>
      <c r="BA288" s="30"/>
      <c r="BB288" s="495"/>
      <c r="BC288" s="484" t="str">
        <f>EUconst_Fuel</f>
        <v>Degimas</v>
      </c>
      <c r="BD288" s="484" t="str">
        <f>EUconst_ProcessCarbonate</f>
        <v>Proceso metu išsiskiriančios ŠESD</v>
      </c>
      <c r="BE288" s="484" t="str">
        <f>EUconst_MassBalance</f>
        <v>Masės balansas</v>
      </c>
      <c r="BF288" s="30"/>
      <c r="BG288" s="30"/>
      <c r="BH288" s="30"/>
      <c r="BI288" s="30"/>
      <c r="BJ288" s="30"/>
      <c r="BK288" s="30"/>
      <c r="BL288" s="30"/>
      <c r="BM288" s="30"/>
      <c r="BN288" s="30"/>
      <c r="BO288" s="30"/>
      <c r="BP288" s="30"/>
      <c r="BQ288" s="30"/>
      <c r="BR288" s="30"/>
      <c r="BS288" s="30"/>
      <c r="BT288" s="30"/>
      <c r="BU288" s="30"/>
      <c r="BV288" s="30"/>
      <c r="BW288" s="30"/>
      <c r="BX288" s="30"/>
      <c r="BY288" s="30"/>
      <c r="BZ288" s="515" t="b">
        <f>BZ283</f>
        <v>1</v>
      </c>
    </row>
    <row r="289" spans="1:78" s="140" customFormat="1" ht="5.0999999999999996" customHeight="1" thickBot="1" x14ac:dyDescent="0.25">
      <c r="A289" s="777"/>
      <c r="B289" s="1248"/>
      <c r="C289" s="783"/>
      <c r="D289" s="298"/>
      <c r="F289" s="141"/>
      <c r="G289" s="141"/>
      <c r="H289" s="141" t="s">
        <v>233</v>
      </c>
      <c r="I289" s="516"/>
      <c r="J289" s="516"/>
      <c r="K289" s="141"/>
      <c r="L289" s="141"/>
      <c r="M289" s="701"/>
      <c r="O289" s="1305"/>
      <c r="P289" s="33"/>
      <c r="Q289" s="33"/>
      <c r="R289" s="33"/>
      <c r="S289" s="30"/>
      <c r="T289" s="153"/>
      <c r="U289" s="488"/>
      <c r="V289" s="30"/>
      <c r="W289" s="30"/>
      <c r="X289" s="488"/>
      <c r="Y289" s="517"/>
      <c r="Z289" s="30"/>
      <c r="AA289" s="30"/>
      <c r="AB289" s="30"/>
      <c r="AC289" s="30"/>
      <c r="AD289" s="30"/>
      <c r="AE289" s="30"/>
      <c r="AF289" s="30"/>
      <c r="AG289" s="30"/>
      <c r="AH289" s="30"/>
      <c r="AI289" s="30"/>
      <c r="AJ289" s="30"/>
      <c r="AK289" s="30"/>
      <c r="AL289" s="333"/>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484"/>
    </row>
    <row r="290" spans="1:78" s="140" customFormat="1" ht="12.75" customHeight="1" thickBot="1" x14ac:dyDescent="0.25">
      <c r="A290" s="777"/>
      <c r="B290" s="1248"/>
      <c r="C290" s="783" t="s">
        <v>195</v>
      </c>
      <c r="D290" s="503" t="str">
        <f>Translations!$B$634</f>
        <v>(prelim.) ITF:</v>
      </c>
      <c r="E290" s="504"/>
      <c r="F290" s="518"/>
      <c r="G290" s="1603" t="str">
        <f t="shared" ref="G290:G296" si="56">IF(OR(ISBLANK(F290),F290=EUconst_NoTier),"",IF(Z290=0,EUconst_NotApplicable,IF(ISERROR(Z290),"",Z290)))</f>
        <v/>
      </c>
      <c r="H290" s="1609"/>
      <c r="I290" s="1110" t="str">
        <f>IF(J290&lt;&gt;"","",AI290)</f>
        <v/>
      </c>
      <c r="J290" s="1111"/>
      <c r="K290" s="519" t="str">
        <f t="shared" ref="K290:K296" si="57">IF(L290="",AQ290,"")</f>
        <v/>
      </c>
      <c r="L290" s="520"/>
      <c r="M290" s="700" t="str">
        <f>IF(AND(E279&lt;&gt;"",OR(F290="",COUNT(K290:L290)=0),Y290&lt;&gt;EUconst_NA,T279&lt;&gt;TRUE),EUconst_ERR_Incomplete,IF(COUNTIF(AX290:AZ290,TRUE)&gt;0,EUconst_ERR_Inconsistent,""))</f>
        <v/>
      </c>
      <c r="N290" s="486"/>
      <c r="O290" s="1305"/>
      <c r="P290" s="33"/>
      <c r="Q290" s="33"/>
      <c r="R290" s="33"/>
      <c r="S290" s="30"/>
      <c r="T290" s="521" t="str">
        <f>EUconst_CNTR_EF&amp;E279</f>
        <v>EF_</v>
      </c>
      <c r="U290" s="488"/>
      <c r="V290" s="522" t="str">
        <f>V288</f>
        <v/>
      </c>
      <c r="W290" s="30"/>
      <c r="X290" s="488"/>
      <c r="Y290" s="523" t="str">
        <f>IF(OR(T279=TRUE,E279=""),"",IF(F290=EUconst_NA,EUconst_NA,INDEX(EUwideConstants!$N:$N,MATCH(T290,EUwideConstants!$Q:$Q,0))))</f>
        <v/>
      </c>
      <c r="Z290" s="524" t="str">
        <f>IF(ISBLANK(F290),"",IF(F290=EUconst_NA,"",INDEX(EUwideConstants!$H:$M,MATCH(T290,EUwideConstants!$Q:$Q,0),MATCH(F290,CNTR_TierList,0))))</f>
        <v/>
      </c>
      <c r="AA290" s="525" t="str">
        <f>IF(COUNTIF(EUconst_DefaultValues,Z290)&gt;0,MATCH(Z290,EUconst_DefaultValues,0),"")</f>
        <v/>
      </c>
      <c r="AB290" s="30"/>
      <c r="AC290" s="526" t="b">
        <f>AND(AC288,Y290&lt;&gt;EUconst_NA)</f>
        <v>0</v>
      </c>
      <c r="AD290" s="30"/>
      <c r="AE290" s="510" t="str">
        <f>EUconst_CNTR_EF&amp;EUconst_Unit</f>
        <v>EF_Vienetas</v>
      </c>
      <c r="AF290" s="527" t="str">
        <f>IF(AC290=TRUE, IF(COUNTIF(MSPara_SourceStreamCategory,V290)=0,"",INDEX(MSPara_CalcFactorsMatrix,MATCH(V290,MSPara_SourceStreamCategory,0),MATCH(AE290&amp;"_"&amp;2,MSPara_CalcFactors,0))),"")</f>
        <v/>
      </c>
      <c r="AG290" s="528" t="str">
        <f>IF(AC290=TRUE, IF(COUNTIF(MSPara_SourceStreamCategory,V290)=0,"",INDEX(MSPara_CalcFactorsMatrix,MATCH(V290,MSPara_SourceStreamCategory,0),MATCH(AE290&amp;"_"&amp;1,MSPara_CalcFactors,0))),"")</f>
        <v/>
      </c>
      <c r="AH290" s="529" t="str">
        <f>IF(AA290="","",INDEX(AF290:AG290,3-AA290))</f>
        <v/>
      </c>
      <c r="AI290" s="530" t="str">
        <f>IF(AC290=TRUE,IF(OR(AH290="",AH290=EUconst_NA),IF(K278=EUconst_Fuel,EUconst_tCO2pTJ,EUconst_tCO2pt),AH290),"")</f>
        <v/>
      </c>
      <c r="AJ290" s="526" t="str">
        <f>IF(J290="",AI290,J290)</f>
        <v/>
      </c>
      <c r="AK290" s="531" t="b">
        <f>IF(K278=EUconst_Fuel,J290&lt;&gt;"",FALSE)</f>
        <v>0</v>
      </c>
      <c r="AL290" s="333"/>
      <c r="AM290" s="510" t="str">
        <f>EUconst_CNTR_EF&amp;EUconst_Value</f>
        <v>EF_Vertė</v>
      </c>
      <c r="AN290" s="532" t="str">
        <f>IF(AC290=TRUE,IF(COUNTIF(MSPara_SourceStreamCategory,V290)=0,"",INDEX(MSPara_CalcFactorsMatrix,MATCH(V290,MSPara_SourceStreamCategory,0),MATCH(AM290&amp;"_"&amp;2,MSPara_CalcFactors,0))),"")</f>
        <v/>
      </c>
      <c r="AO290" s="533" t="str">
        <f>IF(AC290=TRUE,IF(COUNTIF(MSPara_SourceStreamCategory,V290)=0,"",INDEX(MSPara_CalcFactorsMatrix,MATCH(V290,MSPara_SourceStreamCategory,0),MATCH(AM290&amp;"_"&amp;1,MSPara_CalcFactors,0))),"")</f>
        <v/>
      </c>
      <c r="AP290" s="526" t="b">
        <f>AND(AND(AH290&lt;&gt;"",AJ290&lt;&gt;""),AJ290=AH290)</f>
        <v>0</v>
      </c>
      <c r="AQ290" s="534" t="str">
        <f>IF(AND(AA290&lt;&gt;"",AP290=TRUE),IF(OR(INDEX(AN290:AO290,3-AA290)=EUconst_NA,INDEX(AN290:AO290,3-AA290)=0),"",INDEX(AN290:AO290,3-AA290)),"")</f>
        <v/>
      </c>
      <c r="AR290" s="526">
        <f>IF(AC290=TRUE,IF(COUNT(K290:L290)=0,0,IF(L290="",K290,L290)),0)</f>
        <v>0</v>
      </c>
      <c r="AS290" s="522" t="b">
        <f>AND(AC290=TRUE,OR(AND(F290&lt;&gt;"",NOT(ISNUMBER(AA290))),L290&lt;&gt;"",F290="",AQ290=""))</f>
        <v>0</v>
      </c>
      <c r="AT290" s="522" t="b">
        <f t="shared" ref="AT290:AT296" si="58">AND(AC290=TRUE,NOT(AS290))</f>
        <v>0</v>
      </c>
      <c r="AU290" s="30"/>
      <c r="AV290" s="535" t="b">
        <f t="shared" ref="AV290:AV296" si="59">AND(ISNUMBER(AA290),AQ290="")</f>
        <v>0</v>
      </c>
      <c r="AW290" s="536" t="b">
        <f t="shared" ref="AW290:AW296" si="60">AND(ISNUMBER(AA290),AQ290&lt;&gt;AR290)</f>
        <v>0</v>
      </c>
      <c r="AX290" s="537" t="b">
        <f>OR(AND(AJ288=EUconst_kNm3,AJ290=EUconst_tCO2pt),AND(AJ288=EUconst_t,AJ290=EUconst_tCO2pkNm3))</f>
        <v>0</v>
      </c>
      <c r="AY290" s="522" t="b">
        <f t="shared" ref="AY290:AY296" si="61">AND(L290&lt;&gt;"",Y290=EUconst_NA)</f>
        <v>0</v>
      </c>
      <c r="AZ290" s="30"/>
      <c r="BA290" s="30"/>
      <c r="BB290" s="538" t="s">
        <v>588</v>
      </c>
      <c r="BC290" s="537" t="str">
        <f>IF(K278=BC288,AR288*IF(AJ290=EUconst_tCO2pTJ,(AR291/1000),1)*AR290*AR292*AR296,"")</f>
        <v/>
      </c>
      <c r="BD290" s="515" t="str">
        <f>IF(K278=BD288,AR288*AR290*AR293*AR296,"")</f>
        <v/>
      </c>
      <c r="BE290" s="514" t="str">
        <f>IF(K278=BE288,3.664*AR288*AR294*AR296,"")</f>
        <v/>
      </c>
      <c r="BF290" s="30"/>
      <c r="BG290" s="30"/>
      <c r="BH290" s="30"/>
      <c r="BI290" s="30"/>
      <c r="BJ290" s="30"/>
      <c r="BK290" s="30"/>
      <c r="BL290" s="30"/>
      <c r="BM290" s="30"/>
      <c r="BN290" s="30"/>
      <c r="BO290" s="30"/>
      <c r="BP290" s="30"/>
      <c r="BQ290" s="30"/>
      <c r="BR290" s="30"/>
      <c r="BS290" s="30"/>
      <c r="BT290" s="30"/>
      <c r="BU290" s="30"/>
      <c r="BV290" s="30"/>
      <c r="BW290" s="30"/>
      <c r="BX290" s="30"/>
      <c r="BY290" s="30"/>
      <c r="BZ290" s="522" t="b">
        <f>OR(BZ288,Y290=EUconst_NA)</f>
        <v>1</v>
      </c>
    </row>
    <row r="291" spans="1:78" s="140" customFormat="1" ht="12.75" customHeight="1" thickBot="1" x14ac:dyDescent="0.25">
      <c r="A291" s="777"/>
      <c r="B291" s="1248"/>
      <c r="C291" s="783" t="s">
        <v>196</v>
      </c>
      <c r="D291" s="503" t="str">
        <f>Translations!$B$636</f>
        <v>GŠV:</v>
      </c>
      <c r="E291" s="504"/>
      <c r="F291" s="539"/>
      <c r="G291" s="1603" t="str">
        <f t="shared" si="56"/>
        <v/>
      </c>
      <c r="H291" s="1604"/>
      <c r="I291" s="1112" t="str">
        <f>AJ291</f>
        <v/>
      </c>
      <c r="J291" s="540"/>
      <c r="K291" s="541" t="str">
        <f t="shared" si="57"/>
        <v/>
      </c>
      <c r="L291" s="542"/>
      <c r="M291" s="700" t="str">
        <f>IF(AND(E279&lt;&gt;"",OR(F291="",COUNT(K291:L291)=0),Y291&lt;&gt;EUconst_NA,T279&lt;&gt;TRUE),EUconst_ERR_Incomplete,IF(COUNTIF(AX291:AZ291,TRUE)&gt;0,EUconst_ERR_Inconsistent,""))</f>
        <v/>
      </c>
      <c r="O291" s="1305"/>
      <c r="P291" s="33"/>
      <c r="Q291" s="33"/>
      <c r="R291" s="33"/>
      <c r="S291" s="30"/>
      <c r="T291" s="543" t="str">
        <f>EUconst_CNTR_NCV&amp;E279</f>
        <v>NCV_</v>
      </c>
      <c r="U291" s="488"/>
      <c r="V291" s="544" t="str">
        <f t="shared" ref="V291:V296" si="62">V290</f>
        <v/>
      </c>
      <c r="W291" s="30"/>
      <c r="X291" s="488"/>
      <c r="Y291" s="545" t="str">
        <f>IF(OR(T279=TRUE,E279=""),"",IF(F291=EUconst_NA,EUconst_NA,INDEX(EUwideConstants!$N:$N,MATCH(T291,EUwideConstants!$Q:$Q,0))))</f>
        <v/>
      </c>
      <c r="Z291" s="546" t="str">
        <f>IF(ISBLANK(F291),"",IF(F291=EUconst_NA,"",INDEX(EUwideConstants!$H:$M,MATCH(T291,EUwideConstants!$Q:$Q,0),MATCH(F291,CNTR_TierList,0))))</f>
        <v/>
      </c>
      <c r="AA291" s="547" t="str">
        <f>IF(COUNTIF(EUconst_DefaultValues,Z291)&gt;0,MATCH(Z291,EUconst_DefaultValues,0),"")</f>
        <v/>
      </c>
      <c r="AB291" s="30"/>
      <c r="AC291" s="548" t="b">
        <f>AND(AC288,Y291&lt;&gt;EUconst_NA)</f>
        <v>0</v>
      </c>
      <c r="AD291" s="30"/>
      <c r="AE291" s="549" t="str">
        <f>EUconst_CNTR_NCV&amp;EUconst_Unit</f>
        <v>NCV_Vienetas</v>
      </c>
      <c r="AF291" s="550" t="str">
        <f>IF(AC291=TRUE, IF(COUNTIF(MSPara_SourceStreamCategory,V291)=0,"",INDEX(MSPara_CalcFactorsMatrix,MATCH(V291,MSPara_SourceStreamCategory,0),MATCH(AE291&amp;"_"&amp;2,MSPara_CalcFactors,0))),"")</f>
        <v/>
      </c>
      <c r="AG291" s="551" t="str">
        <f>IF(AC291=TRUE, IF(COUNTIF(MSPara_SourceStreamCategory,V291)=0,"",INDEX(MSPara_CalcFactorsMatrix,MATCH(V291,MSPara_SourceStreamCategory,0),MATCH(AE291&amp;"_"&amp;1,MSPara_CalcFactors,0))),"")</f>
        <v/>
      </c>
      <c r="AH291" s="552" t="str">
        <f>IF(AA291="","",INDEX(AF291:AG291,3-AA291))</f>
        <v/>
      </c>
      <c r="AI291" s="553"/>
      <c r="AJ291" s="548" t="str">
        <f>IF(AC291=TRUE,IF(AJ288="","",IF(AJ288=EUconst_kNm3,EUconst_GJpkNm3,EUconst_GJpt)),"")</f>
        <v/>
      </c>
      <c r="AK291" s="554"/>
      <c r="AL291" s="333"/>
      <c r="AM291" s="549" t="str">
        <f>EUconst_CNTR_NCV&amp;EUconst_Value</f>
        <v>NCV_Vertė</v>
      </c>
      <c r="AN291" s="555" t="str">
        <f>IF(AC291=TRUE,IF(COUNTIF(MSPara_SourceStreamCategory,V291)=0,"",INDEX(MSPara_CalcFactorsMatrix,MATCH(V291,MSPara_SourceStreamCategory,0),MATCH(AM291&amp;"_"&amp;2,MSPara_CalcFactors,0))),"")</f>
        <v/>
      </c>
      <c r="AO291" s="556" t="str">
        <f>IF(AC291=TRUE,IF(COUNTIF(MSPara_SourceStreamCategory,V291)=0,"",INDEX(MSPara_CalcFactorsMatrix,MATCH(V291,MSPara_SourceStreamCategory,0),MATCH(AM291&amp;"_"&amp;1,MSPara_CalcFactors,0))),"")</f>
        <v/>
      </c>
      <c r="AP291" s="548" t="b">
        <f>AND(AND(AH291&lt;&gt;"",AJ291&lt;&gt;""),AJ291=AH291)</f>
        <v>0</v>
      </c>
      <c r="AQ291" s="557" t="str">
        <f>IF(AND(AA291&lt;&gt;"",AP291=TRUE),IF(OR(INDEX(AN291:AO291,3-AA291)=EUconst_NA,INDEX(AN291:AO291,3-AA291)=0),"",INDEX(AN291:AO291,3-AA291)),"")</f>
        <v/>
      </c>
      <c r="AR291" s="548">
        <f>IF(AC291=TRUE,IF(COUNT(K291:L291)=0,0,IF(L291="",K291,L291)),0)</f>
        <v>0</v>
      </c>
      <c r="AS291" s="544" t="b">
        <f>AND(AC291=TRUE,OR(AND(F291&lt;&gt;"",NOT(ISNUMBER(AA291))),L291&lt;&gt;"",F291="",AQ291=""))</f>
        <v>0</v>
      </c>
      <c r="AT291" s="544" t="b">
        <f t="shared" si="58"/>
        <v>0</v>
      </c>
      <c r="AU291" s="30"/>
      <c r="AV291" s="558" t="b">
        <f t="shared" si="59"/>
        <v>0</v>
      </c>
      <c r="AW291" s="559" t="b">
        <f t="shared" si="60"/>
        <v>0</v>
      </c>
      <c r="AX291" s="30"/>
      <c r="AY291" s="544" t="b">
        <f t="shared" si="61"/>
        <v>0</v>
      </c>
      <c r="AZ291" s="30"/>
      <c r="BA291" s="30"/>
      <c r="BB291" s="538" t="s">
        <v>589</v>
      </c>
      <c r="BC291" s="537" t="str">
        <f>IF(K278=BC288,AR288*IF(AJ290=EUconst_tCO2pTJ,(AR291/1000),1)*AR290*AR292*AR295,"")</f>
        <v/>
      </c>
      <c r="BD291" s="515" t="str">
        <f>IF(K278=BD288,AR288*AR290*AR293*AR295,"")</f>
        <v/>
      </c>
      <c r="BE291" s="514" t="str">
        <f>IF(K278=BE288,3.664*AR288*AR294*AR295,"")</f>
        <v/>
      </c>
      <c r="BF291" s="30"/>
      <c r="BG291" s="30"/>
      <c r="BH291" s="30"/>
      <c r="BI291" s="30"/>
      <c r="BJ291" s="30"/>
      <c r="BK291" s="30"/>
      <c r="BL291" s="30"/>
      <c r="BM291" s="30"/>
      <c r="BN291" s="30"/>
      <c r="BO291" s="30"/>
      <c r="BP291" s="30"/>
      <c r="BQ291" s="30"/>
      <c r="BR291" s="30"/>
      <c r="BS291" s="30"/>
      <c r="BT291" s="30"/>
      <c r="BU291" s="30"/>
      <c r="BV291" s="30"/>
      <c r="BW291" s="30"/>
      <c r="BX291" s="30"/>
      <c r="BY291" s="30"/>
      <c r="BZ291" s="544" t="b">
        <f>OR(BZ288,Y291=EUconst_NA)</f>
        <v>1</v>
      </c>
    </row>
    <row r="292" spans="1:78" s="140" customFormat="1" ht="12.75" customHeight="1" thickBot="1" x14ac:dyDescent="0.25">
      <c r="A292" s="777"/>
      <c r="B292" s="1248"/>
      <c r="C292" s="783" t="s">
        <v>197</v>
      </c>
      <c r="D292" s="503" t="str">
        <f>Translations!$B$638</f>
        <v>Oksidacijos koef.:</v>
      </c>
      <c r="E292" s="504"/>
      <c r="F292" s="539"/>
      <c r="G292" s="1603" t="str">
        <f t="shared" si="56"/>
        <v/>
      </c>
      <c r="H292" s="1604"/>
      <c r="I292" s="1113" t="str">
        <f>IF(OR(AC292=FALSE,Y292=EUconst_NA),"","-")</f>
        <v/>
      </c>
      <c r="J292" s="560"/>
      <c r="K292" s="561" t="str">
        <f t="shared" si="57"/>
        <v/>
      </c>
      <c r="L292" s="694"/>
      <c r="M292" s="700" t="str">
        <f>IF(AND(E279&lt;&gt;"",OR(F292="",COUNT(K292:L292)=0),Y292&lt;&gt;EUconst_NA,T279&lt;&gt;TRUE),EUconst_ERR_Incomplete,IF(COUNTIF(AX292:AZ292,TRUE)&gt;0,EUconst_ERR_Inconsistent,""))</f>
        <v/>
      </c>
      <c r="O292" s="1305"/>
      <c r="P292" s="33"/>
      <c r="Q292" s="33"/>
      <c r="R292" s="33"/>
      <c r="S292" s="30"/>
      <c r="T292" s="543" t="str">
        <f>EUconst_CNTR_OxidationFactor&amp;E279</f>
        <v>OxF_</v>
      </c>
      <c r="U292" s="488"/>
      <c r="V292" s="544" t="str">
        <f t="shared" si="62"/>
        <v/>
      </c>
      <c r="W292" s="30"/>
      <c r="X292" s="488"/>
      <c r="Y292" s="545" t="str">
        <f>IF(OR(T279=TRUE,E279=""),"",INDEX(EUwideConstants!$N:$N,MATCH(T292,EUwideConstants!$Q:$Q,0)))</f>
        <v/>
      </c>
      <c r="Z292" s="546" t="str">
        <f>IF(ISBLANK(F292),"",IF(F292=EUconst_NA,"",INDEX(EUwideConstants!$H:$M,MATCH(T292,EUwideConstants!$Q:$Q,0),MATCH(F292,CNTR_TierList,0))))</f>
        <v/>
      </c>
      <c r="AA292" s="525" t="str">
        <f>IF(F292=1,1,"")</f>
        <v/>
      </c>
      <c r="AB292" s="30"/>
      <c r="AC292" s="548" t="b">
        <f>AND(AC288,Y292&lt;&gt;EUconst_NA)</f>
        <v>0</v>
      </c>
      <c r="AD292" s="30"/>
      <c r="AE292" s="563"/>
      <c r="AG292" s="564"/>
      <c r="AH292" s="553"/>
      <c r="AI292" s="565"/>
      <c r="AJ292" s="553"/>
      <c r="AK292" s="566"/>
      <c r="AL292" s="333"/>
      <c r="AM292" s="549" t="str">
        <f>EUconst_CNTR_OxidationFactor&amp;EUconst_Value</f>
        <v>OxF_Vertė</v>
      </c>
      <c r="AN292" s="567"/>
      <c r="AO292" s="525">
        <v>1</v>
      </c>
      <c r="AP292" s="553"/>
      <c r="AQ292" s="568" t="str">
        <f>IF(AA292="","",AO292)</f>
        <v/>
      </c>
      <c r="AR292" s="548">
        <f>IF(AC292=TRUE,IF(COUNT(K292:L292)=0,0,IF(L292="",K292,L292)),1)</f>
        <v>1</v>
      </c>
      <c r="AS292" s="544" t="b">
        <f>AND(AC292=TRUE,OR(ISNUMBER(L292),NOT(ISNUMBER(AA292))))</f>
        <v>0</v>
      </c>
      <c r="AT292" s="544" t="b">
        <f t="shared" si="58"/>
        <v>0</v>
      </c>
      <c r="AU292" s="30"/>
      <c r="AV292" s="558" t="b">
        <f t="shared" si="59"/>
        <v>0</v>
      </c>
      <c r="AW292" s="559" t="b">
        <f t="shared" si="60"/>
        <v>0</v>
      </c>
      <c r="AX292" s="30"/>
      <c r="AY292" s="585" t="b">
        <f t="shared" si="61"/>
        <v>0</v>
      </c>
      <c r="AZ292" s="522" t="b">
        <f>AR292&gt;100%</f>
        <v>0</v>
      </c>
      <c r="BA292" s="30"/>
      <c r="BB292" s="538" t="s">
        <v>287</v>
      </c>
      <c r="BC292" s="537" t="str">
        <f>IF(K278=BC288,AR288*IF(AJ290=EUconst_tCO2pTJ,(AR291/1000),1)*AR290*AR292*(1-AR295),"")</f>
        <v/>
      </c>
      <c r="BD292" s="515" t="str">
        <f>IF(K278=BD288,AR288*AR290*AR293*(1-AR295),"")</f>
        <v/>
      </c>
      <c r="BE292" s="514" t="str">
        <f>IF(K278=BE288,3.664*AR288*AR294*(1-AR295),"")</f>
        <v/>
      </c>
      <c r="BF292" s="30"/>
      <c r="BG292" s="30"/>
      <c r="BH292" s="30"/>
      <c r="BI292" s="30"/>
      <c r="BJ292" s="30"/>
      <c r="BK292" s="30"/>
      <c r="BL292" s="30"/>
      <c r="BM292" s="30"/>
      <c r="BN292" s="30"/>
      <c r="BO292" s="30"/>
      <c r="BP292" s="30"/>
      <c r="BQ292" s="30"/>
      <c r="BR292" s="30"/>
      <c r="BS292" s="30"/>
      <c r="BT292" s="30"/>
      <c r="BU292" s="30"/>
      <c r="BV292" s="30"/>
      <c r="BW292" s="30"/>
      <c r="BX292" s="30"/>
      <c r="BY292" s="30"/>
      <c r="BZ292" s="544" t="b">
        <f>OR(BZ288,Y292=EUconst_NA)</f>
        <v>1</v>
      </c>
    </row>
    <row r="293" spans="1:78" s="140" customFormat="1" ht="12.75" customHeight="1" thickBot="1" x14ac:dyDescent="0.25">
      <c r="A293" s="777"/>
      <c r="B293" s="1248"/>
      <c r="C293" s="783" t="s">
        <v>198</v>
      </c>
      <c r="D293" s="503" t="str">
        <f>Translations!$B$639</f>
        <v>Konversijos koef.:</v>
      </c>
      <c r="E293" s="504"/>
      <c r="F293" s="539"/>
      <c r="G293" s="1603" t="str">
        <f t="shared" si="56"/>
        <v/>
      </c>
      <c r="H293" s="1604"/>
      <c r="I293" s="1113" t="str">
        <f>IF(OR(AC293=FALSE,Y293=EUconst_NA),"","-")</f>
        <v/>
      </c>
      <c r="J293" s="560"/>
      <c r="K293" s="561" t="str">
        <f t="shared" si="57"/>
        <v/>
      </c>
      <c r="L293" s="694"/>
      <c r="M293" s="700" t="str">
        <f>IF(AND(E279&lt;&gt;"",OR(F293="",COUNT(K293:L293)=0),Y293&lt;&gt;EUconst_NA,T279&lt;&gt;TRUE),EUconst_ERR_Incomplete,IF(COUNTIF(AX293:AZ293,TRUE)&gt;0,EUconst_ERR_Inconsistent,""))</f>
        <v/>
      </c>
      <c r="O293" s="1305"/>
      <c r="P293" s="33"/>
      <c r="Q293" s="33"/>
      <c r="R293" s="33"/>
      <c r="S293" s="30"/>
      <c r="T293" s="543" t="str">
        <f>EUconst_CNTR_ConversionFactor&amp;E279</f>
        <v>ConvF_</v>
      </c>
      <c r="U293" s="488"/>
      <c r="V293" s="544" t="str">
        <f t="shared" si="62"/>
        <v/>
      </c>
      <c r="W293" s="30"/>
      <c r="X293" s="488"/>
      <c r="Y293" s="545" t="str">
        <f>IF(OR(T279=TRUE,E279=""),"",INDEX(EUwideConstants!$N:$N,MATCH(T293,EUwideConstants!$Q:$Q,0)))</f>
        <v/>
      </c>
      <c r="Z293" s="546" t="str">
        <f>IF(ISBLANK(F293),"",IF(F293=EUconst_NA,"",INDEX(EUwideConstants!$H:$M,MATCH(T293,EUwideConstants!$Q:$Q,0),MATCH(F293,CNTR_TierList,0))))</f>
        <v/>
      </c>
      <c r="AA293" s="573" t="str">
        <f>IF(F293=1,1,"")</f>
        <v/>
      </c>
      <c r="AB293" s="30"/>
      <c r="AC293" s="548" t="b">
        <f>AND(AC288,Y293&lt;&gt;EUconst_NA)</f>
        <v>0</v>
      </c>
      <c r="AD293" s="30"/>
      <c r="AE293" s="563"/>
      <c r="AG293" s="564"/>
      <c r="AH293" s="574"/>
      <c r="AI293" s="565"/>
      <c r="AJ293" s="574"/>
      <c r="AK293" s="566"/>
      <c r="AL293" s="333"/>
      <c r="AM293" s="549" t="str">
        <f>EUconst_CNTR_ConversionFactor&amp;EUconst_Value</f>
        <v>ConvF_Vertė</v>
      </c>
      <c r="AN293" s="575"/>
      <c r="AO293" s="573">
        <v>1</v>
      </c>
      <c r="AP293" s="574"/>
      <c r="AQ293" s="576" t="str">
        <f>IF(AA293="","",AO293)</f>
        <v/>
      </c>
      <c r="AR293" s="548">
        <f>IF(AC293=TRUE,IF(COUNT(K293:L293)=0,0,IF(L293="",K293,L293)),1)</f>
        <v>1</v>
      </c>
      <c r="AS293" s="544" t="b">
        <f>AND(AC293=TRUE,OR(ISNUMBER(L293),NOT(ISNUMBER(AA293))))</f>
        <v>0</v>
      </c>
      <c r="AT293" s="544" t="b">
        <f t="shared" si="58"/>
        <v>0</v>
      </c>
      <c r="AU293" s="30"/>
      <c r="AV293" s="558" t="b">
        <f t="shared" si="59"/>
        <v>0</v>
      </c>
      <c r="AW293" s="559" t="b">
        <f t="shared" si="60"/>
        <v>0</v>
      </c>
      <c r="AX293" s="30"/>
      <c r="AY293" s="585" t="b">
        <f t="shared" si="61"/>
        <v>0</v>
      </c>
      <c r="AZ293" s="571" t="b">
        <f>AR293&gt;100%</f>
        <v>0</v>
      </c>
      <c r="BA293" s="30"/>
      <c r="BB293" s="569" t="s">
        <v>481</v>
      </c>
      <c r="BC293" s="570">
        <f>AR288*AR291/1000*(1-AR295)</f>
        <v>0</v>
      </c>
      <c r="BD293" s="571">
        <f>BC293</f>
        <v>0</v>
      </c>
      <c r="BE293" s="572">
        <f>BC293</f>
        <v>0</v>
      </c>
      <c r="BF293" s="30"/>
      <c r="BG293" s="30"/>
      <c r="BH293" s="30"/>
      <c r="BI293" s="30"/>
      <c r="BJ293" s="30"/>
      <c r="BK293" s="30"/>
      <c r="BL293" s="30"/>
      <c r="BM293" s="30"/>
      <c r="BN293" s="30"/>
      <c r="BO293" s="30"/>
      <c r="BP293" s="30"/>
      <c r="BQ293" s="30"/>
      <c r="BR293" s="30"/>
      <c r="BS293" s="30"/>
      <c r="BT293" s="30"/>
      <c r="BU293" s="30"/>
      <c r="BV293" s="30"/>
      <c r="BW293" s="30"/>
      <c r="BX293" s="30"/>
      <c r="BY293" s="30"/>
      <c r="BZ293" s="544" t="b">
        <f>OR(BZ288,Y293=EUconst_NA)</f>
        <v>1</v>
      </c>
    </row>
    <row r="294" spans="1:78" s="140" customFormat="1" ht="12.75" customHeight="1" thickBot="1" x14ac:dyDescent="0.25">
      <c r="A294" s="777"/>
      <c r="B294" s="1248"/>
      <c r="C294" s="783" t="s">
        <v>324</v>
      </c>
      <c r="D294" s="503" t="str">
        <f>Translations!$B$640</f>
        <v>Anglies kiekis (C):</v>
      </c>
      <c r="E294" s="504"/>
      <c r="F294" s="539"/>
      <c r="G294" s="1603" t="str">
        <f t="shared" si="56"/>
        <v/>
      </c>
      <c r="H294" s="1604"/>
      <c r="I294" s="1113" t="str">
        <f>AJ294</f>
        <v/>
      </c>
      <c r="J294" s="577"/>
      <c r="K294" s="578" t="str">
        <f t="shared" si="57"/>
        <v/>
      </c>
      <c r="L294" s="579"/>
      <c r="M294" s="700" t="str">
        <f>IF(AND(E279&lt;&gt;"",OR(F294="",COUNT(K294:L294)=0),Y294&lt;&gt;EUconst_NA,T279&lt;&gt;TRUE),EUconst_ERR_Incomplete,IF(COUNTIF(AX294:AZ294,TRUE)&gt;0,EUconst_ERR_Inconsistent,""))</f>
        <v/>
      </c>
      <c r="O294" s="1305"/>
      <c r="P294" s="33"/>
      <c r="Q294" s="33"/>
      <c r="R294" s="33"/>
      <c r="S294" s="30"/>
      <c r="T294" s="543" t="str">
        <f>EUconst_CNTR_CarbonContent&amp;E279</f>
        <v>CarbC_</v>
      </c>
      <c r="U294" s="488"/>
      <c r="V294" s="544" t="str">
        <f t="shared" si="62"/>
        <v/>
      </c>
      <c r="W294" s="30"/>
      <c r="X294" s="488"/>
      <c r="Y294" s="545" t="str">
        <f>IF(OR(T279=TRUE,E279=""),"",INDEX(EUwideConstants!$N:$N,MATCH(T294,EUwideConstants!$Q:$Q,0)))</f>
        <v/>
      </c>
      <c r="Z294" s="546" t="str">
        <f>IF(ISBLANK(F294),"",IF(F294=EUconst_NA,"",INDEX(EUwideConstants!$H:$M,MATCH(T294,EUwideConstants!$Q:$Q,0),MATCH(F294,CNTR_TierList,0))))</f>
        <v/>
      </c>
      <c r="AA294" s="580" t="str">
        <f>IF(COUNTIF(EUconst_DefaultValues,Z294)&gt;0,MATCH(Z294,EUconst_DefaultValues,0),"")</f>
        <v/>
      </c>
      <c r="AB294" s="30"/>
      <c r="AC294" s="548" t="b">
        <f>AND(AC288,Y294&lt;&gt;EUconst_NA)</f>
        <v>0</v>
      </c>
      <c r="AD294" s="30"/>
      <c r="AE294" s="549" t="str">
        <f>EUconst_CNTR_CarbonContent&amp;EUconst_Unit</f>
        <v>CarbC_Vienetas</v>
      </c>
      <c r="AF294" s="550" t="str">
        <f>IF(AC294=TRUE, IF(COUNTIF(MSPara_SourceStreamCategory,V294)=0,"",INDEX(MSPara_CalcFactorsMatrix,MATCH(V294,MSPara_SourceStreamCategory,0),MATCH(AE294&amp;"_"&amp;2,MSPara_CalcFactors,0))),"")</f>
        <v/>
      </c>
      <c r="AG294" s="551" t="str">
        <f>IF(AC294=TRUE, IF(COUNTIF(MSPara_SourceStreamCategory,V294)=0,"",INDEX(MSPara_CalcFactorsMatrix,MATCH(V294,MSPara_SourceStreamCategory,0),MATCH(AE294&amp;"_"&amp;1,MSPara_CalcFactors,0))),"")</f>
        <v/>
      </c>
      <c r="AH294" s="581" t="str">
        <f>IF(AA294="","",INDEX(AF294:AG294,3-AA294))</f>
        <v/>
      </c>
      <c r="AI294" s="565"/>
      <c r="AJ294" s="582" t="str">
        <f>IF(AC294=TRUE,IF(AJ288="","",IF(AJ288=EUconst_kNm3,EUconst_tCpkNm3,EUconst_tCpt)),"")</f>
        <v/>
      </c>
      <c r="AK294" s="566"/>
      <c r="AL294" s="333"/>
      <c r="AM294" s="549" t="str">
        <f>EUconst_CNTR_CarbonContent&amp;EUconst_Value</f>
        <v>CarbC_Vertė</v>
      </c>
      <c r="AN294" s="555" t="str">
        <f>IF(AC294=TRUE,IF(COUNTIF(MSPara_SourceStreamCategory,V294)=0,"",INDEX(MSPara_CalcFactorsMatrix,MATCH(V294,MSPara_SourceStreamCategory,0),MATCH(AM294&amp;"_"&amp;2,MSPara_CalcFactors,0))),"")</f>
        <v/>
      </c>
      <c r="AO294" s="583" t="str">
        <f>IF(AC294=TRUE,IF(COUNTIF(MSPara_SourceStreamCategory,V294)=0,"",INDEX(MSPara_CalcFactorsMatrix,MATCH(V294,MSPara_SourceStreamCategory,0),MATCH(AM294&amp;"_"&amp;1,MSPara_CalcFactors,0))),"")</f>
        <v/>
      </c>
      <c r="AP294" s="548" t="b">
        <f>AND(AND(AH294&lt;&gt;"",AJ294&lt;&gt;""),AJ294=AH294)</f>
        <v>0</v>
      </c>
      <c r="AQ294" s="584" t="str">
        <f>IF(AND(AA294&lt;&gt;"",AP294=TRUE),IF(OR(INDEX(AN294:AO294,3-AA294)=EUconst_NA,INDEX(AN294:AO294,3-AA294)=0),"",INDEX(AN294:AO294,3-AA294)),"")</f>
        <v/>
      </c>
      <c r="AR294" s="548">
        <f>IF(AC294=TRUE,IF(COUNT(K294:L294)=0,0,IF(L294="",K294,L294)),0)</f>
        <v>0</v>
      </c>
      <c r="AS294" s="544" t="b">
        <f>AND(AC294=TRUE,OR(AND(F294&lt;&gt;"",NOT(ISNUMBER(AA294))),L294&lt;&gt;"",F294="",AQ294=""))</f>
        <v>0</v>
      </c>
      <c r="AT294" s="544" t="b">
        <f t="shared" si="58"/>
        <v>0</v>
      </c>
      <c r="AU294" s="30"/>
      <c r="AV294" s="558" t="b">
        <f t="shared" si="59"/>
        <v>0</v>
      </c>
      <c r="AW294" s="559" t="b">
        <f t="shared" si="60"/>
        <v>0</v>
      </c>
      <c r="AX294" s="537" t="b">
        <f>OR(AND(AJ288=EUconst_kNm3,AJ294=EUconst_tCpt),AND(AJ288=EUconst_t,AJ294=EUconst_tCpkNm3))</f>
        <v>0</v>
      </c>
      <c r="AY294" s="544" t="b">
        <f t="shared" si="61"/>
        <v>0</v>
      </c>
      <c r="AZ294" s="30"/>
      <c r="BA294" s="30"/>
      <c r="BB294" s="569" t="s">
        <v>482</v>
      </c>
      <c r="BC294" s="570">
        <f>AR288*AR291/1000*AR295</f>
        <v>0</v>
      </c>
      <c r="BD294" s="571">
        <f>BC294</f>
        <v>0</v>
      </c>
      <c r="BE294" s="572">
        <f>BC294</f>
        <v>0</v>
      </c>
      <c r="BF294" s="30"/>
      <c r="BG294" s="30"/>
      <c r="BH294" s="30"/>
      <c r="BI294" s="30"/>
      <c r="BJ294" s="30"/>
      <c r="BK294" s="30"/>
      <c r="BL294" s="30"/>
      <c r="BM294" s="30"/>
      <c r="BN294" s="30"/>
      <c r="BO294" s="30"/>
      <c r="BP294" s="30"/>
      <c r="BQ294" s="30"/>
      <c r="BR294" s="30"/>
      <c r="BS294" s="30"/>
      <c r="BT294" s="30"/>
      <c r="BU294" s="30"/>
      <c r="BV294" s="30"/>
      <c r="BW294" s="30"/>
      <c r="BX294" s="30"/>
      <c r="BY294" s="30"/>
      <c r="BZ294" s="544" t="b">
        <f>OR(BZ288,Y294=EUconst_NA)</f>
        <v>1</v>
      </c>
    </row>
    <row r="295" spans="1:78" s="140" customFormat="1" ht="12.75" customHeight="1" x14ac:dyDescent="0.2">
      <c r="A295" s="777"/>
      <c r="B295" s="1248"/>
      <c r="C295" s="753" t="s">
        <v>325</v>
      </c>
      <c r="D295" s="503" t="str">
        <f>Translations!$B$641</f>
        <v>Biomasės dalis (BioC):</v>
      </c>
      <c r="E295" s="504"/>
      <c r="F295" s="539"/>
      <c r="G295" s="1603" t="str">
        <f t="shared" si="56"/>
        <v/>
      </c>
      <c r="H295" s="1604"/>
      <c r="I295" s="1113" t="str">
        <f>IF(OR(AC295=FALSE,Y295=EUconst_NA),"","-")</f>
        <v/>
      </c>
      <c r="J295" s="560"/>
      <c r="K295" s="561" t="str">
        <f t="shared" si="57"/>
        <v/>
      </c>
      <c r="L295" s="694"/>
      <c r="M295" s="700" t="str">
        <f>IF(AND(E279&lt;&gt;"",OR(F295="",COUNT(K295:L295)=0),Y295&lt;&gt;EUconst_NA,T279&lt;&gt;TRUE),EUconst_ERR_Incomplete,IF(COUNTIF(AX295:AZ295,TRUE)&gt;0,EUconst_ERR_Inconsistent,""))</f>
        <v/>
      </c>
      <c r="O295" s="1305"/>
      <c r="P295" s="635"/>
      <c r="Q295" s="635"/>
      <c r="R295" s="635"/>
      <c r="S295" s="30"/>
      <c r="T295" s="543" t="str">
        <f>EUconst_CNTR_BiomassContent&amp;E279</f>
        <v>BioC_</v>
      </c>
      <c r="U295" s="488"/>
      <c r="V295" s="585" t="str">
        <f t="shared" si="62"/>
        <v/>
      </c>
      <c r="W295" s="522" t="str">
        <f>IF(COUNTIF(MSPara_SourceStreamCategory,V295)=0,"",INDEX(MSPara_IsFossil,MATCH(V295,MSPara_SourceStreamCategory,0)))</f>
        <v/>
      </c>
      <c r="X295" s="488"/>
      <c r="Y295" s="545" t="str">
        <f>IF(OR(T279=TRUE,E279=""),"",IF(OR(W295=TRUE,F295=EUconst_NA),EUconst_NA,INDEX(EUwideConstants!$N:$N,MATCH(T295,EUwideConstants!$Q:$Q,0))))</f>
        <v/>
      </c>
      <c r="Z295" s="546" t="str">
        <f>IF(ISBLANK(F295),"",IF(F295=EUconst_NA,"",INDEX(EUwideConstants!$H:$M,MATCH(T295,EUwideConstants!$Q:$Q,0),MATCH(F295,CNTR_TierList,0))))</f>
        <v/>
      </c>
      <c r="AA295" s="586" t="str">
        <f>IF(F295=1,1,"")</f>
        <v/>
      </c>
      <c r="AB295" s="30"/>
      <c r="AC295" s="548" t="b">
        <f>AND(AC288,Y295&lt;&gt;EUconst_NA)</f>
        <v>0</v>
      </c>
      <c r="AD295" s="30"/>
      <c r="AE295" s="563"/>
      <c r="AG295" s="564"/>
      <c r="AH295" s="553"/>
      <c r="AI295" s="565"/>
      <c r="AJ295" s="553"/>
      <c r="AK295" s="566"/>
      <c r="AL295" s="333"/>
      <c r="AM295" s="549" t="str">
        <f>EUconst_CNTR_BiomassContent&amp;EUconst_Value</f>
        <v>BioC_Vertė</v>
      </c>
      <c r="AO295" s="587" t="str">
        <f>IF(AC295=TRUE,IF(COUNTIF(MSPara_SourceStreamCategory,V295)=0,"",INDEX(MSPara_CalcFactorsMatrix,MATCH(V295,MSPara_SourceStreamCategory,0),MATCH(AM295&amp;"_"&amp;2,MSPara_CalcFactors,0))),"")</f>
        <v/>
      </c>
      <c r="AP295" s="553"/>
      <c r="AQ295" s="568" t="str">
        <f>IF(OR(AA295="",AO295=EUconst_NA),"",AO295)</f>
        <v/>
      </c>
      <c r="AR295" s="548">
        <f>IF(AC295=TRUE,IF(COUNT(K295:L295)=0,0,IF(L295="",K295,L295)),0)</f>
        <v>0</v>
      </c>
      <c r="AS295" s="544" t="b">
        <f>AND(AC295=TRUE,OR(AND(F295&lt;&gt;"",NOT(ISNUMBER(AA295))),L295&lt;&gt;"",F295="",AQ295=""))</f>
        <v>0</v>
      </c>
      <c r="AT295" s="544" t="b">
        <f t="shared" si="58"/>
        <v>0</v>
      </c>
      <c r="AU295" s="30"/>
      <c r="AV295" s="558" t="b">
        <f t="shared" si="59"/>
        <v>0</v>
      </c>
      <c r="AW295" s="559" t="b">
        <f t="shared" si="60"/>
        <v>0</v>
      </c>
      <c r="AX295" s="30"/>
      <c r="AY295" s="585" t="b">
        <f t="shared" si="61"/>
        <v>0</v>
      </c>
      <c r="AZ295" s="522" t="b">
        <f>OR(AR295&gt;100%,(AR295+AR296)&gt;100%)</f>
        <v>0</v>
      </c>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544" t="b">
        <f>OR(BZ288,Y295=EUconst_NA)</f>
        <v>1</v>
      </c>
    </row>
    <row r="296" spans="1:78" s="140" customFormat="1" ht="12.75" customHeight="1" thickBot="1" x14ac:dyDescent="0.25">
      <c r="A296" s="777"/>
      <c r="B296" s="1248"/>
      <c r="C296" s="753" t="s">
        <v>448</v>
      </c>
      <c r="D296" s="503" t="str">
        <f>Translations!$B$647</f>
        <v>Netvarios BioC dalis:</v>
      </c>
      <c r="E296" s="504"/>
      <c r="F296" s="588"/>
      <c r="G296" s="1603" t="str">
        <f t="shared" si="56"/>
        <v/>
      </c>
      <c r="H296" s="1604"/>
      <c r="I296" s="1114" t="str">
        <f>IF(OR(AC296=FALSE,Y296=EUconst_NA),"","-")</f>
        <v/>
      </c>
      <c r="J296" s="560"/>
      <c r="K296" s="589" t="str">
        <f t="shared" si="57"/>
        <v/>
      </c>
      <c r="L296" s="1100"/>
      <c r="M296" s="700" t="str">
        <f>IF(AND(E279&lt;&gt;"",OR(F296="",COUNT(K296:L296)=0),Y296&lt;&gt;EUconst_NA,T279&lt;&gt;TRUE),EUconst_ERR_Incomplete,IF(COUNTIF(AX296:AZ296,TRUE)&gt;0,EUconst_ERR_Inconsistent,""))</f>
        <v/>
      </c>
      <c r="O296" s="1305"/>
      <c r="P296" s="635"/>
      <c r="Q296" s="635"/>
      <c r="R296" s="635"/>
      <c r="S296" s="30"/>
      <c r="T296" s="590" t="str">
        <f>EUconst_CNTR_BiomassContent&amp;E279</f>
        <v>BioC_</v>
      </c>
      <c r="U296" s="488"/>
      <c r="V296" s="570" t="str">
        <f t="shared" si="62"/>
        <v/>
      </c>
      <c r="W296" s="571" t="str">
        <f>IF(COUNTIF(MSPara_SourceStreamCategory,V296)=0,"",INDEX(MSPara_IsFossil,MATCH(V296,MSPara_SourceStreamCategory,0)))</f>
        <v/>
      </c>
      <c r="X296" s="488"/>
      <c r="Y296" s="591" t="str">
        <f>IF(OR(T279=TRUE,E279=""),"",IF(OR(W296=TRUE,F296=EUconst_NA),EUconst_NA,INDEX(EUwideConstants!$N:$N,MATCH(T296,EUwideConstants!$Q:$Q,0))))</f>
        <v/>
      </c>
      <c r="Z296" s="592" t="str">
        <f>IF(ISBLANK(F296),"",IF(F296=EUconst_NA,"",INDEX(EUwideConstants!$H:$M,MATCH(T296,EUwideConstants!$Q:$Q,0),MATCH(F296,CNTR_TierList,0))))</f>
        <v/>
      </c>
      <c r="AA296" s="593" t="str">
        <f>IF(F296=1,1,"")</f>
        <v/>
      </c>
      <c r="AB296" s="30"/>
      <c r="AC296" s="594" t="b">
        <f>AND(AC288,Y296&lt;&gt;EUconst_NA)</f>
        <v>0</v>
      </c>
      <c r="AD296" s="30"/>
      <c r="AE296" s="595"/>
      <c r="AF296" s="596"/>
      <c r="AG296" s="597"/>
      <c r="AH296" s="598"/>
      <c r="AI296" s="598"/>
      <c r="AJ296" s="598"/>
      <c r="AK296" s="599"/>
      <c r="AL296" s="333"/>
      <c r="AM296" s="600" t="str">
        <f>EUconst_CNTR_BiomassContent&amp;EUconst_Value</f>
        <v>BioC_Vertė</v>
      </c>
      <c r="AN296" s="596"/>
      <c r="AO296" s="601" t="str">
        <f>IF(AC296=TRUE,IF(COUNTIF(MSPara_SourceStreamCategory,V296)=0,"",INDEX(MSPara_CalcFactorsMatrix,MATCH(V296,MSPara_SourceStreamCategory,0),MATCH(AM296&amp;"_"&amp;2,MSPara_CalcFactors,0))),"")</f>
        <v/>
      </c>
      <c r="AP296" s="598"/>
      <c r="AQ296" s="602" t="str">
        <f>IF(OR(AA296="",AO296=EUconst_NA),"",AO296)</f>
        <v/>
      </c>
      <c r="AR296" s="594">
        <f>IF(AC296=TRUE,IF(COUNT(K296:L296)=0,0,IF(L296="",K296,L296)),0)</f>
        <v>0</v>
      </c>
      <c r="AS296" s="603" t="b">
        <f>AND(AC296=TRUE,OR(AND(F296&lt;&gt;"",NOT(ISNUMBER(AA296))),L296&lt;&gt;"",F296="",AQ296=""))</f>
        <v>0</v>
      </c>
      <c r="AT296" s="603" t="b">
        <f t="shared" si="58"/>
        <v>0</v>
      </c>
      <c r="AU296" s="30"/>
      <c r="AV296" s="604" t="b">
        <f t="shared" si="59"/>
        <v>0</v>
      </c>
      <c r="AW296" s="605" t="b">
        <f t="shared" si="60"/>
        <v>0</v>
      </c>
      <c r="AX296" s="30"/>
      <c r="AY296" s="570" t="b">
        <f t="shared" si="61"/>
        <v>0</v>
      </c>
      <c r="AZ296" s="571" t="b">
        <f>OR(AR295&gt;100%,(AR295+AR296)&gt;100%)</f>
        <v>0</v>
      </c>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571" t="b">
        <f>OR(BZ288,Y296=EUconst_NA)</f>
        <v>1</v>
      </c>
    </row>
    <row r="297" spans="1:78" s="140" customFormat="1" ht="5.0999999999999996" customHeight="1" x14ac:dyDescent="0.2">
      <c r="A297" s="777"/>
      <c r="B297" s="1248"/>
      <c r="C297" s="164"/>
      <c r="D297" s="178"/>
      <c r="O297" s="1305"/>
      <c r="P297" s="33"/>
      <c r="Q297" s="33"/>
      <c r="R297" s="33"/>
      <c r="S297" s="172"/>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row>
    <row r="298" spans="1:78" s="140" customFormat="1" ht="12.75" customHeight="1" x14ac:dyDescent="0.2">
      <c r="A298" s="777"/>
      <c r="B298" s="1248"/>
      <c r="C298" s="164"/>
      <c r="D298" s="1629" t="str">
        <f>Translations!$B$674</f>
        <v>Pakopos galioja nuo:</v>
      </c>
      <c r="E298" s="1629"/>
      <c r="F298" s="1630"/>
      <c r="G298" s="1014"/>
      <c r="H298" s="606" t="str">
        <f>Translations!$B$675</f>
        <v>iki:</v>
      </c>
      <c r="I298" s="1014"/>
      <c r="J298" s="1620" t="str">
        <f>Translations!$B$676</f>
        <v>Atliekų katalogo numeris (jeigu taikytina):</v>
      </c>
      <c r="K298" s="1621"/>
      <c r="L298" s="1621"/>
      <c r="M298" s="1622"/>
      <c r="N298" s="1232"/>
      <c r="O298" s="1305"/>
      <c r="P298" s="33"/>
      <c r="Q298" s="33"/>
      <c r="R298" s="33"/>
      <c r="S298" s="1233"/>
      <c r="T298" s="483"/>
      <c r="U298" s="483"/>
      <c r="V298" s="48" t="b">
        <f>IF(V288="",FALSE,INDEX(CNTR_IsWaste,MATCH(V288,MSParameters!$A$218:$A$376,0)))</f>
        <v>0</v>
      </c>
      <c r="W298" s="1233" t="s">
        <v>1689</v>
      </c>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2" t="b">
        <f>BZ288</f>
        <v>1</v>
      </c>
    </row>
    <row r="299" spans="1:78" s="140" customFormat="1" ht="5.0999999999999996" customHeight="1" x14ac:dyDescent="0.2">
      <c r="A299" s="777"/>
      <c r="B299" s="1248"/>
      <c r="C299" s="164"/>
      <c r="D299" s="606"/>
      <c r="E299" s="486"/>
      <c r="F299" s="486"/>
      <c r="G299" s="486"/>
      <c r="H299" s="486"/>
      <c r="I299" s="486"/>
      <c r="J299" s="486"/>
      <c r="K299" s="486"/>
      <c r="L299" s="486"/>
      <c r="M299" s="486"/>
      <c r="N299" s="486"/>
      <c r="O299" s="1305"/>
      <c r="P299" s="33"/>
      <c r="Q299" s="33"/>
      <c r="R299" s="33"/>
      <c r="S299" s="172"/>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row>
    <row r="300" spans="1:78" s="140" customFormat="1" ht="12.75" customHeight="1" x14ac:dyDescent="0.2">
      <c r="A300" s="777"/>
      <c r="B300" s="1248"/>
      <c r="C300" s="164"/>
      <c r="D300" s="486"/>
      <c r="E300" s="486"/>
      <c r="F300" s="486"/>
      <c r="G300" s="486"/>
      <c r="H300" s="486"/>
      <c r="I300" s="486"/>
      <c r="J300" s="486"/>
      <c r="K300" s="486"/>
      <c r="L300" s="486"/>
      <c r="M300" s="606" t="str">
        <f>Translations!$B$677</f>
        <v>Stebėsenos plane šiam sukėlikliui suteiktas identifikatorius:</v>
      </c>
      <c r="N300" s="705"/>
      <c r="O300" s="1305"/>
      <c r="P300" s="33"/>
      <c r="Q300" s="33"/>
      <c r="R300" s="33"/>
      <c r="S300" s="172"/>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2" t="b">
        <f>BZ298</f>
        <v>1</v>
      </c>
    </row>
    <row r="301" spans="1:78" s="140" customFormat="1" ht="5.0999999999999996" customHeight="1" x14ac:dyDescent="0.2">
      <c r="A301" s="784"/>
      <c r="B301" s="1316"/>
      <c r="D301" s="178"/>
      <c r="O301" s="1317"/>
      <c r="P301" s="488"/>
      <c r="Q301" s="488"/>
      <c r="R301" s="488"/>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row>
    <row r="302" spans="1:78" s="140" customFormat="1" x14ac:dyDescent="0.2">
      <c r="A302" s="784"/>
      <c r="B302" s="1316"/>
      <c r="D302" s="1618" t="str">
        <f>Translations!$B$160</f>
        <v>Pastabos:</v>
      </c>
      <c r="E302" s="1619"/>
      <c r="F302" s="1605"/>
      <c r="G302" s="1606"/>
      <c r="H302" s="1606"/>
      <c r="I302" s="1606"/>
      <c r="J302" s="1606"/>
      <c r="K302" s="1606"/>
      <c r="L302" s="1606"/>
      <c r="M302" s="1606"/>
      <c r="N302" s="1607"/>
      <c r="O302" s="1317"/>
      <c r="P302" s="488"/>
      <c r="Q302" s="488"/>
      <c r="R302" s="488"/>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2" t="b">
        <f>BZ298</f>
        <v>1</v>
      </c>
    </row>
    <row r="303" spans="1:78" s="28" customFormat="1" ht="12.75" customHeight="1" thickBot="1" x14ac:dyDescent="0.25">
      <c r="A303" s="777"/>
      <c r="B303" s="1312"/>
      <c r="C303" s="490"/>
      <c r="D303" s="491"/>
      <c r="E303" s="492"/>
      <c r="F303" s="490"/>
      <c r="G303" s="493"/>
      <c r="H303" s="493"/>
      <c r="I303" s="493"/>
      <c r="J303" s="493"/>
      <c r="K303" s="493"/>
      <c r="L303" s="493"/>
      <c r="M303" s="493"/>
      <c r="N303" s="493"/>
      <c r="O303" s="1313"/>
      <c r="P303" s="485"/>
      <c r="Q303" s="485"/>
      <c r="R303" s="485"/>
      <c r="S303" s="58"/>
      <c r="T303" s="58"/>
      <c r="U303" s="489"/>
      <c r="V303" s="58"/>
      <c r="W303" s="58"/>
      <c r="X303" s="489"/>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30"/>
      <c r="BJ303" s="30"/>
      <c r="BK303" s="30"/>
      <c r="BL303" s="58"/>
      <c r="BM303" s="58"/>
      <c r="BN303" s="58"/>
      <c r="BO303" s="58"/>
      <c r="BP303" s="58"/>
      <c r="BQ303" s="58"/>
      <c r="BR303" s="58"/>
      <c r="BS303" s="58"/>
      <c r="BT303" s="58"/>
      <c r="BU303" s="58"/>
      <c r="BV303" s="58"/>
      <c r="BW303" s="58"/>
      <c r="BX303" s="58"/>
      <c r="BY303" s="58"/>
      <c r="BZ303" s="58"/>
    </row>
    <row r="304" spans="1:78" s="28" customFormat="1" ht="12.75" customHeight="1" thickBot="1" x14ac:dyDescent="0.25">
      <c r="A304" s="782"/>
      <c r="B304" s="1312"/>
      <c r="C304" s="486"/>
      <c r="D304" s="178"/>
      <c r="E304" s="487"/>
      <c r="F304" s="486"/>
      <c r="G304" s="478"/>
      <c r="H304" s="478"/>
      <c r="I304" s="478"/>
      <c r="J304" s="478"/>
      <c r="K304" s="486"/>
      <c r="L304" s="478"/>
      <c r="M304" s="478"/>
      <c r="N304" s="478"/>
      <c r="O304" s="1313"/>
      <c r="P304" s="485"/>
      <c r="Q304" s="485"/>
      <c r="R304" s="485"/>
      <c r="S304" s="23"/>
      <c r="T304" s="27" t="str">
        <f>IF(ISBLANK(E305),"",MATCH(E305,CNTR_SourceStreamNames,0))</f>
        <v/>
      </c>
      <c r="U304" s="609" t="str">
        <f>IF(ISBLANK(E305),"",INDEX(B_InstallationDescription!$D$71:$D$145,MATCH(E305,CNTR_SourceStreamNames,0)))</f>
        <v/>
      </c>
      <c r="V304" s="76"/>
      <c r="W304" s="56"/>
      <c r="X304" s="56"/>
      <c r="Y304" s="56"/>
      <c r="Z304" s="58"/>
      <c r="AA304" s="58"/>
      <c r="AB304" s="58"/>
      <c r="AC304" s="58"/>
      <c r="AD304" s="58"/>
      <c r="AE304" s="58"/>
      <c r="AF304" s="58"/>
      <c r="AG304" s="58"/>
      <c r="AH304" s="58"/>
      <c r="AI304" s="58"/>
      <c r="AJ304" s="58"/>
      <c r="AK304" s="482"/>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6"/>
      <c r="BI304" s="56"/>
      <c r="BJ304" s="56"/>
      <c r="BK304" s="56"/>
      <c r="BL304" s="56"/>
      <c r="BM304" s="56"/>
      <c r="BN304" s="56"/>
      <c r="BO304" s="56"/>
      <c r="BP304" s="56"/>
      <c r="BQ304" s="56"/>
      <c r="BR304" s="56"/>
      <c r="BS304" s="56"/>
      <c r="BT304" s="56"/>
      <c r="BU304" s="56"/>
      <c r="BV304" s="56"/>
      <c r="BW304" s="56"/>
      <c r="BX304" s="56"/>
      <c r="BY304" s="56"/>
      <c r="BZ304" s="484" t="s">
        <v>259</v>
      </c>
    </row>
    <row r="305" spans="1:78" s="140" customFormat="1" ht="15" customHeight="1" thickBot="1" x14ac:dyDescent="0.25">
      <c r="A305" s="1302" t="str">
        <f>IF(E305="","","PRINT")</f>
        <v/>
      </c>
      <c r="B305" s="1248"/>
      <c r="C305" s="608">
        <f>C278+1</f>
        <v>10</v>
      </c>
      <c r="D305" s="164"/>
      <c r="E305" s="1610"/>
      <c r="F305" s="1611"/>
      <c r="G305" s="1611"/>
      <c r="H305" s="1611"/>
      <c r="I305" s="1611"/>
      <c r="J305" s="1612"/>
      <c r="K305" s="1623" t="str">
        <f>IF(E306="","",INDEX(EUwideConstants!$F$353:$F$394,MATCH(E306,EUConst_TierActivityListNames,0)))</f>
        <v/>
      </c>
      <c r="L305" s="1624"/>
      <c r="M305" s="494" t="str">
        <f>Translations!$B$665</f>
        <v>CO2, iškastinio kuro kilmės:</v>
      </c>
      <c r="N305" s="1012" t="str">
        <f>IF(OR(K305="",T306=TRUE),"",INDEX(BC319:BE319,MATCH(K305,BC315:BE315,0)))</f>
        <v/>
      </c>
      <c r="O305" s="1314" t="s">
        <v>257</v>
      </c>
      <c r="P305" s="1303" t="str">
        <f>IF(COUNTIF(A:A,"PRINT")=0,"PRINT",IF(AND(E305&lt;&gt;"",COUNTIF(P306:$P$2089,"PRINT")=0),"PRINT",""))</f>
        <v/>
      </c>
      <c r="Q305" s="343" t="str">
        <f>EUconst_SumCO2 &amp; "_" &amp; K305</f>
        <v>SUM_CO2_</v>
      </c>
      <c r="R305" s="485"/>
      <c r="S305" s="23"/>
      <c r="T305" s="500" t="s">
        <v>387</v>
      </c>
      <c r="U305" s="23"/>
      <c r="V305" s="76"/>
      <c r="W305" s="56"/>
      <c r="X305" s="58"/>
      <c r="Y305" s="58"/>
      <c r="Z305" s="58"/>
      <c r="AA305" s="58"/>
      <c r="AB305" s="58"/>
      <c r="AC305" s="58"/>
      <c r="AD305" s="58"/>
      <c r="AE305" s="58"/>
      <c r="AF305" s="58"/>
      <c r="AG305" s="58"/>
      <c r="AH305" s="58"/>
      <c r="AI305" s="333"/>
      <c r="AJ305" s="333"/>
      <c r="AK305" s="333"/>
      <c r="AL305" s="333"/>
      <c r="AM305" s="333"/>
      <c r="AN305" s="333"/>
      <c r="AO305" s="333"/>
      <c r="AP305" s="333"/>
      <c r="AQ305" s="333"/>
      <c r="AR305" s="333"/>
      <c r="AS305" s="333"/>
      <c r="AT305" s="333"/>
      <c r="AU305" s="333"/>
      <c r="AV305" s="333"/>
      <c r="AW305" s="333"/>
      <c r="AX305" s="333"/>
      <c r="AY305" s="333"/>
      <c r="AZ305" s="333"/>
      <c r="BA305" s="333"/>
      <c r="BB305" s="333"/>
      <c r="BC305" s="333"/>
      <c r="BD305" s="333"/>
      <c r="BE305" s="333"/>
      <c r="BF305" s="333"/>
      <c r="BG305" s="333"/>
      <c r="BH305" s="834">
        <f>AR315</f>
        <v>0</v>
      </c>
      <c r="BI305" s="834" t="str">
        <f>AJ315</f>
        <v/>
      </c>
      <c r="BJ305" s="834">
        <f>AR317</f>
        <v>0</v>
      </c>
      <c r="BK305" s="834" t="str">
        <f>AJ317</f>
        <v/>
      </c>
      <c r="BL305" s="834">
        <f>AR318</f>
        <v>0</v>
      </c>
      <c r="BM305" s="834" t="str">
        <f>AJ318</f>
        <v/>
      </c>
      <c r="BN305" s="834">
        <f>AR319</f>
        <v>1</v>
      </c>
      <c r="BO305" s="834">
        <f>AR320</f>
        <v>1</v>
      </c>
      <c r="BP305" s="834">
        <f>AR321</f>
        <v>0</v>
      </c>
      <c r="BQ305" s="834" t="str">
        <f>AJ321</f>
        <v/>
      </c>
      <c r="BR305" s="834">
        <f>AR322</f>
        <v>0</v>
      </c>
      <c r="BS305" s="834">
        <f>AR323</f>
        <v>0</v>
      </c>
      <c r="BT305" s="834" t="str">
        <f>N305</f>
        <v/>
      </c>
      <c r="BU305" s="834" t="str">
        <f>N306</f>
        <v/>
      </c>
      <c r="BV305" s="834" t="str">
        <f>R308</f>
        <v/>
      </c>
      <c r="BW305" s="834" t="str">
        <f>R314</f>
        <v/>
      </c>
      <c r="BX305" s="834" t="str">
        <f>R315</f>
        <v/>
      </c>
      <c r="BY305" s="56"/>
      <c r="BZ305" s="610" t="b">
        <f>CNTR_CalcRelevant=EUconst_NotRelevant</f>
        <v>0</v>
      </c>
    </row>
    <row r="306" spans="1:78" s="140" customFormat="1" ht="15" customHeight="1" thickBot="1" x14ac:dyDescent="0.25">
      <c r="A306" s="777"/>
      <c r="B306" s="1248"/>
      <c r="C306" s="164"/>
      <c r="D306" s="164"/>
      <c r="E306" s="1625" t="str">
        <f>IF(ISBLANK(E305),"",IF(INDEX(B_InstallationDescription!$E$71:$E$145,MATCH(U304,B_InstallationDescription!$D$71:$D$145,0))&gt;0,INDEX(B_InstallationDescription!$E$71:$E$145,MATCH(U304,B_InstallationDescription!$D$71:$D$145,0)),""))</f>
        <v/>
      </c>
      <c r="F306" s="1626"/>
      <c r="G306" s="1626"/>
      <c r="H306" s="1626"/>
      <c r="I306" s="1626"/>
      <c r="J306" s="1627"/>
      <c r="M306" s="337" t="str">
        <f>Translations!$B$666</f>
        <v>CO2, biomasės kilmės.:</v>
      </c>
      <c r="N306" s="1013" t="str">
        <f>IF(OR(K305="",T306=TRUE),"",INDEX(BC318:BE318,MATCH(K305,BC315:BE315,0)))</f>
        <v/>
      </c>
      <c r="O306" s="1315" t="s">
        <v>257</v>
      </c>
      <c r="P306" s="485"/>
      <c r="Q306" s="343" t="str">
        <f>EUconst_SumBioCO2 &amp; "_" &amp; K305</f>
        <v>SUM_bioCO2_</v>
      </c>
      <c r="R306" s="485"/>
      <c r="S306" s="23"/>
      <c r="T306" s="48" t="str">
        <f>IF(E306="","",MATCH(E306,EUConst_TierActivityListNames,0)&gt;40)</f>
        <v/>
      </c>
      <c r="U306" s="23"/>
      <c r="V306" s="76"/>
      <c r="W306" s="56"/>
      <c r="X306" s="58"/>
      <c r="Y306" s="27" t="s">
        <v>91</v>
      </c>
      <c r="Z306" s="30"/>
      <c r="AA306" s="30"/>
      <c r="AB306" s="30"/>
      <c r="AC306" s="30"/>
      <c r="AD306" s="30"/>
      <c r="AE306" s="27" t="s">
        <v>297</v>
      </c>
      <c r="AF306" s="58"/>
      <c r="AG306" s="495"/>
      <c r="AH306" s="30"/>
      <c r="AI306" s="30"/>
      <c r="AJ306" s="495"/>
      <c r="AK306" s="495"/>
      <c r="AL306" s="333"/>
      <c r="AM306" s="27" t="s">
        <v>303</v>
      </c>
      <c r="AN306" s="496"/>
      <c r="AO306" s="496"/>
      <c r="AP306" s="30"/>
      <c r="AQ306" s="30"/>
      <c r="AR306" s="30"/>
      <c r="AS306" s="30"/>
      <c r="AT306" s="30"/>
      <c r="AU306" s="30"/>
      <c r="AV306" s="27" t="s">
        <v>310</v>
      </c>
      <c r="AW306" s="30"/>
      <c r="AX306" s="483"/>
      <c r="AY306" s="30"/>
      <c r="AZ306" s="30"/>
      <c r="BA306" s="30"/>
      <c r="BB306" s="27" t="s">
        <v>217</v>
      </c>
      <c r="BC306" s="30"/>
      <c r="BD306" s="30"/>
      <c r="BE306" s="30"/>
      <c r="BF306" s="30"/>
      <c r="BG306" s="27" t="s">
        <v>486</v>
      </c>
      <c r="BH306" s="833" t="s">
        <v>552</v>
      </c>
      <c r="BI306" s="833" t="s">
        <v>487</v>
      </c>
      <c r="BJ306" s="833" t="s">
        <v>211</v>
      </c>
      <c r="BK306" s="833" t="s">
        <v>488</v>
      </c>
      <c r="BL306" s="833" t="s">
        <v>68</v>
      </c>
      <c r="BM306" s="833" t="s">
        <v>489</v>
      </c>
      <c r="BN306" s="833" t="s">
        <v>490</v>
      </c>
      <c r="BO306" s="833" t="s">
        <v>491</v>
      </c>
      <c r="BP306" s="833" t="s">
        <v>214</v>
      </c>
      <c r="BQ306" s="833" t="s">
        <v>492</v>
      </c>
      <c r="BR306" s="833" t="s">
        <v>493</v>
      </c>
      <c r="BS306" s="833" t="s">
        <v>494</v>
      </c>
      <c r="BT306" s="833" t="s">
        <v>287</v>
      </c>
      <c r="BU306" s="833" t="s">
        <v>495</v>
      </c>
      <c r="BV306" s="833" t="s">
        <v>498</v>
      </c>
      <c r="BW306" s="833" t="s">
        <v>496</v>
      </c>
      <c r="BX306" s="833" t="s">
        <v>497</v>
      </c>
      <c r="BY306" s="30"/>
      <c r="BZ306" s="30"/>
    </row>
    <row r="307" spans="1:78" s="140" customFormat="1" ht="5.0999999999999996" customHeight="1" thickBot="1" x14ac:dyDescent="0.25">
      <c r="A307" s="777"/>
      <c r="B307" s="1248"/>
      <c r="C307" s="164"/>
      <c r="D307" s="164"/>
      <c r="E307" s="164"/>
      <c r="F307" s="164"/>
      <c r="G307" s="164"/>
      <c r="M307" s="141"/>
      <c r="N307" s="141"/>
      <c r="O307" s="1305"/>
      <c r="P307" s="33"/>
      <c r="Q307" s="33"/>
      <c r="R307" s="33"/>
      <c r="S307" s="23"/>
      <c r="T307" s="23"/>
      <c r="U307" s="23"/>
      <c r="V307" s="76"/>
      <c r="W307" s="30"/>
      <c r="X307" s="30"/>
      <c r="Y307" s="485"/>
      <c r="Z307" s="30"/>
      <c r="AA307" s="30"/>
      <c r="AB307" s="30"/>
      <c r="AC307" s="30"/>
      <c r="AD307" s="30"/>
      <c r="AE307" s="30"/>
      <c r="AF307" s="58"/>
      <c r="AG307" s="30"/>
      <c r="AH307" s="30"/>
      <c r="AI307" s="30"/>
      <c r="AJ307" s="495"/>
      <c r="AK307" s="495"/>
      <c r="AL307" s="333"/>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row>
    <row r="308" spans="1:78" s="140" customFormat="1" ht="12.75" customHeight="1" thickBot="1" x14ac:dyDescent="0.25">
      <c r="A308" s="777"/>
      <c r="B308" s="1248"/>
      <c r="C308" s="164"/>
      <c r="D308" s="164"/>
      <c r="E308" s="1628" t="str">
        <f>IF(E305="","",IF(T306=TRUE,HYPERLINK("#JUMP_14",EUconst_MsgGoOnPFC),HYPERLINK("#JUMP_E_8",EUconst_FurtherGuidancePoint1)))</f>
        <v/>
      </c>
      <c r="F308" s="1628"/>
      <c r="G308" s="1628"/>
      <c r="H308" s="1628"/>
      <c r="I308" s="1628"/>
      <c r="J308" s="1628"/>
      <c r="K308" s="1628"/>
      <c r="L308" s="1628"/>
      <c r="M308" s="1628"/>
      <c r="N308" s="141"/>
      <c r="O308" s="1305"/>
      <c r="P308" s="33"/>
      <c r="Q308" s="343" t="str">
        <f>EUconst_SumNonSustBioCO2 &amp; "_" &amp; K305</f>
        <v>SUM_bioNonSustCO2_</v>
      </c>
      <c r="R308" s="698" t="str">
        <f>IF(OR(K305="",T306=TRUE),"",ROUND(INDEX(BC317:BE317,MATCH(K305,BC315:BE315,0)),0))</f>
        <v/>
      </c>
      <c r="S308" s="23"/>
      <c r="T308" s="23"/>
      <c r="U308" s="23"/>
      <c r="V308" s="30"/>
      <c r="W308" s="30"/>
      <c r="X308" s="30"/>
      <c r="Y308" s="58"/>
      <c r="Z308" s="30"/>
      <c r="AA308" s="30"/>
      <c r="AB308" s="30"/>
      <c r="AC308" s="30"/>
      <c r="AD308" s="30"/>
      <c r="AE308" s="30"/>
      <c r="AF308" s="58"/>
      <c r="AG308" s="30"/>
      <c r="AH308" s="30"/>
      <c r="AI308" s="30"/>
      <c r="AJ308" s="495"/>
      <c r="AK308" s="495"/>
      <c r="AL308" s="333"/>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row>
    <row r="309" spans="1:78" s="140" customFormat="1" ht="5.0999999999999996" customHeight="1" thickBot="1" x14ac:dyDescent="0.25">
      <c r="A309" s="777"/>
      <c r="B309" s="1248"/>
      <c r="C309" s="164"/>
      <c r="D309" s="164"/>
      <c r="E309" s="164"/>
      <c r="F309" s="164"/>
      <c r="G309" s="164"/>
      <c r="M309" s="141"/>
      <c r="N309" s="141"/>
      <c r="O309" s="1305"/>
      <c r="P309" s="23"/>
      <c r="Q309" s="23"/>
      <c r="R309" s="23"/>
      <c r="S309" s="23"/>
      <c r="T309" s="23"/>
      <c r="U309" s="23"/>
      <c r="V309" s="30"/>
      <c r="W309" s="30"/>
      <c r="X309" s="30"/>
      <c r="Y309" s="485"/>
      <c r="Z309" s="30"/>
      <c r="AA309" s="30"/>
      <c r="AB309" s="30"/>
      <c r="AC309" s="30"/>
      <c r="AD309" s="30"/>
      <c r="AE309" s="30"/>
      <c r="AF309" s="58"/>
      <c r="AG309" s="30"/>
      <c r="AH309" s="30"/>
      <c r="AI309" s="30"/>
      <c r="AJ309" s="495"/>
      <c r="AK309" s="495"/>
      <c r="AL309" s="333"/>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row>
    <row r="310" spans="1:78" s="140" customFormat="1" ht="12.75" customHeight="1" thickBot="1" x14ac:dyDescent="0.25">
      <c r="A310" s="777"/>
      <c r="B310" s="1248"/>
      <c r="C310" s="783" t="s">
        <v>4</v>
      </c>
      <c r="D310" s="503" t="str">
        <f>Translations!$B$622</f>
        <v>VD:</v>
      </c>
      <c r="E310" s="1631" t="str">
        <f>Translations!$B$667</f>
        <v>Ar veiklos duomenys gaunami sudedant išmatuotus kiekius (t. y. ne atliekant nuolatinius matavimus)?</v>
      </c>
      <c r="F310" s="1631"/>
      <c r="G310" s="1631"/>
      <c r="H310" s="1631"/>
      <c r="I310" s="1631"/>
      <c r="J310" s="1631"/>
      <c r="K310" s="1631"/>
      <c r="L310" s="1122"/>
      <c r="M310" s="498"/>
      <c r="O310" s="1305"/>
      <c r="P310" s="23"/>
      <c r="Q310" s="23"/>
      <c r="R310" s="23"/>
      <c r="S310" s="23"/>
      <c r="T310" s="23"/>
      <c r="U310" s="23"/>
      <c r="V310" s="30"/>
      <c r="W310" s="30"/>
      <c r="X310" s="30"/>
      <c r="Y310" s="485"/>
      <c r="Z310" s="30"/>
      <c r="AA310" s="30"/>
      <c r="AB310" s="30"/>
      <c r="AC310" s="1115" t="b">
        <f>AND(E305&lt;&gt;"",T306&lt;&gt;TRUE)</f>
        <v>0</v>
      </c>
      <c r="AD310" s="30"/>
      <c r="AE310" s="30"/>
      <c r="AF310" s="58"/>
      <c r="AG310" s="30"/>
      <c r="AH310" s="30"/>
      <c r="AI310" s="30"/>
      <c r="AJ310" s="495"/>
      <c r="AK310" s="495"/>
      <c r="AL310" s="333"/>
      <c r="AM310" s="30"/>
      <c r="AN310" s="30"/>
      <c r="AO310" s="30"/>
      <c r="AP310" s="30"/>
      <c r="AQ310" s="30"/>
      <c r="AR310" s="30"/>
      <c r="AS310" s="30"/>
      <c r="AT310" s="1115" t="b">
        <f>MSPara_BatchReportingMandatory&lt;&gt;TRUE</f>
        <v>0</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1115" t="b">
        <f>OR(CNTR_CalcRelevant=EUconst_NotRelevant,AND(COUNTA(CNTR_ListRelevantSections)&gt;0,OR(T306=TRUE,E305="")))</f>
        <v>1</v>
      </c>
    </row>
    <row r="311" spans="1:78" s="140" customFormat="1" ht="5.0999999999999996" customHeight="1" thickBot="1" x14ac:dyDescent="0.25">
      <c r="A311" s="777"/>
      <c r="B311" s="1248"/>
      <c r="C311" s="164"/>
      <c r="D311" s="164"/>
      <c r="E311" s="164"/>
      <c r="F311" s="164"/>
      <c r="G311" s="164"/>
      <c r="H311" s="486"/>
      <c r="I311" s="486"/>
      <c r="J311" s="486"/>
      <c r="K311" s="486"/>
      <c r="L311" s="486"/>
      <c r="M311" s="498"/>
      <c r="O311" s="1305"/>
      <c r="P311" s="23"/>
      <c r="Q311" s="23"/>
      <c r="R311" s="23"/>
      <c r="S311" s="23"/>
      <c r="T311" s="23"/>
      <c r="U311" s="23"/>
      <c r="V311" s="30"/>
      <c r="W311" s="30"/>
      <c r="X311" s="30"/>
      <c r="Y311" s="485"/>
      <c r="Z311" s="30"/>
      <c r="AA311" s="30"/>
      <c r="AB311" s="30"/>
      <c r="AC311" s="483"/>
      <c r="AD311" s="30"/>
      <c r="AE311" s="30"/>
      <c r="AF311" s="58"/>
      <c r="AG311" s="30"/>
      <c r="AH311" s="30"/>
      <c r="AI311" s="30"/>
      <c r="AJ311" s="495"/>
      <c r="AK311" s="495"/>
      <c r="AL311" s="333"/>
      <c r="AM311" s="30"/>
      <c r="AN311" s="30"/>
      <c r="AO311" s="30"/>
      <c r="AP311" s="30"/>
      <c r="AQ311" s="30"/>
      <c r="AR311" s="30"/>
      <c r="AS311" s="30"/>
      <c r="AT311" s="483"/>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483"/>
    </row>
    <row r="312" spans="1:78" s="140" customFormat="1" ht="12.75" customHeight="1" thickBot="1" x14ac:dyDescent="0.25">
      <c r="A312" s="777"/>
      <c r="B312" s="1248"/>
      <c r="C312" s="783" t="s">
        <v>5</v>
      </c>
      <c r="D312" s="503" t="str">
        <f>Translations!$B$622</f>
        <v>VD:</v>
      </c>
      <c r="E312" s="1105" t="str">
        <f>Translations!$B$668</f>
        <v>Pradinis kiekis:</v>
      </c>
      <c r="F312" s="1123"/>
      <c r="G312" s="1106" t="str">
        <f>Translations!$B$669</f>
        <v>Galutinis kiekis:</v>
      </c>
      <c r="H312" s="1123"/>
      <c r="I312" s="1106" t="str">
        <f>Translations!$B$670</f>
        <v>Įsigytas kiekis:</v>
      </c>
      <c r="J312" s="1123"/>
      <c r="K312" s="1106" t="str">
        <f>Translations!$B$671</f>
        <v>Perduotas kiekis:</v>
      </c>
      <c r="L312" s="1123"/>
      <c r="M312" s="1107" t="str">
        <f>IF(AND(L310=TRUE,COUNT(F312,H312,J312,L312)&lt;4),EUconst_ERR_Incomplete,"")</f>
        <v/>
      </c>
      <c r="O312" s="1305"/>
      <c r="P312" s="23"/>
      <c r="Q312" s="23"/>
      <c r="R312" s="23"/>
      <c r="S312" s="23"/>
      <c r="T312" s="23"/>
      <c r="U312" s="23"/>
      <c r="V312" s="30"/>
      <c r="W312" s="30"/>
      <c r="X312" s="30"/>
      <c r="Y312" s="485"/>
      <c r="Z312" s="30"/>
      <c r="AA312" s="30"/>
      <c r="AB312" s="30"/>
      <c r="AC312" s="1115" t="b">
        <f>AC310</f>
        <v>0</v>
      </c>
      <c r="AD312" s="30"/>
      <c r="AE312" s="30"/>
      <c r="AF312" s="58"/>
      <c r="AG312" s="30"/>
      <c r="AH312" s="30"/>
      <c r="AI312" s="30"/>
      <c r="AJ312" s="495"/>
      <c r="AK312" s="495"/>
      <c r="AL312" s="333"/>
      <c r="AM312" s="30"/>
      <c r="AN312" s="30"/>
      <c r="AO312" s="30"/>
      <c r="AP312" s="30"/>
      <c r="AQ312" s="30"/>
      <c r="AR312" s="30"/>
      <c r="AS312" s="30"/>
      <c r="AT312" s="1115" t="b">
        <f>AND(AT310=TRUE,L310="")</f>
        <v>0</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1115" t="b">
        <f>OR(BZ310,AND(NOT(ISBLANK(L310)),L310=FALSE))</f>
        <v>1</v>
      </c>
    </row>
    <row r="313" spans="1:78" s="140" customFormat="1" ht="5.0999999999999996" customHeight="1" thickBot="1" x14ac:dyDescent="0.25">
      <c r="A313" s="777"/>
      <c r="B313" s="1248"/>
      <c r="C313" s="164"/>
      <c r="D313" s="164"/>
      <c r="E313" s="164"/>
      <c r="F313" s="164"/>
      <c r="G313" s="164"/>
      <c r="M313" s="141"/>
      <c r="N313" s="141"/>
      <c r="O313" s="1305"/>
      <c r="P313" s="23"/>
      <c r="Q313" s="23"/>
      <c r="R313" s="23"/>
      <c r="S313" s="23"/>
      <c r="T313" s="23"/>
      <c r="U313" s="23"/>
      <c r="V313" s="30"/>
      <c r="W313" s="30"/>
      <c r="X313" s="30"/>
      <c r="Y313" s="485"/>
      <c r="Z313" s="30"/>
      <c r="AA313" s="30"/>
      <c r="AB313" s="30"/>
      <c r="AC313" s="30"/>
      <c r="AD313" s="30"/>
      <c r="AE313" s="30"/>
      <c r="AF313" s="58"/>
      <c r="AG313" s="30"/>
      <c r="AH313" s="30"/>
      <c r="AI313" s="30"/>
      <c r="AJ313" s="495"/>
      <c r="AK313" s="495"/>
      <c r="AL313" s="333"/>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row>
    <row r="314" spans="1:78" s="140" customFormat="1" ht="12.75" customHeight="1" thickBot="1" x14ac:dyDescent="0.25">
      <c r="A314" s="777"/>
      <c r="B314" s="1248"/>
      <c r="C314" s="164"/>
      <c r="D314" s="164"/>
      <c r="E314" s="164"/>
      <c r="F314" s="497" t="str">
        <f>Translations!$B$333</f>
        <v>Pakopa</v>
      </c>
      <c r="G314" s="1613" t="str">
        <f>Translations!$B$672</f>
        <v>pakopos aprašas</v>
      </c>
      <c r="H314" s="1613"/>
      <c r="I314" s="1608" t="str">
        <f>Translations!$B$158</f>
        <v>Vienetas</v>
      </c>
      <c r="J314" s="1608"/>
      <c r="K314" s="1608" t="str">
        <f>Translations!$B$673</f>
        <v>Vertė</v>
      </c>
      <c r="L314" s="1608"/>
      <c r="M314" s="498" t="str">
        <f>Translations!$B$610</f>
        <v>klaida</v>
      </c>
      <c r="O314" s="1305"/>
      <c r="P314" s="499"/>
      <c r="Q314" s="343" t="str">
        <f>EUconst_SumEnergyIN &amp; "_" &amp; K305</f>
        <v>SUM_EnergyIN_</v>
      </c>
      <c r="R314" s="390" t="str">
        <f>IF(OR(K305="",T306)=TRUE,"",INDEX(BC320:BE320,MATCH(K305,BC315:BE315,0)))</f>
        <v/>
      </c>
      <c r="S314" s="30"/>
      <c r="T314" s="480"/>
      <c r="U314" s="30"/>
      <c r="V314" s="500" t="s">
        <v>298</v>
      </c>
      <c r="W314" s="30"/>
      <c r="X314" s="30"/>
      <c r="Y314" s="485" t="s">
        <v>560</v>
      </c>
      <c r="Z314" s="485" t="s">
        <v>313</v>
      </c>
      <c r="AA314" s="30"/>
      <c r="AB314" s="30"/>
      <c r="AC314" s="496" t="s">
        <v>304</v>
      </c>
      <c r="AD314" s="30"/>
      <c r="AE314" s="30"/>
      <c r="AF314" s="483" t="s">
        <v>300</v>
      </c>
      <c r="AG314" s="483" t="s">
        <v>301</v>
      </c>
      <c r="AH314" s="485" t="s">
        <v>299</v>
      </c>
      <c r="AI314" s="495" t="s">
        <v>302</v>
      </c>
      <c r="AJ314" s="495" t="s">
        <v>561</v>
      </c>
      <c r="AK314" s="501" t="s">
        <v>306</v>
      </c>
      <c r="AL314" s="333"/>
      <c r="AM314" s="30"/>
      <c r="AN314" s="483" t="s">
        <v>300</v>
      </c>
      <c r="AO314" s="483" t="s">
        <v>301</v>
      </c>
      <c r="AP314" s="502" t="s">
        <v>305</v>
      </c>
      <c r="AQ314" s="495" t="s">
        <v>563</v>
      </c>
      <c r="AR314" s="495" t="s">
        <v>562</v>
      </c>
      <c r="AS314" s="501" t="s">
        <v>306</v>
      </c>
      <c r="AT314" s="501" t="s">
        <v>306</v>
      </c>
      <c r="AU314" s="30"/>
      <c r="AV314" s="483"/>
      <c r="AW314" s="483"/>
      <c r="AX314" s="483" t="s">
        <v>316</v>
      </c>
      <c r="AY314" s="483"/>
      <c r="AZ314" s="483"/>
      <c r="BA314" s="483"/>
      <c r="BB314" s="483"/>
      <c r="BC314" s="483"/>
      <c r="BD314" s="483"/>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484" t="s">
        <v>259</v>
      </c>
    </row>
    <row r="315" spans="1:78" s="140" customFormat="1" ht="12.75" customHeight="1" thickBot="1" x14ac:dyDescent="0.25">
      <c r="A315" s="777"/>
      <c r="B315" s="1248"/>
      <c r="C315" s="753" t="s">
        <v>194</v>
      </c>
      <c r="D315" s="503" t="str">
        <f>Translations!$B$622</f>
        <v>VD:</v>
      </c>
      <c r="E315" s="504"/>
      <c r="F315" s="393"/>
      <c r="G315" s="1603" t="str">
        <f>IF(OR(ISBLANK(F315),F315=EUconst_NoTier),"",IF(Z315=0,EUconst_NA,IF(ISERROR(Z315),"",Z315)))</f>
        <v/>
      </c>
      <c r="H315" s="1604"/>
      <c r="I315" s="1108" t="str">
        <f>IF(J315&lt;&gt;"","",AI315)</f>
        <v/>
      </c>
      <c r="J315" s="1109"/>
      <c r="K315" s="1116" t="str">
        <f>IF(L315="",AQ315,"")</f>
        <v/>
      </c>
      <c r="L315" s="1199"/>
      <c r="M315" s="700" t="str">
        <f>IF(AND(E306&lt;&gt;"",OR(F315="",COUNT(K315:L315)=0),Y315&lt;&gt;EUconst_NA,T306&lt;&gt;TRUE),EUconst_ERR_Incomplete,IF(COUNTIF(AX315:AZ315,TRUE)&gt;0,EUconst_ERR_Inconsistent,""))</f>
        <v/>
      </c>
      <c r="O315" s="1305"/>
      <c r="P315" s="635"/>
      <c r="Q315" s="343" t="str">
        <f>EUconst_SumBioEnergyIN &amp; "_" &amp; K305</f>
        <v>SUM_BioEnergyIN_</v>
      </c>
      <c r="R315" s="390" t="str">
        <f>IF(OR(K305="",T306)=TRUE,"",INDEX(BC321:BE321,MATCH(K305,BC315:BE315,0)))</f>
        <v/>
      </c>
      <c r="S315" s="30"/>
      <c r="T315" s="505" t="str">
        <f>EUconst_CNTR_ActivityData&amp;E306</f>
        <v>ActivityData_</v>
      </c>
      <c r="U315" s="488"/>
      <c r="V315" s="505" t="str">
        <f>IF(E305="","",INDEX(B_InstallationDescription!$I$71:$I$145,MATCH(U304,B_InstallationDescription!$D$71:$D$145,0)))</f>
        <v/>
      </c>
      <c r="W315" s="495" t="s">
        <v>533</v>
      </c>
      <c r="X315" s="488"/>
      <c r="Y315" s="506" t="str">
        <f>IF(OR(T306=TRUE,E306=""),"",INDEX(EUwideConstants!$N:$N,MATCH(T315,EUwideConstants!$Q:$Q,0)))</f>
        <v/>
      </c>
      <c r="Z315" s="507" t="str">
        <f>IF(ISBLANK(F315),"",IF(F315=EUconst_NA,"",INDEX(EUwideConstants!$H:$M,MATCH(T315,EUwideConstants!$Q:$Q,0),MATCH(F315,CNTR_TierList,0))))</f>
        <v/>
      </c>
      <c r="AA315" s="508" t="s">
        <v>299</v>
      </c>
      <c r="AB315" s="495"/>
      <c r="AC315" s="509" t="b">
        <f>AC310</f>
        <v>0</v>
      </c>
      <c r="AD315" s="30"/>
      <c r="AE315" s="510" t="str">
        <f>EUconst_CNTR_ActivityData&amp;EUconst_Unit</f>
        <v>ActivityData_Vienetas</v>
      </c>
      <c r="AF315" s="511" t="str">
        <f>IF(AC315=TRUE, IF(COUNTIF(MSPara_SourceStreamCategory,V315)=0,"",INDEX(MSPara_CalcFactorsMatrix,MATCH(V315,MSPara_SourceStreamCategory,0),MATCH(AE315&amp;"_"&amp;2,MSPara_CalcFactors,0))),"")</f>
        <v/>
      </c>
      <c r="AG315" s="512" t="str">
        <f>IF(AC315=TRUE, IF(COUNTIF(MSPara_SourceStreamCategory,V315)=0,"",INDEX(MSPara_CalcFactorsMatrix,MATCH(V315,MSPara_SourceStreamCategory,0),MATCH(AE315&amp;"_"&amp;1,MSPara_CalcFactors,0))),"")</f>
        <v/>
      </c>
      <c r="AH315" s="509" t="str">
        <f>IF(OR(AF315="",AF315=EUconst_NA),IF(OR(AG315=EUconst_NA,AG315=""),"",AG315),AF315)</f>
        <v/>
      </c>
      <c r="AI315" s="506" t="str">
        <f>IF(AC315=TRUE,IF(AH315="",EUconst_t,AH315),"")</f>
        <v/>
      </c>
      <c r="AJ315" s="513" t="str">
        <f>IF(J315="",AI315,J315)</f>
        <v/>
      </c>
      <c r="AK315" s="514" t="b">
        <f>IF(K305=EUconst_Fuel,J315&lt;&gt;"",FALSE)</f>
        <v>0</v>
      </c>
      <c r="AL315" s="333"/>
      <c r="AM315" s="505" t="str">
        <f>EUconst_CNTR_ActivityData&amp;EUconst_Value</f>
        <v>ActivityData_Vertė</v>
      </c>
      <c r="AN315" s="496"/>
      <c r="AO315" s="496"/>
      <c r="AP315" s="509" t="b">
        <f>AND(AND(AH315&lt;&gt;"",AJ315&lt;&gt;""),AJ315=AH315)</f>
        <v>0</v>
      </c>
      <c r="AQ315" s="610" t="str">
        <f>IF(L310=TRUE,SUM(F312)-SUM(H312)+SUM(J312)-SUM(L312),"")</f>
        <v/>
      </c>
      <c r="AR315" s="509">
        <f>IF(Y315=EUconst_NA,0,IF(COUNT(K315:L315)=0,0,IF(L315="",K315,L315)))</f>
        <v>0</v>
      </c>
      <c r="AS315" s="1115" t="b">
        <f>AND(AC315=TRUE,OR(L315&lt;&gt;"",AQ315=""))</f>
        <v>0</v>
      </c>
      <c r="AT315" s="1115" t="b">
        <f>AND(AC315=TRUE,NOT(AS315))</f>
        <v>0</v>
      </c>
      <c r="AU315" s="30"/>
      <c r="AV315" s="483" t="s">
        <v>309</v>
      </c>
      <c r="AW315" s="483" t="s">
        <v>314</v>
      </c>
      <c r="AX315" s="515"/>
      <c r="AY315" s="30" t="s">
        <v>536</v>
      </c>
      <c r="AZ315" s="30"/>
      <c r="BA315" s="30"/>
      <c r="BB315" s="495"/>
      <c r="BC315" s="484" t="str">
        <f>EUconst_Fuel</f>
        <v>Degimas</v>
      </c>
      <c r="BD315" s="484" t="str">
        <f>EUconst_ProcessCarbonate</f>
        <v>Proceso metu išsiskiriančios ŠESD</v>
      </c>
      <c r="BE315" s="484" t="str">
        <f>EUconst_MassBalance</f>
        <v>Masės balansas</v>
      </c>
      <c r="BF315" s="30"/>
      <c r="BG315" s="30"/>
      <c r="BH315" s="30"/>
      <c r="BI315" s="30"/>
      <c r="BJ315" s="30"/>
      <c r="BK315" s="30"/>
      <c r="BL315" s="30"/>
      <c r="BM315" s="30"/>
      <c r="BN315" s="30"/>
      <c r="BO315" s="30"/>
      <c r="BP315" s="30"/>
      <c r="BQ315" s="30"/>
      <c r="BR315" s="30"/>
      <c r="BS315" s="30"/>
      <c r="BT315" s="30"/>
      <c r="BU315" s="30"/>
      <c r="BV315" s="30"/>
      <c r="BW315" s="30"/>
      <c r="BX315" s="30"/>
      <c r="BY315" s="30"/>
      <c r="BZ315" s="515" t="b">
        <f>BZ310</f>
        <v>1</v>
      </c>
    </row>
    <row r="316" spans="1:78" s="140" customFormat="1" ht="5.0999999999999996" customHeight="1" thickBot="1" x14ac:dyDescent="0.25">
      <c r="A316" s="777"/>
      <c r="B316" s="1248"/>
      <c r="C316" s="783"/>
      <c r="D316" s="298"/>
      <c r="F316" s="141"/>
      <c r="G316" s="141"/>
      <c r="H316" s="141" t="s">
        <v>233</v>
      </c>
      <c r="I316" s="516"/>
      <c r="J316" s="516"/>
      <c r="K316" s="141"/>
      <c r="L316" s="141"/>
      <c r="M316" s="701"/>
      <c r="O316" s="1305"/>
      <c r="P316" s="33"/>
      <c r="Q316" s="33"/>
      <c r="R316" s="33"/>
      <c r="S316" s="30"/>
      <c r="T316" s="153"/>
      <c r="U316" s="488"/>
      <c r="V316" s="30"/>
      <c r="W316" s="30"/>
      <c r="X316" s="488"/>
      <c r="Y316" s="517"/>
      <c r="Z316" s="30"/>
      <c r="AA316" s="30"/>
      <c r="AB316" s="30"/>
      <c r="AC316" s="30"/>
      <c r="AD316" s="30"/>
      <c r="AE316" s="30"/>
      <c r="AF316" s="30"/>
      <c r="AG316" s="30"/>
      <c r="AH316" s="30"/>
      <c r="AI316" s="30"/>
      <c r="AJ316" s="30"/>
      <c r="AK316" s="30"/>
      <c r="AL316" s="333"/>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484"/>
    </row>
    <row r="317" spans="1:78" s="140" customFormat="1" ht="12.75" customHeight="1" thickBot="1" x14ac:dyDescent="0.25">
      <c r="A317" s="777"/>
      <c r="B317" s="1248"/>
      <c r="C317" s="783" t="s">
        <v>195</v>
      </c>
      <c r="D317" s="503" t="str">
        <f>Translations!$B$634</f>
        <v>(prelim.) ITF:</v>
      </c>
      <c r="E317" s="504"/>
      <c r="F317" s="518"/>
      <c r="G317" s="1603" t="str">
        <f t="shared" ref="G317:G323" si="63">IF(OR(ISBLANK(F317),F317=EUconst_NoTier),"",IF(Z317=0,EUconst_NotApplicable,IF(ISERROR(Z317),"",Z317)))</f>
        <v/>
      </c>
      <c r="H317" s="1609"/>
      <c r="I317" s="1110" t="str">
        <f>IF(J317&lt;&gt;"","",AI317)</f>
        <v/>
      </c>
      <c r="J317" s="1111"/>
      <c r="K317" s="519" t="str">
        <f t="shared" ref="K317:K323" si="64">IF(L317="",AQ317,"")</f>
        <v/>
      </c>
      <c r="L317" s="520"/>
      <c r="M317" s="700" t="str">
        <f>IF(AND(E306&lt;&gt;"",OR(F317="",COUNT(K317:L317)=0),Y317&lt;&gt;EUconst_NA,T306&lt;&gt;TRUE),EUconst_ERR_Incomplete,IF(COUNTIF(AX317:AZ317,TRUE)&gt;0,EUconst_ERR_Inconsistent,""))</f>
        <v/>
      </c>
      <c r="N317" s="486"/>
      <c r="O317" s="1305"/>
      <c r="P317" s="33"/>
      <c r="Q317" s="33"/>
      <c r="R317" s="33"/>
      <c r="S317" s="30"/>
      <c r="T317" s="521" t="str">
        <f>EUconst_CNTR_EF&amp;E306</f>
        <v>EF_</v>
      </c>
      <c r="U317" s="488"/>
      <c r="V317" s="522" t="str">
        <f>V315</f>
        <v/>
      </c>
      <c r="W317" s="30"/>
      <c r="X317" s="488"/>
      <c r="Y317" s="523" t="str">
        <f>IF(OR(T306=TRUE,E306=""),"",IF(F317=EUconst_NA,EUconst_NA,INDEX(EUwideConstants!$N:$N,MATCH(T317,EUwideConstants!$Q:$Q,0))))</f>
        <v/>
      </c>
      <c r="Z317" s="524" t="str">
        <f>IF(ISBLANK(F317),"",IF(F317=EUconst_NA,"",INDEX(EUwideConstants!$H:$M,MATCH(T317,EUwideConstants!$Q:$Q,0),MATCH(F317,CNTR_TierList,0))))</f>
        <v/>
      </c>
      <c r="AA317" s="525" t="str">
        <f>IF(COUNTIF(EUconst_DefaultValues,Z317)&gt;0,MATCH(Z317,EUconst_DefaultValues,0),"")</f>
        <v/>
      </c>
      <c r="AB317" s="30"/>
      <c r="AC317" s="526" t="b">
        <f>AND(AC315,Y317&lt;&gt;EUconst_NA)</f>
        <v>0</v>
      </c>
      <c r="AD317" s="30"/>
      <c r="AE317" s="510" t="str">
        <f>EUconst_CNTR_EF&amp;EUconst_Unit</f>
        <v>EF_Vienetas</v>
      </c>
      <c r="AF317" s="527" t="str">
        <f>IF(AC317=TRUE, IF(COUNTIF(MSPara_SourceStreamCategory,V317)=0,"",INDEX(MSPara_CalcFactorsMatrix,MATCH(V317,MSPara_SourceStreamCategory,0),MATCH(AE317&amp;"_"&amp;2,MSPara_CalcFactors,0))),"")</f>
        <v/>
      </c>
      <c r="AG317" s="528" t="str">
        <f>IF(AC317=TRUE, IF(COUNTIF(MSPara_SourceStreamCategory,V317)=0,"",INDEX(MSPara_CalcFactorsMatrix,MATCH(V317,MSPara_SourceStreamCategory,0),MATCH(AE317&amp;"_"&amp;1,MSPara_CalcFactors,0))),"")</f>
        <v/>
      </c>
      <c r="AH317" s="529" t="str">
        <f>IF(AA317="","",INDEX(AF317:AG317,3-AA317))</f>
        <v/>
      </c>
      <c r="AI317" s="530" t="str">
        <f>IF(AC317=TRUE,IF(OR(AH317="",AH317=EUconst_NA),IF(K305=EUconst_Fuel,EUconst_tCO2pTJ,EUconst_tCO2pt),AH317),"")</f>
        <v/>
      </c>
      <c r="AJ317" s="526" t="str">
        <f>IF(J317="",AI317,J317)</f>
        <v/>
      </c>
      <c r="AK317" s="531" t="b">
        <f>IF(K305=EUconst_Fuel,J317&lt;&gt;"",FALSE)</f>
        <v>0</v>
      </c>
      <c r="AL317" s="333"/>
      <c r="AM317" s="510" t="str">
        <f>EUconst_CNTR_EF&amp;EUconst_Value</f>
        <v>EF_Vertė</v>
      </c>
      <c r="AN317" s="532" t="str">
        <f>IF(AC317=TRUE,IF(COUNTIF(MSPara_SourceStreamCategory,V317)=0,"",INDEX(MSPara_CalcFactorsMatrix,MATCH(V317,MSPara_SourceStreamCategory,0),MATCH(AM317&amp;"_"&amp;2,MSPara_CalcFactors,0))),"")</f>
        <v/>
      </c>
      <c r="AO317" s="533" t="str">
        <f>IF(AC317=TRUE,IF(COUNTIF(MSPara_SourceStreamCategory,V317)=0,"",INDEX(MSPara_CalcFactorsMatrix,MATCH(V317,MSPara_SourceStreamCategory,0),MATCH(AM317&amp;"_"&amp;1,MSPara_CalcFactors,0))),"")</f>
        <v/>
      </c>
      <c r="AP317" s="526" t="b">
        <f>AND(AND(AH317&lt;&gt;"",AJ317&lt;&gt;""),AJ317=AH317)</f>
        <v>0</v>
      </c>
      <c r="AQ317" s="534" t="str">
        <f>IF(AND(AA317&lt;&gt;"",AP317=TRUE),IF(OR(INDEX(AN317:AO317,3-AA317)=EUconst_NA,INDEX(AN317:AO317,3-AA317)=0),"",INDEX(AN317:AO317,3-AA317)),"")</f>
        <v/>
      </c>
      <c r="AR317" s="526">
        <f>IF(AC317=TRUE,IF(COUNT(K317:L317)=0,0,IF(L317="",K317,L317)),0)</f>
        <v>0</v>
      </c>
      <c r="AS317" s="522" t="b">
        <f>AND(AC317=TRUE,OR(AND(F317&lt;&gt;"",NOT(ISNUMBER(AA317))),L317&lt;&gt;"",F317="",AQ317=""))</f>
        <v>0</v>
      </c>
      <c r="AT317" s="522" t="b">
        <f t="shared" ref="AT317:AT323" si="65">AND(AC317=TRUE,NOT(AS317))</f>
        <v>0</v>
      </c>
      <c r="AU317" s="30"/>
      <c r="AV317" s="535" t="b">
        <f t="shared" ref="AV317:AV323" si="66">AND(ISNUMBER(AA317),AQ317="")</f>
        <v>0</v>
      </c>
      <c r="AW317" s="536" t="b">
        <f t="shared" ref="AW317:AW323" si="67">AND(ISNUMBER(AA317),AQ317&lt;&gt;AR317)</f>
        <v>0</v>
      </c>
      <c r="AX317" s="537" t="b">
        <f>OR(AND(AJ315=EUconst_kNm3,AJ317=EUconst_tCO2pt),AND(AJ315=EUconst_t,AJ317=EUconst_tCO2pkNm3))</f>
        <v>0</v>
      </c>
      <c r="AY317" s="522" t="b">
        <f t="shared" ref="AY317:AY323" si="68">AND(L317&lt;&gt;"",Y317=EUconst_NA)</f>
        <v>0</v>
      </c>
      <c r="AZ317" s="30"/>
      <c r="BA317" s="30"/>
      <c r="BB317" s="538" t="s">
        <v>588</v>
      </c>
      <c r="BC317" s="537" t="str">
        <f>IF(K305=BC315,AR315*IF(AJ317=EUconst_tCO2pTJ,(AR318/1000),1)*AR317*AR319*AR323,"")</f>
        <v/>
      </c>
      <c r="BD317" s="515" t="str">
        <f>IF(K305=BD315,AR315*AR317*AR320*AR323,"")</f>
        <v/>
      </c>
      <c r="BE317" s="514" t="str">
        <f>IF(K305=BE315,3.664*AR315*AR321*AR323,"")</f>
        <v/>
      </c>
      <c r="BF317" s="30"/>
      <c r="BG317" s="30"/>
      <c r="BH317" s="30"/>
      <c r="BI317" s="30"/>
      <c r="BJ317" s="30"/>
      <c r="BK317" s="30"/>
      <c r="BL317" s="30"/>
      <c r="BM317" s="30"/>
      <c r="BN317" s="30"/>
      <c r="BO317" s="30"/>
      <c r="BP317" s="30"/>
      <c r="BQ317" s="30"/>
      <c r="BR317" s="30"/>
      <c r="BS317" s="30"/>
      <c r="BT317" s="30"/>
      <c r="BU317" s="30"/>
      <c r="BV317" s="30"/>
      <c r="BW317" s="30"/>
      <c r="BX317" s="30"/>
      <c r="BY317" s="30"/>
      <c r="BZ317" s="522" t="b">
        <f>OR(BZ315,Y317=EUconst_NA)</f>
        <v>1</v>
      </c>
    </row>
    <row r="318" spans="1:78" s="140" customFormat="1" ht="12.75" customHeight="1" thickBot="1" x14ac:dyDescent="0.25">
      <c r="A318" s="777"/>
      <c r="B318" s="1248"/>
      <c r="C318" s="783" t="s">
        <v>196</v>
      </c>
      <c r="D318" s="503" t="str">
        <f>Translations!$B$636</f>
        <v>GŠV:</v>
      </c>
      <c r="E318" s="504"/>
      <c r="F318" s="539"/>
      <c r="G318" s="1603" t="str">
        <f t="shared" si="63"/>
        <v/>
      </c>
      <c r="H318" s="1604"/>
      <c r="I318" s="1112" t="str">
        <f>AJ318</f>
        <v/>
      </c>
      <c r="J318" s="540"/>
      <c r="K318" s="541" t="str">
        <f t="shared" si="64"/>
        <v/>
      </c>
      <c r="L318" s="542"/>
      <c r="M318" s="700" t="str">
        <f>IF(AND(E306&lt;&gt;"",OR(F318="",COUNT(K318:L318)=0),Y318&lt;&gt;EUconst_NA,T306&lt;&gt;TRUE),EUconst_ERR_Incomplete,IF(COUNTIF(AX318:AZ318,TRUE)&gt;0,EUconst_ERR_Inconsistent,""))</f>
        <v/>
      </c>
      <c r="O318" s="1305"/>
      <c r="P318" s="33"/>
      <c r="Q318" s="33"/>
      <c r="R318" s="33"/>
      <c r="S318" s="30"/>
      <c r="T318" s="543" t="str">
        <f>EUconst_CNTR_NCV&amp;E306</f>
        <v>NCV_</v>
      </c>
      <c r="U318" s="488"/>
      <c r="V318" s="544" t="str">
        <f t="shared" ref="V318:V323" si="69">V317</f>
        <v/>
      </c>
      <c r="W318" s="30"/>
      <c r="X318" s="488"/>
      <c r="Y318" s="545" t="str">
        <f>IF(OR(T306=TRUE,E306=""),"",IF(F318=EUconst_NA,EUconst_NA,INDEX(EUwideConstants!$N:$N,MATCH(T318,EUwideConstants!$Q:$Q,0))))</f>
        <v/>
      </c>
      <c r="Z318" s="546" t="str">
        <f>IF(ISBLANK(F318),"",IF(F318=EUconst_NA,"",INDEX(EUwideConstants!$H:$M,MATCH(T318,EUwideConstants!$Q:$Q,0),MATCH(F318,CNTR_TierList,0))))</f>
        <v/>
      </c>
      <c r="AA318" s="547" t="str">
        <f>IF(COUNTIF(EUconst_DefaultValues,Z318)&gt;0,MATCH(Z318,EUconst_DefaultValues,0),"")</f>
        <v/>
      </c>
      <c r="AB318" s="30"/>
      <c r="AC318" s="548" t="b">
        <f>AND(AC315,Y318&lt;&gt;EUconst_NA)</f>
        <v>0</v>
      </c>
      <c r="AD318" s="30"/>
      <c r="AE318" s="549" t="str">
        <f>EUconst_CNTR_NCV&amp;EUconst_Unit</f>
        <v>NCV_Vienetas</v>
      </c>
      <c r="AF318" s="550" t="str">
        <f>IF(AC318=TRUE, IF(COUNTIF(MSPara_SourceStreamCategory,V318)=0,"",INDEX(MSPara_CalcFactorsMatrix,MATCH(V318,MSPara_SourceStreamCategory,0),MATCH(AE318&amp;"_"&amp;2,MSPara_CalcFactors,0))),"")</f>
        <v/>
      </c>
      <c r="AG318" s="551" t="str">
        <f>IF(AC318=TRUE, IF(COUNTIF(MSPara_SourceStreamCategory,V318)=0,"",INDEX(MSPara_CalcFactorsMatrix,MATCH(V318,MSPara_SourceStreamCategory,0),MATCH(AE318&amp;"_"&amp;1,MSPara_CalcFactors,0))),"")</f>
        <v/>
      </c>
      <c r="AH318" s="552" t="str">
        <f>IF(AA318="","",INDEX(AF318:AG318,3-AA318))</f>
        <v/>
      </c>
      <c r="AI318" s="553"/>
      <c r="AJ318" s="548" t="str">
        <f>IF(AC318=TRUE,IF(AJ315="","",IF(AJ315=EUconst_kNm3,EUconst_GJpkNm3,EUconst_GJpt)),"")</f>
        <v/>
      </c>
      <c r="AK318" s="554"/>
      <c r="AL318" s="333"/>
      <c r="AM318" s="549" t="str">
        <f>EUconst_CNTR_NCV&amp;EUconst_Value</f>
        <v>NCV_Vertė</v>
      </c>
      <c r="AN318" s="555" t="str">
        <f>IF(AC318=TRUE,IF(COUNTIF(MSPara_SourceStreamCategory,V318)=0,"",INDEX(MSPara_CalcFactorsMatrix,MATCH(V318,MSPara_SourceStreamCategory,0),MATCH(AM318&amp;"_"&amp;2,MSPara_CalcFactors,0))),"")</f>
        <v/>
      </c>
      <c r="AO318" s="556" t="str">
        <f>IF(AC318=TRUE,IF(COUNTIF(MSPara_SourceStreamCategory,V318)=0,"",INDEX(MSPara_CalcFactorsMatrix,MATCH(V318,MSPara_SourceStreamCategory,0),MATCH(AM318&amp;"_"&amp;1,MSPara_CalcFactors,0))),"")</f>
        <v/>
      </c>
      <c r="AP318" s="548" t="b">
        <f>AND(AND(AH318&lt;&gt;"",AJ318&lt;&gt;""),AJ318=AH318)</f>
        <v>0</v>
      </c>
      <c r="AQ318" s="557" t="str">
        <f>IF(AND(AA318&lt;&gt;"",AP318=TRUE),IF(OR(INDEX(AN318:AO318,3-AA318)=EUconst_NA,INDEX(AN318:AO318,3-AA318)=0),"",INDEX(AN318:AO318,3-AA318)),"")</f>
        <v/>
      </c>
      <c r="AR318" s="548">
        <f>IF(AC318=TRUE,IF(COUNT(K318:L318)=0,0,IF(L318="",K318,L318)),0)</f>
        <v>0</v>
      </c>
      <c r="AS318" s="544" t="b">
        <f>AND(AC318=TRUE,OR(AND(F318&lt;&gt;"",NOT(ISNUMBER(AA318))),L318&lt;&gt;"",F318="",AQ318=""))</f>
        <v>0</v>
      </c>
      <c r="AT318" s="544" t="b">
        <f t="shared" si="65"/>
        <v>0</v>
      </c>
      <c r="AU318" s="30"/>
      <c r="AV318" s="558" t="b">
        <f t="shared" si="66"/>
        <v>0</v>
      </c>
      <c r="AW318" s="559" t="b">
        <f t="shared" si="67"/>
        <v>0</v>
      </c>
      <c r="AX318" s="30"/>
      <c r="AY318" s="544" t="b">
        <f t="shared" si="68"/>
        <v>0</v>
      </c>
      <c r="AZ318" s="30"/>
      <c r="BA318" s="30"/>
      <c r="BB318" s="538" t="s">
        <v>589</v>
      </c>
      <c r="BC318" s="537" t="str">
        <f>IF(K305=BC315,AR315*IF(AJ317=EUconst_tCO2pTJ,(AR318/1000),1)*AR317*AR319*AR322,"")</f>
        <v/>
      </c>
      <c r="BD318" s="515" t="str">
        <f>IF(K305=BD315,AR315*AR317*AR320*AR322,"")</f>
        <v/>
      </c>
      <c r="BE318" s="514" t="str">
        <f>IF(K305=BE315,3.664*AR315*AR321*AR322,"")</f>
        <v/>
      </c>
      <c r="BF318" s="30"/>
      <c r="BG318" s="30"/>
      <c r="BH318" s="30"/>
      <c r="BI318" s="30"/>
      <c r="BJ318" s="30"/>
      <c r="BK318" s="30"/>
      <c r="BL318" s="30"/>
      <c r="BM318" s="30"/>
      <c r="BN318" s="30"/>
      <c r="BO318" s="30"/>
      <c r="BP318" s="30"/>
      <c r="BQ318" s="30"/>
      <c r="BR318" s="30"/>
      <c r="BS318" s="30"/>
      <c r="BT318" s="30"/>
      <c r="BU318" s="30"/>
      <c r="BV318" s="30"/>
      <c r="BW318" s="30"/>
      <c r="BX318" s="30"/>
      <c r="BY318" s="30"/>
      <c r="BZ318" s="544" t="b">
        <f>OR(BZ315,Y318=EUconst_NA)</f>
        <v>1</v>
      </c>
    </row>
    <row r="319" spans="1:78" s="140" customFormat="1" ht="12.75" customHeight="1" thickBot="1" x14ac:dyDescent="0.25">
      <c r="A319" s="777"/>
      <c r="B319" s="1248"/>
      <c r="C319" s="783" t="s">
        <v>197</v>
      </c>
      <c r="D319" s="503" t="str">
        <f>Translations!$B$638</f>
        <v>Oksidacijos koef.:</v>
      </c>
      <c r="E319" s="504"/>
      <c r="F319" s="539"/>
      <c r="G319" s="1603" t="str">
        <f t="shared" si="63"/>
        <v/>
      </c>
      <c r="H319" s="1604"/>
      <c r="I319" s="1113" t="str">
        <f>IF(OR(AC319=FALSE,Y319=EUconst_NA),"","-")</f>
        <v/>
      </c>
      <c r="J319" s="560"/>
      <c r="K319" s="561" t="str">
        <f t="shared" si="64"/>
        <v/>
      </c>
      <c r="L319" s="694"/>
      <c r="M319" s="700" t="str">
        <f>IF(AND(E306&lt;&gt;"",OR(F319="",COUNT(K319:L319)=0),Y319&lt;&gt;EUconst_NA,T306&lt;&gt;TRUE),EUconst_ERR_Incomplete,IF(COUNTIF(AX319:AZ319,TRUE)&gt;0,EUconst_ERR_Inconsistent,""))</f>
        <v/>
      </c>
      <c r="O319" s="1305"/>
      <c r="P319" s="33"/>
      <c r="Q319" s="33"/>
      <c r="R319" s="33"/>
      <c r="S319" s="30"/>
      <c r="T319" s="543" t="str">
        <f>EUconst_CNTR_OxidationFactor&amp;E306</f>
        <v>OxF_</v>
      </c>
      <c r="U319" s="488"/>
      <c r="V319" s="544" t="str">
        <f t="shared" si="69"/>
        <v/>
      </c>
      <c r="W319" s="30"/>
      <c r="X319" s="488"/>
      <c r="Y319" s="545" t="str">
        <f>IF(OR(T306=TRUE,E306=""),"",INDEX(EUwideConstants!$N:$N,MATCH(T319,EUwideConstants!$Q:$Q,0)))</f>
        <v/>
      </c>
      <c r="Z319" s="546" t="str">
        <f>IF(ISBLANK(F319),"",IF(F319=EUconst_NA,"",INDEX(EUwideConstants!$H:$M,MATCH(T319,EUwideConstants!$Q:$Q,0),MATCH(F319,CNTR_TierList,0))))</f>
        <v/>
      </c>
      <c r="AA319" s="525" t="str">
        <f>IF(F319=1,1,"")</f>
        <v/>
      </c>
      <c r="AB319" s="30"/>
      <c r="AC319" s="548" t="b">
        <f>AND(AC315,Y319&lt;&gt;EUconst_NA)</f>
        <v>0</v>
      </c>
      <c r="AD319" s="30"/>
      <c r="AE319" s="563"/>
      <c r="AG319" s="564"/>
      <c r="AH319" s="553"/>
      <c r="AI319" s="565"/>
      <c r="AJ319" s="553"/>
      <c r="AK319" s="566"/>
      <c r="AL319" s="333"/>
      <c r="AM319" s="549" t="str">
        <f>EUconst_CNTR_OxidationFactor&amp;EUconst_Value</f>
        <v>OxF_Vertė</v>
      </c>
      <c r="AN319" s="567"/>
      <c r="AO319" s="525">
        <v>1</v>
      </c>
      <c r="AP319" s="553"/>
      <c r="AQ319" s="568" t="str">
        <f>IF(AA319="","",AO319)</f>
        <v/>
      </c>
      <c r="AR319" s="548">
        <f>IF(AC319=TRUE,IF(COUNT(K319:L319)=0,0,IF(L319="",K319,L319)),1)</f>
        <v>1</v>
      </c>
      <c r="AS319" s="544" t="b">
        <f>AND(AC319=TRUE,OR(ISNUMBER(L319),NOT(ISNUMBER(AA319))))</f>
        <v>0</v>
      </c>
      <c r="AT319" s="544" t="b">
        <f t="shared" si="65"/>
        <v>0</v>
      </c>
      <c r="AU319" s="30"/>
      <c r="AV319" s="558" t="b">
        <f t="shared" si="66"/>
        <v>0</v>
      </c>
      <c r="AW319" s="559" t="b">
        <f t="shared" si="67"/>
        <v>0</v>
      </c>
      <c r="AX319" s="30"/>
      <c r="AY319" s="585" t="b">
        <f t="shared" si="68"/>
        <v>0</v>
      </c>
      <c r="AZ319" s="522" t="b">
        <f>AR319&gt;100%</f>
        <v>0</v>
      </c>
      <c r="BA319" s="30"/>
      <c r="BB319" s="538" t="s">
        <v>287</v>
      </c>
      <c r="BC319" s="537" t="str">
        <f>IF(K305=BC315,AR315*IF(AJ317=EUconst_tCO2pTJ,(AR318/1000),1)*AR317*AR319*(1-AR322),"")</f>
        <v/>
      </c>
      <c r="BD319" s="515" t="str">
        <f>IF(K305=BD315,AR315*AR317*AR320*(1-AR322),"")</f>
        <v/>
      </c>
      <c r="BE319" s="514" t="str">
        <f>IF(K305=BE315,3.664*AR315*AR321*(1-AR322),"")</f>
        <v/>
      </c>
      <c r="BF319" s="30"/>
      <c r="BG319" s="30"/>
      <c r="BH319" s="30"/>
      <c r="BI319" s="30"/>
      <c r="BJ319" s="30"/>
      <c r="BK319" s="30"/>
      <c r="BL319" s="30"/>
      <c r="BM319" s="30"/>
      <c r="BN319" s="30"/>
      <c r="BO319" s="30"/>
      <c r="BP319" s="30"/>
      <c r="BQ319" s="30"/>
      <c r="BR319" s="30"/>
      <c r="BS319" s="30"/>
      <c r="BT319" s="30"/>
      <c r="BU319" s="30"/>
      <c r="BV319" s="30"/>
      <c r="BW319" s="30"/>
      <c r="BX319" s="30"/>
      <c r="BY319" s="30"/>
      <c r="BZ319" s="544" t="b">
        <f>OR(BZ315,Y319=EUconst_NA)</f>
        <v>1</v>
      </c>
    </row>
    <row r="320" spans="1:78" s="140" customFormat="1" ht="12.75" customHeight="1" thickBot="1" x14ac:dyDescent="0.25">
      <c r="A320" s="777"/>
      <c r="B320" s="1248"/>
      <c r="C320" s="783" t="s">
        <v>198</v>
      </c>
      <c r="D320" s="503" t="str">
        <f>Translations!$B$639</f>
        <v>Konversijos koef.:</v>
      </c>
      <c r="E320" s="504"/>
      <c r="F320" s="539"/>
      <c r="G320" s="1603" t="str">
        <f t="shared" si="63"/>
        <v/>
      </c>
      <c r="H320" s="1604"/>
      <c r="I320" s="1113" t="str">
        <f>IF(OR(AC320=FALSE,Y320=EUconst_NA),"","-")</f>
        <v/>
      </c>
      <c r="J320" s="560"/>
      <c r="K320" s="561" t="str">
        <f t="shared" si="64"/>
        <v/>
      </c>
      <c r="L320" s="694"/>
      <c r="M320" s="700" t="str">
        <f>IF(AND(E306&lt;&gt;"",OR(F320="",COUNT(K320:L320)=0),Y320&lt;&gt;EUconst_NA,T306&lt;&gt;TRUE),EUconst_ERR_Incomplete,IF(COUNTIF(AX320:AZ320,TRUE)&gt;0,EUconst_ERR_Inconsistent,""))</f>
        <v/>
      </c>
      <c r="O320" s="1305"/>
      <c r="P320" s="33"/>
      <c r="Q320" s="33"/>
      <c r="R320" s="33"/>
      <c r="S320" s="30"/>
      <c r="T320" s="543" t="str">
        <f>EUconst_CNTR_ConversionFactor&amp;E306</f>
        <v>ConvF_</v>
      </c>
      <c r="U320" s="488"/>
      <c r="V320" s="544" t="str">
        <f t="shared" si="69"/>
        <v/>
      </c>
      <c r="W320" s="30"/>
      <c r="X320" s="488"/>
      <c r="Y320" s="545" t="str">
        <f>IF(OR(T306=TRUE,E306=""),"",INDEX(EUwideConstants!$N:$N,MATCH(T320,EUwideConstants!$Q:$Q,0)))</f>
        <v/>
      </c>
      <c r="Z320" s="546" t="str">
        <f>IF(ISBLANK(F320),"",IF(F320=EUconst_NA,"",INDEX(EUwideConstants!$H:$M,MATCH(T320,EUwideConstants!$Q:$Q,0),MATCH(F320,CNTR_TierList,0))))</f>
        <v/>
      </c>
      <c r="AA320" s="573" t="str">
        <f>IF(F320=1,1,"")</f>
        <v/>
      </c>
      <c r="AB320" s="30"/>
      <c r="AC320" s="548" t="b">
        <f>AND(AC315,Y320&lt;&gt;EUconst_NA)</f>
        <v>0</v>
      </c>
      <c r="AD320" s="30"/>
      <c r="AE320" s="563"/>
      <c r="AG320" s="564"/>
      <c r="AH320" s="574"/>
      <c r="AI320" s="565"/>
      <c r="AJ320" s="574"/>
      <c r="AK320" s="566"/>
      <c r="AL320" s="333"/>
      <c r="AM320" s="549" t="str">
        <f>EUconst_CNTR_ConversionFactor&amp;EUconst_Value</f>
        <v>ConvF_Vertė</v>
      </c>
      <c r="AN320" s="575"/>
      <c r="AO320" s="573">
        <v>1</v>
      </c>
      <c r="AP320" s="574"/>
      <c r="AQ320" s="576" t="str">
        <f>IF(AA320="","",AO320)</f>
        <v/>
      </c>
      <c r="AR320" s="548">
        <f>IF(AC320=TRUE,IF(COUNT(K320:L320)=0,0,IF(L320="",K320,L320)),1)</f>
        <v>1</v>
      </c>
      <c r="AS320" s="544" t="b">
        <f>AND(AC320=TRUE,OR(ISNUMBER(L320),NOT(ISNUMBER(AA320))))</f>
        <v>0</v>
      </c>
      <c r="AT320" s="544" t="b">
        <f t="shared" si="65"/>
        <v>0</v>
      </c>
      <c r="AU320" s="30"/>
      <c r="AV320" s="558" t="b">
        <f t="shared" si="66"/>
        <v>0</v>
      </c>
      <c r="AW320" s="559" t="b">
        <f t="shared" si="67"/>
        <v>0</v>
      </c>
      <c r="AX320" s="30"/>
      <c r="AY320" s="585" t="b">
        <f t="shared" si="68"/>
        <v>0</v>
      </c>
      <c r="AZ320" s="571" t="b">
        <f>AR320&gt;100%</f>
        <v>0</v>
      </c>
      <c r="BA320" s="30"/>
      <c r="BB320" s="569" t="s">
        <v>481</v>
      </c>
      <c r="BC320" s="570">
        <f>AR315*AR318/1000*(1-AR322)</f>
        <v>0</v>
      </c>
      <c r="BD320" s="571">
        <f>BC320</f>
        <v>0</v>
      </c>
      <c r="BE320" s="572">
        <f>BC320</f>
        <v>0</v>
      </c>
      <c r="BF320" s="30"/>
      <c r="BG320" s="30"/>
      <c r="BH320" s="30"/>
      <c r="BI320" s="30"/>
      <c r="BJ320" s="30"/>
      <c r="BK320" s="30"/>
      <c r="BL320" s="30"/>
      <c r="BM320" s="30"/>
      <c r="BN320" s="30"/>
      <c r="BO320" s="30"/>
      <c r="BP320" s="30"/>
      <c r="BQ320" s="30"/>
      <c r="BR320" s="30"/>
      <c r="BS320" s="30"/>
      <c r="BT320" s="30"/>
      <c r="BU320" s="30"/>
      <c r="BV320" s="30"/>
      <c r="BW320" s="30"/>
      <c r="BX320" s="30"/>
      <c r="BY320" s="30"/>
      <c r="BZ320" s="544" t="b">
        <f>OR(BZ315,Y320=EUconst_NA)</f>
        <v>1</v>
      </c>
    </row>
    <row r="321" spans="1:78" s="140" customFormat="1" ht="12.75" customHeight="1" thickBot="1" x14ac:dyDescent="0.25">
      <c r="A321" s="777"/>
      <c r="B321" s="1248"/>
      <c r="C321" s="783" t="s">
        <v>324</v>
      </c>
      <c r="D321" s="503" t="str">
        <f>Translations!$B$640</f>
        <v>Anglies kiekis (C):</v>
      </c>
      <c r="E321" s="504"/>
      <c r="F321" s="539"/>
      <c r="G321" s="1603" t="str">
        <f t="shared" si="63"/>
        <v/>
      </c>
      <c r="H321" s="1604"/>
      <c r="I321" s="1113" t="str">
        <f>AJ321</f>
        <v/>
      </c>
      <c r="J321" s="577"/>
      <c r="K321" s="578" t="str">
        <f t="shared" si="64"/>
        <v/>
      </c>
      <c r="L321" s="579"/>
      <c r="M321" s="700" t="str">
        <f>IF(AND(E306&lt;&gt;"",OR(F321="",COUNT(K321:L321)=0),Y321&lt;&gt;EUconst_NA,T306&lt;&gt;TRUE),EUconst_ERR_Incomplete,IF(COUNTIF(AX321:AZ321,TRUE)&gt;0,EUconst_ERR_Inconsistent,""))</f>
        <v/>
      </c>
      <c r="O321" s="1305"/>
      <c r="P321" s="33"/>
      <c r="Q321" s="33"/>
      <c r="R321" s="33"/>
      <c r="S321" s="30"/>
      <c r="T321" s="543" t="str">
        <f>EUconst_CNTR_CarbonContent&amp;E306</f>
        <v>CarbC_</v>
      </c>
      <c r="U321" s="488"/>
      <c r="V321" s="544" t="str">
        <f t="shared" si="69"/>
        <v/>
      </c>
      <c r="W321" s="30"/>
      <c r="X321" s="488"/>
      <c r="Y321" s="545" t="str">
        <f>IF(OR(T306=TRUE,E306=""),"",INDEX(EUwideConstants!$N:$N,MATCH(T321,EUwideConstants!$Q:$Q,0)))</f>
        <v/>
      </c>
      <c r="Z321" s="546" t="str">
        <f>IF(ISBLANK(F321),"",IF(F321=EUconst_NA,"",INDEX(EUwideConstants!$H:$M,MATCH(T321,EUwideConstants!$Q:$Q,0),MATCH(F321,CNTR_TierList,0))))</f>
        <v/>
      </c>
      <c r="AA321" s="580" t="str">
        <f>IF(COUNTIF(EUconst_DefaultValues,Z321)&gt;0,MATCH(Z321,EUconst_DefaultValues,0),"")</f>
        <v/>
      </c>
      <c r="AB321" s="30"/>
      <c r="AC321" s="548" t="b">
        <f>AND(AC315,Y321&lt;&gt;EUconst_NA)</f>
        <v>0</v>
      </c>
      <c r="AD321" s="30"/>
      <c r="AE321" s="549" t="str">
        <f>EUconst_CNTR_CarbonContent&amp;EUconst_Unit</f>
        <v>CarbC_Vienetas</v>
      </c>
      <c r="AF321" s="550" t="str">
        <f>IF(AC321=TRUE, IF(COUNTIF(MSPara_SourceStreamCategory,V321)=0,"",INDEX(MSPara_CalcFactorsMatrix,MATCH(V321,MSPara_SourceStreamCategory,0),MATCH(AE321&amp;"_"&amp;2,MSPara_CalcFactors,0))),"")</f>
        <v/>
      </c>
      <c r="AG321" s="551" t="str">
        <f>IF(AC321=TRUE, IF(COUNTIF(MSPara_SourceStreamCategory,V321)=0,"",INDEX(MSPara_CalcFactorsMatrix,MATCH(V321,MSPara_SourceStreamCategory,0),MATCH(AE321&amp;"_"&amp;1,MSPara_CalcFactors,0))),"")</f>
        <v/>
      </c>
      <c r="AH321" s="581" t="str">
        <f>IF(AA321="","",INDEX(AF321:AG321,3-AA321))</f>
        <v/>
      </c>
      <c r="AI321" s="565"/>
      <c r="AJ321" s="582" t="str">
        <f>IF(AC321=TRUE,IF(AJ315="","",IF(AJ315=EUconst_kNm3,EUconst_tCpkNm3,EUconst_tCpt)),"")</f>
        <v/>
      </c>
      <c r="AK321" s="566"/>
      <c r="AL321" s="333"/>
      <c r="AM321" s="549" t="str">
        <f>EUconst_CNTR_CarbonContent&amp;EUconst_Value</f>
        <v>CarbC_Vertė</v>
      </c>
      <c r="AN321" s="555" t="str">
        <f>IF(AC321=TRUE,IF(COUNTIF(MSPara_SourceStreamCategory,V321)=0,"",INDEX(MSPara_CalcFactorsMatrix,MATCH(V321,MSPara_SourceStreamCategory,0),MATCH(AM321&amp;"_"&amp;2,MSPara_CalcFactors,0))),"")</f>
        <v/>
      </c>
      <c r="AO321" s="583" t="str">
        <f>IF(AC321=TRUE,IF(COUNTIF(MSPara_SourceStreamCategory,V321)=0,"",INDEX(MSPara_CalcFactorsMatrix,MATCH(V321,MSPara_SourceStreamCategory,0),MATCH(AM321&amp;"_"&amp;1,MSPara_CalcFactors,0))),"")</f>
        <v/>
      </c>
      <c r="AP321" s="548" t="b">
        <f>AND(AND(AH321&lt;&gt;"",AJ321&lt;&gt;""),AJ321=AH321)</f>
        <v>0</v>
      </c>
      <c r="AQ321" s="584" t="str">
        <f>IF(AND(AA321&lt;&gt;"",AP321=TRUE),IF(OR(INDEX(AN321:AO321,3-AA321)=EUconst_NA,INDEX(AN321:AO321,3-AA321)=0),"",INDEX(AN321:AO321,3-AA321)),"")</f>
        <v/>
      </c>
      <c r="AR321" s="548">
        <f>IF(AC321=TRUE,IF(COUNT(K321:L321)=0,0,IF(L321="",K321,L321)),0)</f>
        <v>0</v>
      </c>
      <c r="AS321" s="544" t="b">
        <f>AND(AC321=TRUE,OR(AND(F321&lt;&gt;"",NOT(ISNUMBER(AA321))),L321&lt;&gt;"",F321="",AQ321=""))</f>
        <v>0</v>
      </c>
      <c r="AT321" s="544" t="b">
        <f t="shared" si="65"/>
        <v>0</v>
      </c>
      <c r="AU321" s="30"/>
      <c r="AV321" s="558" t="b">
        <f t="shared" si="66"/>
        <v>0</v>
      </c>
      <c r="AW321" s="559" t="b">
        <f t="shared" si="67"/>
        <v>0</v>
      </c>
      <c r="AX321" s="537" t="b">
        <f>OR(AND(AJ315=EUconst_kNm3,AJ321=EUconst_tCpt),AND(AJ315=EUconst_t,AJ321=EUconst_tCpkNm3))</f>
        <v>0</v>
      </c>
      <c r="AY321" s="544" t="b">
        <f t="shared" si="68"/>
        <v>0</v>
      </c>
      <c r="AZ321" s="30"/>
      <c r="BA321" s="30"/>
      <c r="BB321" s="569" t="s">
        <v>482</v>
      </c>
      <c r="BC321" s="570">
        <f>AR315*AR318/1000*AR322</f>
        <v>0</v>
      </c>
      <c r="BD321" s="571">
        <f>BC321</f>
        <v>0</v>
      </c>
      <c r="BE321" s="572">
        <f>BC321</f>
        <v>0</v>
      </c>
      <c r="BF321" s="30"/>
      <c r="BG321" s="30"/>
      <c r="BH321" s="30"/>
      <c r="BI321" s="30"/>
      <c r="BJ321" s="30"/>
      <c r="BK321" s="30"/>
      <c r="BL321" s="30"/>
      <c r="BM321" s="30"/>
      <c r="BN321" s="30"/>
      <c r="BO321" s="30"/>
      <c r="BP321" s="30"/>
      <c r="BQ321" s="30"/>
      <c r="BR321" s="30"/>
      <c r="BS321" s="30"/>
      <c r="BT321" s="30"/>
      <c r="BU321" s="30"/>
      <c r="BV321" s="30"/>
      <c r="BW321" s="30"/>
      <c r="BX321" s="30"/>
      <c r="BY321" s="30"/>
      <c r="BZ321" s="544" t="b">
        <f>OR(BZ315,Y321=EUconst_NA)</f>
        <v>1</v>
      </c>
    </row>
    <row r="322" spans="1:78" s="140" customFormat="1" ht="12.75" customHeight="1" x14ac:dyDescent="0.2">
      <c r="A322" s="777"/>
      <c r="B322" s="1248"/>
      <c r="C322" s="753" t="s">
        <v>325</v>
      </c>
      <c r="D322" s="503" t="str">
        <f>Translations!$B$641</f>
        <v>Biomasės dalis (BioC):</v>
      </c>
      <c r="E322" s="504"/>
      <c r="F322" s="539"/>
      <c r="G322" s="1603" t="str">
        <f t="shared" si="63"/>
        <v/>
      </c>
      <c r="H322" s="1604"/>
      <c r="I322" s="1113" t="str">
        <f>IF(OR(AC322=FALSE,Y322=EUconst_NA),"","-")</f>
        <v/>
      </c>
      <c r="J322" s="560"/>
      <c r="K322" s="561" t="str">
        <f t="shared" si="64"/>
        <v/>
      </c>
      <c r="L322" s="694"/>
      <c r="M322" s="700" t="str">
        <f>IF(AND(E306&lt;&gt;"",OR(F322="",COUNT(K322:L322)=0),Y322&lt;&gt;EUconst_NA,T306&lt;&gt;TRUE),EUconst_ERR_Incomplete,IF(COUNTIF(AX322:AZ322,TRUE)&gt;0,EUconst_ERR_Inconsistent,""))</f>
        <v/>
      </c>
      <c r="O322" s="1305"/>
      <c r="P322" s="635"/>
      <c r="Q322" s="635"/>
      <c r="R322" s="635"/>
      <c r="S322" s="30"/>
      <c r="T322" s="543" t="str">
        <f>EUconst_CNTR_BiomassContent&amp;E306</f>
        <v>BioC_</v>
      </c>
      <c r="U322" s="488"/>
      <c r="V322" s="585" t="str">
        <f t="shared" si="69"/>
        <v/>
      </c>
      <c r="W322" s="522" t="str">
        <f>IF(COUNTIF(MSPara_SourceStreamCategory,V322)=0,"",INDEX(MSPara_IsFossil,MATCH(V322,MSPara_SourceStreamCategory,0)))</f>
        <v/>
      </c>
      <c r="X322" s="488"/>
      <c r="Y322" s="545" t="str">
        <f>IF(OR(T306=TRUE,E306=""),"",IF(OR(W322=TRUE,F322=EUconst_NA),EUconst_NA,INDEX(EUwideConstants!$N:$N,MATCH(T322,EUwideConstants!$Q:$Q,0))))</f>
        <v/>
      </c>
      <c r="Z322" s="546" t="str">
        <f>IF(ISBLANK(F322),"",IF(F322=EUconst_NA,"",INDEX(EUwideConstants!$H:$M,MATCH(T322,EUwideConstants!$Q:$Q,0),MATCH(F322,CNTR_TierList,0))))</f>
        <v/>
      </c>
      <c r="AA322" s="586" t="str">
        <f>IF(F322=1,1,"")</f>
        <v/>
      </c>
      <c r="AB322" s="30"/>
      <c r="AC322" s="548" t="b">
        <f>AND(AC315,Y322&lt;&gt;EUconst_NA)</f>
        <v>0</v>
      </c>
      <c r="AD322" s="30"/>
      <c r="AE322" s="563"/>
      <c r="AG322" s="564"/>
      <c r="AH322" s="553"/>
      <c r="AI322" s="565"/>
      <c r="AJ322" s="553"/>
      <c r="AK322" s="566"/>
      <c r="AL322" s="333"/>
      <c r="AM322" s="549" t="str">
        <f>EUconst_CNTR_BiomassContent&amp;EUconst_Value</f>
        <v>BioC_Vertė</v>
      </c>
      <c r="AO322" s="587" t="str">
        <f>IF(AC322=TRUE,IF(COUNTIF(MSPara_SourceStreamCategory,V322)=0,"",INDEX(MSPara_CalcFactorsMatrix,MATCH(V322,MSPara_SourceStreamCategory,0),MATCH(AM322&amp;"_"&amp;2,MSPara_CalcFactors,0))),"")</f>
        <v/>
      </c>
      <c r="AP322" s="553"/>
      <c r="AQ322" s="568" t="str">
        <f>IF(OR(AA322="",AO322=EUconst_NA),"",AO322)</f>
        <v/>
      </c>
      <c r="AR322" s="548">
        <f>IF(AC322=TRUE,IF(COUNT(K322:L322)=0,0,IF(L322="",K322,L322)),0)</f>
        <v>0</v>
      </c>
      <c r="AS322" s="544" t="b">
        <f>AND(AC322=TRUE,OR(AND(F322&lt;&gt;"",NOT(ISNUMBER(AA322))),L322&lt;&gt;"",F322="",AQ322=""))</f>
        <v>0</v>
      </c>
      <c r="AT322" s="544" t="b">
        <f t="shared" si="65"/>
        <v>0</v>
      </c>
      <c r="AU322" s="30"/>
      <c r="AV322" s="558" t="b">
        <f t="shared" si="66"/>
        <v>0</v>
      </c>
      <c r="AW322" s="559" t="b">
        <f t="shared" si="67"/>
        <v>0</v>
      </c>
      <c r="AX322" s="30"/>
      <c r="AY322" s="585" t="b">
        <f t="shared" si="68"/>
        <v>0</v>
      </c>
      <c r="AZ322" s="522" t="b">
        <f>OR(AR322&gt;100%,(AR322+AR323)&gt;100%)</f>
        <v>0</v>
      </c>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544" t="b">
        <f>OR(BZ315,Y322=EUconst_NA)</f>
        <v>1</v>
      </c>
    </row>
    <row r="323" spans="1:78" s="140" customFormat="1" ht="12.75" customHeight="1" thickBot="1" x14ac:dyDescent="0.25">
      <c r="A323" s="777"/>
      <c r="B323" s="1248"/>
      <c r="C323" s="753" t="s">
        <v>448</v>
      </c>
      <c r="D323" s="503" t="str">
        <f>Translations!$B$647</f>
        <v>Netvarios BioC dalis:</v>
      </c>
      <c r="E323" s="504"/>
      <c r="F323" s="588"/>
      <c r="G323" s="1603" t="str">
        <f t="shared" si="63"/>
        <v/>
      </c>
      <c r="H323" s="1604"/>
      <c r="I323" s="1114" t="str">
        <f>IF(OR(AC323=FALSE,Y323=EUconst_NA),"","-")</f>
        <v/>
      </c>
      <c r="J323" s="560"/>
      <c r="K323" s="589" t="str">
        <f t="shared" si="64"/>
        <v/>
      </c>
      <c r="L323" s="1100"/>
      <c r="M323" s="700" t="str">
        <f>IF(AND(E306&lt;&gt;"",OR(F323="",COUNT(K323:L323)=0),Y323&lt;&gt;EUconst_NA,T306&lt;&gt;TRUE),EUconst_ERR_Incomplete,IF(COUNTIF(AX323:AZ323,TRUE)&gt;0,EUconst_ERR_Inconsistent,""))</f>
        <v/>
      </c>
      <c r="O323" s="1305"/>
      <c r="P323" s="635"/>
      <c r="Q323" s="635"/>
      <c r="R323" s="635"/>
      <c r="S323" s="30"/>
      <c r="T323" s="590" t="str">
        <f>EUconst_CNTR_BiomassContent&amp;E306</f>
        <v>BioC_</v>
      </c>
      <c r="U323" s="488"/>
      <c r="V323" s="570" t="str">
        <f t="shared" si="69"/>
        <v/>
      </c>
      <c r="W323" s="571" t="str">
        <f>IF(COUNTIF(MSPara_SourceStreamCategory,V323)=0,"",INDEX(MSPara_IsFossil,MATCH(V323,MSPara_SourceStreamCategory,0)))</f>
        <v/>
      </c>
      <c r="X323" s="488"/>
      <c r="Y323" s="591" t="str">
        <f>IF(OR(T306=TRUE,E306=""),"",IF(OR(W323=TRUE,F323=EUconst_NA),EUconst_NA,INDEX(EUwideConstants!$N:$N,MATCH(T323,EUwideConstants!$Q:$Q,0))))</f>
        <v/>
      </c>
      <c r="Z323" s="592" t="str">
        <f>IF(ISBLANK(F323),"",IF(F323=EUconst_NA,"",INDEX(EUwideConstants!$H:$M,MATCH(T323,EUwideConstants!$Q:$Q,0),MATCH(F323,CNTR_TierList,0))))</f>
        <v/>
      </c>
      <c r="AA323" s="593" t="str">
        <f>IF(F323=1,1,"")</f>
        <v/>
      </c>
      <c r="AB323" s="30"/>
      <c r="AC323" s="594" t="b">
        <f>AND(AC315,Y323&lt;&gt;EUconst_NA)</f>
        <v>0</v>
      </c>
      <c r="AD323" s="30"/>
      <c r="AE323" s="595"/>
      <c r="AF323" s="596"/>
      <c r="AG323" s="597"/>
      <c r="AH323" s="598"/>
      <c r="AI323" s="598"/>
      <c r="AJ323" s="598"/>
      <c r="AK323" s="599"/>
      <c r="AL323" s="333"/>
      <c r="AM323" s="600" t="str">
        <f>EUconst_CNTR_BiomassContent&amp;EUconst_Value</f>
        <v>BioC_Vertė</v>
      </c>
      <c r="AN323" s="596"/>
      <c r="AO323" s="601" t="str">
        <f>IF(AC323=TRUE,IF(COUNTIF(MSPara_SourceStreamCategory,V323)=0,"",INDEX(MSPara_CalcFactorsMatrix,MATCH(V323,MSPara_SourceStreamCategory,0),MATCH(AM323&amp;"_"&amp;2,MSPara_CalcFactors,0))),"")</f>
        <v/>
      </c>
      <c r="AP323" s="598"/>
      <c r="AQ323" s="602" t="str">
        <f>IF(OR(AA323="",AO323=EUconst_NA),"",AO323)</f>
        <v/>
      </c>
      <c r="AR323" s="594">
        <f>IF(AC323=TRUE,IF(COUNT(K323:L323)=0,0,IF(L323="",K323,L323)),0)</f>
        <v>0</v>
      </c>
      <c r="AS323" s="603" t="b">
        <f>AND(AC323=TRUE,OR(AND(F323&lt;&gt;"",NOT(ISNUMBER(AA323))),L323&lt;&gt;"",F323="",AQ323=""))</f>
        <v>0</v>
      </c>
      <c r="AT323" s="603" t="b">
        <f t="shared" si="65"/>
        <v>0</v>
      </c>
      <c r="AU323" s="30"/>
      <c r="AV323" s="604" t="b">
        <f t="shared" si="66"/>
        <v>0</v>
      </c>
      <c r="AW323" s="605" t="b">
        <f t="shared" si="67"/>
        <v>0</v>
      </c>
      <c r="AX323" s="30"/>
      <c r="AY323" s="570" t="b">
        <f t="shared" si="68"/>
        <v>0</v>
      </c>
      <c r="AZ323" s="571" t="b">
        <f>OR(AR322&gt;100%,(AR322+AR323)&gt;100%)</f>
        <v>0</v>
      </c>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571" t="b">
        <f>OR(BZ315,Y323=EUconst_NA)</f>
        <v>1</v>
      </c>
    </row>
    <row r="324" spans="1:78" s="140" customFormat="1" ht="5.0999999999999996" customHeight="1" x14ac:dyDescent="0.2">
      <c r="A324" s="777"/>
      <c r="B324" s="1248"/>
      <c r="C324" s="164"/>
      <c r="D324" s="178"/>
      <c r="O324" s="1305"/>
      <c r="P324" s="33"/>
      <c r="Q324" s="33"/>
      <c r="R324" s="33"/>
      <c r="S324" s="172"/>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row>
    <row r="325" spans="1:78" s="140" customFormat="1" ht="12.75" customHeight="1" x14ac:dyDescent="0.2">
      <c r="A325" s="777"/>
      <c r="B325" s="1248"/>
      <c r="C325" s="164"/>
      <c r="D325" s="1629" t="str">
        <f>Translations!$B$674</f>
        <v>Pakopos galioja nuo:</v>
      </c>
      <c r="E325" s="1629"/>
      <c r="F325" s="1630"/>
      <c r="G325" s="1014"/>
      <c r="H325" s="606" t="str">
        <f>Translations!$B$675</f>
        <v>iki:</v>
      </c>
      <c r="I325" s="1014"/>
      <c r="J325" s="1620" t="str">
        <f>Translations!$B$676</f>
        <v>Atliekų katalogo numeris (jeigu taikytina):</v>
      </c>
      <c r="K325" s="1621"/>
      <c r="L325" s="1621"/>
      <c r="M325" s="1622"/>
      <c r="N325" s="1232"/>
      <c r="O325" s="1305"/>
      <c r="P325" s="33"/>
      <c r="Q325" s="33"/>
      <c r="R325" s="33"/>
      <c r="S325" s="1233"/>
      <c r="T325" s="483"/>
      <c r="U325" s="483"/>
      <c r="V325" s="48" t="b">
        <f>IF(V315="",FALSE,INDEX(CNTR_IsWaste,MATCH(V315,MSParameters!$A$218:$A$376,0)))</f>
        <v>0</v>
      </c>
      <c r="W325" s="1233" t="s">
        <v>1689</v>
      </c>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2" t="b">
        <f>BZ315</f>
        <v>1</v>
      </c>
    </row>
    <row r="326" spans="1:78" s="140" customFormat="1" ht="5.0999999999999996" customHeight="1" x14ac:dyDescent="0.2">
      <c r="A326" s="777"/>
      <c r="B326" s="1248"/>
      <c r="C326" s="164"/>
      <c r="D326" s="606"/>
      <c r="E326" s="486"/>
      <c r="F326" s="486"/>
      <c r="G326" s="486"/>
      <c r="H326" s="486"/>
      <c r="I326" s="486"/>
      <c r="J326" s="486"/>
      <c r="K326" s="486"/>
      <c r="L326" s="486"/>
      <c r="M326" s="486"/>
      <c r="N326" s="486"/>
      <c r="O326" s="1305"/>
      <c r="P326" s="33"/>
      <c r="Q326" s="33"/>
      <c r="R326" s="33"/>
      <c r="S326" s="172"/>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row>
    <row r="327" spans="1:78" s="140" customFormat="1" ht="12.75" customHeight="1" x14ac:dyDescent="0.2">
      <c r="A327" s="777"/>
      <c r="B327" s="1248"/>
      <c r="C327" s="164"/>
      <c r="D327" s="486"/>
      <c r="E327" s="486"/>
      <c r="F327" s="486"/>
      <c r="G327" s="486"/>
      <c r="H327" s="486"/>
      <c r="I327" s="486"/>
      <c r="J327" s="486"/>
      <c r="K327" s="486"/>
      <c r="L327" s="486"/>
      <c r="M327" s="606" t="str">
        <f>Translations!$B$677</f>
        <v>Stebėsenos plane šiam sukėlikliui suteiktas identifikatorius:</v>
      </c>
      <c r="N327" s="705"/>
      <c r="O327" s="1305"/>
      <c r="P327" s="33"/>
      <c r="Q327" s="33"/>
      <c r="R327" s="33"/>
      <c r="S327" s="172"/>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2" t="b">
        <f>BZ325</f>
        <v>1</v>
      </c>
    </row>
    <row r="328" spans="1:78" s="140" customFormat="1" ht="5.0999999999999996" customHeight="1" x14ac:dyDescent="0.2">
      <c r="A328" s="784"/>
      <c r="B328" s="1316"/>
      <c r="D328" s="178"/>
      <c r="O328" s="1317"/>
      <c r="P328" s="488"/>
      <c r="Q328" s="488"/>
      <c r="R328" s="488"/>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row>
    <row r="329" spans="1:78" s="140" customFormat="1" x14ac:dyDescent="0.2">
      <c r="A329" s="784"/>
      <c r="B329" s="1316"/>
      <c r="D329" s="1618" t="str">
        <f>Translations!$B$160</f>
        <v>Pastabos:</v>
      </c>
      <c r="E329" s="1619"/>
      <c r="F329" s="1605"/>
      <c r="G329" s="1606"/>
      <c r="H329" s="1606"/>
      <c r="I329" s="1606"/>
      <c r="J329" s="1606"/>
      <c r="K329" s="1606"/>
      <c r="L329" s="1606"/>
      <c r="M329" s="1606"/>
      <c r="N329" s="1607"/>
      <c r="O329" s="1317"/>
      <c r="P329" s="488"/>
      <c r="Q329" s="488"/>
      <c r="R329" s="488"/>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2" t="b">
        <f>BZ325</f>
        <v>1</v>
      </c>
    </row>
    <row r="330" spans="1:78" s="28" customFormat="1" ht="12.75" customHeight="1" thickBot="1" x14ac:dyDescent="0.25">
      <c r="A330" s="777"/>
      <c r="B330" s="1312"/>
      <c r="C330" s="490"/>
      <c r="D330" s="491"/>
      <c r="E330" s="492"/>
      <c r="F330" s="490"/>
      <c r="G330" s="493"/>
      <c r="H330" s="493"/>
      <c r="I330" s="493"/>
      <c r="J330" s="493"/>
      <c r="K330" s="493"/>
      <c r="L330" s="493"/>
      <c r="M330" s="493"/>
      <c r="N330" s="493"/>
      <c r="O330" s="1313"/>
      <c r="P330" s="485"/>
      <c r="Q330" s="485"/>
      <c r="R330" s="485"/>
      <c r="S330" s="58"/>
      <c r="T330" s="58"/>
      <c r="U330" s="489"/>
      <c r="V330" s="58"/>
      <c r="W330" s="58"/>
      <c r="X330" s="489"/>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30"/>
      <c r="BJ330" s="30"/>
      <c r="BK330" s="30"/>
      <c r="BL330" s="58"/>
      <c r="BM330" s="58"/>
      <c r="BN330" s="58"/>
      <c r="BO330" s="58"/>
      <c r="BP330" s="58"/>
      <c r="BQ330" s="58"/>
      <c r="BR330" s="58"/>
      <c r="BS330" s="58"/>
      <c r="BT330" s="58"/>
      <c r="BU330" s="58"/>
      <c r="BV330" s="58"/>
      <c r="BW330" s="58"/>
      <c r="BX330" s="58"/>
      <c r="BY330" s="58"/>
      <c r="BZ330" s="58"/>
    </row>
    <row r="331" spans="1:78" s="28" customFormat="1" ht="12.75" customHeight="1" thickBot="1" x14ac:dyDescent="0.25">
      <c r="A331" s="782"/>
      <c r="B331" s="1312"/>
      <c r="C331" s="486"/>
      <c r="D331" s="178"/>
      <c r="E331" s="487"/>
      <c r="F331" s="486"/>
      <c r="G331" s="478"/>
      <c r="H331" s="478"/>
      <c r="I331" s="478"/>
      <c r="J331" s="478"/>
      <c r="K331" s="486"/>
      <c r="L331" s="478"/>
      <c r="M331" s="478"/>
      <c r="N331" s="478"/>
      <c r="O331" s="1313"/>
      <c r="P331" s="485"/>
      <c r="Q331" s="485"/>
      <c r="R331" s="485"/>
      <c r="S331" s="23"/>
      <c r="T331" s="27" t="str">
        <f>IF(ISBLANK(E332),"",MATCH(E332,CNTR_SourceStreamNames,0))</f>
        <v/>
      </c>
      <c r="U331" s="609" t="str">
        <f>IF(ISBLANK(E332),"",INDEX(B_InstallationDescription!$D$71:$D$145,MATCH(E332,CNTR_SourceStreamNames,0)))</f>
        <v/>
      </c>
      <c r="V331" s="76"/>
      <c r="W331" s="56"/>
      <c r="X331" s="56"/>
      <c r="Y331" s="56"/>
      <c r="Z331" s="58"/>
      <c r="AA331" s="58"/>
      <c r="AB331" s="58"/>
      <c r="AC331" s="58"/>
      <c r="AD331" s="58"/>
      <c r="AE331" s="58"/>
      <c r="AF331" s="58"/>
      <c r="AG331" s="58"/>
      <c r="AH331" s="58"/>
      <c r="AI331" s="58"/>
      <c r="AJ331" s="58"/>
      <c r="AK331" s="482"/>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6"/>
      <c r="BI331" s="56"/>
      <c r="BJ331" s="56"/>
      <c r="BK331" s="56"/>
      <c r="BL331" s="56"/>
      <c r="BM331" s="56"/>
      <c r="BN331" s="56"/>
      <c r="BO331" s="56"/>
      <c r="BP331" s="56"/>
      <c r="BQ331" s="56"/>
      <c r="BR331" s="56"/>
      <c r="BS331" s="56"/>
      <c r="BT331" s="56"/>
      <c r="BU331" s="56"/>
      <c r="BV331" s="56"/>
      <c r="BW331" s="56"/>
      <c r="BX331" s="56"/>
      <c r="BY331" s="56"/>
      <c r="BZ331" s="484" t="s">
        <v>259</v>
      </c>
    </row>
    <row r="332" spans="1:78" s="140" customFormat="1" ht="15" customHeight="1" thickBot="1" x14ac:dyDescent="0.25">
      <c r="A332" s="1302" t="str">
        <f>IF(E332="","","PRINT")</f>
        <v/>
      </c>
      <c r="B332" s="1248"/>
      <c r="C332" s="608">
        <f>C305+1</f>
        <v>11</v>
      </c>
      <c r="D332" s="164"/>
      <c r="E332" s="1610"/>
      <c r="F332" s="1611"/>
      <c r="G332" s="1611"/>
      <c r="H332" s="1611"/>
      <c r="I332" s="1611"/>
      <c r="J332" s="1612"/>
      <c r="K332" s="1623" t="str">
        <f>IF(E333="","",INDEX(EUwideConstants!$F$353:$F$394,MATCH(E333,EUConst_TierActivityListNames,0)))</f>
        <v/>
      </c>
      <c r="L332" s="1624"/>
      <c r="M332" s="494" t="str">
        <f>Translations!$B$665</f>
        <v>CO2, iškastinio kuro kilmės:</v>
      </c>
      <c r="N332" s="1012" t="str">
        <f>IF(OR(K332="",T333=TRUE),"",INDEX(BC346:BE346,MATCH(K332,BC342:BE342,0)))</f>
        <v/>
      </c>
      <c r="O332" s="1314" t="s">
        <v>257</v>
      </c>
      <c r="P332" s="1303" t="str">
        <f>IF(AND(E332&lt;&gt;"",COUNTIF(P333:$P$2089,"PRINT")=0),"PRINT","")</f>
        <v/>
      </c>
      <c r="Q332" s="343" t="str">
        <f>EUconst_SumCO2 &amp; "_" &amp; K332</f>
        <v>SUM_CO2_</v>
      </c>
      <c r="R332" s="485"/>
      <c r="S332" s="23"/>
      <c r="T332" s="500" t="s">
        <v>387</v>
      </c>
      <c r="U332" s="23"/>
      <c r="V332" s="76"/>
      <c r="W332" s="56"/>
      <c r="X332" s="58"/>
      <c r="Y332" s="58"/>
      <c r="Z332" s="58"/>
      <c r="AA332" s="58"/>
      <c r="AB332" s="58"/>
      <c r="AC332" s="58"/>
      <c r="AD332" s="58"/>
      <c r="AE332" s="58"/>
      <c r="AF332" s="58"/>
      <c r="AG332" s="58"/>
      <c r="AH332" s="58"/>
      <c r="AI332" s="333"/>
      <c r="AJ332" s="333"/>
      <c r="AK332" s="333"/>
      <c r="AL332" s="333"/>
      <c r="AM332" s="333"/>
      <c r="AN332" s="333"/>
      <c r="AO332" s="333"/>
      <c r="AP332" s="333"/>
      <c r="AQ332" s="333"/>
      <c r="AR332" s="333"/>
      <c r="AS332" s="333"/>
      <c r="AT332" s="333"/>
      <c r="AU332" s="333"/>
      <c r="AV332" s="333"/>
      <c r="AW332" s="333"/>
      <c r="AX332" s="333"/>
      <c r="AY332" s="333"/>
      <c r="AZ332" s="333"/>
      <c r="BA332" s="333"/>
      <c r="BB332" s="333"/>
      <c r="BC332" s="333"/>
      <c r="BD332" s="333"/>
      <c r="BE332" s="333"/>
      <c r="BF332" s="333"/>
      <c r="BG332" s="333"/>
      <c r="BH332" s="834">
        <f>AR342</f>
        <v>0</v>
      </c>
      <c r="BI332" s="834" t="str">
        <f>AJ342</f>
        <v/>
      </c>
      <c r="BJ332" s="834">
        <f>AR344</f>
        <v>0</v>
      </c>
      <c r="BK332" s="834" t="str">
        <f>AJ344</f>
        <v/>
      </c>
      <c r="BL332" s="834">
        <f>AR345</f>
        <v>0</v>
      </c>
      <c r="BM332" s="834" t="str">
        <f>AJ345</f>
        <v/>
      </c>
      <c r="BN332" s="834">
        <f>AR346</f>
        <v>1</v>
      </c>
      <c r="BO332" s="834">
        <f>AR347</f>
        <v>1</v>
      </c>
      <c r="BP332" s="834">
        <f>AR348</f>
        <v>0</v>
      </c>
      <c r="BQ332" s="834" t="str">
        <f>AJ348</f>
        <v/>
      </c>
      <c r="BR332" s="834">
        <f>AR349</f>
        <v>0</v>
      </c>
      <c r="BS332" s="834">
        <f>AR350</f>
        <v>0</v>
      </c>
      <c r="BT332" s="834" t="str">
        <f>N332</f>
        <v/>
      </c>
      <c r="BU332" s="834" t="str">
        <f>N333</f>
        <v/>
      </c>
      <c r="BV332" s="834" t="str">
        <f>R335</f>
        <v/>
      </c>
      <c r="BW332" s="834" t="str">
        <f>R341</f>
        <v/>
      </c>
      <c r="BX332" s="834" t="str">
        <f>R342</f>
        <v/>
      </c>
      <c r="BY332" s="56"/>
      <c r="BZ332" s="610" t="b">
        <f>CNTR_CalcRelevant=EUconst_NotRelevant</f>
        <v>0</v>
      </c>
    </row>
    <row r="333" spans="1:78" s="140" customFormat="1" ht="15" customHeight="1" thickBot="1" x14ac:dyDescent="0.25">
      <c r="A333" s="777"/>
      <c r="B333" s="1248"/>
      <c r="C333" s="164"/>
      <c r="D333" s="164"/>
      <c r="E333" s="1625" t="str">
        <f>IF(ISBLANK(E332),"",IF(INDEX(B_InstallationDescription!$E$71:$E$145,MATCH(U331,B_InstallationDescription!$D$71:$D$145,0))&gt;0,INDEX(B_InstallationDescription!$E$71:$E$145,MATCH(U331,B_InstallationDescription!$D$71:$D$145,0)),""))</f>
        <v/>
      </c>
      <c r="F333" s="1626"/>
      <c r="G333" s="1626"/>
      <c r="H333" s="1626"/>
      <c r="I333" s="1626"/>
      <c r="J333" s="1627"/>
      <c r="M333" s="337" t="str">
        <f>Translations!$B$666</f>
        <v>CO2, biomasės kilmės.:</v>
      </c>
      <c r="N333" s="1013" t="str">
        <f>IF(OR(K332="",T333=TRUE),"",INDEX(BC345:BE345,MATCH(K332,BC342:BE342,0)))</f>
        <v/>
      </c>
      <c r="O333" s="1315" t="s">
        <v>257</v>
      </c>
      <c r="P333" s="485"/>
      <c r="Q333" s="343" t="str">
        <f>EUconst_SumBioCO2 &amp; "_" &amp; K332</f>
        <v>SUM_bioCO2_</v>
      </c>
      <c r="R333" s="485"/>
      <c r="S333" s="23"/>
      <c r="T333" s="48" t="str">
        <f>IF(E333="","",MATCH(E333,EUConst_TierActivityListNames,0)&gt;40)</f>
        <v/>
      </c>
      <c r="U333" s="23"/>
      <c r="V333" s="76"/>
      <c r="W333" s="56"/>
      <c r="X333" s="58"/>
      <c r="Y333" s="27" t="s">
        <v>91</v>
      </c>
      <c r="Z333" s="30"/>
      <c r="AA333" s="30"/>
      <c r="AB333" s="30"/>
      <c r="AC333" s="30"/>
      <c r="AD333" s="30"/>
      <c r="AE333" s="27" t="s">
        <v>297</v>
      </c>
      <c r="AF333" s="58"/>
      <c r="AG333" s="495"/>
      <c r="AH333" s="30"/>
      <c r="AI333" s="30"/>
      <c r="AJ333" s="495"/>
      <c r="AK333" s="495"/>
      <c r="AL333" s="333"/>
      <c r="AM333" s="27" t="s">
        <v>303</v>
      </c>
      <c r="AN333" s="496"/>
      <c r="AO333" s="496"/>
      <c r="AP333" s="30"/>
      <c r="AQ333" s="30"/>
      <c r="AR333" s="30"/>
      <c r="AS333" s="30"/>
      <c r="AT333" s="30"/>
      <c r="AU333" s="30"/>
      <c r="AV333" s="27" t="s">
        <v>310</v>
      </c>
      <c r="AW333" s="30"/>
      <c r="AX333" s="483"/>
      <c r="AY333" s="30"/>
      <c r="AZ333" s="30"/>
      <c r="BA333" s="30"/>
      <c r="BB333" s="27" t="s">
        <v>217</v>
      </c>
      <c r="BC333" s="30"/>
      <c r="BD333" s="30"/>
      <c r="BE333" s="30"/>
      <c r="BF333" s="30"/>
      <c r="BG333" s="27" t="s">
        <v>486</v>
      </c>
      <c r="BH333" s="833" t="s">
        <v>552</v>
      </c>
      <c r="BI333" s="833" t="s">
        <v>487</v>
      </c>
      <c r="BJ333" s="833" t="s">
        <v>211</v>
      </c>
      <c r="BK333" s="833" t="s">
        <v>488</v>
      </c>
      <c r="BL333" s="833" t="s">
        <v>68</v>
      </c>
      <c r="BM333" s="833" t="s">
        <v>489</v>
      </c>
      <c r="BN333" s="833" t="s">
        <v>490</v>
      </c>
      <c r="BO333" s="833" t="s">
        <v>491</v>
      </c>
      <c r="BP333" s="833" t="s">
        <v>214</v>
      </c>
      <c r="BQ333" s="833" t="s">
        <v>492</v>
      </c>
      <c r="BR333" s="833" t="s">
        <v>493</v>
      </c>
      <c r="BS333" s="833" t="s">
        <v>494</v>
      </c>
      <c r="BT333" s="833" t="s">
        <v>287</v>
      </c>
      <c r="BU333" s="833" t="s">
        <v>495</v>
      </c>
      <c r="BV333" s="833" t="s">
        <v>498</v>
      </c>
      <c r="BW333" s="833" t="s">
        <v>496</v>
      </c>
      <c r="BX333" s="833" t="s">
        <v>497</v>
      </c>
      <c r="BY333" s="30"/>
      <c r="BZ333" s="30"/>
    </row>
    <row r="334" spans="1:78" s="140" customFormat="1" ht="5.0999999999999996" customHeight="1" thickBot="1" x14ac:dyDescent="0.25">
      <c r="A334" s="777"/>
      <c r="B334" s="1248"/>
      <c r="C334" s="164"/>
      <c r="D334" s="164"/>
      <c r="E334" s="164"/>
      <c r="F334" s="164"/>
      <c r="G334" s="164"/>
      <c r="M334" s="141"/>
      <c r="N334" s="141"/>
      <c r="O334" s="1305"/>
      <c r="P334" s="33"/>
      <c r="Q334" s="33"/>
      <c r="R334" s="33"/>
      <c r="S334" s="23"/>
      <c r="T334" s="23"/>
      <c r="U334" s="23"/>
      <c r="V334" s="76"/>
      <c r="W334" s="30"/>
      <c r="X334" s="30"/>
      <c r="Y334" s="485"/>
      <c r="Z334" s="30"/>
      <c r="AA334" s="30"/>
      <c r="AB334" s="30"/>
      <c r="AC334" s="30"/>
      <c r="AD334" s="30"/>
      <c r="AE334" s="30"/>
      <c r="AF334" s="58"/>
      <c r="AG334" s="30"/>
      <c r="AH334" s="30"/>
      <c r="AI334" s="30"/>
      <c r="AJ334" s="495"/>
      <c r="AK334" s="495"/>
      <c r="AL334" s="333"/>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row>
    <row r="335" spans="1:78" s="140" customFormat="1" ht="12.75" customHeight="1" thickBot="1" x14ac:dyDescent="0.25">
      <c r="A335" s="777"/>
      <c r="B335" s="1248"/>
      <c r="C335" s="164"/>
      <c r="D335" s="164"/>
      <c r="E335" s="1628" t="str">
        <f>IF(E332="","",IF(T333=TRUE,HYPERLINK("#JUMP_14",EUconst_MsgGoOnPFC),HYPERLINK("#JUMP_E_8",EUconst_FurtherGuidancePoint1)))</f>
        <v/>
      </c>
      <c r="F335" s="1628"/>
      <c r="G335" s="1628"/>
      <c r="H335" s="1628"/>
      <c r="I335" s="1628"/>
      <c r="J335" s="1628"/>
      <c r="K335" s="1628"/>
      <c r="L335" s="1628"/>
      <c r="M335" s="1628"/>
      <c r="N335" s="141"/>
      <c r="O335" s="1305"/>
      <c r="P335" s="33"/>
      <c r="Q335" s="343" t="str">
        <f>EUconst_SumNonSustBioCO2 &amp; "_" &amp; K332</f>
        <v>SUM_bioNonSustCO2_</v>
      </c>
      <c r="R335" s="698" t="str">
        <f>IF(OR(K332="",T333=TRUE),"",ROUND(INDEX(BC344:BE344,MATCH(K332,BC342:BE342,0)),0))</f>
        <v/>
      </c>
      <c r="S335" s="23"/>
      <c r="T335" s="23"/>
      <c r="U335" s="23"/>
      <c r="V335" s="30"/>
      <c r="W335" s="30"/>
      <c r="X335" s="30"/>
      <c r="Y335" s="58"/>
      <c r="Z335" s="30"/>
      <c r="AA335" s="30"/>
      <c r="AB335" s="30"/>
      <c r="AC335" s="30"/>
      <c r="AD335" s="30"/>
      <c r="AE335" s="30"/>
      <c r="AF335" s="58"/>
      <c r="AG335" s="30"/>
      <c r="AH335" s="30"/>
      <c r="AI335" s="30"/>
      <c r="AJ335" s="495"/>
      <c r="AK335" s="495"/>
      <c r="AL335" s="333"/>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row>
    <row r="336" spans="1:78" s="140" customFormat="1" ht="5.0999999999999996" customHeight="1" thickBot="1" x14ac:dyDescent="0.25">
      <c r="A336" s="777"/>
      <c r="B336" s="1248"/>
      <c r="C336" s="164"/>
      <c r="D336" s="164"/>
      <c r="E336" s="164"/>
      <c r="F336" s="164"/>
      <c r="G336" s="164"/>
      <c r="M336" s="141"/>
      <c r="N336" s="141"/>
      <c r="O336" s="1305"/>
      <c r="P336" s="23"/>
      <c r="Q336" s="23"/>
      <c r="R336" s="23"/>
      <c r="S336" s="23"/>
      <c r="T336" s="23"/>
      <c r="U336" s="23"/>
      <c r="V336" s="30"/>
      <c r="W336" s="30"/>
      <c r="X336" s="30"/>
      <c r="Y336" s="485"/>
      <c r="Z336" s="30"/>
      <c r="AA336" s="30"/>
      <c r="AB336" s="30"/>
      <c r="AC336" s="30"/>
      <c r="AD336" s="30"/>
      <c r="AE336" s="30"/>
      <c r="AF336" s="58"/>
      <c r="AG336" s="30"/>
      <c r="AH336" s="30"/>
      <c r="AI336" s="30"/>
      <c r="AJ336" s="495"/>
      <c r="AK336" s="495"/>
      <c r="AL336" s="333"/>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row>
    <row r="337" spans="1:78" s="140" customFormat="1" ht="12.75" customHeight="1" thickBot="1" x14ac:dyDescent="0.25">
      <c r="A337" s="777"/>
      <c r="B337" s="1248"/>
      <c r="C337" s="783" t="s">
        <v>4</v>
      </c>
      <c r="D337" s="503" t="str">
        <f>Translations!$B$622</f>
        <v>VD:</v>
      </c>
      <c r="E337" s="1631" t="str">
        <f>Translations!$B$667</f>
        <v>Ar veiklos duomenys gaunami sudedant išmatuotus kiekius (t. y. ne atliekant nuolatinius matavimus)?</v>
      </c>
      <c r="F337" s="1631"/>
      <c r="G337" s="1631"/>
      <c r="H337" s="1631"/>
      <c r="I337" s="1631"/>
      <c r="J337" s="1631"/>
      <c r="K337" s="1631"/>
      <c r="L337" s="1122"/>
      <c r="M337" s="498"/>
      <c r="O337" s="1305"/>
      <c r="P337" s="23"/>
      <c r="Q337" s="23"/>
      <c r="R337" s="23"/>
      <c r="S337" s="23"/>
      <c r="T337" s="23"/>
      <c r="U337" s="23"/>
      <c r="V337" s="30"/>
      <c r="W337" s="30"/>
      <c r="X337" s="30"/>
      <c r="Y337" s="485"/>
      <c r="Z337" s="30"/>
      <c r="AA337" s="30"/>
      <c r="AB337" s="30"/>
      <c r="AC337" s="1115" t="b">
        <f>AND(E332&lt;&gt;"",T333&lt;&gt;TRUE)</f>
        <v>0</v>
      </c>
      <c r="AD337" s="30"/>
      <c r="AE337" s="30"/>
      <c r="AF337" s="58"/>
      <c r="AG337" s="30"/>
      <c r="AH337" s="30"/>
      <c r="AI337" s="30"/>
      <c r="AJ337" s="495"/>
      <c r="AK337" s="495"/>
      <c r="AL337" s="333"/>
      <c r="AM337" s="30"/>
      <c r="AN337" s="30"/>
      <c r="AO337" s="30"/>
      <c r="AP337" s="30"/>
      <c r="AQ337" s="30"/>
      <c r="AR337" s="30"/>
      <c r="AS337" s="30"/>
      <c r="AT337" s="1115" t="b">
        <f>MSPara_BatchReportingMandatory&lt;&gt;TRUE</f>
        <v>0</v>
      </c>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1115" t="b">
        <f>OR(CNTR_CalcRelevant=EUconst_NotRelevant,AND(COUNTA(CNTR_ListRelevantSections)&gt;0,OR(T333=TRUE,E332="")))</f>
        <v>1</v>
      </c>
    </row>
    <row r="338" spans="1:78" s="140" customFormat="1" ht="5.0999999999999996" customHeight="1" thickBot="1" x14ac:dyDescent="0.25">
      <c r="A338" s="777"/>
      <c r="B338" s="1248"/>
      <c r="C338" s="164"/>
      <c r="D338" s="164"/>
      <c r="E338" s="164"/>
      <c r="F338" s="164"/>
      <c r="G338" s="164"/>
      <c r="H338" s="486"/>
      <c r="I338" s="486"/>
      <c r="J338" s="486"/>
      <c r="K338" s="486"/>
      <c r="L338" s="486"/>
      <c r="M338" s="498"/>
      <c r="O338" s="1305"/>
      <c r="P338" s="23"/>
      <c r="Q338" s="23"/>
      <c r="R338" s="23"/>
      <c r="S338" s="23"/>
      <c r="T338" s="23"/>
      <c r="U338" s="23"/>
      <c r="V338" s="30"/>
      <c r="W338" s="30"/>
      <c r="X338" s="30"/>
      <c r="Y338" s="485"/>
      <c r="Z338" s="30"/>
      <c r="AA338" s="30"/>
      <c r="AB338" s="30"/>
      <c r="AC338" s="483"/>
      <c r="AD338" s="30"/>
      <c r="AE338" s="30"/>
      <c r="AF338" s="58"/>
      <c r="AG338" s="30"/>
      <c r="AH338" s="30"/>
      <c r="AI338" s="30"/>
      <c r="AJ338" s="495"/>
      <c r="AK338" s="495"/>
      <c r="AL338" s="333"/>
      <c r="AM338" s="30"/>
      <c r="AN338" s="30"/>
      <c r="AO338" s="30"/>
      <c r="AP338" s="30"/>
      <c r="AQ338" s="30"/>
      <c r="AR338" s="30"/>
      <c r="AS338" s="30"/>
      <c r="AT338" s="483"/>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483"/>
    </row>
    <row r="339" spans="1:78" s="140" customFormat="1" ht="12.75" customHeight="1" thickBot="1" x14ac:dyDescent="0.25">
      <c r="A339" s="777"/>
      <c r="B339" s="1248"/>
      <c r="C339" s="783" t="s">
        <v>5</v>
      </c>
      <c r="D339" s="503" t="str">
        <f>Translations!$B$622</f>
        <v>VD:</v>
      </c>
      <c r="E339" s="1105" t="str">
        <f>Translations!$B$668</f>
        <v>Pradinis kiekis:</v>
      </c>
      <c r="F339" s="1123"/>
      <c r="G339" s="1106" t="str">
        <f>Translations!$B$669</f>
        <v>Galutinis kiekis:</v>
      </c>
      <c r="H339" s="1123"/>
      <c r="I339" s="1106" t="str">
        <f>Translations!$B$670</f>
        <v>Įsigytas kiekis:</v>
      </c>
      <c r="J339" s="1123"/>
      <c r="K339" s="1106" t="str">
        <f>Translations!$B$671</f>
        <v>Perduotas kiekis:</v>
      </c>
      <c r="L339" s="1123"/>
      <c r="M339" s="1107" t="str">
        <f>IF(AND(L337=TRUE,COUNT(F339,H339,J339,L339)&lt;4),EUconst_ERR_Incomplete,"")</f>
        <v/>
      </c>
      <c r="O339" s="1305"/>
      <c r="P339" s="23"/>
      <c r="Q339" s="23"/>
      <c r="R339" s="23"/>
      <c r="S339" s="23"/>
      <c r="T339" s="23"/>
      <c r="U339" s="23"/>
      <c r="V339" s="30"/>
      <c r="W339" s="30"/>
      <c r="X339" s="30"/>
      <c r="Y339" s="485"/>
      <c r="Z339" s="30"/>
      <c r="AA339" s="30"/>
      <c r="AB339" s="30"/>
      <c r="AC339" s="1115" t="b">
        <f>AC337</f>
        <v>0</v>
      </c>
      <c r="AD339" s="30"/>
      <c r="AE339" s="30"/>
      <c r="AF339" s="58"/>
      <c r="AG339" s="30"/>
      <c r="AH339" s="30"/>
      <c r="AI339" s="30"/>
      <c r="AJ339" s="495"/>
      <c r="AK339" s="495"/>
      <c r="AL339" s="333"/>
      <c r="AM339" s="30"/>
      <c r="AN339" s="30"/>
      <c r="AO339" s="30"/>
      <c r="AP339" s="30"/>
      <c r="AQ339" s="30"/>
      <c r="AR339" s="30"/>
      <c r="AS339" s="30"/>
      <c r="AT339" s="1115" t="b">
        <f>AND(AT337=TRUE,L337="")</f>
        <v>0</v>
      </c>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1115" t="b">
        <f>OR(BZ337,AND(NOT(ISBLANK(L337)),L337=FALSE))</f>
        <v>1</v>
      </c>
    </row>
    <row r="340" spans="1:78" s="140" customFormat="1" ht="5.0999999999999996" customHeight="1" thickBot="1" x14ac:dyDescent="0.25">
      <c r="A340" s="777"/>
      <c r="B340" s="1248"/>
      <c r="C340" s="164"/>
      <c r="D340" s="164"/>
      <c r="E340" s="164"/>
      <c r="F340" s="164"/>
      <c r="G340" s="164"/>
      <c r="M340" s="141"/>
      <c r="N340" s="141"/>
      <c r="O340" s="1305"/>
      <c r="P340" s="23"/>
      <c r="Q340" s="23"/>
      <c r="R340" s="23"/>
      <c r="S340" s="23"/>
      <c r="T340" s="23"/>
      <c r="U340" s="23"/>
      <c r="V340" s="30"/>
      <c r="W340" s="30"/>
      <c r="X340" s="30"/>
      <c r="Y340" s="485"/>
      <c r="Z340" s="30"/>
      <c r="AA340" s="30"/>
      <c r="AB340" s="30"/>
      <c r="AC340" s="30"/>
      <c r="AD340" s="30"/>
      <c r="AE340" s="30"/>
      <c r="AF340" s="58"/>
      <c r="AG340" s="30"/>
      <c r="AH340" s="30"/>
      <c r="AI340" s="30"/>
      <c r="AJ340" s="495"/>
      <c r="AK340" s="495"/>
      <c r="AL340" s="333"/>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row>
    <row r="341" spans="1:78" s="140" customFormat="1" ht="12.75" customHeight="1" thickBot="1" x14ac:dyDescent="0.25">
      <c r="A341" s="777"/>
      <c r="B341" s="1248"/>
      <c r="C341" s="164"/>
      <c r="D341" s="164"/>
      <c r="E341" s="164"/>
      <c r="F341" s="497" t="str">
        <f>Translations!$B$333</f>
        <v>Pakopa</v>
      </c>
      <c r="G341" s="1613" t="str">
        <f>Translations!$B$672</f>
        <v>pakopos aprašas</v>
      </c>
      <c r="H341" s="1613"/>
      <c r="I341" s="1608" t="str">
        <f>Translations!$B$158</f>
        <v>Vienetas</v>
      </c>
      <c r="J341" s="1608"/>
      <c r="K341" s="1608" t="str">
        <f>Translations!$B$673</f>
        <v>Vertė</v>
      </c>
      <c r="L341" s="1608"/>
      <c r="M341" s="498" t="str">
        <f>Translations!$B$610</f>
        <v>klaida</v>
      </c>
      <c r="O341" s="1305"/>
      <c r="P341" s="499"/>
      <c r="Q341" s="343" t="str">
        <f>EUconst_SumEnergyIN &amp; "_" &amp; K332</f>
        <v>SUM_EnergyIN_</v>
      </c>
      <c r="R341" s="390" t="str">
        <f>IF(OR(K332="",T333)=TRUE,"",INDEX(BC347:BE347,MATCH(K332,BC342:BE342,0)))</f>
        <v/>
      </c>
      <c r="S341" s="30"/>
      <c r="T341" s="480"/>
      <c r="U341" s="30"/>
      <c r="V341" s="500" t="s">
        <v>298</v>
      </c>
      <c r="W341" s="30"/>
      <c r="X341" s="30"/>
      <c r="Y341" s="485" t="s">
        <v>560</v>
      </c>
      <c r="Z341" s="485" t="s">
        <v>313</v>
      </c>
      <c r="AA341" s="30"/>
      <c r="AB341" s="30"/>
      <c r="AC341" s="496" t="s">
        <v>304</v>
      </c>
      <c r="AD341" s="30"/>
      <c r="AE341" s="30"/>
      <c r="AF341" s="483" t="s">
        <v>300</v>
      </c>
      <c r="AG341" s="483" t="s">
        <v>301</v>
      </c>
      <c r="AH341" s="485" t="s">
        <v>299</v>
      </c>
      <c r="AI341" s="495" t="s">
        <v>302</v>
      </c>
      <c r="AJ341" s="495" t="s">
        <v>561</v>
      </c>
      <c r="AK341" s="501" t="s">
        <v>306</v>
      </c>
      <c r="AL341" s="333"/>
      <c r="AM341" s="30"/>
      <c r="AN341" s="483" t="s">
        <v>300</v>
      </c>
      <c r="AO341" s="483" t="s">
        <v>301</v>
      </c>
      <c r="AP341" s="502" t="s">
        <v>305</v>
      </c>
      <c r="AQ341" s="495" t="s">
        <v>563</v>
      </c>
      <c r="AR341" s="495" t="s">
        <v>562</v>
      </c>
      <c r="AS341" s="501" t="s">
        <v>306</v>
      </c>
      <c r="AT341" s="501" t="s">
        <v>306</v>
      </c>
      <c r="AU341" s="30"/>
      <c r="AV341" s="483"/>
      <c r="AW341" s="483"/>
      <c r="AX341" s="483" t="s">
        <v>316</v>
      </c>
      <c r="AY341" s="483"/>
      <c r="AZ341" s="483"/>
      <c r="BA341" s="483"/>
      <c r="BB341" s="483"/>
      <c r="BC341" s="483"/>
      <c r="BD341" s="483"/>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484" t="s">
        <v>259</v>
      </c>
    </row>
    <row r="342" spans="1:78" s="140" customFormat="1" ht="12.75" customHeight="1" thickBot="1" x14ac:dyDescent="0.25">
      <c r="A342" s="777"/>
      <c r="B342" s="1248"/>
      <c r="C342" s="753" t="s">
        <v>194</v>
      </c>
      <c r="D342" s="503" t="str">
        <f>Translations!$B$622</f>
        <v>VD:</v>
      </c>
      <c r="E342" s="504"/>
      <c r="F342" s="393"/>
      <c r="G342" s="1603" t="str">
        <f>IF(OR(ISBLANK(F342),F342=EUconst_NoTier),"",IF(Z342=0,EUconst_NA,IF(ISERROR(Z342),"",Z342)))</f>
        <v/>
      </c>
      <c r="H342" s="1604"/>
      <c r="I342" s="1108" t="str">
        <f>IF(J342&lt;&gt;"","",AI342)</f>
        <v/>
      </c>
      <c r="J342" s="1109"/>
      <c r="K342" s="1116" t="str">
        <f>IF(L342="",AQ342,"")</f>
        <v/>
      </c>
      <c r="L342" s="1199"/>
      <c r="M342" s="700" t="str">
        <f>IF(AND(E333&lt;&gt;"",OR(F342="",COUNT(K342:L342)=0),Y342&lt;&gt;EUconst_NA,T333&lt;&gt;TRUE),EUconst_ERR_Incomplete,IF(COUNTIF(AX342:AZ342,TRUE)&gt;0,EUconst_ERR_Inconsistent,""))</f>
        <v/>
      </c>
      <c r="O342" s="1305"/>
      <c r="P342" s="635"/>
      <c r="Q342" s="343" t="str">
        <f>EUconst_SumBioEnergyIN &amp; "_" &amp; K332</f>
        <v>SUM_BioEnergyIN_</v>
      </c>
      <c r="R342" s="390" t="str">
        <f>IF(OR(K332="",T333)=TRUE,"",INDEX(BC348:BE348,MATCH(K332,BC342:BE342,0)))</f>
        <v/>
      </c>
      <c r="S342" s="30"/>
      <c r="T342" s="505" t="str">
        <f>EUconst_CNTR_ActivityData&amp;E333</f>
        <v>ActivityData_</v>
      </c>
      <c r="U342" s="488"/>
      <c r="V342" s="505" t="str">
        <f>IF(E332="","",INDEX(B_InstallationDescription!$I$71:$I$145,MATCH(U331,B_InstallationDescription!$D$71:$D$145,0)))</f>
        <v/>
      </c>
      <c r="W342" s="495" t="s">
        <v>533</v>
      </c>
      <c r="X342" s="488"/>
      <c r="Y342" s="506" t="str">
        <f>IF(OR(T333=TRUE,E333=""),"",INDEX(EUwideConstants!$N:$N,MATCH(T342,EUwideConstants!$Q:$Q,0)))</f>
        <v/>
      </c>
      <c r="Z342" s="507" t="str">
        <f>IF(ISBLANK(F342),"",IF(F342=EUconst_NA,"",INDEX(EUwideConstants!$H:$M,MATCH(T342,EUwideConstants!$Q:$Q,0),MATCH(F342,CNTR_TierList,0))))</f>
        <v/>
      </c>
      <c r="AA342" s="508" t="s">
        <v>299</v>
      </c>
      <c r="AB342" s="495"/>
      <c r="AC342" s="509" t="b">
        <f>AC337</f>
        <v>0</v>
      </c>
      <c r="AD342" s="30"/>
      <c r="AE342" s="510" t="str">
        <f>EUconst_CNTR_ActivityData&amp;EUconst_Unit</f>
        <v>ActivityData_Vienetas</v>
      </c>
      <c r="AF342" s="511" t="str">
        <f>IF(AC342=TRUE, IF(COUNTIF(MSPara_SourceStreamCategory,V342)=0,"",INDEX(MSPara_CalcFactorsMatrix,MATCH(V342,MSPara_SourceStreamCategory,0),MATCH(AE342&amp;"_"&amp;2,MSPara_CalcFactors,0))),"")</f>
        <v/>
      </c>
      <c r="AG342" s="512" t="str">
        <f>IF(AC342=TRUE, IF(COUNTIF(MSPara_SourceStreamCategory,V342)=0,"",INDEX(MSPara_CalcFactorsMatrix,MATCH(V342,MSPara_SourceStreamCategory,0),MATCH(AE342&amp;"_"&amp;1,MSPara_CalcFactors,0))),"")</f>
        <v/>
      </c>
      <c r="AH342" s="509" t="str">
        <f>IF(OR(AF342="",AF342=EUconst_NA),IF(OR(AG342=EUconst_NA,AG342=""),"",AG342),AF342)</f>
        <v/>
      </c>
      <c r="AI342" s="506" t="str">
        <f>IF(AC342=TRUE,IF(AH342="",EUconst_t,AH342),"")</f>
        <v/>
      </c>
      <c r="AJ342" s="513" t="str">
        <f>IF(J342="",AI342,J342)</f>
        <v/>
      </c>
      <c r="AK342" s="514" t="b">
        <f>IF(K332=EUconst_Fuel,J342&lt;&gt;"",FALSE)</f>
        <v>0</v>
      </c>
      <c r="AL342" s="333"/>
      <c r="AM342" s="505" t="str">
        <f>EUconst_CNTR_ActivityData&amp;EUconst_Value</f>
        <v>ActivityData_Vertė</v>
      </c>
      <c r="AN342" s="496"/>
      <c r="AO342" s="496"/>
      <c r="AP342" s="509" t="b">
        <f>AND(AND(AH342&lt;&gt;"",AJ342&lt;&gt;""),AJ342=AH342)</f>
        <v>0</v>
      </c>
      <c r="AQ342" s="610" t="str">
        <f>IF(L337=TRUE,SUM(F339)-SUM(H339)+SUM(J339)-SUM(L339),"")</f>
        <v/>
      </c>
      <c r="AR342" s="509">
        <f>IF(Y342=EUconst_NA,0,IF(COUNT(K342:L342)=0,0,IF(L342="",K342,L342)))</f>
        <v>0</v>
      </c>
      <c r="AS342" s="1115" t="b">
        <f>AND(AC342=TRUE,OR(L342&lt;&gt;"",AQ342=""))</f>
        <v>0</v>
      </c>
      <c r="AT342" s="1115" t="b">
        <f>AND(AC342=TRUE,NOT(AS342))</f>
        <v>0</v>
      </c>
      <c r="AU342" s="30"/>
      <c r="AV342" s="483" t="s">
        <v>309</v>
      </c>
      <c r="AW342" s="483" t="s">
        <v>314</v>
      </c>
      <c r="AX342" s="515"/>
      <c r="AY342" s="30" t="s">
        <v>536</v>
      </c>
      <c r="AZ342" s="30"/>
      <c r="BA342" s="30"/>
      <c r="BB342" s="495"/>
      <c r="BC342" s="484" t="str">
        <f>EUconst_Fuel</f>
        <v>Degimas</v>
      </c>
      <c r="BD342" s="484" t="str">
        <f>EUconst_ProcessCarbonate</f>
        <v>Proceso metu išsiskiriančios ŠESD</v>
      </c>
      <c r="BE342" s="484" t="str">
        <f>EUconst_MassBalance</f>
        <v>Masės balansas</v>
      </c>
      <c r="BF342" s="30"/>
      <c r="BG342" s="30"/>
      <c r="BH342" s="30"/>
      <c r="BI342" s="30"/>
      <c r="BJ342" s="30"/>
      <c r="BK342" s="30"/>
      <c r="BL342" s="30"/>
      <c r="BM342" s="30"/>
      <c r="BN342" s="30"/>
      <c r="BO342" s="30"/>
      <c r="BP342" s="30"/>
      <c r="BQ342" s="30"/>
      <c r="BR342" s="30"/>
      <c r="BS342" s="30"/>
      <c r="BT342" s="30"/>
      <c r="BU342" s="30"/>
      <c r="BV342" s="30"/>
      <c r="BW342" s="30"/>
      <c r="BX342" s="30"/>
      <c r="BY342" s="30"/>
      <c r="BZ342" s="515" t="b">
        <f>BZ337</f>
        <v>1</v>
      </c>
    </row>
    <row r="343" spans="1:78" s="140" customFormat="1" ht="5.0999999999999996" customHeight="1" thickBot="1" x14ac:dyDescent="0.25">
      <c r="A343" s="777"/>
      <c r="B343" s="1248"/>
      <c r="C343" s="783"/>
      <c r="D343" s="298"/>
      <c r="F343" s="141"/>
      <c r="G343" s="141"/>
      <c r="H343" s="141" t="s">
        <v>233</v>
      </c>
      <c r="I343" s="516"/>
      <c r="J343" s="516"/>
      <c r="K343" s="141"/>
      <c r="L343" s="141"/>
      <c r="M343" s="701"/>
      <c r="O343" s="1305"/>
      <c r="P343" s="33"/>
      <c r="Q343" s="33"/>
      <c r="R343" s="33"/>
      <c r="S343" s="30"/>
      <c r="T343" s="153"/>
      <c r="U343" s="488"/>
      <c r="V343" s="30"/>
      <c r="W343" s="30"/>
      <c r="X343" s="488"/>
      <c r="Y343" s="517"/>
      <c r="Z343" s="30"/>
      <c r="AA343" s="30"/>
      <c r="AB343" s="30"/>
      <c r="AC343" s="30"/>
      <c r="AD343" s="30"/>
      <c r="AE343" s="30"/>
      <c r="AF343" s="30"/>
      <c r="AG343" s="30"/>
      <c r="AH343" s="30"/>
      <c r="AI343" s="30"/>
      <c r="AJ343" s="30"/>
      <c r="AK343" s="30"/>
      <c r="AL343" s="333"/>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484"/>
    </row>
    <row r="344" spans="1:78" s="140" customFormat="1" ht="12.75" customHeight="1" thickBot="1" x14ac:dyDescent="0.25">
      <c r="A344" s="777"/>
      <c r="B344" s="1248"/>
      <c r="C344" s="783" t="s">
        <v>195</v>
      </c>
      <c r="D344" s="503" t="str">
        <f>Translations!$B$634</f>
        <v>(prelim.) ITF:</v>
      </c>
      <c r="E344" s="504"/>
      <c r="F344" s="518"/>
      <c r="G344" s="1603" t="str">
        <f t="shared" ref="G344:G350" si="70">IF(OR(ISBLANK(F344),F344=EUconst_NoTier),"",IF(Z344=0,EUconst_NotApplicable,IF(ISERROR(Z344),"",Z344)))</f>
        <v/>
      </c>
      <c r="H344" s="1609"/>
      <c r="I344" s="1110" t="str">
        <f>IF(J344&lt;&gt;"","",AI344)</f>
        <v/>
      </c>
      <c r="J344" s="1111"/>
      <c r="K344" s="519" t="str">
        <f t="shared" ref="K344:K350" si="71">IF(L344="",AQ344,"")</f>
        <v/>
      </c>
      <c r="L344" s="520"/>
      <c r="M344" s="700" t="str">
        <f>IF(AND(E333&lt;&gt;"",OR(F344="",COUNT(K344:L344)=0),Y344&lt;&gt;EUconst_NA,T333&lt;&gt;TRUE),EUconst_ERR_Incomplete,IF(COUNTIF(AX344:AZ344,TRUE)&gt;0,EUconst_ERR_Inconsistent,""))</f>
        <v/>
      </c>
      <c r="N344" s="486"/>
      <c r="O344" s="1305"/>
      <c r="P344" s="33"/>
      <c r="Q344" s="33"/>
      <c r="R344" s="33"/>
      <c r="S344" s="30"/>
      <c r="T344" s="521" t="str">
        <f>EUconst_CNTR_EF&amp;E333</f>
        <v>EF_</v>
      </c>
      <c r="U344" s="488"/>
      <c r="V344" s="522" t="str">
        <f>V342</f>
        <v/>
      </c>
      <c r="W344" s="30"/>
      <c r="X344" s="488"/>
      <c r="Y344" s="523" t="str">
        <f>IF(OR(T333=TRUE,E333=""),"",IF(F344=EUconst_NA,EUconst_NA,INDEX(EUwideConstants!$N:$N,MATCH(T344,EUwideConstants!$Q:$Q,0))))</f>
        <v/>
      </c>
      <c r="Z344" s="524" t="str">
        <f>IF(ISBLANK(F344),"",IF(F344=EUconst_NA,"",INDEX(EUwideConstants!$H:$M,MATCH(T344,EUwideConstants!$Q:$Q,0),MATCH(F344,CNTR_TierList,0))))</f>
        <v/>
      </c>
      <c r="AA344" s="525" t="str">
        <f>IF(COUNTIF(EUconst_DefaultValues,Z344)&gt;0,MATCH(Z344,EUconst_DefaultValues,0),"")</f>
        <v/>
      </c>
      <c r="AB344" s="30"/>
      <c r="AC344" s="526" t="b">
        <f>AND(AC342,Y344&lt;&gt;EUconst_NA)</f>
        <v>0</v>
      </c>
      <c r="AD344" s="30"/>
      <c r="AE344" s="510" t="str">
        <f>EUconst_CNTR_EF&amp;EUconst_Unit</f>
        <v>EF_Vienetas</v>
      </c>
      <c r="AF344" s="527" t="str">
        <f>IF(AC344=TRUE, IF(COUNTIF(MSPara_SourceStreamCategory,V344)=0,"",INDEX(MSPara_CalcFactorsMatrix,MATCH(V344,MSPara_SourceStreamCategory,0),MATCH(AE344&amp;"_"&amp;2,MSPara_CalcFactors,0))),"")</f>
        <v/>
      </c>
      <c r="AG344" s="528" t="str">
        <f>IF(AC344=TRUE, IF(COUNTIF(MSPara_SourceStreamCategory,V344)=0,"",INDEX(MSPara_CalcFactorsMatrix,MATCH(V344,MSPara_SourceStreamCategory,0),MATCH(AE344&amp;"_"&amp;1,MSPara_CalcFactors,0))),"")</f>
        <v/>
      </c>
      <c r="AH344" s="529" t="str">
        <f>IF(AA344="","",INDEX(AF344:AG344,3-AA344))</f>
        <v/>
      </c>
      <c r="AI344" s="530" t="str">
        <f>IF(AC344=TRUE,IF(OR(AH344="",AH344=EUconst_NA),IF(K332=EUconst_Fuel,EUconst_tCO2pTJ,EUconst_tCO2pt),AH344),"")</f>
        <v/>
      </c>
      <c r="AJ344" s="526" t="str">
        <f>IF(J344="",AI344,J344)</f>
        <v/>
      </c>
      <c r="AK344" s="531" t="b">
        <f>IF(K332=EUconst_Fuel,J344&lt;&gt;"",FALSE)</f>
        <v>0</v>
      </c>
      <c r="AL344" s="333"/>
      <c r="AM344" s="510" t="str">
        <f>EUconst_CNTR_EF&amp;EUconst_Value</f>
        <v>EF_Vertė</v>
      </c>
      <c r="AN344" s="532" t="str">
        <f>IF(AC344=TRUE,IF(COUNTIF(MSPara_SourceStreamCategory,V344)=0,"",INDEX(MSPara_CalcFactorsMatrix,MATCH(V344,MSPara_SourceStreamCategory,0),MATCH(AM344&amp;"_"&amp;2,MSPara_CalcFactors,0))),"")</f>
        <v/>
      </c>
      <c r="AO344" s="533" t="str">
        <f>IF(AC344=TRUE,IF(COUNTIF(MSPara_SourceStreamCategory,V344)=0,"",INDEX(MSPara_CalcFactorsMatrix,MATCH(V344,MSPara_SourceStreamCategory,0),MATCH(AM344&amp;"_"&amp;1,MSPara_CalcFactors,0))),"")</f>
        <v/>
      </c>
      <c r="AP344" s="526" t="b">
        <f>AND(AND(AH344&lt;&gt;"",AJ344&lt;&gt;""),AJ344=AH344)</f>
        <v>0</v>
      </c>
      <c r="AQ344" s="534" t="str">
        <f>IF(AND(AA344&lt;&gt;"",AP344=TRUE),IF(OR(INDEX(AN344:AO344,3-AA344)=EUconst_NA,INDEX(AN344:AO344,3-AA344)=0),"",INDEX(AN344:AO344,3-AA344)),"")</f>
        <v/>
      </c>
      <c r="AR344" s="526">
        <f>IF(AC344=TRUE,IF(COUNT(K344:L344)=0,0,IF(L344="",K344,L344)),0)</f>
        <v>0</v>
      </c>
      <c r="AS344" s="522" t="b">
        <f>AND(AC344=TRUE,OR(AND(F344&lt;&gt;"",NOT(ISNUMBER(AA344))),L344&lt;&gt;"",F344="",AQ344=""))</f>
        <v>0</v>
      </c>
      <c r="AT344" s="522" t="b">
        <f t="shared" ref="AT344:AT350" si="72">AND(AC344=TRUE,NOT(AS344))</f>
        <v>0</v>
      </c>
      <c r="AU344" s="30"/>
      <c r="AV344" s="535" t="b">
        <f t="shared" ref="AV344:AV350" si="73">AND(ISNUMBER(AA344),AQ344="")</f>
        <v>0</v>
      </c>
      <c r="AW344" s="536" t="b">
        <f t="shared" ref="AW344:AW350" si="74">AND(ISNUMBER(AA344),AQ344&lt;&gt;AR344)</f>
        <v>0</v>
      </c>
      <c r="AX344" s="537" t="b">
        <f>OR(AND(AJ342=EUconst_kNm3,AJ344=EUconst_tCO2pt),AND(AJ342=EUconst_t,AJ344=EUconst_tCO2pkNm3))</f>
        <v>0</v>
      </c>
      <c r="AY344" s="522" t="b">
        <f t="shared" ref="AY344:AY350" si="75">AND(L344&lt;&gt;"",Y344=EUconst_NA)</f>
        <v>0</v>
      </c>
      <c r="AZ344" s="30"/>
      <c r="BA344" s="30"/>
      <c r="BB344" s="538" t="s">
        <v>588</v>
      </c>
      <c r="BC344" s="537" t="str">
        <f>IF(K332=BC342,AR342*IF(AJ344=EUconst_tCO2pTJ,(AR345/1000),1)*AR344*AR346*AR350,"")</f>
        <v/>
      </c>
      <c r="BD344" s="515" t="str">
        <f>IF(K332=BD342,AR342*AR344*AR347*AR350,"")</f>
        <v/>
      </c>
      <c r="BE344" s="514" t="str">
        <f>IF(K332=BE342,3.664*AR342*AR348*AR350,"")</f>
        <v/>
      </c>
      <c r="BF344" s="30"/>
      <c r="BG344" s="30"/>
      <c r="BH344" s="30"/>
      <c r="BI344" s="30"/>
      <c r="BJ344" s="30"/>
      <c r="BK344" s="30"/>
      <c r="BL344" s="30"/>
      <c r="BM344" s="30"/>
      <c r="BN344" s="30"/>
      <c r="BO344" s="30"/>
      <c r="BP344" s="30"/>
      <c r="BQ344" s="30"/>
      <c r="BR344" s="30"/>
      <c r="BS344" s="30"/>
      <c r="BT344" s="30"/>
      <c r="BU344" s="30"/>
      <c r="BV344" s="30"/>
      <c r="BW344" s="30"/>
      <c r="BX344" s="30"/>
      <c r="BY344" s="30"/>
      <c r="BZ344" s="522" t="b">
        <f>OR(BZ342,Y344=EUconst_NA)</f>
        <v>1</v>
      </c>
    </row>
    <row r="345" spans="1:78" s="140" customFormat="1" ht="12.75" customHeight="1" thickBot="1" x14ac:dyDescent="0.25">
      <c r="A345" s="777"/>
      <c r="B345" s="1248"/>
      <c r="C345" s="783" t="s">
        <v>196</v>
      </c>
      <c r="D345" s="503" t="str">
        <f>Translations!$B$636</f>
        <v>GŠV:</v>
      </c>
      <c r="E345" s="504"/>
      <c r="F345" s="539"/>
      <c r="G345" s="1603" t="str">
        <f t="shared" si="70"/>
        <v/>
      </c>
      <c r="H345" s="1604"/>
      <c r="I345" s="1112" t="str">
        <f>AJ345</f>
        <v/>
      </c>
      <c r="J345" s="540"/>
      <c r="K345" s="541" t="str">
        <f t="shared" si="71"/>
        <v/>
      </c>
      <c r="L345" s="542"/>
      <c r="M345" s="700" t="str">
        <f>IF(AND(E333&lt;&gt;"",OR(F345="",COUNT(K345:L345)=0),Y345&lt;&gt;EUconst_NA,T333&lt;&gt;TRUE),EUconst_ERR_Incomplete,IF(COUNTIF(AX345:AZ345,TRUE)&gt;0,EUconst_ERR_Inconsistent,""))</f>
        <v/>
      </c>
      <c r="O345" s="1305"/>
      <c r="P345" s="33"/>
      <c r="Q345" s="33"/>
      <c r="R345" s="33"/>
      <c r="S345" s="30"/>
      <c r="T345" s="543" t="str">
        <f>EUconst_CNTR_NCV&amp;E333</f>
        <v>NCV_</v>
      </c>
      <c r="U345" s="488"/>
      <c r="V345" s="544" t="str">
        <f t="shared" ref="V345:V350" si="76">V344</f>
        <v/>
      </c>
      <c r="W345" s="30"/>
      <c r="X345" s="488"/>
      <c r="Y345" s="545" t="str">
        <f>IF(OR(T333=TRUE,E333=""),"",IF(F345=EUconst_NA,EUconst_NA,INDEX(EUwideConstants!$N:$N,MATCH(T345,EUwideConstants!$Q:$Q,0))))</f>
        <v/>
      </c>
      <c r="Z345" s="546" t="str">
        <f>IF(ISBLANK(F345),"",IF(F345=EUconst_NA,"",INDEX(EUwideConstants!$H:$M,MATCH(T345,EUwideConstants!$Q:$Q,0),MATCH(F345,CNTR_TierList,0))))</f>
        <v/>
      </c>
      <c r="AA345" s="547" t="str">
        <f>IF(COUNTIF(EUconst_DefaultValues,Z345)&gt;0,MATCH(Z345,EUconst_DefaultValues,0),"")</f>
        <v/>
      </c>
      <c r="AB345" s="30"/>
      <c r="AC345" s="548" t="b">
        <f>AND(AC342,Y345&lt;&gt;EUconst_NA)</f>
        <v>0</v>
      </c>
      <c r="AD345" s="30"/>
      <c r="AE345" s="549" t="str">
        <f>EUconst_CNTR_NCV&amp;EUconst_Unit</f>
        <v>NCV_Vienetas</v>
      </c>
      <c r="AF345" s="550" t="str">
        <f>IF(AC345=TRUE, IF(COUNTIF(MSPara_SourceStreamCategory,V345)=0,"",INDEX(MSPara_CalcFactorsMatrix,MATCH(V345,MSPara_SourceStreamCategory,0),MATCH(AE345&amp;"_"&amp;2,MSPara_CalcFactors,0))),"")</f>
        <v/>
      </c>
      <c r="AG345" s="551" t="str">
        <f>IF(AC345=TRUE, IF(COUNTIF(MSPara_SourceStreamCategory,V345)=0,"",INDEX(MSPara_CalcFactorsMatrix,MATCH(V345,MSPara_SourceStreamCategory,0),MATCH(AE345&amp;"_"&amp;1,MSPara_CalcFactors,0))),"")</f>
        <v/>
      </c>
      <c r="AH345" s="552" t="str">
        <f>IF(AA345="","",INDEX(AF345:AG345,3-AA345))</f>
        <v/>
      </c>
      <c r="AI345" s="553"/>
      <c r="AJ345" s="548" t="str">
        <f>IF(AC345=TRUE,IF(AJ342="","",IF(AJ342=EUconst_kNm3,EUconst_GJpkNm3,EUconst_GJpt)),"")</f>
        <v/>
      </c>
      <c r="AK345" s="554"/>
      <c r="AL345" s="333"/>
      <c r="AM345" s="549" t="str">
        <f>EUconst_CNTR_NCV&amp;EUconst_Value</f>
        <v>NCV_Vertė</v>
      </c>
      <c r="AN345" s="555" t="str">
        <f>IF(AC345=TRUE,IF(COUNTIF(MSPara_SourceStreamCategory,V345)=0,"",INDEX(MSPara_CalcFactorsMatrix,MATCH(V345,MSPara_SourceStreamCategory,0),MATCH(AM345&amp;"_"&amp;2,MSPara_CalcFactors,0))),"")</f>
        <v/>
      </c>
      <c r="AO345" s="556" t="str">
        <f>IF(AC345=TRUE,IF(COUNTIF(MSPara_SourceStreamCategory,V345)=0,"",INDEX(MSPara_CalcFactorsMatrix,MATCH(V345,MSPara_SourceStreamCategory,0),MATCH(AM345&amp;"_"&amp;1,MSPara_CalcFactors,0))),"")</f>
        <v/>
      </c>
      <c r="AP345" s="548" t="b">
        <f>AND(AND(AH345&lt;&gt;"",AJ345&lt;&gt;""),AJ345=AH345)</f>
        <v>0</v>
      </c>
      <c r="AQ345" s="557" t="str">
        <f>IF(AND(AA345&lt;&gt;"",AP345=TRUE),IF(OR(INDEX(AN345:AO345,3-AA345)=EUconst_NA,INDEX(AN345:AO345,3-AA345)=0),"",INDEX(AN345:AO345,3-AA345)),"")</f>
        <v/>
      </c>
      <c r="AR345" s="548">
        <f>IF(AC345=TRUE,IF(COUNT(K345:L345)=0,0,IF(L345="",K345,L345)),0)</f>
        <v>0</v>
      </c>
      <c r="AS345" s="544" t="b">
        <f>AND(AC345=TRUE,OR(AND(F345&lt;&gt;"",NOT(ISNUMBER(AA345))),L345&lt;&gt;"",F345="",AQ345=""))</f>
        <v>0</v>
      </c>
      <c r="AT345" s="544" t="b">
        <f t="shared" si="72"/>
        <v>0</v>
      </c>
      <c r="AU345" s="30"/>
      <c r="AV345" s="558" t="b">
        <f t="shared" si="73"/>
        <v>0</v>
      </c>
      <c r="AW345" s="559" t="b">
        <f t="shared" si="74"/>
        <v>0</v>
      </c>
      <c r="AX345" s="30"/>
      <c r="AY345" s="544" t="b">
        <f t="shared" si="75"/>
        <v>0</v>
      </c>
      <c r="AZ345" s="30"/>
      <c r="BA345" s="30"/>
      <c r="BB345" s="538" t="s">
        <v>589</v>
      </c>
      <c r="BC345" s="537" t="str">
        <f>IF(K332=BC342,AR342*IF(AJ344=EUconst_tCO2pTJ,(AR345/1000),1)*AR344*AR346*AR349,"")</f>
        <v/>
      </c>
      <c r="BD345" s="515" t="str">
        <f>IF(K332=BD342,AR342*AR344*AR347*AR349,"")</f>
        <v/>
      </c>
      <c r="BE345" s="514" t="str">
        <f>IF(K332=BE342,3.664*AR342*AR348*AR349,"")</f>
        <v/>
      </c>
      <c r="BF345" s="30"/>
      <c r="BG345" s="30"/>
      <c r="BH345" s="30"/>
      <c r="BI345" s="30"/>
      <c r="BJ345" s="30"/>
      <c r="BK345" s="30"/>
      <c r="BL345" s="30"/>
      <c r="BM345" s="30"/>
      <c r="BN345" s="30"/>
      <c r="BO345" s="30"/>
      <c r="BP345" s="30"/>
      <c r="BQ345" s="30"/>
      <c r="BR345" s="30"/>
      <c r="BS345" s="30"/>
      <c r="BT345" s="30"/>
      <c r="BU345" s="30"/>
      <c r="BV345" s="30"/>
      <c r="BW345" s="30"/>
      <c r="BX345" s="30"/>
      <c r="BY345" s="30"/>
      <c r="BZ345" s="544" t="b">
        <f>OR(BZ342,Y345=EUconst_NA)</f>
        <v>1</v>
      </c>
    </row>
    <row r="346" spans="1:78" s="140" customFormat="1" ht="12.75" customHeight="1" thickBot="1" x14ac:dyDescent="0.25">
      <c r="A346" s="777"/>
      <c r="B346" s="1248"/>
      <c r="C346" s="783" t="s">
        <v>197</v>
      </c>
      <c r="D346" s="503" t="str">
        <f>Translations!$B$638</f>
        <v>Oksidacijos koef.:</v>
      </c>
      <c r="E346" s="504"/>
      <c r="F346" s="539"/>
      <c r="G346" s="1603" t="str">
        <f t="shared" si="70"/>
        <v/>
      </c>
      <c r="H346" s="1604"/>
      <c r="I346" s="1113" t="str">
        <f>IF(OR(AC346=FALSE,Y346=EUconst_NA),"","-")</f>
        <v/>
      </c>
      <c r="J346" s="560"/>
      <c r="K346" s="561" t="str">
        <f t="shared" si="71"/>
        <v/>
      </c>
      <c r="L346" s="694"/>
      <c r="M346" s="700" t="str">
        <f>IF(AND(E333&lt;&gt;"",OR(F346="",COUNT(K346:L346)=0),Y346&lt;&gt;EUconst_NA,T333&lt;&gt;TRUE),EUconst_ERR_Incomplete,IF(COUNTIF(AX346:AZ346,TRUE)&gt;0,EUconst_ERR_Inconsistent,""))</f>
        <v/>
      </c>
      <c r="O346" s="1305"/>
      <c r="P346" s="33"/>
      <c r="Q346" s="33"/>
      <c r="R346" s="33"/>
      <c r="S346" s="30"/>
      <c r="T346" s="543" t="str">
        <f>EUconst_CNTR_OxidationFactor&amp;E333</f>
        <v>OxF_</v>
      </c>
      <c r="U346" s="488"/>
      <c r="V346" s="544" t="str">
        <f t="shared" si="76"/>
        <v/>
      </c>
      <c r="W346" s="30"/>
      <c r="X346" s="488"/>
      <c r="Y346" s="545" t="str">
        <f>IF(OR(T333=TRUE,E333=""),"",INDEX(EUwideConstants!$N:$N,MATCH(T346,EUwideConstants!$Q:$Q,0)))</f>
        <v/>
      </c>
      <c r="Z346" s="546" t="str">
        <f>IF(ISBLANK(F346),"",IF(F346=EUconst_NA,"",INDEX(EUwideConstants!$H:$M,MATCH(T346,EUwideConstants!$Q:$Q,0),MATCH(F346,CNTR_TierList,0))))</f>
        <v/>
      </c>
      <c r="AA346" s="525" t="str">
        <f>IF(F346=1,1,"")</f>
        <v/>
      </c>
      <c r="AB346" s="30"/>
      <c r="AC346" s="548" t="b">
        <f>AND(AC342,Y346&lt;&gt;EUconst_NA)</f>
        <v>0</v>
      </c>
      <c r="AD346" s="30"/>
      <c r="AE346" s="563"/>
      <c r="AG346" s="564"/>
      <c r="AH346" s="553"/>
      <c r="AI346" s="565"/>
      <c r="AJ346" s="553"/>
      <c r="AK346" s="566"/>
      <c r="AL346" s="333"/>
      <c r="AM346" s="549" t="str">
        <f>EUconst_CNTR_OxidationFactor&amp;EUconst_Value</f>
        <v>OxF_Vertė</v>
      </c>
      <c r="AN346" s="567"/>
      <c r="AO346" s="525">
        <v>1</v>
      </c>
      <c r="AP346" s="553"/>
      <c r="AQ346" s="568" t="str">
        <f>IF(AA346="","",AO346)</f>
        <v/>
      </c>
      <c r="AR346" s="548">
        <f>IF(AC346=TRUE,IF(COUNT(K346:L346)=0,0,IF(L346="",K346,L346)),1)</f>
        <v>1</v>
      </c>
      <c r="AS346" s="544" t="b">
        <f>AND(AC346=TRUE,OR(ISNUMBER(L346),NOT(ISNUMBER(AA346))))</f>
        <v>0</v>
      </c>
      <c r="AT346" s="544" t="b">
        <f t="shared" si="72"/>
        <v>0</v>
      </c>
      <c r="AU346" s="30"/>
      <c r="AV346" s="558" t="b">
        <f t="shared" si="73"/>
        <v>0</v>
      </c>
      <c r="AW346" s="559" t="b">
        <f t="shared" si="74"/>
        <v>0</v>
      </c>
      <c r="AX346" s="30"/>
      <c r="AY346" s="585" t="b">
        <f t="shared" si="75"/>
        <v>0</v>
      </c>
      <c r="AZ346" s="522" t="b">
        <f>AR346&gt;100%</f>
        <v>0</v>
      </c>
      <c r="BA346" s="30"/>
      <c r="BB346" s="538" t="s">
        <v>287</v>
      </c>
      <c r="BC346" s="537" t="str">
        <f>IF(K332=BC342,AR342*IF(AJ344=EUconst_tCO2pTJ,(AR345/1000),1)*AR344*AR346*(1-AR349),"")</f>
        <v/>
      </c>
      <c r="BD346" s="515" t="str">
        <f>IF(K332=BD342,AR342*AR344*AR347*(1-AR349),"")</f>
        <v/>
      </c>
      <c r="BE346" s="514" t="str">
        <f>IF(K332=BE342,3.664*AR342*AR348*(1-AR349),"")</f>
        <v/>
      </c>
      <c r="BF346" s="30"/>
      <c r="BG346" s="30"/>
      <c r="BH346" s="30"/>
      <c r="BI346" s="30"/>
      <c r="BJ346" s="30"/>
      <c r="BK346" s="30"/>
      <c r="BL346" s="30"/>
      <c r="BM346" s="30"/>
      <c r="BN346" s="30"/>
      <c r="BO346" s="30"/>
      <c r="BP346" s="30"/>
      <c r="BQ346" s="30"/>
      <c r="BR346" s="30"/>
      <c r="BS346" s="30"/>
      <c r="BT346" s="30"/>
      <c r="BU346" s="30"/>
      <c r="BV346" s="30"/>
      <c r="BW346" s="30"/>
      <c r="BX346" s="30"/>
      <c r="BY346" s="30"/>
      <c r="BZ346" s="544" t="b">
        <f>OR(BZ342,Y346=EUconst_NA)</f>
        <v>1</v>
      </c>
    </row>
    <row r="347" spans="1:78" s="140" customFormat="1" ht="12.75" customHeight="1" thickBot="1" x14ac:dyDescent="0.25">
      <c r="A347" s="777"/>
      <c r="B347" s="1248"/>
      <c r="C347" s="783" t="s">
        <v>198</v>
      </c>
      <c r="D347" s="503" t="str">
        <f>Translations!$B$639</f>
        <v>Konversijos koef.:</v>
      </c>
      <c r="E347" s="504"/>
      <c r="F347" s="539"/>
      <c r="G347" s="1603" t="str">
        <f t="shared" si="70"/>
        <v/>
      </c>
      <c r="H347" s="1604"/>
      <c r="I347" s="1113" t="str">
        <f>IF(OR(AC347=FALSE,Y347=EUconst_NA),"","-")</f>
        <v/>
      </c>
      <c r="J347" s="560"/>
      <c r="K347" s="561" t="str">
        <f t="shared" si="71"/>
        <v/>
      </c>
      <c r="L347" s="694"/>
      <c r="M347" s="700" t="str">
        <f>IF(AND(E333&lt;&gt;"",OR(F347="",COUNT(K347:L347)=0),Y347&lt;&gt;EUconst_NA,T333&lt;&gt;TRUE),EUconst_ERR_Incomplete,IF(COUNTIF(AX347:AZ347,TRUE)&gt;0,EUconst_ERR_Inconsistent,""))</f>
        <v/>
      </c>
      <c r="O347" s="1305"/>
      <c r="P347" s="33"/>
      <c r="Q347" s="33"/>
      <c r="R347" s="33"/>
      <c r="S347" s="30"/>
      <c r="T347" s="543" t="str">
        <f>EUconst_CNTR_ConversionFactor&amp;E333</f>
        <v>ConvF_</v>
      </c>
      <c r="U347" s="488"/>
      <c r="V347" s="544" t="str">
        <f t="shared" si="76"/>
        <v/>
      </c>
      <c r="W347" s="30"/>
      <c r="X347" s="488"/>
      <c r="Y347" s="545" t="str">
        <f>IF(OR(T333=TRUE,E333=""),"",INDEX(EUwideConstants!$N:$N,MATCH(T347,EUwideConstants!$Q:$Q,0)))</f>
        <v/>
      </c>
      <c r="Z347" s="546" t="str">
        <f>IF(ISBLANK(F347),"",IF(F347=EUconst_NA,"",INDEX(EUwideConstants!$H:$M,MATCH(T347,EUwideConstants!$Q:$Q,0),MATCH(F347,CNTR_TierList,0))))</f>
        <v/>
      </c>
      <c r="AA347" s="573" t="str">
        <f>IF(F347=1,1,"")</f>
        <v/>
      </c>
      <c r="AB347" s="30"/>
      <c r="AC347" s="548" t="b">
        <f>AND(AC342,Y347&lt;&gt;EUconst_NA)</f>
        <v>0</v>
      </c>
      <c r="AD347" s="30"/>
      <c r="AE347" s="563"/>
      <c r="AG347" s="564"/>
      <c r="AH347" s="574"/>
      <c r="AI347" s="565"/>
      <c r="AJ347" s="574"/>
      <c r="AK347" s="566"/>
      <c r="AL347" s="333"/>
      <c r="AM347" s="549" t="str">
        <f>EUconst_CNTR_ConversionFactor&amp;EUconst_Value</f>
        <v>ConvF_Vertė</v>
      </c>
      <c r="AN347" s="575"/>
      <c r="AO347" s="573">
        <v>1</v>
      </c>
      <c r="AP347" s="574"/>
      <c r="AQ347" s="576" t="str">
        <f>IF(AA347="","",AO347)</f>
        <v/>
      </c>
      <c r="AR347" s="548">
        <f>IF(AC347=TRUE,IF(COUNT(K347:L347)=0,0,IF(L347="",K347,L347)),1)</f>
        <v>1</v>
      </c>
      <c r="AS347" s="544" t="b">
        <f>AND(AC347=TRUE,OR(ISNUMBER(L347),NOT(ISNUMBER(AA347))))</f>
        <v>0</v>
      </c>
      <c r="AT347" s="544" t="b">
        <f t="shared" si="72"/>
        <v>0</v>
      </c>
      <c r="AU347" s="30"/>
      <c r="AV347" s="558" t="b">
        <f t="shared" si="73"/>
        <v>0</v>
      </c>
      <c r="AW347" s="559" t="b">
        <f t="shared" si="74"/>
        <v>0</v>
      </c>
      <c r="AX347" s="30"/>
      <c r="AY347" s="585" t="b">
        <f t="shared" si="75"/>
        <v>0</v>
      </c>
      <c r="AZ347" s="571" t="b">
        <f>AR347&gt;100%</f>
        <v>0</v>
      </c>
      <c r="BA347" s="30"/>
      <c r="BB347" s="569" t="s">
        <v>481</v>
      </c>
      <c r="BC347" s="570">
        <f>AR342*AR345/1000*(1-AR349)</f>
        <v>0</v>
      </c>
      <c r="BD347" s="571">
        <f>BC347</f>
        <v>0</v>
      </c>
      <c r="BE347" s="572">
        <f>BC347</f>
        <v>0</v>
      </c>
      <c r="BF347" s="30"/>
      <c r="BG347" s="30"/>
      <c r="BH347" s="30"/>
      <c r="BI347" s="30"/>
      <c r="BJ347" s="30"/>
      <c r="BK347" s="30"/>
      <c r="BL347" s="30"/>
      <c r="BM347" s="30"/>
      <c r="BN347" s="30"/>
      <c r="BO347" s="30"/>
      <c r="BP347" s="30"/>
      <c r="BQ347" s="30"/>
      <c r="BR347" s="30"/>
      <c r="BS347" s="30"/>
      <c r="BT347" s="30"/>
      <c r="BU347" s="30"/>
      <c r="BV347" s="30"/>
      <c r="BW347" s="30"/>
      <c r="BX347" s="30"/>
      <c r="BY347" s="30"/>
      <c r="BZ347" s="544" t="b">
        <f>OR(BZ342,Y347=EUconst_NA)</f>
        <v>1</v>
      </c>
    </row>
    <row r="348" spans="1:78" s="140" customFormat="1" ht="12.75" customHeight="1" thickBot="1" x14ac:dyDescent="0.25">
      <c r="A348" s="777"/>
      <c r="B348" s="1248"/>
      <c r="C348" s="783" t="s">
        <v>324</v>
      </c>
      <c r="D348" s="503" t="str">
        <f>Translations!$B$640</f>
        <v>Anglies kiekis (C):</v>
      </c>
      <c r="E348" s="504"/>
      <c r="F348" s="539"/>
      <c r="G348" s="1603" t="str">
        <f t="shared" si="70"/>
        <v/>
      </c>
      <c r="H348" s="1604"/>
      <c r="I348" s="1113" t="str">
        <f>AJ348</f>
        <v/>
      </c>
      <c r="J348" s="577"/>
      <c r="K348" s="578" t="str">
        <f t="shared" si="71"/>
        <v/>
      </c>
      <c r="L348" s="579"/>
      <c r="M348" s="700" t="str">
        <f>IF(AND(E333&lt;&gt;"",OR(F348="",COUNT(K348:L348)=0),Y348&lt;&gt;EUconst_NA,T333&lt;&gt;TRUE),EUconst_ERR_Incomplete,IF(COUNTIF(AX348:AZ348,TRUE)&gt;0,EUconst_ERR_Inconsistent,""))</f>
        <v/>
      </c>
      <c r="O348" s="1305"/>
      <c r="P348" s="33"/>
      <c r="Q348" s="33"/>
      <c r="R348" s="33"/>
      <c r="S348" s="30"/>
      <c r="T348" s="543" t="str">
        <f>EUconst_CNTR_CarbonContent&amp;E333</f>
        <v>CarbC_</v>
      </c>
      <c r="U348" s="488"/>
      <c r="V348" s="544" t="str">
        <f t="shared" si="76"/>
        <v/>
      </c>
      <c r="W348" s="30"/>
      <c r="X348" s="488"/>
      <c r="Y348" s="545" t="str">
        <f>IF(OR(T333=TRUE,E333=""),"",INDEX(EUwideConstants!$N:$N,MATCH(T348,EUwideConstants!$Q:$Q,0)))</f>
        <v/>
      </c>
      <c r="Z348" s="546" t="str">
        <f>IF(ISBLANK(F348),"",IF(F348=EUconst_NA,"",INDEX(EUwideConstants!$H:$M,MATCH(T348,EUwideConstants!$Q:$Q,0),MATCH(F348,CNTR_TierList,0))))</f>
        <v/>
      </c>
      <c r="AA348" s="580" t="str">
        <f>IF(COUNTIF(EUconst_DefaultValues,Z348)&gt;0,MATCH(Z348,EUconst_DefaultValues,0),"")</f>
        <v/>
      </c>
      <c r="AB348" s="30"/>
      <c r="AC348" s="548" t="b">
        <f>AND(AC342,Y348&lt;&gt;EUconst_NA)</f>
        <v>0</v>
      </c>
      <c r="AD348" s="30"/>
      <c r="AE348" s="549" t="str">
        <f>EUconst_CNTR_CarbonContent&amp;EUconst_Unit</f>
        <v>CarbC_Vienetas</v>
      </c>
      <c r="AF348" s="550" t="str">
        <f>IF(AC348=TRUE, IF(COUNTIF(MSPara_SourceStreamCategory,V348)=0,"",INDEX(MSPara_CalcFactorsMatrix,MATCH(V348,MSPara_SourceStreamCategory,0),MATCH(AE348&amp;"_"&amp;2,MSPara_CalcFactors,0))),"")</f>
        <v/>
      </c>
      <c r="AG348" s="551" t="str">
        <f>IF(AC348=TRUE, IF(COUNTIF(MSPara_SourceStreamCategory,V348)=0,"",INDEX(MSPara_CalcFactorsMatrix,MATCH(V348,MSPara_SourceStreamCategory,0),MATCH(AE348&amp;"_"&amp;1,MSPara_CalcFactors,0))),"")</f>
        <v/>
      </c>
      <c r="AH348" s="581" t="str">
        <f>IF(AA348="","",INDEX(AF348:AG348,3-AA348))</f>
        <v/>
      </c>
      <c r="AI348" s="565"/>
      <c r="AJ348" s="582" t="str">
        <f>IF(AC348=TRUE,IF(AJ342="","",IF(AJ342=EUconst_kNm3,EUconst_tCpkNm3,EUconst_tCpt)),"")</f>
        <v/>
      </c>
      <c r="AK348" s="566"/>
      <c r="AL348" s="333"/>
      <c r="AM348" s="549" t="str">
        <f>EUconst_CNTR_CarbonContent&amp;EUconst_Value</f>
        <v>CarbC_Vertė</v>
      </c>
      <c r="AN348" s="555" t="str">
        <f>IF(AC348=TRUE,IF(COUNTIF(MSPara_SourceStreamCategory,V348)=0,"",INDEX(MSPara_CalcFactorsMatrix,MATCH(V348,MSPara_SourceStreamCategory,0),MATCH(AM348&amp;"_"&amp;2,MSPara_CalcFactors,0))),"")</f>
        <v/>
      </c>
      <c r="AO348" s="583" t="str">
        <f>IF(AC348=TRUE,IF(COUNTIF(MSPara_SourceStreamCategory,V348)=0,"",INDEX(MSPara_CalcFactorsMatrix,MATCH(V348,MSPara_SourceStreamCategory,0),MATCH(AM348&amp;"_"&amp;1,MSPara_CalcFactors,0))),"")</f>
        <v/>
      </c>
      <c r="AP348" s="548" t="b">
        <f>AND(AND(AH348&lt;&gt;"",AJ348&lt;&gt;""),AJ348=AH348)</f>
        <v>0</v>
      </c>
      <c r="AQ348" s="584" t="str">
        <f>IF(AND(AA348&lt;&gt;"",AP348=TRUE),IF(OR(INDEX(AN348:AO348,3-AA348)=EUconst_NA,INDEX(AN348:AO348,3-AA348)=0),"",INDEX(AN348:AO348,3-AA348)),"")</f>
        <v/>
      </c>
      <c r="AR348" s="548">
        <f>IF(AC348=TRUE,IF(COUNT(K348:L348)=0,0,IF(L348="",K348,L348)),0)</f>
        <v>0</v>
      </c>
      <c r="AS348" s="544" t="b">
        <f>AND(AC348=TRUE,OR(AND(F348&lt;&gt;"",NOT(ISNUMBER(AA348))),L348&lt;&gt;"",F348="",AQ348=""))</f>
        <v>0</v>
      </c>
      <c r="AT348" s="544" t="b">
        <f t="shared" si="72"/>
        <v>0</v>
      </c>
      <c r="AU348" s="30"/>
      <c r="AV348" s="558" t="b">
        <f t="shared" si="73"/>
        <v>0</v>
      </c>
      <c r="AW348" s="559" t="b">
        <f t="shared" si="74"/>
        <v>0</v>
      </c>
      <c r="AX348" s="537" t="b">
        <f>OR(AND(AJ342=EUconst_kNm3,AJ348=EUconst_tCpt),AND(AJ342=EUconst_t,AJ348=EUconst_tCpkNm3))</f>
        <v>0</v>
      </c>
      <c r="AY348" s="544" t="b">
        <f t="shared" si="75"/>
        <v>0</v>
      </c>
      <c r="AZ348" s="30"/>
      <c r="BA348" s="30"/>
      <c r="BB348" s="569" t="s">
        <v>482</v>
      </c>
      <c r="BC348" s="570">
        <f>AR342*AR345/1000*AR349</f>
        <v>0</v>
      </c>
      <c r="BD348" s="571">
        <f>BC348</f>
        <v>0</v>
      </c>
      <c r="BE348" s="572">
        <f>BC348</f>
        <v>0</v>
      </c>
      <c r="BF348" s="30"/>
      <c r="BG348" s="30"/>
      <c r="BH348" s="30"/>
      <c r="BI348" s="30"/>
      <c r="BJ348" s="30"/>
      <c r="BK348" s="30"/>
      <c r="BL348" s="30"/>
      <c r="BM348" s="30"/>
      <c r="BN348" s="30"/>
      <c r="BO348" s="30"/>
      <c r="BP348" s="30"/>
      <c r="BQ348" s="30"/>
      <c r="BR348" s="30"/>
      <c r="BS348" s="30"/>
      <c r="BT348" s="30"/>
      <c r="BU348" s="30"/>
      <c r="BV348" s="30"/>
      <c r="BW348" s="30"/>
      <c r="BX348" s="30"/>
      <c r="BY348" s="30"/>
      <c r="BZ348" s="544" t="b">
        <f>OR(BZ342,Y348=EUconst_NA)</f>
        <v>1</v>
      </c>
    </row>
    <row r="349" spans="1:78" s="140" customFormat="1" ht="12.75" customHeight="1" x14ac:dyDescent="0.2">
      <c r="A349" s="777"/>
      <c r="B349" s="1248"/>
      <c r="C349" s="753" t="s">
        <v>325</v>
      </c>
      <c r="D349" s="503" t="str">
        <f>Translations!$B$641</f>
        <v>Biomasės dalis (BioC):</v>
      </c>
      <c r="E349" s="504"/>
      <c r="F349" s="539"/>
      <c r="G349" s="1603" t="str">
        <f t="shared" si="70"/>
        <v/>
      </c>
      <c r="H349" s="1604"/>
      <c r="I349" s="1113" t="str">
        <f>IF(OR(AC349=FALSE,Y349=EUconst_NA),"","-")</f>
        <v/>
      </c>
      <c r="J349" s="560"/>
      <c r="K349" s="561" t="str">
        <f t="shared" si="71"/>
        <v/>
      </c>
      <c r="L349" s="694"/>
      <c r="M349" s="700" t="str">
        <f>IF(AND(E333&lt;&gt;"",OR(F349="",COUNT(K349:L349)=0),Y349&lt;&gt;EUconst_NA,T333&lt;&gt;TRUE),EUconst_ERR_Incomplete,IF(COUNTIF(AX349:AZ349,TRUE)&gt;0,EUconst_ERR_Inconsistent,""))</f>
        <v/>
      </c>
      <c r="O349" s="1305"/>
      <c r="P349" s="635"/>
      <c r="Q349" s="635"/>
      <c r="R349" s="635"/>
      <c r="S349" s="30"/>
      <c r="T349" s="543" t="str">
        <f>EUconst_CNTR_BiomassContent&amp;E333</f>
        <v>BioC_</v>
      </c>
      <c r="U349" s="488"/>
      <c r="V349" s="585" t="str">
        <f t="shared" si="76"/>
        <v/>
      </c>
      <c r="W349" s="522" t="str">
        <f>IF(COUNTIF(MSPara_SourceStreamCategory,V349)=0,"",INDEX(MSPara_IsFossil,MATCH(V349,MSPara_SourceStreamCategory,0)))</f>
        <v/>
      </c>
      <c r="X349" s="488"/>
      <c r="Y349" s="545" t="str">
        <f>IF(OR(T333=TRUE,E333=""),"",IF(OR(W349=TRUE,F349=EUconst_NA),EUconst_NA,INDEX(EUwideConstants!$N:$N,MATCH(T349,EUwideConstants!$Q:$Q,0))))</f>
        <v/>
      </c>
      <c r="Z349" s="546" t="str">
        <f>IF(ISBLANK(F349),"",IF(F349=EUconst_NA,"",INDEX(EUwideConstants!$H:$M,MATCH(T349,EUwideConstants!$Q:$Q,0),MATCH(F349,CNTR_TierList,0))))</f>
        <v/>
      </c>
      <c r="AA349" s="586" t="str">
        <f>IF(F349=1,1,"")</f>
        <v/>
      </c>
      <c r="AB349" s="30"/>
      <c r="AC349" s="548" t="b">
        <f>AND(AC342,Y349&lt;&gt;EUconst_NA)</f>
        <v>0</v>
      </c>
      <c r="AD349" s="30"/>
      <c r="AE349" s="563"/>
      <c r="AG349" s="564"/>
      <c r="AH349" s="553"/>
      <c r="AI349" s="565"/>
      <c r="AJ349" s="553"/>
      <c r="AK349" s="566"/>
      <c r="AL349" s="333"/>
      <c r="AM349" s="549" t="str">
        <f>EUconst_CNTR_BiomassContent&amp;EUconst_Value</f>
        <v>BioC_Vertė</v>
      </c>
      <c r="AO349" s="587" t="str">
        <f>IF(AC349=TRUE,IF(COUNTIF(MSPara_SourceStreamCategory,V349)=0,"",INDEX(MSPara_CalcFactorsMatrix,MATCH(V349,MSPara_SourceStreamCategory,0),MATCH(AM349&amp;"_"&amp;2,MSPara_CalcFactors,0))),"")</f>
        <v/>
      </c>
      <c r="AP349" s="553"/>
      <c r="AQ349" s="568" t="str">
        <f>IF(OR(AA349="",AO349=EUconst_NA),"",AO349)</f>
        <v/>
      </c>
      <c r="AR349" s="548">
        <f>IF(AC349=TRUE,IF(COUNT(K349:L349)=0,0,IF(L349="",K349,L349)),0)</f>
        <v>0</v>
      </c>
      <c r="AS349" s="544" t="b">
        <f>AND(AC349=TRUE,OR(AND(F349&lt;&gt;"",NOT(ISNUMBER(AA349))),L349&lt;&gt;"",F349="",AQ349=""))</f>
        <v>0</v>
      </c>
      <c r="AT349" s="544" t="b">
        <f t="shared" si="72"/>
        <v>0</v>
      </c>
      <c r="AU349" s="30"/>
      <c r="AV349" s="558" t="b">
        <f t="shared" si="73"/>
        <v>0</v>
      </c>
      <c r="AW349" s="559" t="b">
        <f t="shared" si="74"/>
        <v>0</v>
      </c>
      <c r="AX349" s="30"/>
      <c r="AY349" s="585" t="b">
        <f t="shared" si="75"/>
        <v>0</v>
      </c>
      <c r="AZ349" s="522" t="b">
        <f>OR(AR349&gt;100%,(AR349+AR350)&gt;100%)</f>
        <v>0</v>
      </c>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544" t="b">
        <f>OR(BZ342,Y349=EUconst_NA)</f>
        <v>1</v>
      </c>
    </row>
    <row r="350" spans="1:78" s="140" customFormat="1" ht="12.75" customHeight="1" thickBot="1" x14ac:dyDescent="0.25">
      <c r="A350" s="777"/>
      <c r="B350" s="1248"/>
      <c r="C350" s="753" t="s">
        <v>448</v>
      </c>
      <c r="D350" s="503" t="str">
        <f>Translations!$B$647</f>
        <v>Netvarios BioC dalis:</v>
      </c>
      <c r="E350" s="504"/>
      <c r="F350" s="588"/>
      <c r="G350" s="1603" t="str">
        <f t="shared" si="70"/>
        <v/>
      </c>
      <c r="H350" s="1604"/>
      <c r="I350" s="1114" t="str">
        <f>IF(OR(AC350=FALSE,Y350=EUconst_NA),"","-")</f>
        <v/>
      </c>
      <c r="J350" s="560"/>
      <c r="K350" s="589" t="str">
        <f t="shared" si="71"/>
        <v/>
      </c>
      <c r="L350" s="1100"/>
      <c r="M350" s="700" t="str">
        <f>IF(AND(E333&lt;&gt;"",OR(F350="",COUNT(K350:L350)=0),Y350&lt;&gt;EUconst_NA,T333&lt;&gt;TRUE),EUconst_ERR_Incomplete,IF(COUNTIF(AX350:AZ350,TRUE)&gt;0,EUconst_ERR_Inconsistent,""))</f>
        <v/>
      </c>
      <c r="O350" s="1305"/>
      <c r="P350" s="635"/>
      <c r="Q350" s="635"/>
      <c r="R350" s="635"/>
      <c r="S350" s="30"/>
      <c r="T350" s="590" t="str">
        <f>EUconst_CNTR_BiomassContent&amp;E333</f>
        <v>BioC_</v>
      </c>
      <c r="U350" s="488"/>
      <c r="V350" s="570" t="str">
        <f t="shared" si="76"/>
        <v/>
      </c>
      <c r="W350" s="571" t="str">
        <f>IF(COUNTIF(MSPara_SourceStreamCategory,V350)=0,"",INDEX(MSPara_IsFossil,MATCH(V350,MSPara_SourceStreamCategory,0)))</f>
        <v/>
      </c>
      <c r="X350" s="488"/>
      <c r="Y350" s="591" t="str">
        <f>IF(OR(T333=TRUE,E333=""),"",IF(OR(W350=TRUE,F350=EUconst_NA),EUconst_NA,INDEX(EUwideConstants!$N:$N,MATCH(T350,EUwideConstants!$Q:$Q,0))))</f>
        <v/>
      </c>
      <c r="Z350" s="592" t="str">
        <f>IF(ISBLANK(F350),"",IF(F350=EUconst_NA,"",INDEX(EUwideConstants!$H:$M,MATCH(T350,EUwideConstants!$Q:$Q,0),MATCH(F350,CNTR_TierList,0))))</f>
        <v/>
      </c>
      <c r="AA350" s="593" t="str">
        <f>IF(F350=1,1,"")</f>
        <v/>
      </c>
      <c r="AB350" s="30"/>
      <c r="AC350" s="594" t="b">
        <f>AND(AC342,Y350&lt;&gt;EUconst_NA)</f>
        <v>0</v>
      </c>
      <c r="AD350" s="30"/>
      <c r="AE350" s="595"/>
      <c r="AF350" s="596"/>
      <c r="AG350" s="597"/>
      <c r="AH350" s="598"/>
      <c r="AI350" s="598"/>
      <c r="AJ350" s="598"/>
      <c r="AK350" s="599"/>
      <c r="AL350" s="333"/>
      <c r="AM350" s="600" t="str">
        <f>EUconst_CNTR_BiomassContent&amp;EUconst_Value</f>
        <v>BioC_Vertė</v>
      </c>
      <c r="AN350" s="596"/>
      <c r="AO350" s="601" t="str">
        <f>IF(AC350=TRUE,IF(COUNTIF(MSPara_SourceStreamCategory,V350)=0,"",INDEX(MSPara_CalcFactorsMatrix,MATCH(V350,MSPara_SourceStreamCategory,0),MATCH(AM350&amp;"_"&amp;2,MSPara_CalcFactors,0))),"")</f>
        <v/>
      </c>
      <c r="AP350" s="598"/>
      <c r="AQ350" s="602" t="str">
        <f>IF(OR(AA350="",AO350=EUconst_NA),"",AO350)</f>
        <v/>
      </c>
      <c r="AR350" s="594">
        <f>IF(AC350=TRUE,IF(COUNT(K350:L350)=0,0,IF(L350="",K350,L350)),0)</f>
        <v>0</v>
      </c>
      <c r="AS350" s="603" t="b">
        <f>AND(AC350=TRUE,OR(AND(F350&lt;&gt;"",NOT(ISNUMBER(AA350))),L350&lt;&gt;"",F350="",AQ350=""))</f>
        <v>0</v>
      </c>
      <c r="AT350" s="603" t="b">
        <f t="shared" si="72"/>
        <v>0</v>
      </c>
      <c r="AU350" s="30"/>
      <c r="AV350" s="604" t="b">
        <f t="shared" si="73"/>
        <v>0</v>
      </c>
      <c r="AW350" s="605" t="b">
        <f t="shared" si="74"/>
        <v>0</v>
      </c>
      <c r="AX350" s="30"/>
      <c r="AY350" s="570" t="b">
        <f t="shared" si="75"/>
        <v>0</v>
      </c>
      <c r="AZ350" s="571" t="b">
        <f>OR(AR349&gt;100%,(AR349+AR350)&gt;100%)</f>
        <v>0</v>
      </c>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571" t="b">
        <f>OR(BZ342,Y350=EUconst_NA)</f>
        <v>1</v>
      </c>
    </row>
    <row r="351" spans="1:78" s="140" customFormat="1" ht="5.0999999999999996" customHeight="1" x14ac:dyDescent="0.2">
      <c r="A351" s="777"/>
      <c r="B351" s="1248"/>
      <c r="C351" s="164"/>
      <c r="D351" s="178"/>
      <c r="O351" s="1305"/>
      <c r="P351" s="33"/>
      <c r="Q351" s="33"/>
      <c r="R351" s="33"/>
      <c r="S351" s="172"/>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row>
    <row r="352" spans="1:78" s="140" customFormat="1" ht="12.75" customHeight="1" x14ac:dyDescent="0.2">
      <c r="A352" s="777"/>
      <c r="B352" s="1248"/>
      <c r="C352" s="164"/>
      <c r="D352" s="1629" t="str">
        <f>Translations!$B$674</f>
        <v>Pakopos galioja nuo:</v>
      </c>
      <c r="E352" s="1629"/>
      <c r="F352" s="1630"/>
      <c r="G352" s="1014"/>
      <c r="H352" s="606" t="str">
        <f>Translations!$B$675</f>
        <v>iki:</v>
      </c>
      <c r="I352" s="1014"/>
      <c r="J352" s="1620" t="str">
        <f>Translations!$B$676</f>
        <v>Atliekų katalogo numeris (jeigu taikytina):</v>
      </c>
      <c r="K352" s="1621"/>
      <c r="L352" s="1621"/>
      <c r="M352" s="1622"/>
      <c r="N352" s="1232"/>
      <c r="O352" s="1305"/>
      <c r="P352" s="33"/>
      <c r="Q352" s="33"/>
      <c r="R352" s="33"/>
      <c r="S352" s="1233"/>
      <c r="T352" s="483"/>
      <c r="U352" s="483"/>
      <c r="V352" s="48" t="b">
        <f>IF(V342="",FALSE,INDEX(CNTR_IsWaste,MATCH(V342,MSParameters!$A$218:$A$376,0)))</f>
        <v>0</v>
      </c>
      <c r="W352" s="1233" t="s">
        <v>1689</v>
      </c>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2" t="b">
        <f>BZ342</f>
        <v>1</v>
      </c>
    </row>
    <row r="353" spans="1:78" s="140" customFormat="1" ht="5.0999999999999996" customHeight="1" x14ac:dyDescent="0.2">
      <c r="A353" s="777"/>
      <c r="B353" s="1248"/>
      <c r="C353" s="164"/>
      <c r="D353" s="606"/>
      <c r="E353" s="486"/>
      <c r="F353" s="486"/>
      <c r="G353" s="486"/>
      <c r="H353" s="486"/>
      <c r="I353" s="486"/>
      <c r="J353" s="486"/>
      <c r="K353" s="486"/>
      <c r="L353" s="486"/>
      <c r="M353" s="486"/>
      <c r="N353" s="486"/>
      <c r="O353" s="1305"/>
      <c r="P353" s="33"/>
      <c r="Q353" s="33"/>
      <c r="R353" s="33"/>
      <c r="S353" s="172"/>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row>
    <row r="354" spans="1:78" s="140" customFormat="1" ht="12.75" customHeight="1" x14ac:dyDescent="0.2">
      <c r="A354" s="777"/>
      <c r="B354" s="1248"/>
      <c r="C354" s="164"/>
      <c r="D354" s="486"/>
      <c r="E354" s="486"/>
      <c r="F354" s="486"/>
      <c r="G354" s="486"/>
      <c r="H354" s="486"/>
      <c r="I354" s="486"/>
      <c r="J354" s="486"/>
      <c r="K354" s="486"/>
      <c r="L354" s="486"/>
      <c r="M354" s="606" t="str">
        <f>Translations!$B$677</f>
        <v>Stebėsenos plane šiam sukėlikliui suteiktas identifikatorius:</v>
      </c>
      <c r="N354" s="705"/>
      <c r="O354" s="1305"/>
      <c r="P354" s="33"/>
      <c r="Q354" s="33"/>
      <c r="R354" s="33"/>
      <c r="S354" s="172"/>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2" t="b">
        <f>BZ352</f>
        <v>1</v>
      </c>
    </row>
    <row r="355" spans="1:78" s="140" customFormat="1" ht="5.0999999999999996" customHeight="1" x14ac:dyDescent="0.2">
      <c r="A355" s="784"/>
      <c r="B355" s="1316"/>
      <c r="D355" s="178"/>
      <c r="O355" s="1317"/>
      <c r="P355" s="488"/>
      <c r="Q355" s="488"/>
      <c r="R355" s="488"/>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row>
    <row r="356" spans="1:78" s="140" customFormat="1" x14ac:dyDescent="0.2">
      <c r="A356" s="784"/>
      <c r="B356" s="1316"/>
      <c r="D356" s="1618" t="str">
        <f>Translations!$B$160</f>
        <v>Pastabos:</v>
      </c>
      <c r="E356" s="1619"/>
      <c r="F356" s="1605"/>
      <c r="G356" s="1606"/>
      <c r="H356" s="1606"/>
      <c r="I356" s="1606"/>
      <c r="J356" s="1606"/>
      <c r="K356" s="1606"/>
      <c r="L356" s="1606"/>
      <c r="M356" s="1606"/>
      <c r="N356" s="1607"/>
      <c r="O356" s="1317"/>
      <c r="P356" s="488"/>
      <c r="Q356" s="488"/>
      <c r="R356" s="488"/>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2" t="b">
        <f>BZ352</f>
        <v>1</v>
      </c>
    </row>
    <row r="357" spans="1:78" s="28" customFormat="1" ht="12.75" customHeight="1" thickBot="1" x14ac:dyDescent="0.25">
      <c r="A357" s="777"/>
      <c r="B357" s="1312"/>
      <c r="C357" s="490"/>
      <c r="D357" s="491"/>
      <c r="E357" s="492"/>
      <c r="F357" s="490"/>
      <c r="G357" s="493"/>
      <c r="H357" s="493"/>
      <c r="I357" s="493"/>
      <c r="J357" s="493"/>
      <c r="K357" s="493"/>
      <c r="L357" s="493"/>
      <c r="M357" s="493"/>
      <c r="N357" s="493"/>
      <c r="O357" s="1313"/>
      <c r="P357" s="485"/>
      <c r="Q357" s="485"/>
      <c r="R357" s="485"/>
      <c r="S357" s="58"/>
      <c r="T357" s="58"/>
      <c r="U357" s="489"/>
      <c r="V357" s="58"/>
      <c r="W357" s="58"/>
      <c r="X357" s="489"/>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30"/>
      <c r="BJ357" s="30"/>
      <c r="BK357" s="30"/>
      <c r="BL357" s="58"/>
      <c r="BM357" s="58"/>
      <c r="BN357" s="58"/>
      <c r="BO357" s="58"/>
      <c r="BP357" s="58"/>
      <c r="BQ357" s="58"/>
      <c r="BR357" s="58"/>
      <c r="BS357" s="58"/>
      <c r="BT357" s="58"/>
      <c r="BU357" s="58"/>
      <c r="BV357" s="58"/>
      <c r="BW357" s="58"/>
      <c r="BX357" s="58"/>
      <c r="BY357" s="58"/>
      <c r="BZ357" s="58"/>
    </row>
    <row r="358" spans="1:78" s="28" customFormat="1" ht="12.75" customHeight="1" thickBot="1" x14ac:dyDescent="0.25">
      <c r="A358" s="782"/>
      <c r="B358" s="1312"/>
      <c r="C358" s="486"/>
      <c r="D358" s="178"/>
      <c r="E358" s="487"/>
      <c r="F358" s="486"/>
      <c r="G358" s="478"/>
      <c r="H358" s="478"/>
      <c r="I358" s="478"/>
      <c r="J358" s="478"/>
      <c r="K358" s="486"/>
      <c r="L358" s="478"/>
      <c r="M358" s="478"/>
      <c r="N358" s="478"/>
      <c r="O358" s="1313"/>
      <c r="P358" s="485"/>
      <c r="Q358" s="485"/>
      <c r="R358" s="485"/>
      <c r="S358" s="23"/>
      <c r="T358" s="27" t="str">
        <f>IF(ISBLANK(E359),"",MATCH(E359,CNTR_SourceStreamNames,0))</f>
        <v/>
      </c>
      <c r="U358" s="609" t="str">
        <f>IF(ISBLANK(E359),"",INDEX(B_InstallationDescription!$D$71:$D$145,MATCH(E359,CNTR_SourceStreamNames,0)))</f>
        <v/>
      </c>
      <c r="V358" s="76"/>
      <c r="W358" s="56"/>
      <c r="X358" s="56"/>
      <c r="Y358" s="56"/>
      <c r="Z358" s="58"/>
      <c r="AA358" s="58"/>
      <c r="AB358" s="58"/>
      <c r="AC358" s="58"/>
      <c r="AD358" s="58"/>
      <c r="AE358" s="58"/>
      <c r="AF358" s="58"/>
      <c r="AG358" s="58"/>
      <c r="AH358" s="58"/>
      <c r="AI358" s="58"/>
      <c r="AJ358" s="58"/>
      <c r="AK358" s="482"/>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6"/>
      <c r="BI358" s="56"/>
      <c r="BJ358" s="56"/>
      <c r="BK358" s="56"/>
      <c r="BL358" s="56"/>
      <c r="BM358" s="56"/>
      <c r="BN358" s="56"/>
      <c r="BO358" s="56"/>
      <c r="BP358" s="56"/>
      <c r="BQ358" s="56"/>
      <c r="BR358" s="56"/>
      <c r="BS358" s="56"/>
      <c r="BT358" s="56"/>
      <c r="BU358" s="56"/>
      <c r="BV358" s="56"/>
      <c r="BW358" s="56"/>
      <c r="BX358" s="56"/>
      <c r="BY358" s="56"/>
      <c r="BZ358" s="484" t="s">
        <v>259</v>
      </c>
    </row>
    <row r="359" spans="1:78" s="140" customFormat="1" ht="15" customHeight="1" thickBot="1" x14ac:dyDescent="0.25">
      <c r="A359" s="1302" t="str">
        <f>IF(E359="","","PRINT")</f>
        <v/>
      </c>
      <c r="B359" s="1248"/>
      <c r="C359" s="608">
        <f>C332+1</f>
        <v>12</v>
      </c>
      <c r="D359" s="164"/>
      <c r="E359" s="1610"/>
      <c r="F359" s="1611"/>
      <c r="G359" s="1611"/>
      <c r="H359" s="1611"/>
      <c r="I359" s="1611"/>
      <c r="J359" s="1612"/>
      <c r="K359" s="1623" t="str">
        <f>IF(E360="","",INDEX(EUwideConstants!$F$353:$F$394,MATCH(E360,EUConst_TierActivityListNames,0)))</f>
        <v/>
      </c>
      <c r="L359" s="1624"/>
      <c r="M359" s="494" t="str">
        <f>Translations!$B$665</f>
        <v>CO2, iškastinio kuro kilmės:</v>
      </c>
      <c r="N359" s="1012" t="str">
        <f>IF(OR(K359="",T360=TRUE),"",INDEX(BC373:BE373,MATCH(K359,BC369:BE369,0)))</f>
        <v/>
      </c>
      <c r="O359" s="1314" t="s">
        <v>257</v>
      </c>
      <c r="P359" s="1303" t="str">
        <f>IF(AND(E359&lt;&gt;"",COUNTIF(P360:$P$2089,"PRINT")=0),"PRINT","")</f>
        <v/>
      </c>
      <c r="Q359" s="343" t="str">
        <f>EUconst_SumCO2 &amp; "_" &amp; K359</f>
        <v>SUM_CO2_</v>
      </c>
      <c r="R359" s="485"/>
      <c r="S359" s="23"/>
      <c r="T359" s="500" t="s">
        <v>387</v>
      </c>
      <c r="U359" s="23"/>
      <c r="V359" s="76"/>
      <c r="W359" s="56"/>
      <c r="X359" s="58"/>
      <c r="Y359" s="58"/>
      <c r="Z359" s="58"/>
      <c r="AA359" s="58"/>
      <c r="AB359" s="58"/>
      <c r="AC359" s="58"/>
      <c r="AD359" s="58"/>
      <c r="AE359" s="58"/>
      <c r="AF359" s="58"/>
      <c r="AG359" s="58"/>
      <c r="AH359" s="58"/>
      <c r="AI359" s="333"/>
      <c r="AJ359" s="333"/>
      <c r="AK359" s="333"/>
      <c r="AL359" s="333"/>
      <c r="AM359" s="333"/>
      <c r="AN359" s="333"/>
      <c r="AO359" s="333"/>
      <c r="AP359" s="333"/>
      <c r="AQ359" s="333"/>
      <c r="AR359" s="333"/>
      <c r="AS359" s="333"/>
      <c r="AT359" s="333"/>
      <c r="AU359" s="333"/>
      <c r="AV359" s="333"/>
      <c r="AW359" s="333"/>
      <c r="AX359" s="333"/>
      <c r="AY359" s="333"/>
      <c r="AZ359" s="333"/>
      <c r="BA359" s="333"/>
      <c r="BB359" s="333"/>
      <c r="BC359" s="333"/>
      <c r="BD359" s="333"/>
      <c r="BE359" s="333"/>
      <c r="BF359" s="333"/>
      <c r="BG359" s="333"/>
      <c r="BH359" s="834">
        <f>AR369</f>
        <v>0</v>
      </c>
      <c r="BI359" s="834" t="str">
        <f>AJ369</f>
        <v/>
      </c>
      <c r="BJ359" s="834">
        <f>AR371</f>
        <v>0</v>
      </c>
      <c r="BK359" s="834" t="str">
        <f>AJ371</f>
        <v/>
      </c>
      <c r="BL359" s="834">
        <f>AR372</f>
        <v>0</v>
      </c>
      <c r="BM359" s="834" t="str">
        <f>AJ372</f>
        <v/>
      </c>
      <c r="BN359" s="834">
        <f>AR373</f>
        <v>1</v>
      </c>
      <c r="BO359" s="834">
        <f>AR374</f>
        <v>1</v>
      </c>
      <c r="BP359" s="834">
        <f>AR375</f>
        <v>0</v>
      </c>
      <c r="BQ359" s="834" t="str">
        <f>AJ375</f>
        <v/>
      </c>
      <c r="BR359" s="834">
        <f>AR376</f>
        <v>0</v>
      </c>
      <c r="BS359" s="834">
        <f>AR377</f>
        <v>0</v>
      </c>
      <c r="BT359" s="834" t="str">
        <f>N359</f>
        <v/>
      </c>
      <c r="BU359" s="834" t="str">
        <f>N360</f>
        <v/>
      </c>
      <c r="BV359" s="834" t="str">
        <f>R362</f>
        <v/>
      </c>
      <c r="BW359" s="834" t="str">
        <f>R368</f>
        <v/>
      </c>
      <c r="BX359" s="834" t="str">
        <f>R369</f>
        <v/>
      </c>
      <c r="BY359" s="56"/>
      <c r="BZ359" s="610" t="b">
        <f>CNTR_CalcRelevant=EUconst_NotRelevant</f>
        <v>0</v>
      </c>
    </row>
    <row r="360" spans="1:78" s="140" customFormat="1" ht="15" customHeight="1" thickBot="1" x14ac:dyDescent="0.25">
      <c r="A360" s="777"/>
      <c r="B360" s="1248"/>
      <c r="C360" s="164"/>
      <c r="D360" s="164"/>
      <c r="E360" s="1625" t="str">
        <f>IF(ISBLANK(E359),"",IF(INDEX(B_InstallationDescription!$E$71:$E$145,MATCH(U358,B_InstallationDescription!$D$71:$D$145,0))&gt;0,INDEX(B_InstallationDescription!$E$71:$E$145,MATCH(U358,B_InstallationDescription!$D$71:$D$145,0)),""))</f>
        <v/>
      </c>
      <c r="F360" s="1626"/>
      <c r="G360" s="1626"/>
      <c r="H360" s="1626"/>
      <c r="I360" s="1626"/>
      <c r="J360" s="1627"/>
      <c r="M360" s="337" t="str">
        <f>Translations!$B$666</f>
        <v>CO2, biomasės kilmės.:</v>
      </c>
      <c r="N360" s="1013" t="str">
        <f>IF(OR(K359="",T360=TRUE),"",INDEX(BC372:BE372,MATCH(K359,BC369:BE369,0)))</f>
        <v/>
      </c>
      <c r="O360" s="1315" t="s">
        <v>257</v>
      </c>
      <c r="P360" s="485"/>
      <c r="Q360" s="343" t="str">
        <f>EUconst_SumBioCO2 &amp; "_" &amp; K359</f>
        <v>SUM_bioCO2_</v>
      </c>
      <c r="R360" s="485"/>
      <c r="S360" s="23"/>
      <c r="T360" s="48" t="str">
        <f>IF(E360="","",MATCH(E360,EUConst_TierActivityListNames,0)&gt;40)</f>
        <v/>
      </c>
      <c r="U360" s="23"/>
      <c r="V360" s="76"/>
      <c r="W360" s="56"/>
      <c r="X360" s="58"/>
      <c r="Y360" s="27" t="s">
        <v>91</v>
      </c>
      <c r="Z360" s="30"/>
      <c r="AA360" s="30"/>
      <c r="AB360" s="30"/>
      <c r="AC360" s="30"/>
      <c r="AD360" s="30"/>
      <c r="AE360" s="27" t="s">
        <v>297</v>
      </c>
      <c r="AF360" s="58"/>
      <c r="AG360" s="495"/>
      <c r="AH360" s="30"/>
      <c r="AI360" s="30"/>
      <c r="AJ360" s="495"/>
      <c r="AK360" s="495"/>
      <c r="AL360" s="333"/>
      <c r="AM360" s="27" t="s">
        <v>303</v>
      </c>
      <c r="AN360" s="496"/>
      <c r="AO360" s="496"/>
      <c r="AP360" s="30"/>
      <c r="AQ360" s="30"/>
      <c r="AR360" s="30"/>
      <c r="AS360" s="30"/>
      <c r="AT360" s="30"/>
      <c r="AU360" s="30"/>
      <c r="AV360" s="27" t="s">
        <v>310</v>
      </c>
      <c r="AW360" s="30"/>
      <c r="AX360" s="483"/>
      <c r="AY360" s="30"/>
      <c r="AZ360" s="30"/>
      <c r="BA360" s="30"/>
      <c r="BB360" s="27" t="s">
        <v>217</v>
      </c>
      <c r="BC360" s="30"/>
      <c r="BD360" s="30"/>
      <c r="BE360" s="30"/>
      <c r="BF360" s="30"/>
      <c r="BG360" s="27" t="s">
        <v>486</v>
      </c>
      <c r="BH360" s="833" t="s">
        <v>552</v>
      </c>
      <c r="BI360" s="833" t="s">
        <v>487</v>
      </c>
      <c r="BJ360" s="833" t="s">
        <v>211</v>
      </c>
      <c r="BK360" s="833" t="s">
        <v>488</v>
      </c>
      <c r="BL360" s="833" t="s">
        <v>68</v>
      </c>
      <c r="BM360" s="833" t="s">
        <v>489</v>
      </c>
      <c r="BN360" s="833" t="s">
        <v>490</v>
      </c>
      <c r="BO360" s="833" t="s">
        <v>491</v>
      </c>
      <c r="BP360" s="833" t="s">
        <v>214</v>
      </c>
      <c r="BQ360" s="833" t="s">
        <v>492</v>
      </c>
      <c r="BR360" s="833" t="s">
        <v>493</v>
      </c>
      <c r="BS360" s="833" t="s">
        <v>494</v>
      </c>
      <c r="BT360" s="833" t="s">
        <v>287</v>
      </c>
      <c r="BU360" s="833" t="s">
        <v>495</v>
      </c>
      <c r="BV360" s="833" t="s">
        <v>498</v>
      </c>
      <c r="BW360" s="833" t="s">
        <v>496</v>
      </c>
      <c r="BX360" s="833" t="s">
        <v>497</v>
      </c>
      <c r="BY360" s="30"/>
      <c r="BZ360" s="30"/>
    </row>
    <row r="361" spans="1:78" s="140" customFormat="1" ht="5.0999999999999996" customHeight="1" thickBot="1" x14ac:dyDescent="0.25">
      <c r="A361" s="777"/>
      <c r="B361" s="1248"/>
      <c r="C361" s="164"/>
      <c r="D361" s="164"/>
      <c r="E361" s="164"/>
      <c r="F361" s="164"/>
      <c r="G361" s="164"/>
      <c r="M361" s="141"/>
      <c r="N361" s="141"/>
      <c r="O361" s="1305"/>
      <c r="P361" s="33"/>
      <c r="Q361" s="33"/>
      <c r="R361" s="33"/>
      <c r="S361" s="23"/>
      <c r="T361" s="23"/>
      <c r="U361" s="23"/>
      <c r="V361" s="76"/>
      <c r="W361" s="30"/>
      <c r="X361" s="30"/>
      <c r="Y361" s="485"/>
      <c r="Z361" s="30"/>
      <c r="AA361" s="30"/>
      <c r="AB361" s="30"/>
      <c r="AC361" s="30"/>
      <c r="AD361" s="30"/>
      <c r="AE361" s="30"/>
      <c r="AF361" s="58"/>
      <c r="AG361" s="30"/>
      <c r="AH361" s="30"/>
      <c r="AI361" s="30"/>
      <c r="AJ361" s="495"/>
      <c r="AK361" s="495"/>
      <c r="AL361" s="333"/>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row>
    <row r="362" spans="1:78" s="140" customFormat="1" ht="12.75" customHeight="1" thickBot="1" x14ac:dyDescent="0.25">
      <c r="A362" s="777"/>
      <c r="B362" s="1248"/>
      <c r="C362" s="164"/>
      <c r="D362" s="164"/>
      <c r="E362" s="1628" t="str">
        <f>IF(E359="","",IF(T360=TRUE,HYPERLINK("#JUMP_14",EUconst_MsgGoOnPFC),HYPERLINK("#JUMP_E_8",EUconst_FurtherGuidancePoint1)))</f>
        <v/>
      </c>
      <c r="F362" s="1628"/>
      <c r="G362" s="1628"/>
      <c r="H362" s="1628"/>
      <c r="I362" s="1628"/>
      <c r="J362" s="1628"/>
      <c r="K362" s="1628"/>
      <c r="L362" s="1628"/>
      <c r="M362" s="1628"/>
      <c r="N362" s="141"/>
      <c r="O362" s="1305"/>
      <c r="P362" s="33"/>
      <c r="Q362" s="343" t="str">
        <f>EUconst_SumNonSustBioCO2 &amp; "_" &amp; K359</f>
        <v>SUM_bioNonSustCO2_</v>
      </c>
      <c r="R362" s="698" t="str">
        <f>IF(OR(K359="",T360=TRUE),"",ROUND(INDEX(BC371:BE371,MATCH(K359,BC369:BE369,0)),0))</f>
        <v/>
      </c>
      <c r="S362" s="23"/>
      <c r="T362" s="23"/>
      <c r="U362" s="23"/>
      <c r="V362" s="30"/>
      <c r="W362" s="30"/>
      <c r="X362" s="30"/>
      <c r="Y362" s="58"/>
      <c r="Z362" s="30"/>
      <c r="AA362" s="30"/>
      <c r="AB362" s="30"/>
      <c r="AC362" s="30"/>
      <c r="AD362" s="30"/>
      <c r="AE362" s="30"/>
      <c r="AF362" s="58"/>
      <c r="AG362" s="30"/>
      <c r="AH362" s="30"/>
      <c r="AI362" s="30"/>
      <c r="AJ362" s="495"/>
      <c r="AK362" s="495"/>
      <c r="AL362" s="333"/>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row>
    <row r="363" spans="1:78" s="140" customFormat="1" ht="5.0999999999999996" customHeight="1" thickBot="1" x14ac:dyDescent="0.25">
      <c r="A363" s="777"/>
      <c r="B363" s="1248"/>
      <c r="C363" s="164"/>
      <c r="D363" s="164"/>
      <c r="E363" s="164"/>
      <c r="F363" s="164"/>
      <c r="G363" s="164"/>
      <c r="M363" s="141"/>
      <c r="N363" s="141"/>
      <c r="O363" s="1305"/>
      <c r="P363" s="23"/>
      <c r="Q363" s="23"/>
      <c r="R363" s="23"/>
      <c r="S363" s="23"/>
      <c r="T363" s="23"/>
      <c r="U363" s="23"/>
      <c r="V363" s="30"/>
      <c r="W363" s="30"/>
      <c r="X363" s="30"/>
      <c r="Y363" s="485"/>
      <c r="Z363" s="30"/>
      <c r="AA363" s="30"/>
      <c r="AB363" s="30"/>
      <c r="AC363" s="30"/>
      <c r="AD363" s="30"/>
      <c r="AE363" s="30"/>
      <c r="AF363" s="58"/>
      <c r="AG363" s="30"/>
      <c r="AH363" s="30"/>
      <c r="AI363" s="30"/>
      <c r="AJ363" s="495"/>
      <c r="AK363" s="495"/>
      <c r="AL363" s="333"/>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row>
    <row r="364" spans="1:78" s="140" customFormat="1" ht="12.75" customHeight="1" thickBot="1" x14ac:dyDescent="0.25">
      <c r="A364" s="777"/>
      <c r="B364" s="1248"/>
      <c r="C364" s="783" t="s">
        <v>4</v>
      </c>
      <c r="D364" s="503" t="str">
        <f>Translations!$B$622</f>
        <v>VD:</v>
      </c>
      <c r="E364" s="1631" t="str">
        <f>Translations!$B$667</f>
        <v>Ar veiklos duomenys gaunami sudedant išmatuotus kiekius (t. y. ne atliekant nuolatinius matavimus)?</v>
      </c>
      <c r="F364" s="1631"/>
      <c r="G364" s="1631"/>
      <c r="H364" s="1631"/>
      <c r="I364" s="1631"/>
      <c r="J364" s="1631"/>
      <c r="K364" s="1631"/>
      <c r="L364" s="1122"/>
      <c r="M364" s="498"/>
      <c r="O364" s="1305"/>
      <c r="P364" s="23"/>
      <c r="Q364" s="23"/>
      <c r="R364" s="23"/>
      <c r="S364" s="23"/>
      <c r="T364" s="23"/>
      <c r="U364" s="23"/>
      <c r="V364" s="30"/>
      <c r="W364" s="30"/>
      <c r="X364" s="30"/>
      <c r="Y364" s="485"/>
      <c r="Z364" s="30"/>
      <c r="AA364" s="30"/>
      <c r="AB364" s="30"/>
      <c r="AC364" s="1115" t="b">
        <f>AND(E359&lt;&gt;"",T360&lt;&gt;TRUE)</f>
        <v>0</v>
      </c>
      <c r="AD364" s="30"/>
      <c r="AE364" s="30"/>
      <c r="AF364" s="58"/>
      <c r="AG364" s="30"/>
      <c r="AH364" s="30"/>
      <c r="AI364" s="30"/>
      <c r="AJ364" s="495"/>
      <c r="AK364" s="495"/>
      <c r="AL364" s="333"/>
      <c r="AM364" s="30"/>
      <c r="AN364" s="30"/>
      <c r="AO364" s="30"/>
      <c r="AP364" s="30"/>
      <c r="AQ364" s="30"/>
      <c r="AR364" s="30"/>
      <c r="AS364" s="30"/>
      <c r="AT364" s="1115" t="b">
        <f>MSPara_BatchReportingMandatory&lt;&gt;TRUE</f>
        <v>0</v>
      </c>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1115" t="b">
        <f>OR(CNTR_CalcRelevant=EUconst_NotRelevant,AND(COUNTA(CNTR_ListRelevantSections)&gt;0,OR(T360=TRUE,E359="")))</f>
        <v>1</v>
      </c>
    </row>
    <row r="365" spans="1:78" s="140" customFormat="1" ht="5.0999999999999996" customHeight="1" thickBot="1" x14ac:dyDescent="0.25">
      <c r="A365" s="777"/>
      <c r="B365" s="1248"/>
      <c r="C365" s="164"/>
      <c r="D365" s="164"/>
      <c r="E365" s="164"/>
      <c r="F365" s="164"/>
      <c r="G365" s="164"/>
      <c r="H365" s="486"/>
      <c r="I365" s="486"/>
      <c r="J365" s="486"/>
      <c r="K365" s="486"/>
      <c r="L365" s="486"/>
      <c r="M365" s="498"/>
      <c r="O365" s="1305"/>
      <c r="P365" s="23"/>
      <c r="Q365" s="23"/>
      <c r="R365" s="23"/>
      <c r="S365" s="23"/>
      <c r="T365" s="23"/>
      <c r="U365" s="23"/>
      <c r="V365" s="30"/>
      <c r="W365" s="30"/>
      <c r="X365" s="30"/>
      <c r="Y365" s="485"/>
      <c r="Z365" s="30"/>
      <c r="AA365" s="30"/>
      <c r="AB365" s="30"/>
      <c r="AC365" s="483"/>
      <c r="AD365" s="30"/>
      <c r="AE365" s="30"/>
      <c r="AF365" s="58"/>
      <c r="AG365" s="30"/>
      <c r="AH365" s="30"/>
      <c r="AI365" s="30"/>
      <c r="AJ365" s="495"/>
      <c r="AK365" s="495"/>
      <c r="AL365" s="333"/>
      <c r="AM365" s="30"/>
      <c r="AN365" s="30"/>
      <c r="AO365" s="30"/>
      <c r="AP365" s="30"/>
      <c r="AQ365" s="30"/>
      <c r="AR365" s="30"/>
      <c r="AS365" s="30"/>
      <c r="AT365" s="483"/>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483"/>
    </row>
    <row r="366" spans="1:78" s="140" customFormat="1" ht="12.75" customHeight="1" thickBot="1" x14ac:dyDescent="0.25">
      <c r="A366" s="777"/>
      <c r="B366" s="1248"/>
      <c r="C366" s="783" t="s">
        <v>5</v>
      </c>
      <c r="D366" s="503" t="str">
        <f>Translations!$B$622</f>
        <v>VD:</v>
      </c>
      <c r="E366" s="1105" t="str">
        <f>Translations!$B$668</f>
        <v>Pradinis kiekis:</v>
      </c>
      <c r="F366" s="1123"/>
      <c r="G366" s="1106" t="str">
        <f>Translations!$B$669</f>
        <v>Galutinis kiekis:</v>
      </c>
      <c r="H366" s="1123"/>
      <c r="I366" s="1106" t="str">
        <f>Translations!$B$670</f>
        <v>Įsigytas kiekis:</v>
      </c>
      <c r="J366" s="1123"/>
      <c r="K366" s="1106" t="str">
        <f>Translations!$B$671</f>
        <v>Perduotas kiekis:</v>
      </c>
      <c r="L366" s="1123"/>
      <c r="M366" s="1107" t="str">
        <f>IF(AND(L364=TRUE,COUNT(F366,H366,J366,L366)&lt;4),EUconst_ERR_Incomplete,"")</f>
        <v/>
      </c>
      <c r="O366" s="1305"/>
      <c r="P366" s="23"/>
      <c r="Q366" s="23"/>
      <c r="R366" s="23"/>
      <c r="S366" s="23"/>
      <c r="T366" s="23"/>
      <c r="U366" s="23"/>
      <c r="V366" s="30"/>
      <c r="W366" s="30"/>
      <c r="X366" s="30"/>
      <c r="Y366" s="485"/>
      <c r="Z366" s="30"/>
      <c r="AA366" s="30"/>
      <c r="AB366" s="30"/>
      <c r="AC366" s="1115" t="b">
        <f>AC364</f>
        <v>0</v>
      </c>
      <c r="AD366" s="30"/>
      <c r="AE366" s="30"/>
      <c r="AF366" s="58"/>
      <c r="AG366" s="30"/>
      <c r="AH366" s="30"/>
      <c r="AI366" s="30"/>
      <c r="AJ366" s="495"/>
      <c r="AK366" s="495"/>
      <c r="AL366" s="333"/>
      <c r="AM366" s="30"/>
      <c r="AN366" s="30"/>
      <c r="AO366" s="30"/>
      <c r="AP366" s="30"/>
      <c r="AQ366" s="30"/>
      <c r="AR366" s="30"/>
      <c r="AS366" s="30"/>
      <c r="AT366" s="1115" t="b">
        <f>AND(AT364=TRUE,L364="")</f>
        <v>0</v>
      </c>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1115" t="b">
        <f>OR(BZ364,AND(NOT(ISBLANK(L364)),L364=FALSE))</f>
        <v>1</v>
      </c>
    </row>
    <row r="367" spans="1:78" s="140" customFormat="1" ht="5.0999999999999996" customHeight="1" thickBot="1" x14ac:dyDescent="0.25">
      <c r="A367" s="777"/>
      <c r="B367" s="1248"/>
      <c r="C367" s="164"/>
      <c r="D367" s="164"/>
      <c r="E367" s="164"/>
      <c r="F367" s="164"/>
      <c r="G367" s="164"/>
      <c r="M367" s="141"/>
      <c r="N367" s="141"/>
      <c r="O367" s="1305"/>
      <c r="P367" s="23"/>
      <c r="Q367" s="23"/>
      <c r="R367" s="23"/>
      <c r="S367" s="23"/>
      <c r="T367" s="23"/>
      <c r="U367" s="23"/>
      <c r="V367" s="30"/>
      <c r="W367" s="30"/>
      <c r="X367" s="30"/>
      <c r="Y367" s="485"/>
      <c r="Z367" s="30"/>
      <c r="AA367" s="30"/>
      <c r="AB367" s="30"/>
      <c r="AC367" s="30"/>
      <c r="AD367" s="30"/>
      <c r="AE367" s="30"/>
      <c r="AF367" s="58"/>
      <c r="AG367" s="30"/>
      <c r="AH367" s="30"/>
      <c r="AI367" s="30"/>
      <c r="AJ367" s="495"/>
      <c r="AK367" s="495"/>
      <c r="AL367" s="333"/>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row>
    <row r="368" spans="1:78" s="140" customFormat="1" ht="12.75" customHeight="1" thickBot="1" x14ac:dyDescent="0.25">
      <c r="A368" s="777"/>
      <c r="B368" s="1248"/>
      <c r="C368" s="164"/>
      <c r="D368" s="164"/>
      <c r="E368" s="164"/>
      <c r="F368" s="497" t="str">
        <f>Translations!$B$333</f>
        <v>Pakopa</v>
      </c>
      <c r="G368" s="1613" t="str">
        <f>Translations!$B$672</f>
        <v>pakopos aprašas</v>
      </c>
      <c r="H368" s="1613"/>
      <c r="I368" s="1608" t="str">
        <f>Translations!$B$158</f>
        <v>Vienetas</v>
      </c>
      <c r="J368" s="1608"/>
      <c r="K368" s="1608" t="str">
        <f>Translations!$B$673</f>
        <v>Vertė</v>
      </c>
      <c r="L368" s="1608"/>
      <c r="M368" s="498" t="str">
        <f>Translations!$B$610</f>
        <v>klaida</v>
      </c>
      <c r="O368" s="1305"/>
      <c r="P368" s="499"/>
      <c r="Q368" s="343" t="str">
        <f>EUconst_SumEnergyIN &amp; "_" &amp; K359</f>
        <v>SUM_EnergyIN_</v>
      </c>
      <c r="R368" s="390" t="str">
        <f>IF(OR(K359="",T360)=TRUE,"",INDEX(BC374:BE374,MATCH(K359,BC369:BE369,0)))</f>
        <v/>
      </c>
      <c r="S368" s="30"/>
      <c r="T368" s="480"/>
      <c r="U368" s="30"/>
      <c r="V368" s="500" t="s">
        <v>298</v>
      </c>
      <c r="W368" s="30"/>
      <c r="X368" s="30"/>
      <c r="Y368" s="485" t="s">
        <v>560</v>
      </c>
      <c r="Z368" s="485" t="s">
        <v>313</v>
      </c>
      <c r="AA368" s="30"/>
      <c r="AB368" s="30"/>
      <c r="AC368" s="496" t="s">
        <v>304</v>
      </c>
      <c r="AD368" s="30"/>
      <c r="AE368" s="30"/>
      <c r="AF368" s="483" t="s">
        <v>300</v>
      </c>
      <c r="AG368" s="483" t="s">
        <v>301</v>
      </c>
      <c r="AH368" s="485" t="s">
        <v>299</v>
      </c>
      <c r="AI368" s="495" t="s">
        <v>302</v>
      </c>
      <c r="AJ368" s="495" t="s">
        <v>561</v>
      </c>
      <c r="AK368" s="501" t="s">
        <v>306</v>
      </c>
      <c r="AL368" s="333"/>
      <c r="AM368" s="30"/>
      <c r="AN368" s="483" t="s">
        <v>300</v>
      </c>
      <c r="AO368" s="483" t="s">
        <v>301</v>
      </c>
      <c r="AP368" s="502" t="s">
        <v>305</v>
      </c>
      <c r="AQ368" s="495" t="s">
        <v>563</v>
      </c>
      <c r="AR368" s="495" t="s">
        <v>562</v>
      </c>
      <c r="AS368" s="501" t="s">
        <v>306</v>
      </c>
      <c r="AT368" s="501" t="s">
        <v>306</v>
      </c>
      <c r="AU368" s="30"/>
      <c r="AV368" s="483"/>
      <c r="AW368" s="483"/>
      <c r="AX368" s="483" t="s">
        <v>316</v>
      </c>
      <c r="AY368" s="483"/>
      <c r="AZ368" s="483"/>
      <c r="BA368" s="483"/>
      <c r="BB368" s="483"/>
      <c r="BC368" s="483"/>
      <c r="BD368" s="483"/>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484" t="s">
        <v>259</v>
      </c>
    </row>
    <row r="369" spans="1:78" s="140" customFormat="1" ht="12.75" customHeight="1" thickBot="1" x14ac:dyDescent="0.25">
      <c r="A369" s="777"/>
      <c r="B369" s="1248"/>
      <c r="C369" s="753" t="s">
        <v>194</v>
      </c>
      <c r="D369" s="503" t="str">
        <f>Translations!$B$622</f>
        <v>VD:</v>
      </c>
      <c r="E369" s="504"/>
      <c r="F369" s="393"/>
      <c r="G369" s="1603" t="str">
        <f>IF(OR(ISBLANK(F369),F369=EUconst_NoTier),"",IF(Z369=0,EUconst_NA,IF(ISERROR(Z369),"",Z369)))</f>
        <v/>
      </c>
      <c r="H369" s="1604"/>
      <c r="I369" s="1108" t="str">
        <f>IF(J369&lt;&gt;"","",AI369)</f>
        <v/>
      </c>
      <c r="J369" s="1109"/>
      <c r="K369" s="1116" t="str">
        <f>IF(L369="",AQ369,"")</f>
        <v/>
      </c>
      <c r="L369" s="1199"/>
      <c r="M369" s="700" t="str">
        <f>IF(AND(E360&lt;&gt;"",OR(F369="",COUNT(K369:L369)=0),Y369&lt;&gt;EUconst_NA,T360&lt;&gt;TRUE),EUconst_ERR_Incomplete,IF(COUNTIF(AX369:AZ369,TRUE)&gt;0,EUconst_ERR_Inconsistent,""))</f>
        <v/>
      </c>
      <c r="O369" s="1305"/>
      <c r="P369" s="635"/>
      <c r="Q369" s="343" t="str">
        <f>EUconst_SumBioEnergyIN &amp; "_" &amp; K359</f>
        <v>SUM_BioEnergyIN_</v>
      </c>
      <c r="R369" s="390" t="str">
        <f>IF(OR(K359="",T360)=TRUE,"",INDEX(BC375:BE375,MATCH(K359,BC369:BE369,0)))</f>
        <v/>
      </c>
      <c r="S369" s="30"/>
      <c r="T369" s="505" t="str">
        <f>EUconst_CNTR_ActivityData&amp;E360</f>
        <v>ActivityData_</v>
      </c>
      <c r="U369" s="488"/>
      <c r="V369" s="505" t="str">
        <f>IF(E359="","",INDEX(B_InstallationDescription!$I$71:$I$145,MATCH(U358,B_InstallationDescription!$D$71:$D$145,0)))</f>
        <v/>
      </c>
      <c r="W369" s="495" t="s">
        <v>533</v>
      </c>
      <c r="X369" s="488"/>
      <c r="Y369" s="506" t="str">
        <f>IF(OR(T360=TRUE,E360=""),"",INDEX(EUwideConstants!$N:$N,MATCH(T369,EUwideConstants!$Q:$Q,0)))</f>
        <v/>
      </c>
      <c r="Z369" s="507" t="str">
        <f>IF(ISBLANK(F369),"",IF(F369=EUconst_NA,"",INDEX(EUwideConstants!$H:$M,MATCH(T369,EUwideConstants!$Q:$Q,0),MATCH(F369,CNTR_TierList,0))))</f>
        <v/>
      </c>
      <c r="AA369" s="508" t="s">
        <v>299</v>
      </c>
      <c r="AB369" s="495"/>
      <c r="AC369" s="509" t="b">
        <f>AC364</f>
        <v>0</v>
      </c>
      <c r="AD369" s="30"/>
      <c r="AE369" s="510" t="str">
        <f>EUconst_CNTR_ActivityData&amp;EUconst_Unit</f>
        <v>ActivityData_Vienetas</v>
      </c>
      <c r="AF369" s="511" t="str">
        <f>IF(AC369=TRUE, IF(COUNTIF(MSPara_SourceStreamCategory,V369)=0,"",INDEX(MSPara_CalcFactorsMatrix,MATCH(V369,MSPara_SourceStreamCategory,0),MATCH(AE369&amp;"_"&amp;2,MSPara_CalcFactors,0))),"")</f>
        <v/>
      </c>
      <c r="AG369" s="512" t="str">
        <f>IF(AC369=TRUE, IF(COUNTIF(MSPara_SourceStreamCategory,V369)=0,"",INDEX(MSPara_CalcFactorsMatrix,MATCH(V369,MSPara_SourceStreamCategory,0),MATCH(AE369&amp;"_"&amp;1,MSPara_CalcFactors,0))),"")</f>
        <v/>
      </c>
      <c r="AH369" s="509" t="str">
        <f>IF(OR(AF369="",AF369=EUconst_NA),IF(OR(AG369=EUconst_NA,AG369=""),"",AG369),AF369)</f>
        <v/>
      </c>
      <c r="AI369" s="506" t="str">
        <f>IF(AC369=TRUE,IF(AH369="",EUconst_t,AH369),"")</f>
        <v/>
      </c>
      <c r="AJ369" s="513" t="str">
        <f>IF(J369="",AI369,J369)</f>
        <v/>
      </c>
      <c r="AK369" s="514" t="b">
        <f>IF(K359=EUconst_Fuel,J369&lt;&gt;"",FALSE)</f>
        <v>0</v>
      </c>
      <c r="AL369" s="333"/>
      <c r="AM369" s="505" t="str">
        <f>EUconst_CNTR_ActivityData&amp;EUconst_Value</f>
        <v>ActivityData_Vertė</v>
      </c>
      <c r="AN369" s="496"/>
      <c r="AO369" s="496"/>
      <c r="AP369" s="509" t="b">
        <f>AND(AND(AH369&lt;&gt;"",AJ369&lt;&gt;""),AJ369=AH369)</f>
        <v>0</v>
      </c>
      <c r="AQ369" s="610" t="str">
        <f>IF(L364=TRUE,SUM(F366)-SUM(H366)+SUM(J366)-SUM(L366),"")</f>
        <v/>
      </c>
      <c r="AR369" s="509">
        <f>IF(Y369=EUconst_NA,0,IF(COUNT(K369:L369)=0,0,IF(L369="",K369,L369)))</f>
        <v>0</v>
      </c>
      <c r="AS369" s="1115" t="b">
        <f>AND(AC369=TRUE,OR(L369&lt;&gt;"",AQ369=""))</f>
        <v>0</v>
      </c>
      <c r="AT369" s="1115" t="b">
        <f>AND(AC369=TRUE,NOT(AS369))</f>
        <v>0</v>
      </c>
      <c r="AU369" s="30"/>
      <c r="AV369" s="483" t="s">
        <v>309</v>
      </c>
      <c r="AW369" s="483" t="s">
        <v>314</v>
      </c>
      <c r="AX369" s="515"/>
      <c r="AY369" s="30" t="s">
        <v>536</v>
      </c>
      <c r="AZ369" s="30"/>
      <c r="BA369" s="30"/>
      <c r="BB369" s="495"/>
      <c r="BC369" s="484" t="str">
        <f>EUconst_Fuel</f>
        <v>Degimas</v>
      </c>
      <c r="BD369" s="484" t="str">
        <f>EUconst_ProcessCarbonate</f>
        <v>Proceso metu išsiskiriančios ŠESD</v>
      </c>
      <c r="BE369" s="484" t="str">
        <f>EUconst_MassBalance</f>
        <v>Masės balansas</v>
      </c>
      <c r="BF369" s="30"/>
      <c r="BG369" s="30"/>
      <c r="BH369" s="30"/>
      <c r="BI369" s="30"/>
      <c r="BJ369" s="30"/>
      <c r="BK369" s="30"/>
      <c r="BL369" s="30"/>
      <c r="BM369" s="30"/>
      <c r="BN369" s="30"/>
      <c r="BO369" s="30"/>
      <c r="BP369" s="30"/>
      <c r="BQ369" s="30"/>
      <c r="BR369" s="30"/>
      <c r="BS369" s="30"/>
      <c r="BT369" s="30"/>
      <c r="BU369" s="30"/>
      <c r="BV369" s="30"/>
      <c r="BW369" s="30"/>
      <c r="BX369" s="30"/>
      <c r="BY369" s="30"/>
      <c r="BZ369" s="515" t="b">
        <f>BZ364</f>
        <v>1</v>
      </c>
    </row>
    <row r="370" spans="1:78" s="140" customFormat="1" ht="5.0999999999999996" customHeight="1" thickBot="1" x14ac:dyDescent="0.25">
      <c r="A370" s="777"/>
      <c r="B370" s="1248"/>
      <c r="C370" s="783"/>
      <c r="D370" s="298"/>
      <c r="F370" s="141"/>
      <c r="G370" s="141"/>
      <c r="H370" s="141" t="s">
        <v>233</v>
      </c>
      <c r="I370" s="516"/>
      <c r="J370" s="516"/>
      <c r="K370" s="141"/>
      <c r="L370" s="141"/>
      <c r="M370" s="701"/>
      <c r="O370" s="1305"/>
      <c r="P370" s="33"/>
      <c r="Q370" s="33"/>
      <c r="R370" s="33"/>
      <c r="S370" s="30"/>
      <c r="T370" s="153"/>
      <c r="U370" s="488"/>
      <c r="V370" s="30"/>
      <c r="W370" s="30"/>
      <c r="X370" s="488"/>
      <c r="Y370" s="517"/>
      <c r="Z370" s="30"/>
      <c r="AA370" s="30"/>
      <c r="AB370" s="30"/>
      <c r="AC370" s="30"/>
      <c r="AD370" s="30"/>
      <c r="AE370" s="30"/>
      <c r="AF370" s="30"/>
      <c r="AG370" s="30"/>
      <c r="AH370" s="30"/>
      <c r="AI370" s="30"/>
      <c r="AJ370" s="30"/>
      <c r="AK370" s="30"/>
      <c r="AL370" s="333"/>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484"/>
    </row>
    <row r="371" spans="1:78" s="140" customFormat="1" ht="12.75" customHeight="1" thickBot="1" x14ac:dyDescent="0.25">
      <c r="A371" s="777"/>
      <c r="B371" s="1248"/>
      <c r="C371" s="783" t="s">
        <v>195</v>
      </c>
      <c r="D371" s="503" t="str">
        <f>Translations!$B$634</f>
        <v>(prelim.) ITF:</v>
      </c>
      <c r="E371" s="504"/>
      <c r="F371" s="518"/>
      <c r="G371" s="1603" t="str">
        <f t="shared" ref="G371:G377" si="77">IF(OR(ISBLANK(F371),F371=EUconst_NoTier),"",IF(Z371=0,EUconst_NotApplicable,IF(ISERROR(Z371),"",Z371)))</f>
        <v/>
      </c>
      <c r="H371" s="1609"/>
      <c r="I371" s="1110" t="str">
        <f>IF(J371&lt;&gt;"","",AI371)</f>
        <v/>
      </c>
      <c r="J371" s="1111"/>
      <c r="K371" s="519" t="str">
        <f t="shared" ref="K371:K377" si="78">IF(L371="",AQ371,"")</f>
        <v/>
      </c>
      <c r="L371" s="520"/>
      <c r="M371" s="700" t="str">
        <f>IF(AND(E360&lt;&gt;"",OR(F371="",COUNT(K371:L371)=0),Y371&lt;&gt;EUconst_NA,T360&lt;&gt;TRUE),EUconst_ERR_Incomplete,IF(COUNTIF(AX371:AZ371,TRUE)&gt;0,EUconst_ERR_Inconsistent,""))</f>
        <v/>
      </c>
      <c r="N371" s="486"/>
      <c r="O371" s="1305"/>
      <c r="P371" s="33"/>
      <c r="Q371" s="33"/>
      <c r="R371" s="33"/>
      <c r="S371" s="30"/>
      <c r="T371" s="521" t="str">
        <f>EUconst_CNTR_EF&amp;E360</f>
        <v>EF_</v>
      </c>
      <c r="U371" s="488"/>
      <c r="V371" s="522" t="str">
        <f>V369</f>
        <v/>
      </c>
      <c r="W371" s="30"/>
      <c r="X371" s="488"/>
      <c r="Y371" s="523" t="str">
        <f>IF(OR(T360=TRUE,E360=""),"",IF(F371=EUconst_NA,EUconst_NA,INDEX(EUwideConstants!$N:$N,MATCH(T371,EUwideConstants!$Q:$Q,0))))</f>
        <v/>
      </c>
      <c r="Z371" s="524" t="str">
        <f>IF(ISBLANK(F371),"",IF(F371=EUconst_NA,"",INDEX(EUwideConstants!$H:$M,MATCH(T371,EUwideConstants!$Q:$Q,0),MATCH(F371,CNTR_TierList,0))))</f>
        <v/>
      </c>
      <c r="AA371" s="525" t="str">
        <f>IF(COUNTIF(EUconst_DefaultValues,Z371)&gt;0,MATCH(Z371,EUconst_DefaultValues,0),"")</f>
        <v/>
      </c>
      <c r="AB371" s="30"/>
      <c r="AC371" s="526" t="b">
        <f>AND(AC369,Y371&lt;&gt;EUconst_NA)</f>
        <v>0</v>
      </c>
      <c r="AD371" s="30"/>
      <c r="AE371" s="510" t="str">
        <f>EUconst_CNTR_EF&amp;EUconst_Unit</f>
        <v>EF_Vienetas</v>
      </c>
      <c r="AF371" s="527" t="str">
        <f>IF(AC371=TRUE, IF(COUNTIF(MSPara_SourceStreamCategory,V371)=0,"",INDEX(MSPara_CalcFactorsMatrix,MATCH(V371,MSPara_SourceStreamCategory,0),MATCH(AE371&amp;"_"&amp;2,MSPara_CalcFactors,0))),"")</f>
        <v/>
      </c>
      <c r="AG371" s="528" t="str">
        <f>IF(AC371=TRUE, IF(COUNTIF(MSPara_SourceStreamCategory,V371)=0,"",INDEX(MSPara_CalcFactorsMatrix,MATCH(V371,MSPara_SourceStreamCategory,0),MATCH(AE371&amp;"_"&amp;1,MSPara_CalcFactors,0))),"")</f>
        <v/>
      </c>
      <c r="AH371" s="529" t="str">
        <f>IF(AA371="","",INDEX(AF371:AG371,3-AA371))</f>
        <v/>
      </c>
      <c r="AI371" s="530" t="str">
        <f>IF(AC371=TRUE,IF(OR(AH371="",AH371=EUconst_NA),IF(K359=EUconst_Fuel,EUconst_tCO2pTJ,EUconst_tCO2pt),AH371),"")</f>
        <v/>
      </c>
      <c r="AJ371" s="526" t="str">
        <f>IF(J371="",AI371,J371)</f>
        <v/>
      </c>
      <c r="AK371" s="531" t="b">
        <f>IF(K359=EUconst_Fuel,J371&lt;&gt;"",FALSE)</f>
        <v>0</v>
      </c>
      <c r="AL371" s="333"/>
      <c r="AM371" s="510" t="str">
        <f>EUconst_CNTR_EF&amp;EUconst_Value</f>
        <v>EF_Vertė</v>
      </c>
      <c r="AN371" s="532" t="str">
        <f>IF(AC371=TRUE,IF(COUNTIF(MSPara_SourceStreamCategory,V371)=0,"",INDEX(MSPara_CalcFactorsMatrix,MATCH(V371,MSPara_SourceStreamCategory,0),MATCH(AM371&amp;"_"&amp;2,MSPara_CalcFactors,0))),"")</f>
        <v/>
      </c>
      <c r="AO371" s="533" t="str">
        <f>IF(AC371=TRUE,IF(COUNTIF(MSPara_SourceStreamCategory,V371)=0,"",INDEX(MSPara_CalcFactorsMatrix,MATCH(V371,MSPara_SourceStreamCategory,0),MATCH(AM371&amp;"_"&amp;1,MSPara_CalcFactors,0))),"")</f>
        <v/>
      </c>
      <c r="AP371" s="526" t="b">
        <f>AND(AND(AH371&lt;&gt;"",AJ371&lt;&gt;""),AJ371=AH371)</f>
        <v>0</v>
      </c>
      <c r="AQ371" s="534" t="str">
        <f>IF(AND(AA371&lt;&gt;"",AP371=TRUE),IF(OR(INDEX(AN371:AO371,3-AA371)=EUconst_NA,INDEX(AN371:AO371,3-AA371)=0),"",INDEX(AN371:AO371,3-AA371)),"")</f>
        <v/>
      </c>
      <c r="AR371" s="526">
        <f>IF(AC371=TRUE,IF(COUNT(K371:L371)=0,0,IF(L371="",K371,L371)),0)</f>
        <v>0</v>
      </c>
      <c r="AS371" s="522" t="b">
        <f>AND(AC371=TRUE,OR(AND(F371&lt;&gt;"",NOT(ISNUMBER(AA371))),L371&lt;&gt;"",F371="",AQ371=""))</f>
        <v>0</v>
      </c>
      <c r="AT371" s="522" t="b">
        <f t="shared" ref="AT371:AT377" si="79">AND(AC371=TRUE,NOT(AS371))</f>
        <v>0</v>
      </c>
      <c r="AU371" s="30"/>
      <c r="AV371" s="535" t="b">
        <f t="shared" ref="AV371:AV377" si="80">AND(ISNUMBER(AA371),AQ371="")</f>
        <v>0</v>
      </c>
      <c r="AW371" s="536" t="b">
        <f t="shared" ref="AW371:AW377" si="81">AND(ISNUMBER(AA371),AQ371&lt;&gt;AR371)</f>
        <v>0</v>
      </c>
      <c r="AX371" s="537" t="b">
        <f>OR(AND(AJ369=EUconst_kNm3,AJ371=EUconst_tCO2pt),AND(AJ369=EUconst_t,AJ371=EUconst_tCO2pkNm3))</f>
        <v>0</v>
      </c>
      <c r="AY371" s="522" t="b">
        <f t="shared" ref="AY371:AY377" si="82">AND(L371&lt;&gt;"",Y371=EUconst_NA)</f>
        <v>0</v>
      </c>
      <c r="AZ371" s="30"/>
      <c r="BA371" s="30"/>
      <c r="BB371" s="538" t="s">
        <v>588</v>
      </c>
      <c r="BC371" s="537" t="str">
        <f>IF(K359=BC369,AR369*IF(AJ371=EUconst_tCO2pTJ,(AR372/1000),1)*AR371*AR373*AR377,"")</f>
        <v/>
      </c>
      <c r="BD371" s="515" t="str">
        <f>IF(K359=BD369,AR369*AR371*AR374*AR377,"")</f>
        <v/>
      </c>
      <c r="BE371" s="514" t="str">
        <f>IF(K359=BE369,3.664*AR369*AR375*AR377,"")</f>
        <v/>
      </c>
      <c r="BF371" s="30"/>
      <c r="BG371" s="30"/>
      <c r="BH371" s="30"/>
      <c r="BI371" s="30"/>
      <c r="BJ371" s="30"/>
      <c r="BK371" s="30"/>
      <c r="BL371" s="30"/>
      <c r="BM371" s="30"/>
      <c r="BN371" s="30"/>
      <c r="BO371" s="30"/>
      <c r="BP371" s="30"/>
      <c r="BQ371" s="30"/>
      <c r="BR371" s="30"/>
      <c r="BS371" s="30"/>
      <c r="BT371" s="30"/>
      <c r="BU371" s="30"/>
      <c r="BV371" s="30"/>
      <c r="BW371" s="30"/>
      <c r="BX371" s="30"/>
      <c r="BY371" s="30"/>
      <c r="BZ371" s="522" t="b">
        <f>OR(BZ369,Y371=EUconst_NA)</f>
        <v>1</v>
      </c>
    </row>
    <row r="372" spans="1:78" s="140" customFormat="1" ht="12.75" customHeight="1" thickBot="1" x14ac:dyDescent="0.25">
      <c r="A372" s="777"/>
      <c r="B372" s="1248"/>
      <c r="C372" s="783" t="s">
        <v>196</v>
      </c>
      <c r="D372" s="503" t="str">
        <f>Translations!$B$636</f>
        <v>GŠV:</v>
      </c>
      <c r="E372" s="504"/>
      <c r="F372" s="539"/>
      <c r="G372" s="1603" t="str">
        <f t="shared" si="77"/>
        <v/>
      </c>
      <c r="H372" s="1604"/>
      <c r="I372" s="1112" t="str">
        <f>AJ372</f>
        <v/>
      </c>
      <c r="J372" s="540"/>
      <c r="K372" s="541" t="str">
        <f t="shared" si="78"/>
        <v/>
      </c>
      <c r="L372" s="542"/>
      <c r="M372" s="700" t="str">
        <f>IF(AND(E360&lt;&gt;"",OR(F372="",COUNT(K372:L372)=0),Y372&lt;&gt;EUconst_NA,T360&lt;&gt;TRUE),EUconst_ERR_Incomplete,IF(COUNTIF(AX372:AZ372,TRUE)&gt;0,EUconst_ERR_Inconsistent,""))</f>
        <v/>
      </c>
      <c r="O372" s="1305"/>
      <c r="P372" s="33"/>
      <c r="Q372" s="33"/>
      <c r="R372" s="33"/>
      <c r="S372" s="30"/>
      <c r="T372" s="543" t="str">
        <f>EUconst_CNTR_NCV&amp;E360</f>
        <v>NCV_</v>
      </c>
      <c r="U372" s="488"/>
      <c r="V372" s="544" t="str">
        <f t="shared" ref="V372:V377" si="83">V371</f>
        <v/>
      </c>
      <c r="W372" s="30"/>
      <c r="X372" s="488"/>
      <c r="Y372" s="545" t="str">
        <f>IF(OR(T360=TRUE,E360=""),"",IF(F372=EUconst_NA,EUconst_NA,INDEX(EUwideConstants!$N:$N,MATCH(T372,EUwideConstants!$Q:$Q,0))))</f>
        <v/>
      </c>
      <c r="Z372" s="546" t="str">
        <f>IF(ISBLANK(F372),"",IF(F372=EUconst_NA,"",INDEX(EUwideConstants!$H:$M,MATCH(T372,EUwideConstants!$Q:$Q,0),MATCH(F372,CNTR_TierList,0))))</f>
        <v/>
      </c>
      <c r="AA372" s="547" t="str">
        <f>IF(COUNTIF(EUconst_DefaultValues,Z372)&gt;0,MATCH(Z372,EUconst_DefaultValues,0),"")</f>
        <v/>
      </c>
      <c r="AB372" s="30"/>
      <c r="AC372" s="548" t="b">
        <f>AND(AC369,Y372&lt;&gt;EUconst_NA)</f>
        <v>0</v>
      </c>
      <c r="AD372" s="30"/>
      <c r="AE372" s="549" t="str">
        <f>EUconst_CNTR_NCV&amp;EUconst_Unit</f>
        <v>NCV_Vienetas</v>
      </c>
      <c r="AF372" s="550" t="str">
        <f>IF(AC372=TRUE, IF(COUNTIF(MSPara_SourceStreamCategory,V372)=0,"",INDEX(MSPara_CalcFactorsMatrix,MATCH(V372,MSPara_SourceStreamCategory,0),MATCH(AE372&amp;"_"&amp;2,MSPara_CalcFactors,0))),"")</f>
        <v/>
      </c>
      <c r="AG372" s="551" t="str">
        <f>IF(AC372=TRUE, IF(COUNTIF(MSPara_SourceStreamCategory,V372)=0,"",INDEX(MSPara_CalcFactorsMatrix,MATCH(V372,MSPara_SourceStreamCategory,0),MATCH(AE372&amp;"_"&amp;1,MSPara_CalcFactors,0))),"")</f>
        <v/>
      </c>
      <c r="AH372" s="552" t="str">
        <f>IF(AA372="","",INDEX(AF372:AG372,3-AA372))</f>
        <v/>
      </c>
      <c r="AI372" s="553"/>
      <c r="AJ372" s="548" t="str">
        <f>IF(AC372=TRUE,IF(AJ369="","",IF(AJ369=EUconst_kNm3,EUconst_GJpkNm3,EUconst_GJpt)),"")</f>
        <v/>
      </c>
      <c r="AK372" s="554"/>
      <c r="AL372" s="333"/>
      <c r="AM372" s="549" t="str">
        <f>EUconst_CNTR_NCV&amp;EUconst_Value</f>
        <v>NCV_Vertė</v>
      </c>
      <c r="AN372" s="555" t="str">
        <f>IF(AC372=TRUE,IF(COUNTIF(MSPara_SourceStreamCategory,V372)=0,"",INDEX(MSPara_CalcFactorsMatrix,MATCH(V372,MSPara_SourceStreamCategory,0),MATCH(AM372&amp;"_"&amp;2,MSPara_CalcFactors,0))),"")</f>
        <v/>
      </c>
      <c r="AO372" s="556" t="str">
        <f>IF(AC372=TRUE,IF(COUNTIF(MSPara_SourceStreamCategory,V372)=0,"",INDEX(MSPara_CalcFactorsMatrix,MATCH(V372,MSPara_SourceStreamCategory,0),MATCH(AM372&amp;"_"&amp;1,MSPara_CalcFactors,0))),"")</f>
        <v/>
      </c>
      <c r="AP372" s="548" t="b">
        <f>AND(AND(AH372&lt;&gt;"",AJ372&lt;&gt;""),AJ372=AH372)</f>
        <v>0</v>
      </c>
      <c r="AQ372" s="557" t="str">
        <f>IF(AND(AA372&lt;&gt;"",AP372=TRUE),IF(OR(INDEX(AN372:AO372,3-AA372)=EUconst_NA,INDEX(AN372:AO372,3-AA372)=0),"",INDEX(AN372:AO372,3-AA372)),"")</f>
        <v/>
      </c>
      <c r="AR372" s="548">
        <f>IF(AC372=TRUE,IF(COUNT(K372:L372)=0,0,IF(L372="",K372,L372)),0)</f>
        <v>0</v>
      </c>
      <c r="AS372" s="544" t="b">
        <f>AND(AC372=TRUE,OR(AND(F372&lt;&gt;"",NOT(ISNUMBER(AA372))),L372&lt;&gt;"",F372="",AQ372=""))</f>
        <v>0</v>
      </c>
      <c r="AT372" s="544" t="b">
        <f t="shared" si="79"/>
        <v>0</v>
      </c>
      <c r="AU372" s="30"/>
      <c r="AV372" s="558" t="b">
        <f t="shared" si="80"/>
        <v>0</v>
      </c>
      <c r="AW372" s="559" t="b">
        <f t="shared" si="81"/>
        <v>0</v>
      </c>
      <c r="AX372" s="30"/>
      <c r="AY372" s="544" t="b">
        <f t="shared" si="82"/>
        <v>0</v>
      </c>
      <c r="AZ372" s="30"/>
      <c r="BA372" s="30"/>
      <c r="BB372" s="538" t="s">
        <v>589</v>
      </c>
      <c r="BC372" s="537" t="str">
        <f>IF(K359=BC369,AR369*IF(AJ371=EUconst_tCO2pTJ,(AR372/1000),1)*AR371*AR373*AR376,"")</f>
        <v/>
      </c>
      <c r="BD372" s="515" t="str">
        <f>IF(K359=BD369,AR369*AR371*AR374*AR376,"")</f>
        <v/>
      </c>
      <c r="BE372" s="514" t="str">
        <f>IF(K359=BE369,3.664*AR369*AR375*AR376,"")</f>
        <v/>
      </c>
      <c r="BF372" s="30"/>
      <c r="BG372" s="30"/>
      <c r="BH372" s="30"/>
      <c r="BI372" s="30"/>
      <c r="BJ372" s="30"/>
      <c r="BK372" s="30"/>
      <c r="BL372" s="30"/>
      <c r="BM372" s="30"/>
      <c r="BN372" s="30"/>
      <c r="BO372" s="30"/>
      <c r="BP372" s="30"/>
      <c r="BQ372" s="30"/>
      <c r="BR372" s="30"/>
      <c r="BS372" s="30"/>
      <c r="BT372" s="30"/>
      <c r="BU372" s="30"/>
      <c r="BV372" s="30"/>
      <c r="BW372" s="30"/>
      <c r="BX372" s="30"/>
      <c r="BY372" s="30"/>
      <c r="BZ372" s="544" t="b">
        <f>OR(BZ369,Y372=EUconst_NA)</f>
        <v>1</v>
      </c>
    </row>
    <row r="373" spans="1:78" s="140" customFormat="1" ht="12.75" customHeight="1" thickBot="1" x14ac:dyDescent="0.25">
      <c r="A373" s="777"/>
      <c r="B373" s="1248"/>
      <c r="C373" s="783" t="s">
        <v>197</v>
      </c>
      <c r="D373" s="503" t="str">
        <f>Translations!$B$638</f>
        <v>Oksidacijos koef.:</v>
      </c>
      <c r="E373" s="504"/>
      <c r="F373" s="539"/>
      <c r="G373" s="1603" t="str">
        <f t="shared" si="77"/>
        <v/>
      </c>
      <c r="H373" s="1604"/>
      <c r="I373" s="1113" t="str">
        <f>IF(OR(AC373=FALSE,Y373=EUconst_NA),"","-")</f>
        <v/>
      </c>
      <c r="J373" s="560"/>
      <c r="K373" s="561" t="str">
        <f t="shared" si="78"/>
        <v/>
      </c>
      <c r="L373" s="694"/>
      <c r="M373" s="700" t="str">
        <f>IF(AND(E360&lt;&gt;"",OR(F373="",COUNT(K373:L373)=0),Y373&lt;&gt;EUconst_NA,T360&lt;&gt;TRUE),EUconst_ERR_Incomplete,IF(COUNTIF(AX373:AZ373,TRUE)&gt;0,EUconst_ERR_Inconsistent,""))</f>
        <v/>
      </c>
      <c r="O373" s="1305"/>
      <c r="P373" s="33"/>
      <c r="Q373" s="33"/>
      <c r="R373" s="33"/>
      <c r="S373" s="30"/>
      <c r="T373" s="543" t="str">
        <f>EUconst_CNTR_OxidationFactor&amp;E360</f>
        <v>OxF_</v>
      </c>
      <c r="U373" s="488"/>
      <c r="V373" s="544" t="str">
        <f t="shared" si="83"/>
        <v/>
      </c>
      <c r="W373" s="30"/>
      <c r="X373" s="488"/>
      <c r="Y373" s="545" t="str">
        <f>IF(OR(T360=TRUE,E360=""),"",INDEX(EUwideConstants!$N:$N,MATCH(T373,EUwideConstants!$Q:$Q,0)))</f>
        <v/>
      </c>
      <c r="Z373" s="546" t="str">
        <f>IF(ISBLANK(F373),"",IF(F373=EUconst_NA,"",INDEX(EUwideConstants!$H:$M,MATCH(T373,EUwideConstants!$Q:$Q,0),MATCH(F373,CNTR_TierList,0))))</f>
        <v/>
      </c>
      <c r="AA373" s="525" t="str">
        <f>IF(F373=1,1,"")</f>
        <v/>
      </c>
      <c r="AB373" s="30"/>
      <c r="AC373" s="548" t="b">
        <f>AND(AC369,Y373&lt;&gt;EUconst_NA)</f>
        <v>0</v>
      </c>
      <c r="AD373" s="30"/>
      <c r="AE373" s="563"/>
      <c r="AG373" s="564"/>
      <c r="AH373" s="553"/>
      <c r="AI373" s="565"/>
      <c r="AJ373" s="553"/>
      <c r="AK373" s="566"/>
      <c r="AL373" s="333"/>
      <c r="AM373" s="549" t="str">
        <f>EUconst_CNTR_OxidationFactor&amp;EUconst_Value</f>
        <v>OxF_Vertė</v>
      </c>
      <c r="AN373" s="567"/>
      <c r="AO373" s="525">
        <v>1</v>
      </c>
      <c r="AP373" s="553"/>
      <c r="AQ373" s="568" t="str">
        <f>IF(AA373="","",AO373)</f>
        <v/>
      </c>
      <c r="AR373" s="548">
        <f>IF(AC373=TRUE,IF(COUNT(K373:L373)=0,0,IF(L373="",K373,L373)),1)</f>
        <v>1</v>
      </c>
      <c r="AS373" s="544" t="b">
        <f>AND(AC373=TRUE,OR(ISNUMBER(L373),NOT(ISNUMBER(AA373))))</f>
        <v>0</v>
      </c>
      <c r="AT373" s="544" t="b">
        <f t="shared" si="79"/>
        <v>0</v>
      </c>
      <c r="AU373" s="30"/>
      <c r="AV373" s="558" t="b">
        <f t="shared" si="80"/>
        <v>0</v>
      </c>
      <c r="AW373" s="559" t="b">
        <f t="shared" si="81"/>
        <v>0</v>
      </c>
      <c r="AX373" s="30"/>
      <c r="AY373" s="585" t="b">
        <f t="shared" si="82"/>
        <v>0</v>
      </c>
      <c r="AZ373" s="522" t="b">
        <f>AR373&gt;100%</f>
        <v>0</v>
      </c>
      <c r="BA373" s="30"/>
      <c r="BB373" s="538" t="s">
        <v>287</v>
      </c>
      <c r="BC373" s="537" t="str">
        <f>IF(K359=BC369,AR369*IF(AJ371=EUconst_tCO2pTJ,(AR372/1000),1)*AR371*AR373*(1-AR376),"")</f>
        <v/>
      </c>
      <c r="BD373" s="515" t="str">
        <f>IF(K359=BD369,AR369*AR371*AR374*(1-AR376),"")</f>
        <v/>
      </c>
      <c r="BE373" s="514" t="str">
        <f>IF(K359=BE369,3.664*AR369*AR375*(1-AR376),"")</f>
        <v/>
      </c>
      <c r="BF373" s="30"/>
      <c r="BG373" s="30"/>
      <c r="BH373" s="30"/>
      <c r="BI373" s="30"/>
      <c r="BJ373" s="30"/>
      <c r="BK373" s="30"/>
      <c r="BL373" s="30"/>
      <c r="BM373" s="30"/>
      <c r="BN373" s="30"/>
      <c r="BO373" s="30"/>
      <c r="BP373" s="30"/>
      <c r="BQ373" s="30"/>
      <c r="BR373" s="30"/>
      <c r="BS373" s="30"/>
      <c r="BT373" s="30"/>
      <c r="BU373" s="30"/>
      <c r="BV373" s="30"/>
      <c r="BW373" s="30"/>
      <c r="BX373" s="30"/>
      <c r="BY373" s="30"/>
      <c r="BZ373" s="544" t="b">
        <f>OR(BZ369,Y373=EUconst_NA)</f>
        <v>1</v>
      </c>
    </row>
    <row r="374" spans="1:78" s="140" customFormat="1" ht="12.75" customHeight="1" thickBot="1" x14ac:dyDescent="0.25">
      <c r="A374" s="777"/>
      <c r="B374" s="1248"/>
      <c r="C374" s="783" t="s">
        <v>198</v>
      </c>
      <c r="D374" s="503" t="str">
        <f>Translations!$B$639</f>
        <v>Konversijos koef.:</v>
      </c>
      <c r="E374" s="504"/>
      <c r="F374" s="539"/>
      <c r="G374" s="1603" t="str">
        <f t="shared" si="77"/>
        <v/>
      </c>
      <c r="H374" s="1604"/>
      <c r="I374" s="1113" t="str">
        <f>IF(OR(AC374=FALSE,Y374=EUconst_NA),"","-")</f>
        <v/>
      </c>
      <c r="J374" s="560"/>
      <c r="K374" s="561" t="str">
        <f t="shared" si="78"/>
        <v/>
      </c>
      <c r="L374" s="694"/>
      <c r="M374" s="700" t="str">
        <f>IF(AND(E360&lt;&gt;"",OR(F374="",COUNT(K374:L374)=0),Y374&lt;&gt;EUconst_NA,T360&lt;&gt;TRUE),EUconst_ERR_Incomplete,IF(COUNTIF(AX374:AZ374,TRUE)&gt;0,EUconst_ERR_Inconsistent,""))</f>
        <v/>
      </c>
      <c r="O374" s="1305"/>
      <c r="P374" s="33"/>
      <c r="Q374" s="33"/>
      <c r="R374" s="33"/>
      <c r="S374" s="30"/>
      <c r="T374" s="543" t="str">
        <f>EUconst_CNTR_ConversionFactor&amp;E360</f>
        <v>ConvF_</v>
      </c>
      <c r="U374" s="488"/>
      <c r="V374" s="544" t="str">
        <f t="shared" si="83"/>
        <v/>
      </c>
      <c r="W374" s="30"/>
      <c r="X374" s="488"/>
      <c r="Y374" s="545" t="str">
        <f>IF(OR(T360=TRUE,E360=""),"",INDEX(EUwideConstants!$N:$N,MATCH(T374,EUwideConstants!$Q:$Q,0)))</f>
        <v/>
      </c>
      <c r="Z374" s="546" t="str">
        <f>IF(ISBLANK(F374),"",IF(F374=EUconst_NA,"",INDEX(EUwideConstants!$H:$M,MATCH(T374,EUwideConstants!$Q:$Q,0),MATCH(F374,CNTR_TierList,0))))</f>
        <v/>
      </c>
      <c r="AA374" s="573" t="str">
        <f>IF(F374=1,1,"")</f>
        <v/>
      </c>
      <c r="AB374" s="30"/>
      <c r="AC374" s="548" t="b">
        <f>AND(AC369,Y374&lt;&gt;EUconst_NA)</f>
        <v>0</v>
      </c>
      <c r="AD374" s="30"/>
      <c r="AE374" s="563"/>
      <c r="AG374" s="564"/>
      <c r="AH374" s="574"/>
      <c r="AI374" s="565"/>
      <c r="AJ374" s="574"/>
      <c r="AK374" s="566"/>
      <c r="AL374" s="333"/>
      <c r="AM374" s="549" t="str">
        <f>EUconst_CNTR_ConversionFactor&amp;EUconst_Value</f>
        <v>ConvF_Vertė</v>
      </c>
      <c r="AN374" s="575"/>
      <c r="AO374" s="573">
        <v>1</v>
      </c>
      <c r="AP374" s="574"/>
      <c r="AQ374" s="576" t="str">
        <f>IF(AA374="","",AO374)</f>
        <v/>
      </c>
      <c r="AR374" s="548">
        <f>IF(AC374=TRUE,IF(COUNT(K374:L374)=0,0,IF(L374="",K374,L374)),1)</f>
        <v>1</v>
      </c>
      <c r="AS374" s="544" t="b">
        <f>AND(AC374=TRUE,OR(ISNUMBER(L374),NOT(ISNUMBER(AA374))))</f>
        <v>0</v>
      </c>
      <c r="AT374" s="544" t="b">
        <f t="shared" si="79"/>
        <v>0</v>
      </c>
      <c r="AU374" s="30"/>
      <c r="AV374" s="558" t="b">
        <f t="shared" si="80"/>
        <v>0</v>
      </c>
      <c r="AW374" s="559" t="b">
        <f t="shared" si="81"/>
        <v>0</v>
      </c>
      <c r="AX374" s="30"/>
      <c r="AY374" s="585" t="b">
        <f t="shared" si="82"/>
        <v>0</v>
      </c>
      <c r="AZ374" s="571" t="b">
        <f>AR374&gt;100%</f>
        <v>0</v>
      </c>
      <c r="BA374" s="30"/>
      <c r="BB374" s="569" t="s">
        <v>481</v>
      </c>
      <c r="BC374" s="570">
        <f>AR369*AR372/1000*(1-AR376)</f>
        <v>0</v>
      </c>
      <c r="BD374" s="571">
        <f>BC374</f>
        <v>0</v>
      </c>
      <c r="BE374" s="572">
        <f>BC374</f>
        <v>0</v>
      </c>
      <c r="BF374" s="30"/>
      <c r="BG374" s="30"/>
      <c r="BH374" s="30"/>
      <c r="BI374" s="30"/>
      <c r="BJ374" s="30"/>
      <c r="BK374" s="30"/>
      <c r="BL374" s="30"/>
      <c r="BM374" s="30"/>
      <c r="BN374" s="30"/>
      <c r="BO374" s="30"/>
      <c r="BP374" s="30"/>
      <c r="BQ374" s="30"/>
      <c r="BR374" s="30"/>
      <c r="BS374" s="30"/>
      <c r="BT374" s="30"/>
      <c r="BU374" s="30"/>
      <c r="BV374" s="30"/>
      <c r="BW374" s="30"/>
      <c r="BX374" s="30"/>
      <c r="BY374" s="30"/>
      <c r="BZ374" s="544" t="b">
        <f>OR(BZ369,Y374=EUconst_NA)</f>
        <v>1</v>
      </c>
    </row>
    <row r="375" spans="1:78" s="140" customFormat="1" ht="12.75" customHeight="1" thickBot="1" x14ac:dyDescent="0.25">
      <c r="A375" s="777"/>
      <c r="B375" s="1248"/>
      <c r="C375" s="783" t="s">
        <v>324</v>
      </c>
      <c r="D375" s="503" t="str">
        <f>Translations!$B$640</f>
        <v>Anglies kiekis (C):</v>
      </c>
      <c r="E375" s="504"/>
      <c r="F375" s="539"/>
      <c r="G375" s="1603" t="str">
        <f t="shared" si="77"/>
        <v/>
      </c>
      <c r="H375" s="1604"/>
      <c r="I375" s="1113" t="str">
        <f>AJ375</f>
        <v/>
      </c>
      <c r="J375" s="577"/>
      <c r="K375" s="578" t="str">
        <f t="shared" si="78"/>
        <v/>
      </c>
      <c r="L375" s="579"/>
      <c r="M375" s="700" t="str">
        <f>IF(AND(E360&lt;&gt;"",OR(F375="",COUNT(K375:L375)=0),Y375&lt;&gt;EUconst_NA,T360&lt;&gt;TRUE),EUconst_ERR_Incomplete,IF(COUNTIF(AX375:AZ375,TRUE)&gt;0,EUconst_ERR_Inconsistent,""))</f>
        <v/>
      </c>
      <c r="O375" s="1305"/>
      <c r="P375" s="33"/>
      <c r="Q375" s="33"/>
      <c r="R375" s="33"/>
      <c r="S375" s="30"/>
      <c r="T375" s="543" t="str">
        <f>EUconst_CNTR_CarbonContent&amp;E360</f>
        <v>CarbC_</v>
      </c>
      <c r="U375" s="488"/>
      <c r="V375" s="544" t="str">
        <f t="shared" si="83"/>
        <v/>
      </c>
      <c r="W375" s="30"/>
      <c r="X375" s="488"/>
      <c r="Y375" s="545" t="str">
        <f>IF(OR(T360=TRUE,E360=""),"",INDEX(EUwideConstants!$N:$N,MATCH(T375,EUwideConstants!$Q:$Q,0)))</f>
        <v/>
      </c>
      <c r="Z375" s="546" t="str">
        <f>IF(ISBLANK(F375),"",IF(F375=EUconst_NA,"",INDEX(EUwideConstants!$H:$M,MATCH(T375,EUwideConstants!$Q:$Q,0),MATCH(F375,CNTR_TierList,0))))</f>
        <v/>
      </c>
      <c r="AA375" s="580" t="str">
        <f>IF(COUNTIF(EUconst_DefaultValues,Z375)&gt;0,MATCH(Z375,EUconst_DefaultValues,0),"")</f>
        <v/>
      </c>
      <c r="AB375" s="30"/>
      <c r="AC375" s="548" t="b">
        <f>AND(AC369,Y375&lt;&gt;EUconst_NA)</f>
        <v>0</v>
      </c>
      <c r="AD375" s="30"/>
      <c r="AE375" s="549" t="str">
        <f>EUconst_CNTR_CarbonContent&amp;EUconst_Unit</f>
        <v>CarbC_Vienetas</v>
      </c>
      <c r="AF375" s="550" t="str">
        <f>IF(AC375=TRUE, IF(COUNTIF(MSPara_SourceStreamCategory,V375)=0,"",INDEX(MSPara_CalcFactorsMatrix,MATCH(V375,MSPara_SourceStreamCategory,0),MATCH(AE375&amp;"_"&amp;2,MSPara_CalcFactors,0))),"")</f>
        <v/>
      </c>
      <c r="AG375" s="551" t="str">
        <f>IF(AC375=TRUE, IF(COUNTIF(MSPara_SourceStreamCategory,V375)=0,"",INDEX(MSPara_CalcFactorsMatrix,MATCH(V375,MSPara_SourceStreamCategory,0),MATCH(AE375&amp;"_"&amp;1,MSPara_CalcFactors,0))),"")</f>
        <v/>
      </c>
      <c r="AH375" s="581" t="str">
        <f>IF(AA375="","",INDEX(AF375:AG375,3-AA375))</f>
        <v/>
      </c>
      <c r="AI375" s="565"/>
      <c r="AJ375" s="582" t="str">
        <f>IF(AC375=TRUE,IF(AJ369="","",IF(AJ369=EUconst_kNm3,EUconst_tCpkNm3,EUconst_tCpt)),"")</f>
        <v/>
      </c>
      <c r="AK375" s="566"/>
      <c r="AL375" s="333"/>
      <c r="AM375" s="549" t="str">
        <f>EUconst_CNTR_CarbonContent&amp;EUconst_Value</f>
        <v>CarbC_Vertė</v>
      </c>
      <c r="AN375" s="555" t="str">
        <f>IF(AC375=TRUE,IF(COUNTIF(MSPara_SourceStreamCategory,V375)=0,"",INDEX(MSPara_CalcFactorsMatrix,MATCH(V375,MSPara_SourceStreamCategory,0),MATCH(AM375&amp;"_"&amp;2,MSPara_CalcFactors,0))),"")</f>
        <v/>
      </c>
      <c r="AO375" s="583" t="str">
        <f>IF(AC375=TRUE,IF(COUNTIF(MSPara_SourceStreamCategory,V375)=0,"",INDEX(MSPara_CalcFactorsMatrix,MATCH(V375,MSPara_SourceStreamCategory,0),MATCH(AM375&amp;"_"&amp;1,MSPara_CalcFactors,0))),"")</f>
        <v/>
      </c>
      <c r="AP375" s="548" t="b">
        <f>AND(AND(AH375&lt;&gt;"",AJ375&lt;&gt;""),AJ375=AH375)</f>
        <v>0</v>
      </c>
      <c r="AQ375" s="584" t="str">
        <f>IF(AND(AA375&lt;&gt;"",AP375=TRUE),IF(OR(INDEX(AN375:AO375,3-AA375)=EUconst_NA,INDEX(AN375:AO375,3-AA375)=0),"",INDEX(AN375:AO375,3-AA375)),"")</f>
        <v/>
      </c>
      <c r="AR375" s="548">
        <f>IF(AC375=TRUE,IF(COUNT(K375:L375)=0,0,IF(L375="",K375,L375)),0)</f>
        <v>0</v>
      </c>
      <c r="AS375" s="544" t="b">
        <f>AND(AC375=TRUE,OR(AND(F375&lt;&gt;"",NOT(ISNUMBER(AA375))),L375&lt;&gt;"",F375="",AQ375=""))</f>
        <v>0</v>
      </c>
      <c r="AT375" s="544" t="b">
        <f t="shared" si="79"/>
        <v>0</v>
      </c>
      <c r="AU375" s="30"/>
      <c r="AV375" s="558" t="b">
        <f t="shared" si="80"/>
        <v>0</v>
      </c>
      <c r="AW375" s="559" t="b">
        <f t="shared" si="81"/>
        <v>0</v>
      </c>
      <c r="AX375" s="537" t="b">
        <f>OR(AND(AJ369=EUconst_kNm3,AJ375=EUconst_tCpt),AND(AJ369=EUconst_t,AJ375=EUconst_tCpkNm3))</f>
        <v>0</v>
      </c>
      <c r="AY375" s="544" t="b">
        <f t="shared" si="82"/>
        <v>0</v>
      </c>
      <c r="AZ375" s="30"/>
      <c r="BA375" s="30"/>
      <c r="BB375" s="569" t="s">
        <v>482</v>
      </c>
      <c r="BC375" s="570">
        <f>AR369*AR372/1000*AR376</f>
        <v>0</v>
      </c>
      <c r="BD375" s="571">
        <f>BC375</f>
        <v>0</v>
      </c>
      <c r="BE375" s="572">
        <f>BC375</f>
        <v>0</v>
      </c>
      <c r="BF375" s="30"/>
      <c r="BG375" s="30"/>
      <c r="BH375" s="30"/>
      <c r="BI375" s="30"/>
      <c r="BJ375" s="30"/>
      <c r="BK375" s="30"/>
      <c r="BL375" s="30"/>
      <c r="BM375" s="30"/>
      <c r="BN375" s="30"/>
      <c r="BO375" s="30"/>
      <c r="BP375" s="30"/>
      <c r="BQ375" s="30"/>
      <c r="BR375" s="30"/>
      <c r="BS375" s="30"/>
      <c r="BT375" s="30"/>
      <c r="BU375" s="30"/>
      <c r="BV375" s="30"/>
      <c r="BW375" s="30"/>
      <c r="BX375" s="30"/>
      <c r="BY375" s="30"/>
      <c r="BZ375" s="544" t="b">
        <f>OR(BZ369,Y375=EUconst_NA)</f>
        <v>1</v>
      </c>
    </row>
    <row r="376" spans="1:78" s="140" customFormat="1" ht="12.75" customHeight="1" x14ac:dyDescent="0.2">
      <c r="A376" s="777"/>
      <c r="B376" s="1248"/>
      <c r="C376" s="753" t="s">
        <v>325</v>
      </c>
      <c r="D376" s="503" t="str">
        <f>Translations!$B$641</f>
        <v>Biomasės dalis (BioC):</v>
      </c>
      <c r="E376" s="504"/>
      <c r="F376" s="539"/>
      <c r="G376" s="1603" t="str">
        <f t="shared" si="77"/>
        <v/>
      </c>
      <c r="H376" s="1604"/>
      <c r="I376" s="1113" t="str">
        <f>IF(OR(AC376=FALSE,Y376=EUconst_NA),"","-")</f>
        <v/>
      </c>
      <c r="J376" s="560"/>
      <c r="K376" s="561" t="str">
        <f t="shared" si="78"/>
        <v/>
      </c>
      <c r="L376" s="694"/>
      <c r="M376" s="700" t="str">
        <f>IF(AND(E360&lt;&gt;"",OR(F376="",COUNT(K376:L376)=0),Y376&lt;&gt;EUconst_NA,T360&lt;&gt;TRUE),EUconst_ERR_Incomplete,IF(COUNTIF(AX376:AZ376,TRUE)&gt;0,EUconst_ERR_Inconsistent,""))</f>
        <v/>
      </c>
      <c r="O376" s="1305"/>
      <c r="P376" s="635"/>
      <c r="Q376" s="635"/>
      <c r="R376" s="635"/>
      <c r="S376" s="30"/>
      <c r="T376" s="543" t="str">
        <f>EUconst_CNTR_BiomassContent&amp;E360</f>
        <v>BioC_</v>
      </c>
      <c r="U376" s="488"/>
      <c r="V376" s="585" t="str">
        <f t="shared" si="83"/>
        <v/>
      </c>
      <c r="W376" s="522" t="str">
        <f>IF(COUNTIF(MSPara_SourceStreamCategory,V376)=0,"",INDEX(MSPara_IsFossil,MATCH(V376,MSPara_SourceStreamCategory,0)))</f>
        <v/>
      </c>
      <c r="X376" s="488"/>
      <c r="Y376" s="545" t="str">
        <f>IF(OR(T360=TRUE,E360=""),"",IF(OR(W376=TRUE,F376=EUconst_NA),EUconst_NA,INDEX(EUwideConstants!$N:$N,MATCH(T376,EUwideConstants!$Q:$Q,0))))</f>
        <v/>
      </c>
      <c r="Z376" s="546" t="str">
        <f>IF(ISBLANK(F376),"",IF(F376=EUconst_NA,"",INDEX(EUwideConstants!$H:$M,MATCH(T376,EUwideConstants!$Q:$Q,0),MATCH(F376,CNTR_TierList,0))))</f>
        <v/>
      </c>
      <c r="AA376" s="586" t="str">
        <f>IF(F376=1,1,"")</f>
        <v/>
      </c>
      <c r="AB376" s="30"/>
      <c r="AC376" s="548" t="b">
        <f>AND(AC369,Y376&lt;&gt;EUconst_NA)</f>
        <v>0</v>
      </c>
      <c r="AD376" s="30"/>
      <c r="AE376" s="563"/>
      <c r="AG376" s="564"/>
      <c r="AH376" s="553"/>
      <c r="AI376" s="565"/>
      <c r="AJ376" s="553"/>
      <c r="AK376" s="566"/>
      <c r="AL376" s="333"/>
      <c r="AM376" s="549" t="str">
        <f>EUconst_CNTR_BiomassContent&amp;EUconst_Value</f>
        <v>BioC_Vertė</v>
      </c>
      <c r="AO376" s="587" t="str">
        <f>IF(AC376=TRUE,IF(COUNTIF(MSPara_SourceStreamCategory,V376)=0,"",INDEX(MSPara_CalcFactorsMatrix,MATCH(V376,MSPara_SourceStreamCategory,0),MATCH(AM376&amp;"_"&amp;2,MSPara_CalcFactors,0))),"")</f>
        <v/>
      </c>
      <c r="AP376" s="553"/>
      <c r="AQ376" s="568" t="str">
        <f>IF(OR(AA376="",AO376=EUconst_NA),"",AO376)</f>
        <v/>
      </c>
      <c r="AR376" s="548">
        <f>IF(AC376=TRUE,IF(COUNT(K376:L376)=0,0,IF(L376="",K376,L376)),0)</f>
        <v>0</v>
      </c>
      <c r="AS376" s="544" t="b">
        <f>AND(AC376=TRUE,OR(AND(F376&lt;&gt;"",NOT(ISNUMBER(AA376))),L376&lt;&gt;"",F376="",AQ376=""))</f>
        <v>0</v>
      </c>
      <c r="AT376" s="544" t="b">
        <f t="shared" si="79"/>
        <v>0</v>
      </c>
      <c r="AU376" s="30"/>
      <c r="AV376" s="558" t="b">
        <f t="shared" si="80"/>
        <v>0</v>
      </c>
      <c r="AW376" s="559" t="b">
        <f t="shared" si="81"/>
        <v>0</v>
      </c>
      <c r="AX376" s="30"/>
      <c r="AY376" s="585" t="b">
        <f t="shared" si="82"/>
        <v>0</v>
      </c>
      <c r="AZ376" s="522" t="b">
        <f>OR(AR376&gt;100%,(AR376+AR377)&gt;100%)</f>
        <v>0</v>
      </c>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544" t="b">
        <f>OR(BZ369,Y376=EUconst_NA)</f>
        <v>1</v>
      </c>
    </row>
    <row r="377" spans="1:78" s="140" customFormat="1" ht="12.75" customHeight="1" thickBot="1" x14ac:dyDescent="0.25">
      <c r="A377" s="777"/>
      <c r="B377" s="1248"/>
      <c r="C377" s="753" t="s">
        <v>448</v>
      </c>
      <c r="D377" s="503" t="str">
        <f>Translations!$B$647</f>
        <v>Netvarios BioC dalis:</v>
      </c>
      <c r="E377" s="504"/>
      <c r="F377" s="588"/>
      <c r="G377" s="1603" t="str">
        <f t="shared" si="77"/>
        <v/>
      </c>
      <c r="H377" s="1604"/>
      <c r="I377" s="1114" t="str">
        <f>IF(OR(AC377=FALSE,Y377=EUconst_NA),"","-")</f>
        <v/>
      </c>
      <c r="J377" s="560"/>
      <c r="K377" s="589" t="str">
        <f t="shared" si="78"/>
        <v/>
      </c>
      <c r="L377" s="1100"/>
      <c r="M377" s="700" t="str">
        <f>IF(AND(E360&lt;&gt;"",OR(F377="",COUNT(K377:L377)=0),Y377&lt;&gt;EUconst_NA,T360&lt;&gt;TRUE),EUconst_ERR_Incomplete,IF(COUNTIF(AX377:AZ377,TRUE)&gt;0,EUconst_ERR_Inconsistent,""))</f>
        <v/>
      </c>
      <c r="O377" s="1305"/>
      <c r="P377" s="635"/>
      <c r="Q377" s="635"/>
      <c r="R377" s="635"/>
      <c r="S377" s="30"/>
      <c r="T377" s="590" t="str">
        <f>EUconst_CNTR_BiomassContent&amp;E360</f>
        <v>BioC_</v>
      </c>
      <c r="U377" s="488"/>
      <c r="V377" s="570" t="str">
        <f t="shared" si="83"/>
        <v/>
      </c>
      <c r="W377" s="571" t="str">
        <f>IF(COUNTIF(MSPara_SourceStreamCategory,V377)=0,"",INDEX(MSPara_IsFossil,MATCH(V377,MSPara_SourceStreamCategory,0)))</f>
        <v/>
      </c>
      <c r="X377" s="488"/>
      <c r="Y377" s="591" t="str">
        <f>IF(OR(T360=TRUE,E360=""),"",IF(OR(W377=TRUE,F377=EUconst_NA),EUconst_NA,INDEX(EUwideConstants!$N:$N,MATCH(T377,EUwideConstants!$Q:$Q,0))))</f>
        <v/>
      </c>
      <c r="Z377" s="592" t="str">
        <f>IF(ISBLANK(F377),"",IF(F377=EUconst_NA,"",INDEX(EUwideConstants!$H:$M,MATCH(T377,EUwideConstants!$Q:$Q,0),MATCH(F377,CNTR_TierList,0))))</f>
        <v/>
      </c>
      <c r="AA377" s="593" t="str">
        <f>IF(F377=1,1,"")</f>
        <v/>
      </c>
      <c r="AB377" s="30"/>
      <c r="AC377" s="594" t="b">
        <f>AND(AC369,Y377&lt;&gt;EUconst_NA)</f>
        <v>0</v>
      </c>
      <c r="AD377" s="30"/>
      <c r="AE377" s="595"/>
      <c r="AF377" s="596"/>
      <c r="AG377" s="597"/>
      <c r="AH377" s="598"/>
      <c r="AI377" s="598"/>
      <c r="AJ377" s="598"/>
      <c r="AK377" s="599"/>
      <c r="AL377" s="333"/>
      <c r="AM377" s="600" t="str">
        <f>EUconst_CNTR_BiomassContent&amp;EUconst_Value</f>
        <v>BioC_Vertė</v>
      </c>
      <c r="AN377" s="596"/>
      <c r="AO377" s="601" t="str">
        <f>IF(AC377=TRUE,IF(COUNTIF(MSPara_SourceStreamCategory,V377)=0,"",INDEX(MSPara_CalcFactorsMatrix,MATCH(V377,MSPara_SourceStreamCategory,0),MATCH(AM377&amp;"_"&amp;2,MSPara_CalcFactors,0))),"")</f>
        <v/>
      </c>
      <c r="AP377" s="598"/>
      <c r="AQ377" s="602" t="str">
        <f>IF(OR(AA377="",AO377=EUconst_NA),"",AO377)</f>
        <v/>
      </c>
      <c r="AR377" s="594">
        <f>IF(AC377=TRUE,IF(COUNT(K377:L377)=0,0,IF(L377="",K377,L377)),0)</f>
        <v>0</v>
      </c>
      <c r="AS377" s="603" t="b">
        <f>AND(AC377=TRUE,OR(AND(F377&lt;&gt;"",NOT(ISNUMBER(AA377))),L377&lt;&gt;"",F377="",AQ377=""))</f>
        <v>0</v>
      </c>
      <c r="AT377" s="603" t="b">
        <f t="shared" si="79"/>
        <v>0</v>
      </c>
      <c r="AU377" s="30"/>
      <c r="AV377" s="604" t="b">
        <f t="shared" si="80"/>
        <v>0</v>
      </c>
      <c r="AW377" s="605" t="b">
        <f t="shared" si="81"/>
        <v>0</v>
      </c>
      <c r="AX377" s="30"/>
      <c r="AY377" s="570" t="b">
        <f t="shared" si="82"/>
        <v>0</v>
      </c>
      <c r="AZ377" s="571" t="b">
        <f>OR(AR376&gt;100%,(AR376+AR377)&gt;100%)</f>
        <v>0</v>
      </c>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571" t="b">
        <f>OR(BZ369,Y377=EUconst_NA)</f>
        <v>1</v>
      </c>
    </row>
    <row r="378" spans="1:78" s="140" customFormat="1" ht="5.0999999999999996" customHeight="1" x14ac:dyDescent="0.2">
      <c r="A378" s="777"/>
      <c r="B378" s="1248"/>
      <c r="C378" s="164"/>
      <c r="D378" s="178"/>
      <c r="O378" s="1305"/>
      <c r="P378" s="33"/>
      <c r="Q378" s="33"/>
      <c r="R378" s="33"/>
      <c r="S378" s="172"/>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row>
    <row r="379" spans="1:78" s="140" customFormat="1" ht="12.75" customHeight="1" x14ac:dyDescent="0.2">
      <c r="A379" s="777"/>
      <c r="B379" s="1248"/>
      <c r="C379" s="164"/>
      <c r="D379" s="1629" t="str">
        <f>Translations!$B$674</f>
        <v>Pakopos galioja nuo:</v>
      </c>
      <c r="E379" s="1629"/>
      <c r="F379" s="1630"/>
      <c r="G379" s="1014"/>
      <c r="H379" s="606" t="str">
        <f>Translations!$B$675</f>
        <v>iki:</v>
      </c>
      <c r="I379" s="1014"/>
      <c r="J379" s="1620" t="str">
        <f>Translations!$B$676</f>
        <v>Atliekų katalogo numeris (jeigu taikytina):</v>
      </c>
      <c r="K379" s="1621"/>
      <c r="L379" s="1621"/>
      <c r="M379" s="1622"/>
      <c r="N379" s="1232"/>
      <c r="O379" s="1305"/>
      <c r="P379" s="33"/>
      <c r="Q379" s="33"/>
      <c r="R379" s="33"/>
      <c r="S379" s="1233"/>
      <c r="T379" s="483"/>
      <c r="U379" s="483"/>
      <c r="V379" s="48" t="b">
        <f>IF(V369="",FALSE,INDEX(CNTR_IsWaste,MATCH(V369,MSParameters!$A$218:$A$376,0)))</f>
        <v>0</v>
      </c>
      <c r="W379" s="1233" t="s">
        <v>1689</v>
      </c>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2" t="b">
        <f>BZ369</f>
        <v>1</v>
      </c>
    </row>
    <row r="380" spans="1:78" s="140" customFormat="1" ht="5.0999999999999996" customHeight="1" x14ac:dyDescent="0.2">
      <c r="A380" s="777"/>
      <c r="B380" s="1248"/>
      <c r="C380" s="164"/>
      <c r="D380" s="606"/>
      <c r="E380" s="486"/>
      <c r="F380" s="486"/>
      <c r="G380" s="486"/>
      <c r="H380" s="486"/>
      <c r="I380" s="486"/>
      <c r="J380" s="486"/>
      <c r="K380" s="486"/>
      <c r="L380" s="486"/>
      <c r="M380" s="486"/>
      <c r="N380" s="486"/>
      <c r="O380" s="1305"/>
      <c r="P380" s="33"/>
      <c r="Q380" s="33"/>
      <c r="R380" s="33"/>
      <c r="S380" s="172"/>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row>
    <row r="381" spans="1:78" s="140" customFormat="1" ht="12.75" customHeight="1" x14ac:dyDescent="0.2">
      <c r="A381" s="777"/>
      <c r="B381" s="1248"/>
      <c r="C381" s="164"/>
      <c r="D381" s="486"/>
      <c r="E381" s="486"/>
      <c r="F381" s="486"/>
      <c r="G381" s="486"/>
      <c r="H381" s="486"/>
      <c r="I381" s="486"/>
      <c r="J381" s="486"/>
      <c r="K381" s="486"/>
      <c r="L381" s="486"/>
      <c r="M381" s="606" t="str">
        <f>Translations!$B$677</f>
        <v>Stebėsenos plane šiam sukėlikliui suteiktas identifikatorius:</v>
      </c>
      <c r="N381" s="705"/>
      <c r="O381" s="1305"/>
      <c r="P381" s="33"/>
      <c r="Q381" s="33"/>
      <c r="R381" s="33"/>
      <c r="S381" s="172"/>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2" t="b">
        <f>BZ379</f>
        <v>1</v>
      </c>
    </row>
    <row r="382" spans="1:78" s="140" customFormat="1" ht="5.0999999999999996" customHeight="1" x14ac:dyDescent="0.2">
      <c r="A382" s="784"/>
      <c r="B382" s="1316"/>
      <c r="D382" s="178"/>
      <c r="O382" s="1317"/>
      <c r="P382" s="488"/>
      <c r="Q382" s="488"/>
      <c r="R382" s="488"/>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row>
    <row r="383" spans="1:78" s="140" customFormat="1" x14ac:dyDescent="0.2">
      <c r="A383" s="784"/>
      <c r="B383" s="1316"/>
      <c r="D383" s="1618" t="str">
        <f>Translations!$B$160</f>
        <v>Pastabos:</v>
      </c>
      <c r="E383" s="1619"/>
      <c r="F383" s="1605"/>
      <c r="G383" s="1606"/>
      <c r="H383" s="1606"/>
      <c r="I383" s="1606"/>
      <c r="J383" s="1606"/>
      <c r="K383" s="1606"/>
      <c r="L383" s="1606"/>
      <c r="M383" s="1606"/>
      <c r="N383" s="1607"/>
      <c r="O383" s="1317"/>
      <c r="P383" s="488"/>
      <c r="Q383" s="488"/>
      <c r="R383" s="488"/>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2" t="b">
        <f>BZ379</f>
        <v>1</v>
      </c>
    </row>
    <row r="384" spans="1:78" s="28" customFormat="1" ht="12.75" customHeight="1" thickBot="1" x14ac:dyDescent="0.25">
      <c r="A384" s="777"/>
      <c r="B384" s="1312"/>
      <c r="C384" s="490"/>
      <c r="D384" s="491"/>
      <c r="E384" s="492"/>
      <c r="F384" s="490"/>
      <c r="G384" s="493"/>
      <c r="H384" s="493"/>
      <c r="I384" s="493"/>
      <c r="J384" s="493"/>
      <c r="K384" s="493"/>
      <c r="L384" s="493"/>
      <c r="M384" s="493"/>
      <c r="N384" s="493"/>
      <c r="O384" s="1313"/>
      <c r="P384" s="485"/>
      <c r="Q384" s="485"/>
      <c r="R384" s="485"/>
      <c r="S384" s="58"/>
      <c r="T384" s="58"/>
      <c r="U384" s="489"/>
      <c r="V384" s="58"/>
      <c r="W384" s="58"/>
      <c r="X384" s="489"/>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30"/>
      <c r="BJ384" s="30"/>
      <c r="BK384" s="30"/>
      <c r="BL384" s="58"/>
      <c r="BM384" s="58"/>
      <c r="BN384" s="58"/>
      <c r="BO384" s="58"/>
      <c r="BP384" s="58"/>
      <c r="BQ384" s="58"/>
      <c r="BR384" s="58"/>
      <c r="BS384" s="58"/>
      <c r="BT384" s="58"/>
      <c r="BU384" s="58"/>
      <c r="BV384" s="58"/>
      <c r="BW384" s="58"/>
      <c r="BX384" s="58"/>
      <c r="BY384" s="58"/>
      <c r="BZ384" s="58"/>
    </row>
    <row r="385" spans="1:78" s="28" customFormat="1" ht="12.75" customHeight="1" thickBot="1" x14ac:dyDescent="0.25">
      <c r="A385" s="782"/>
      <c r="B385" s="1312"/>
      <c r="C385" s="486"/>
      <c r="D385" s="178"/>
      <c r="E385" s="487"/>
      <c r="F385" s="486"/>
      <c r="G385" s="478"/>
      <c r="H385" s="478"/>
      <c r="I385" s="478"/>
      <c r="J385" s="478"/>
      <c r="K385" s="486"/>
      <c r="L385" s="478"/>
      <c r="M385" s="478"/>
      <c r="N385" s="478"/>
      <c r="O385" s="1313"/>
      <c r="P385" s="485"/>
      <c r="Q385" s="485"/>
      <c r="R385" s="485"/>
      <c r="S385" s="23"/>
      <c r="T385" s="27" t="str">
        <f>IF(ISBLANK(E386),"",MATCH(E386,CNTR_SourceStreamNames,0))</f>
        <v/>
      </c>
      <c r="U385" s="609" t="str">
        <f>IF(ISBLANK(E386),"",INDEX(B_InstallationDescription!$D$71:$D$145,MATCH(E386,CNTR_SourceStreamNames,0)))</f>
        <v/>
      </c>
      <c r="V385" s="76"/>
      <c r="W385" s="56"/>
      <c r="X385" s="56"/>
      <c r="Y385" s="56"/>
      <c r="Z385" s="58"/>
      <c r="AA385" s="58"/>
      <c r="AB385" s="58"/>
      <c r="AC385" s="58"/>
      <c r="AD385" s="58"/>
      <c r="AE385" s="58"/>
      <c r="AF385" s="58"/>
      <c r="AG385" s="58"/>
      <c r="AH385" s="58"/>
      <c r="AI385" s="58"/>
      <c r="AJ385" s="58"/>
      <c r="AK385" s="482"/>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6"/>
      <c r="BI385" s="56"/>
      <c r="BJ385" s="56"/>
      <c r="BK385" s="56"/>
      <c r="BL385" s="56"/>
      <c r="BM385" s="56"/>
      <c r="BN385" s="56"/>
      <c r="BO385" s="56"/>
      <c r="BP385" s="56"/>
      <c r="BQ385" s="56"/>
      <c r="BR385" s="56"/>
      <c r="BS385" s="56"/>
      <c r="BT385" s="56"/>
      <c r="BU385" s="56"/>
      <c r="BV385" s="56"/>
      <c r="BW385" s="56"/>
      <c r="BX385" s="56"/>
      <c r="BY385" s="56"/>
      <c r="BZ385" s="484" t="s">
        <v>259</v>
      </c>
    </row>
    <row r="386" spans="1:78" s="140" customFormat="1" ht="15" customHeight="1" thickBot="1" x14ac:dyDescent="0.25">
      <c r="A386" s="1302" t="str">
        <f>IF(E386="","","PRINT")</f>
        <v/>
      </c>
      <c r="B386" s="1248"/>
      <c r="C386" s="608">
        <f>C359+1</f>
        <v>13</v>
      </c>
      <c r="D386" s="164"/>
      <c r="E386" s="1610"/>
      <c r="F386" s="1611"/>
      <c r="G386" s="1611"/>
      <c r="H386" s="1611"/>
      <c r="I386" s="1611"/>
      <c r="J386" s="1612"/>
      <c r="K386" s="1623" t="str">
        <f>IF(E387="","",INDEX(EUwideConstants!$F$353:$F$394,MATCH(E387,EUConst_TierActivityListNames,0)))</f>
        <v/>
      </c>
      <c r="L386" s="1624"/>
      <c r="M386" s="494" t="str">
        <f>Translations!$B$665</f>
        <v>CO2, iškastinio kuro kilmės:</v>
      </c>
      <c r="N386" s="1012" t="str">
        <f>IF(OR(K386="",T387=TRUE),"",INDEX(BC400:BE400,MATCH(K386,BC396:BE396,0)))</f>
        <v/>
      </c>
      <c r="O386" s="1314" t="s">
        <v>257</v>
      </c>
      <c r="P386" s="1303" t="str">
        <f>IF(AND(E386&lt;&gt;"",COUNTIF(P387:$P$2089,"PRINT")=0),"PRINT","")</f>
        <v/>
      </c>
      <c r="Q386" s="343" t="str">
        <f>EUconst_SumCO2 &amp; "_" &amp; K386</f>
        <v>SUM_CO2_</v>
      </c>
      <c r="R386" s="485"/>
      <c r="S386" s="23"/>
      <c r="T386" s="500" t="s">
        <v>387</v>
      </c>
      <c r="U386" s="23"/>
      <c r="V386" s="76"/>
      <c r="W386" s="56"/>
      <c r="X386" s="58"/>
      <c r="Y386" s="58"/>
      <c r="Z386" s="58"/>
      <c r="AA386" s="58"/>
      <c r="AB386" s="58"/>
      <c r="AC386" s="58"/>
      <c r="AD386" s="58"/>
      <c r="AE386" s="58"/>
      <c r="AF386" s="58"/>
      <c r="AG386" s="58"/>
      <c r="AH386" s="58"/>
      <c r="AI386" s="333"/>
      <c r="AJ386" s="333"/>
      <c r="AK386" s="333"/>
      <c r="AL386" s="333"/>
      <c r="AM386" s="333"/>
      <c r="AN386" s="333"/>
      <c r="AO386" s="333"/>
      <c r="AP386" s="333"/>
      <c r="AQ386" s="333"/>
      <c r="AR386" s="333"/>
      <c r="AS386" s="333"/>
      <c r="AT386" s="333"/>
      <c r="AU386" s="333"/>
      <c r="AV386" s="333"/>
      <c r="AW386" s="333"/>
      <c r="AX386" s="333"/>
      <c r="AY386" s="333"/>
      <c r="AZ386" s="333"/>
      <c r="BA386" s="333"/>
      <c r="BB386" s="333"/>
      <c r="BC386" s="333"/>
      <c r="BD386" s="333"/>
      <c r="BE386" s="333"/>
      <c r="BF386" s="333"/>
      <c r="BG386" s="333"/>
      <c r="BH386" s="834">
        <f>AR396</f>
        <v>0</v>
      </c>
      <c r="BI386" s="834" t="str">
        <f>AJ396</f>
        <v/>
      </c>
      <c r="BJ386" s="834">
        <f>AR398</f>
        <v>0</v>
      </c>
      <c r="BK386" s="834" t="str">
        <f>AJ398</f>
        <v/>
      </c>
      <c r="BL386" s="834">
        <f>AR399</f>
        <v>0</v>
      </c>
      <c r="BM386" s="834" t="str">
        <f>AJ399</f>
        <v/>
      </c>
      <c r="BN386" s="834">
        <f>AR400</f>
        <v>1</v>
      </c>
      <c r="BO386" s="834">
        <f>AR401</f>
        <v>1</v>
      </c>
      <c r="BP386" s="834">
        <f>AR402</f>
        <v>0</v>
      </c>
      <c r="BQ386" s="834" t="str">
        <f>AJ402</f>
        <v/>
      </c>
      <c r="BR386" s="834">
        <f>AR403</f>
        <v>0</v>
      </c>
      <c r="BS386" s="834">
        <f>AR404</f>
        <v>0</v>
      </c>
      <c r="BT386" s="834" t="str">
        <f>N386</f>
        <v/>
      </c>
      <c r="BU386" s="834" t="str">
        <f>N387</f>
        <v/>
      </c>
      <c r="BV386" s="834" t="str">
        <f>R389</f>
        <v/>
      </c>
      <c r="BW386" s="834" t="str">
        <f>R395</f>
        <v/>
      </c>
      <c r="BX386" s="834" t="str">
        <f>R396</f>
        <v/>
      </c>
      <c r="BY386" s="56"/>
      <c r="BZ386" s="610" t="b">
        <f>CNTR_CalcRelevant=EUconst_NotRelevant</f>
        <v>0</v>
      </c>
    </row>
    <row r="387" spans="1:78" s="140" customFormat="1" ht="15" customHeight="1" thickBot="1" x14ac:dyDescent="0.25">
      <c r="A387" s="777"/>
      <c r="B387" s="1248"/>
      <c r="C387" s="164"/>
      <c r="D387" s="164"/>
      <c r="E387" s="1625" t="str">
        <f>IF(ISBLANK(E386),"",IF(INDEX(B_InstallationDescription!$E$71:$E$145,MATCH(U385,B_InstallationDescription!$D$71:$D$145,0))&gt;0,INDEX(B_InstallationDescription!$E$71:$E$145,MATCH(U385,B_InstallationDescription!$D$71:$D$145,0)),""))</f>
        <v/>
      </c>
      <c r="F387" s="1626"/>
      <c r="G387" s="1626"/>
      <c r="H387" s="1626"/>
      <c r="I387" s="1626"/>
      <c r="J387" s="1627"/>
      <c r="M387" s="337" t="str">
        <f>Translations!$B$666</f>
        <v>CO2, biomasės kilmės.:</v>
      </c>
      <c r="N387" s="1013" t="str">
        <f>IF(OR(K386="",T387=TRUE),"",INDEX(BC399:BE399,MATCH(K386,BC396:BE396,0)))</f>
        <v/>
      </c>
      <c r="O387" s="1315" t="s">
        <v>257</v>
      </c>
      <c r="P387" s="485"/>
      <c r="Q387" s="343" t="str">
        <f>EUconst_SumBioCO2 &amp; "_" &amp; K386</f>
        <v>SUM_bioCO2_</v>
      </c>
      <c r="R387" s="485"/>
      <c r="S387" s="23"/>
      <c r="T387" s="48" t="str">
        <f>IF(E387="","",MATCH(E387,EUConst_TierActivityListNames,0)&gt;40)</f>
        <v/>
      </c>
      <c r="U387" s="23"/>
      <c r="V387" s="76"/>
      <c r="W387" s="56"/>
      <c r="X387" s="58"/>
      <c r="Y387" s="27" t="s">
        <v>91</v>
      </c>
      <c r="Z387" s="30"/>
      <c r="AA387" s="30"/>
      <c r="AB387" s="30"/>
      <c r="AC387" s="30"/>
      <c r="AD387" s="30"/>
      <c r="AE387" s="27" t="s">
        <v>297</v>
      </c>
      <c r="AF387" s="58"/>
      <c r="AG387" s="495"/>
      <c r="AH387" s="30"/>
      <c r="AI387" s="30"/>
      <c r="AJ387" s="495"/>
      <c r="AK387" s="495"/>
      <c r="AL387" s="333"/>
      <c r="AM387" s="27" t="s">
        <v>303</v>
      </c>
      <c r="AN387" s="496"/>
      <c r="AO387" s="496"/>
      <c r="AP387" s="30"/>
      <c r="AQ387" s="30"/>
      <c r="AR387" s="30"/>
      <c r="AS387" s="30"/>
      <c r="AT387" s="30"/>
      <c r="AU387" s="30"/>
      <c r="AV387" s="27" t="s">
        <v>310</v>
      </c>
      <c r="AW387" s="30"/>
      <c r="AX387" s="483"/>
      <c r="AY387" s="30"/>
      <c r="AZ387" s="30"/>
      <c r="BA387" s="30"/>
      <c r="BB387" s="27" t="s">
        <v>217</v>
      </c>
      <c r="BC387" s="30"/>
      <c r="BD387" s="30"/>
      <c r="BE387" s="30"/>
      <c r="BF387" s="30"/>
      <c r="BG387" s="27" t="s">
        <v>486</v>
      </c>
      <c r="BH387" s="833" t="s">
        <v>552</v>
      </c>
      <c r="BI387" s="833" t="s">
        <v>487</v>
      </c>
      <c r="BJ387" s="833" t="s">
        <v>211</v>
      </c>
      <c r="BK387" s="833" t="s">
        <v>488</v>
      </c>
      <c r="BL387" s="833" t="s">
        <v>68</v>
      </c>
      <c r="BM387" s="833" t="s">
        <v>489</v>
      </c>
      <c r="BN387" s="833" t="s">
        <v>490</v>
      </c>
      <c r="BO387" s="833" t="s">
        <v>491</v>
      </c>
      <c r="BP387" s="833" t="s">
        <v>214</v>
      </c>
      <c r="BQ387" s="833" t="s">
        <v>492</v>
      </c>
      <c r="BR387" s="833" t="s">
        <v>493</v>
      </c>
      <c r="BS387" s="833" t="s">
        <v>494</v>
      </c>
      <c r="BT387" s="833" t="s">
        <v>287</v>
      </c>
      <c r="BU387" s="833" t="s">
        <v>495</v>
      </c>
      <c r="BV387" s="833" t="s">
        <v>498</v>
      </c>
      <c r="BW387" s="833" t="s">
        <v>496</v>
      </c>
      <c r="BX387" s="833" t="s">
        <v>497</v>
      </c>
      <c r="BY387" s="30"/>
      <c r="BZ387" s="30"/>
    </row>
    <row r="388" spans="1:78" s="140" customFormat="1" ht="5.0999999999999996" customHeight="1" thickBot="1" x14ac:dyDescent="0.25">
      <c r="A388" s="777"/>
      <c r="B388" s="1248"/>
      <c r="C388" s="164"/>
      <c r="D388" s="164"/>
      <c r="E388" s="164"/>
      <c r="F388" s="164"/>
      <c r="G388" s="164"/>
      <c r="M388" s="141"/>
      <c r="N388" s="141"/>
      <c r="O388" s="1305"/>
      <c r="P388" s="33"/>
      <c r="Q388" s="33"/>
      <c r="R388" s="33"/>
      <c r="S388" s="23"/>
      <c r="T388" s="23"/>
      <c r="U388" s="23"/>
      <c r="V388" s="76"/>
      <c r="W388" s="30"/>
      <c r="X388" s="30"/>
      <c r="Y388" s="485"/>
      <c r="Z388" s="30"/>
      <c r="AA388" s="30"/>
      <c r="AB388" s="30"/>
      <c r="AC388" s="30"/>
      <c r="AD388" s="30"/>
      <c r="AE388" s="30"/>
      <c r="AF388" s="58"/>
      <c r="AG388" s="30"/>
      <c r="AH388" s="30"/>
      <c r="AI388" s="30"/>
      <c r="AJ388" s="495"/>
      <c r="AK388" s="495"/>
      <c r="AL388" s="333"/>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row>
    <row r="389" spans="1:78" s="140" customFormat="1" ht="12.75" customHeight="1" thickBot="1" x14ac:dyDescent="0.25">
      <c r="A389" s="777"/>
      <c r="B389" s="1248"/>
      <c r="C389" s="164"/>
      <c r="D389" s="164"/>
      <c r="E389" s="1628" t="str">
        <f>IF(E386="","",IF(T387=TRUE,HYPERLINK("#JUMP_14",EUconst_MsgGoOnPFC),HYPERLINK("#JUMP_E_8",EUconst_FurtherGuidancePoint1)))</f>
        <v/>
      </c>
      <c r="F389" s="1628"/>
      <c r="G389" s="1628"/>
      <c r="H389" s="1628"/>
      <c r="I389" s="1628"/>
      <c r="J389" s="1628"/>
      <c r="K389" s="1628"/>
      <c r="L389" s="1628"/>
      <c r="M389" s="1628"/>
      <c r="N389" s="141"/>
      <c r="O389" s="1305"/>
      <c r="P389" s="33"/>
      <c r="Q389" s="343" t="str">
        <f>EUconst_SumNonSustBioCO2 &amp; "_" &amp; K386</f>
        <v>SUM_bioNonSustCO2_</v>
      </c>
      <c r="R389" s="698" t="str">
        <f>IF(OR(K386="",T387=TRUE),"",ROUND(INDEX(BC398:BE398,MATCH(K386,BC396:BE396,0)),0))</f>
        <v/>
      </c>
      <c r="S389" s="23"/>
      <c r="T389" s="23"/>
      <c r="U389" s="23"/>
      <c r="V389" s="30"/>
      <c r="W389" s="30"/>
      <c r="X389" s="30"/>
      <c r="Y389" s="58"/>
      <c r="Z389" s="30"/>
      <c r="AA389" s="30"/>
      <c r="AB389" s="30"/>
      <c r="AC389" s="30"/>
      <c r="AD389" s="30"/>
      <c r="AE389" s="30"/>
      <c r="AF389" s="58"/>
      <c r="AG389" s="30"/>
      <c r="AH389" s="30"/>
      <c r="AI389" s="30"/>
      <c r="AJ389" s="495"/>
      <c r="AK389" s="495"/>
      <c r="AL389" s="333"/>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row>
    <row r="390" spans="1:78" s="140" customFormat="1" ht="5.0999999999999996" customHeight="1" thickBot="1" x14ac:dyDescent="0.25">
      <c r="A390" s="777"/>
      <c r="B390" s="1248"/>
      <c r="C390" s="164"/>
      <c r="D390" s="164"/>
      <c r="E390" s="164"/>
      <c r="F390" s="164"/>
      <c r="G390" s="164"/>
      <c r="M390" s="141"/>
      <c r="N390" s="141"/>
      <c r="O390" s="1305"/>
      <c r="P390" s="23"/>
      <c r="Q390" s="23"/>
      <c r="R390" s="23"/>
      <c r="S390" s="23"/>
      <c r="T390" s="23"/>
      <c r="U390" s="23"/>
      <c r="V390" s="30"/>
      <c r="W390" s="30"/>
      <c r="X390" s="30"/>
      <c r="Y390" s="485"/>
      <c r="Z390" s="30"/>
      <c r="AA390" s="30"/>
      <c r="AB390" s="30"/>
      <c r="AC390" s="30"/>
      <c r="AD390" s="30"/>
      <c r="AE390" s="30"/>
      <c r="AF390" s="58"/>
      <c r="AG390" s="30"/>
      <c r="AH390" s="30"/>
      <c r="AI390" s="30"/>
      <c r="AJ390" s="495"/>
      <c r="AK390" s="495"/>
      <c r="AL390" s="333"/>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row>
    <row r="391" spans="1:78" s="140" customFormat="1" ht="12.75" customHeight="1" thickBot="1" x14ac:dyDescent="0.25">
      <c r="A391" s="777"/>
      <c r="B391" s="1248"/>
      <c r="C391" s="783" t="s">
        <v>4</v>
      </c>
      <c r="D391" s="503" t="str">
        <f>Translations!$B$622</f>
        <v>VD:</v>
      </c>
      <c r="E391" s="1631" t="str">
        <f>Translations!$B$667</f>
        <v>Ar veiklos duomenys gaunami sudedant išmatuotus kiekius (t. y. ne atliekant nuolatinius matavimus)?</v>
      </c>
      <c r="F391" s="1631"/>
      <c r="G391" s="1631"/>
      <c r="H391" s="1631"/>
      <c r="I391" s="1631"/>
      <c r="J391" s="1631"/>
      <c r="K391" s="1631"/>
      <c r="L391" s="1122"/>
      <c r="M391" s="498"/>
      <c r="O391" s="1305"/>
      <c r="P391" s="23"/>
      <c r="Q391" s="23"/>
      <c r="R391" s="23"/>
      <c r="S391" s="23"/>
      <c r="T391" s="23"/>
      <c r="U391" s="23"/>
      <c r="V391" s="30"/>
      <c r="W391" s="30"/>
      <c r="X391" s="30"/>
      <c r="Y391" s="485"/>
      <c r="Z391" s="30"/>
      <c r="AA391" s="30"/>
      <c r="AB391" s="30"/>
      <c r="AC391" s="1115" t="b">
        <f>AND(E386&lt;&gt;"",T387&lt;&gt;TRUE)</f>
        <v>0</v>
      </c>
      <c r="AD391" s="30"/>
      <c r="AE391" s="30"/>
      <c r="AF391" s="58"/>
      <c r="AG391" s="30"/>
      <c r="AH391" s="30"/>
      <c r="AI391" s="30"/>
      <c r="AJ391" s="495"/>
      <c r="AK391" s="495"/>
      <c r="AL391" s="333"/>
      <c r="AM391" s="30"/>
      <c r="AN391" s="30"/>
      <c r="AO391" s="30"/>
      <c r="AP391" s="30"/>
      <c r="AQ391" s="30"/>
      <c r="AR391" s="30"/>
      <c r="AS391" s="30"/>
      <c r="AT391" s="1115" t="b">
        <f>MSPara_BatchReportingMandatory&lt;&gt;TRUE</f>
        <v>0</v>
      </c>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1115" t="b">
        <f>OR(CNTR_CalcRelevant=EUconst_NotRelevant,AND(COUNTA(CNTR_ListRelevantSections)&gt;0,OR(T387=TRUE,E386="")))</f>
        <v>1</v>
      </c>
    </row>
    <row r="392" spans="1:78" s="140" customFormat="1" ht="5.0999999999999996" customHeight="1" thickBot="1" x14ac:dyDescent="0.25">
      <c r="A392" s="777"/>
      <c r="B392" s="1248"/>
      <c r="C392" s="164"/>
      <c r="D392" s="164"/>
      <c r="E392" s="164"/>
      <c r="F392" s="164"/>
      <c r="G392" s="164"/>
      <c r="H392" s="486"/>
      <c r="I392" s="486"/>
      <c r="J392" s="486"/>
      <c r="K392" s="486"/>
      <c r="L392" s="486"/>
      <c r="M392" s="498"/>
      <c r="O392" s="1305"/>
      <c r="P392" s="23"/>
      <c r="Q392" s="23"/>
      <c r="R392" s="23"/>
      <c r="S392" s="23"/>
      <c r="T392" s="23"/>
      <c r="U392" s="23"/>
      <c r="V392" s="30"/>
      <c r="W392" s="30"/>
      <c r="X392" s="30"/>
      <c r="Y392" s="485"/>
      <c r="Z392" s="30"/>
      <c r="AA392" s="30"/>
      <c r="AB392" s="30"/>
      <c r="AC392" s="483"/>
      <c r="AD392" s="30"/>
      <c r="AE392" s="30"/>
      <c r="AF392" s="58"/>
      <c r="AG392" s="30"/>
      <c r="AH392" s="30"/>
      <c r="AI392" s="30"/>
      <c r="AJ392" s="495"/>
      <c r="AK392" s="495"/>
      <c r="AL392" s="333"/>
      <c r="AM392" s="30"/>
      <c r="AN392" s="30"/>
      <c r="AO392" s="30"/>
      <c r="AP392" s="30"/>
      <c r="AQ392" s="30"/>
      <c r="AR392" s="30"/>
      <c r="AS392" s="30"/>
      <c r="AT392" s="483"/>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483"/>
    </row>
    <row r="393" spans="1:78" s="140" customFormat="1" ht="12.75" customHeight="1" thickBot="1" x14ac:dyDescent="0.25">
      <c r="A393" s="777"/>
      <c r="B393" s="1248"/>
      <c r="C393" s="783" t="s">
        <v>5</v>
      </c>
      <c r="D393" s="503" t="str">
        <f>Translations!$B$622</f>
        <v>VD:</v>
      </c>
      <c r="E393" s="1105" t="str">
        <f>Translations!$B$668</f>
        <v>Pradinis kiekis:</v>
      </c>
      <c r="F393" s="1123"/>
      <c r="G393" s="1106" t="str">
        <f>Translations!$B$669</f>
        <v>Galutinis kiekis:</v>
      </c>
      <c r="H393" s="1123"/>
      <c r="I393" s="1106" t="str">
        <f>Translations!$B$670</f>
        <v>Įsigytas kiekis:</v>
      </c>
      <c r="J393" s="1123"/>
      <c r="K393" s="1106" t="str">
        <f>Translations!$B$671</f>
        <v>Perduotas kiekis:</v>
      </c>
      <c r="L393" s="1123"/>
      <c r="M393" s="1107" t="str">
        <f>IF(AND(L391=TRUE,COUNT(F393,H393,J393,L393)&lt;4),EUconst_ERR_Incomplete,"")</f>
        <v/>
      </c>
      <c r="O393" s="1305"/>
      <c r="P393" s="23"/>
      <c r="Q393" s="23"/>
      <c r="R393" s="23"/>
      <c r="S393" s="23"/>
      <c r="T393" s="23"/>
      <c r="U393" s="23"/>
      <c r="V393" s="30"/>
      <c r="W393" s="30"/>
      <c r="X393" s="30"/>
      <c r="Y393" s="485"/>
      <c r="Z393" s="30"/>
      <c r="AA393" s="30"/>
      <c r="AB393" s="30"/>
      <c r="AC393" s="1115" t="b">
        <f>AC391</f>
        <v>0</v>
      </c>
      <c r="AD393" s="30"/>
      <c r="AE393" s="30"/>
      <c r="AF393" s="58"/>
      <c r="AG393" s="30"/>
      <c r="AH393" s="30"/>
      <c r="AI393" s="30"/>
      <c r="AJ393" s="495"/>
      <c r="AK393" s="495"/>
      <c r="AL393" s="333"/>
      <c r="AM393" s="30"/>
      <c r="AN393" s="30"/>
      <c r="AO393" s="30"/>
      <c r="AP393" s="30"/>
      <c r="AQ393" s="30"/>
      <c r="AR393" s="30"/>
      <c r="AS393" s="30"/>
      <c r="AT393" s="1115" t="b">
        <f>AND(AT391=TRUE,L391="")</f>
        <v>0</v>
      </c>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1115" t="b">
        <f>OR(BZ391,AND(NOT(ISBLANK(L391)),L391=FALSE))</f>
        <v>1</v>
      </c>
    </row>
    <row r="394" spans="1:78" s="140" customFormat="1" ht="5.0999999999999996" customHeight="1" thickBot="1" x14ac:dyDescent="0.25">
      <c r="A394" s="777"/>
      <c r="B394" s="1248"/>
      <c r="C394" s="164"/>
      <c r="D394" s="164"/>
      <c r="E394" s="164"/>
      <c r="F394" s="164"/>
      <c r="G394" s="164"/>
      <c r="M394" s="141"/>
      <c r="N394" s="141"/>
      <c r="O394" s="1305"/>
      <c r="P394" s="23"/>
      <c r="Q394" s="23"/>
      <c r="R394" s="23"/>
      <c r="S394" s="23"/>
      <c r="T394" s="23"/>
      <c r="U394" s="23"/>
      <c r="V394" s="30"/>
      <c r="W394" s="30"/>
      <c r="X394" s="30"/>
      <c r="Y394" s="485"/>
      <c r="Z394" s="30"/>
      <c r="AA394" s="30"/>
      <c r="AB394" s="30"/>
      <c r="AC394" s="30"/>
      <c r="AD394" s="30"/>
      <c r="AE394" s="30"/>
      <c r="AF394" s="58"/>
      <c r="AG394" s="30"/>
      <c r="AH394" s="30"/>
      <c r="AI394" s="30"/>
      <c r="AJ394" s="495"/>
      <c r="AK394" s="495"/>
      <c r="AL394" s="333"/>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row>
    <row r="395" spans="1:78" s="140" customFormat="1" ht="12.75" customHeight="1" thickBot="1" x14ac:dyDescent="0.25">
      <c r="A395" s="777"/>
      <c r="B395" s="1248"/>
      <c r="C395" s="164"/>
      <c r="D395" s="164"/>
      <c r="E395" s="164"/>
      <c r="F395" s="497" t="str">
        <f>Translations!$B$333</f>
        <v>Pakopa</v>
      </c>
      <c r="G395" s="1613" t="str">
        <f>Translations!$B$672</f>
        <v>pakopos aprašas</v>
      </c>
      <c r="H395" s="1613"/>
      <c r="I395" s="1608" t="str">
        <f>Translations!$B$158</f>
        <v>Vienetas</v>
      </c>
      <c r="J395" s="1608"/>
      <c r="K395" s="1608" t="str">
        <f>Translations!$B$673</f>
        <v>Vertė</v>
      </c>
      <c r="L395" s="1608"/>
      <c r="M395" s="498" t="str">
        <f>Translations!$B$610</f>
        <v>klaida</v>
      </c>
      <c r="O395" s="1305"/>
      <c r="P395" s="499"/>
      <c r="Q395" s="343" t="str">
        <f>EUconst_SumEnergyIN &amp; "_" &amp; K386</f>
        <v>SUM_EnergyIN_</v>
      </c>
      <c r="R395" s="390" t="str">
        <f>IF(OR(K386="",T387)=TRUE,"",INDEX(BC401:BE401,MATCH(K386,BC396:BE396,0)))</f>
        <v/>
      </c>
      <c r="S395" s="30"/>
      <c r="T395" s="480"/>
      <c r="U395" s="30"/>
      <c r="V395" s="500" t="s">
        <v>298</v>
      </c>
      <c r="W395" s="30"/>
      <c r="X395" s="30"/>
      <c r="Y395" s="485" t="s">
        <v>560</v>
      </c>
      <c r="Z395" s="485" t="s">
        <v>313</v>
      </c>
      <c r="AA395" s="30"/>
      <c r="AB395" s="30"/>
      <c r="AC395" s="496" t="s">
        <v>304</v>
      </c>
      <c r="AD395" s="30"/>
      <c r="AE395" s="30"/>
      <c r="AF395" s="483" t="s">
        <v>300</v>
      </c>
      <c r="AG395" s="483" t="s">
        <v>301</v>
      </c>
      <c r="AH395" s="485" t="s">
        <v>299</v>
      </c>
      <c r="AI395" s="495" t="s">
        <v>302</v>
      </c>
      <c r="AJ395" s="495" t="s">
        <v>561</v>
      </c>
      <c r="AK395" s="501" t="s">
        <v>306</v>
      </c>
      <c r="AL395" s="333"/>
      <c r="AM395" s="30"/>
      <c r="AN395" s="483" t="s">
        <v>300</v>
      </c>
      <c r="AO395" s="483" t="s">
        <v>301</v>
      </c>
      <c r="AP395" s="502" t="s">
        <v>305</v>
      </c>
      <c r="AQ395" s="495" t="s">
        <v>563</v>
      </c>
      <c r="AR395" s="495" t="s">
        <v>562</v>
      </c>
      <c r="AS395" s="501" t="s">
        <v>306</v>
      </c>
      <c r="AT395" s="501" t="s">
        <v>306</v>
      </c>
      <c r="AU395" s="30"/>
      <c r="AV395" s="483"/>
      <c r="AW395" s="483"/>
      <c r="AX395" s="483" t="s">
        <v>316</v>
      </c>
      <c r="AY395" s="483"/>
      <c r="AZ395" s="483"/>
      <c r="BA395" s="483"/>
      <c r="BB395" s="483"/>
      <c r="BC395" s="483"/>
      <c r="BD395" s="483"/>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484" t="s">
        <v>259</v>
      </c>
    </row>
    <row r="396" spans="1:78" s="140" customFormat="1" ht="12.75" customHeight="1" thickBot="1" x14ac:dyDescent="0.25">
      <c r="A396" s="777"/>
      <c r="B396" s="1248"/>
      <c r="C396" s="753" t="s">
        <v>194</v>
      </c>
      <c r="D396" s="503" t="str">
        <f>Translations!$B$622</f>
        <v>VD:</v>
      </c>
      <c r="E396" s="504"/>
      <c r="F396" s="393"/>
      <c r="G396" s="1603" t="str">
        <f>IF(OR(ISBLANK(F396),F396=EUconst_NoTier),"",IF(Z396=0,EUconst_NA,IF(ISERROR(Z396),"",Z396)))</f>
        <v/>
      </c>
      <c r="H396" s="1604"/>
      <c r="I396" s="1108" t="str">
        <f>IF(J396&lt;&gt;"","",AI396)</f>
        <v/>
      </c>
      <c r="J396" s="1109"/>
      <c r="K396" s="1116" t="str">
        <f>IF(L396="",AQ396,"")</f>
        <v/>
      </c>
      <c r="L396" s="1199"/>
      <c r="M396" s="700" t="str">
        <f>IF(AND(E387&lt;&gt;"",OR(F396="",COUNT(K396:L396)=0),Y396&lt;&gt;EUconst_NA,T387&lt;&gt;TRUE),EUconst_ERR_Incomplete,IF(COUNTIF(AX396:AZ396,TRUE)&gt;0,EUconst_ERR_Inconsistent,""))</f>
        <v/>
      </c>
      <c r="O396" s="1305"/>
      <c r="P396" s="635"/>
      <c r="Q396" s="343" t="str">
        <f>EUconst_SumBioEnergyIN &amp; "_" &amp; K386</f>
        <v>SUM_BioEnergyIN_</v>
      </c>
      <c r="R396" s="390" t="str">
        <f>IF(OR(K386="",T387)=TRUE,"",INDEX(BC402:BE402,MATCH(K386,BC396:BE396,0)))</f>
        <v/>
      </c>
      <c r="S396" s="30"/>
      <c r="T396" s="505" t="str">
        <f>EUconst_CNTR_ActivityData&amp;E387</f>
        <v>ActivityData_</v>
      </c>
      <c r="U396" s="488"/>
      <c r="V396" s="505" t="str">
        <f>IF(E386="","",INDEX(B_InstallationDescription!$I$71:$I$145,MATCH(U385,B_InstallationDescription!$D$71:$D$145,0)))</f>
        <v/>
      </c>
      <c r="W396" s="495" t="s">
        <v>533</v>
      </c>
      <c r="X396" s="488"/>
      <c r="Y396" s="506" t="str">
        <f>IF(OR(T387=TRUE,E387=""),"",INDEX(EUwideConstants!$N:$N,MATCH(T396,EUwideConstants!$Q:$Q,0)))</f>
        <v/>
      </c>
      <c r="Z396" s="507" t="str">
        <f>IF(ISBLANK(F396),"",IF(F396=EUconst_NA,"",INDEX(EUwideConstants!$H:$M,MATCH(T396,EUwideConstants!$Q:$Q,0),MATCH(F396,CNTR_TierList,0))))</f>
        <v/>
      </c>
      <c r="AA396" s="508" t="s">
        <v>299</v>
      </c>
      <c r="AB396" s="495"/>
      <c r="AC396" s="509" t="b">
        <f>AC391</f>
        <v>0</v>
      </c>
      <c r="AD396" s="30"/>
      <c r="AE396" s="510" t="str">
        <f>EUconst_CNTR_ActivityData&amp;EUconst_Unit</f>
        <v>ActivityData_Vienetas</v>
      </c>
      <c r="AF396" s="511" t="str">
        <f>IF(AC396=TRUE, IF(COUNTIF(MSPara_SourceStreamCategory,V396)=0,"",INDEX(MSPara_CalcFactorsMatrix,MATCH(V396,MSPara_SourceStreamCategory,0),MATCH(AE396&amp;"_"&amp;2,MSPara_CalcFactors,0))),"")</f>
        <v/>
      </c>
      <c r="AG396" s="512" t="str">
        <f>IF(AC396=TRUE, IF(COUNTIF(MSPara_SourceStreamCategory,V396)=0,"",INDEX(MSPara_CalcFactorsMatrix,MATCH(V396,MSPara_SourceStreamCategory,0),MATCH(AE396&amp;"_"&amp;1,MSPara_CalcFactors,0))),"")</f>
        <v/>
      </c>
      <c r="AH396" s="509" t="str">
        <f>IF(OR(AF396="",AF396=EUconst_NA),IF(OR(AG396=EUconst_NA,AG396=""),"",AG396),AF396)</f>
        <v/>
      </c>
      <c r="AI396" s="506" t="str">
        <f>IF(AC396=TRUE,IF(AH396="",EUconst_t,AH396),"")</f>
        <v/>
      </c>
      <c r="AJ396" s="513" t="str">
        <f>IF(J396="",AI396,J396)</f>
        <v/>
      </c>
      <c r="AK396" s="514" t="b">
        <f>IF(K386=EUconst_Fuel,J396&lt;&gt;"",FALSE)</f>
        <v>0</v>
      </c>
      <c r="AL396" s="333"/>
      <c r="AM396" s="505" t="str">
        <f>EUconst_CNTR_ActivityData&amp;EUconst_Value</f>
        <v>ActivityData_Vertė</v>
      </c>
      <c r="AN396" s="496"/>
      <c r="AO396" s="496"/>
      <c r="AP396" s="509" t="b">
        <f>AND(AND(AH396&lt;&gt;"",AJ396&lt;&gt;""),AJ396=AH396)</f>
        <v>0</v>
      </c>
      <c r="AQ396" s="610" t="str">
        <f>IF(L391=TRUE,SUM(F393)-SUM(H393)+SUM(J393)-SUM(L393),"")</f>
        <v/>
      </c>
      <c r="AR396" s="509">
        <f>IF(Y396=EUconst_NA,0,IF(COUNT(K396:L396)=0,0,IF(L396="",K396,L396)))</f>
        <v>0</v>
      </c>
      <c r="AS396" s="1115" t="b">
        <f>AND(AC396=TRUE,OR(L396&lt;&gt;"",AQ396=""))</f>
        <v>0</v>
      </c>
      <c r="AT396" s="1115" t="b">
        <f>AND(AC396=TRUE,NOT(AS396))</f>
        <v>0</v>
      </c>
      <c r="AU396" s="30"/>
      <c r="AV396" s="483" t="s">
        <v>309</v>
      </c>
      <c r="AW396" s="483" t="s">
        <v>314</v>
      </c>
      <c r="AX396" s="515"/>
      <c r="AY396" s="30" t="s">
        <v>536</v>
      </c>
      <c r="AZ396" s="30"/>
      <c r="BA396" s="30"/>
      <c r="BB396" s="495"/>
      <c r="BC396" s="484" t="str">
        <f>EUconst_Fuel</f>
        <v>Degimas</v>
      </c>
      <c r="BD396" s="484" t="str">
        <f>EUconst_ProcessCarbonate</f>
        <v>Proceso metu išsiskiriančios ŠESD</v>
      </c>
      <c r="BE396" s="484" t="str">
        <f>EUconst_MassBalance</f>
        <v>Masės balansas</v>
      </c>
      <c r="BF396" s="30"/>
      <c r="BG396" s="30"/>
      <c r="BH396" s="30"/>
      <c r="BI396" s="30"/>
      <c r="BJ396" s="30"/>
      <c r="BK396" s="30"/>
      <c r="BL396" s="30"/>
      <c r="BM396" s="30"/>
      <c r="BN396" s="30"/>
      <c r="BO396" s="30"/>
      <c r="BP396" s="30"/>
      <c r="BQ396" s="30"/>
      <c r="BR396" s="30"/>
      <c r="BS396" s="30"/>
      <c r="BT396" s="30"/>
      <c r="BU396" s="30"/>
      <c r="BV396" s="30"/>
      <c r="BW396" s="30"/>
      <c r="BX396" s="30"/>
      <c r="BY396" s="30"/>
      <c r="BZ396" s="515" t="b">
        <f>BZ391</f>
        <v>1</v>
      </c>
    </row>
    <row r="397" spans="1:78" s="140" customFormat="1" ht="5.0999999999999996" customHeight="1" thickBot="1" x14ac:dyDescent="0.25">
      <c r="A397" s="777"/>
      <c r="B397" s="1248"/>
      <c r="C397" s="783"/>
      <c r="D397" s="298"/>
      <c r="F397" s="141"/>
      <c r="G397" s="141"/>
      <c r="H397" s="141" t="s">
        <v>233</v>
      </c>
      <c r="I397" s="516"/>
      <c r="J397" s="516"/>
      <c r="K397" s="141"/>
      <c r="L397" s="141"/>
      <c r="M397" s="701"/>
      <c r="O397" s="1305"/>
      <c r="P397" s="33"/>
      <c r="Q397" s="33"/>
      <c r="R397" s="33"/>
      <c r="S397" s="30"/>
      <c r="T397" s="153"/>
      <c r="U397" s="488"/>
      <c r="V397" s="30"/>
      <c r="W397" s="30"/>
      <c r="X397" s="488"/>
      <c r="Y397" s="517"/>
      <c r="Z397" s="30"/>
      <c r="AA397" s="30"/>
      <c r="AB397" s="30"/>
      <c r="AC397" s="30"/>
      <c r="AD397" s="30"/>
      <c r="AE397" s="30"/>
      <c r="AF397" s="30"/>
      <c r="AG397" s="30"/>
      <c r="AH397" s="30"/>
      <c r="AI397" s="30"/>
      <c r="AJ397" s="30"/>
      <c r="AK397" s="30"/>
      <c r="AL397" s="333"/>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484"/>
    </row>
    <row r="398" spans="1:78" s="140" customFormat="1" ht="12.75" customHeight="1" thickBot="1" x14ac:dyDescent="0.25">
      <c r="A398" s="777"/>
      <c r="B398" s="1248"/>
      <c r="C398" s="783" t="s">
        <v>195</v>
      </c>
      <c r="D398" s="503" t="str">
        <f>Translations!$B$634</f>
        <v>(prelim.) ITF:</v>
      </c>
      <c r="E398" s="504"/>
      <c r="F398" s="518"/>
      <c r="G398" s="1603" t="str">
        <f t="shared" ref="G398:G404" si="84">IF(OR(ISBLANK(F398),F398=EUconst_NoTier),"",IF(Z398=0,EUconst_NotApplicable,IF(ISERROR(Z398),"",Z398)))</f>
        <v/>
      </c>
      <c r="H398" s="1609"/>
      <c r="I398" s="1110" t="str">
        <f>IF(J398&lt;&gt;"","",AI398)</f>
        <v/>
      </c>
      <c r="J398" s="1111"/>
      <c r="K398" s="519" t="str">
        <f t="shared" ref="K398:K404" si="85">IF(L398="",AQ398,"")</f>
        <v/>
      </c>
      <c r="L398" s="520"/>
      <c r="M398" s="700" t="str">
        <f>IF(AND(E387&lt;&gt;"",OR(F398="",COUNT(K398:L398)=0),Y398&lt;&gt;EUconst_NA,T387&lt;&gt;TRUE),EUconst_ERR_Incomplete,IF(COUNTIF(AX398:AZ398,TRUE)&gt;0,EUconst_ERR_Inconsistent,""))</f>
        <v/>
      </c>
      <c r="N398" s="486"/>
      <c r="O398" s="1305"/>
      <c r="P398" s="33"/>
      <c r="Q398" s="33"/>
      <c r="R398" s="33"/>
      <c r="S398" s="30"/>
      <c r="T398" s="521" t="str">
        <f>EUconst_CNTR_EF&amp;E387</f>
        <v>EF_</v>
      </c>
      <c r="U398" s="488"/>
      <c r="V398" s="522" t="str">
        <f>V396</f>
        <v/>
      </c>
      <c r="W398" s="30"/>
      <c r="X398" s="488"/>
      <c r="Y398" s="523" t="str">
        <f>IF(OR(T387=TRUE,E387=""),"",IF(F398=EUconst_NA,EUconst_NA,INDEX(EUwideConstants!$N:$N,MATCH(T398,EUwideConstants!$Q:$Q,0))))</f>
        <v/>
      </c>
      <c r="Z398" s="524" t="str">
        <f>IF(ISBLANK(F398),"",IF(F398=EUconst_NA,"",INDEX(EUwideConstants!$H:$M,MATCH(T398,EUwideConstants!$Q:$Q,0),MATCH(F398,CNTR_TierList,0))))</f>
        <v/>
      </c>
      <c r="AA398" s="525" t="str">
        <f>IF(COUNTIF(EUconst_DefaultValues,Z398)&gt;0,MATCH(Z398,EUconst_DefaultValues,0),"")</f>
        <v/>
      </c>
      <c r="AB398" s="30"/>
      <c r="AC398" s="526" t="b">
        <f>AND(AC396,Y398&lt;&gt;EUconst_NA)</f>
        <v>0</v>
      </c>
      <c r="AD398" s="30"/>
      <c r="AE398" s="510" t="str">
        <f>EUconst_CNTR_EF&amp;EUconst_Unit</f>
        <v>EF_Vienetas</v>
      </c>
      <c r="AF398" s="527" t="str">
        <f>IF(AC398=TRUE, IF(COUNTIF(MSPara_SourceStreamCategory,V398)=0,"",INDEX(MSPara_CalcFactorsMatrix,MATCH(V398,MSPara_SourceStreamCategory,0),MATCH(AE398&amp;"_"&amp;2,MSPara_CalcFactors,0))),"")</f>
        <v/>
      </c>
      <c r="AG398" s="528" t="str">
        <f>IF(AC398=TRUE, IF(COUNTIF(MSPara_SourceStreamCategory,V398)=0,"",INDEX(MSPara_CalcFactorsMatrix,MATCH(V398,MSPara_SourceStreamCategory,0),MATCH(AE398&amp;"_"&amp;1,MSPara_CalcFactors,0))),"")</f>
        <v/>
      </c>
      <c r="AH398" s="529" t="str">
        <f>IF(AA398="","",INDEX(AF398:AG398,3-AA398))</f>
        <v/>
      </c>
      <c r="AI398" s="530" t="str">
        <f>IF(AC398=TRUE,IF(OR(AH398="",AH398=EUconst_NA),IF(K386=EUconst_Fuel,EUconst_tCO2pTJ,EUconst_tCO2pt),AH398),"")</f>
        <v/>
      </c>
      <c r="AJ398" s="526" t="str">
        <f>IF(J398="",AI398,J398)</f>
        <v/>
      </c>
      <c r="AK398" s="531" t="b">
        <f>IF(K386=EUconst_Fuel,J398&lt;&gt;"",FALSE)</f>
        <v>0</v>
      </c>
      <c r="AL398" s="333"/>
      <c r="AM398" s="510" t="str">
        <f>EUconst_CNTR_EF&amp;EUconst_Value</f>
        <v>EF_Vertė</v>
      </c>
      <c r="AN398" s="532" t="str">
        <f>IF(AC398=TRUE,IF(COUNTIF(MSPara_SourceStreamCategory,V398)=0,"",INDEX(MSPara_CalcFactorsMatrix,MATCH(V398,MSPara_SourceStreamCategory,0),MATCH(AM398&amp;"_"&amp;2,MSPara_CalcFactors,0))),"")</f>
        <v/>
      </c>
      <c r="AO398" s="533" t="str">
        <f>IF(AC398=TRUE,IF(COUNTIF(MSPara_SourceStreamCategory,V398)=0,"",INDEX(MSPara_CalcFactorsMatrix,MATCH(V398,MSPara_SourceStreamCategory,0),MATCH(AM398&amp;"_"&amp;1,MSPara_CalcFactors,0))),"")</f>
        <v/>
      </c>
      <c r="AP398" s="526" t="b">
        <f>AND(AND(AH398&lt;&gt;"",AJ398&lt;&gt;""),AJ398=AH398)</f>
        <v>0</v>
      </c>
      <c r="AQ398" s="534" t="str">
        <f>IF(AND(AA398&lt;&gt;"",AP398=TRUE),IF(OR(INDEX(AN398:AO398,3-AA398)=EUconst_NA,INDEX(AN398:AO398,3-AA398)=0),"",INDEX(AN398:AO398,3-AA398)),"")</f>
        <v/>
      </c>
      <c r="AR398" s="526">
        <f>IF(AC398=TRUE,IF(COUNT(K398:L398)=0,0,IF(L398="",K398,L398)),0)</f>
        <v>0</v>
      </c>
      <c r="AS398" s="522" t="b">
        <f>AND(AC398=TRUE,OR(AND(F398&lt;&gt;"",NOT(ISNUMBER(AA398))),L398&lt;&gt;"",F398="",AQ398=""))</f>
        <v>0</v>
      </c>
      <c r="AT398" s="522" t="b">
        <f t="shared" ref="AT398:AT404" si="86">AND(AC398=TRUE,NOT(AS398))</f>
        <v>0</v>
      </c>
      <c r="AU398" s="30"/>
      <c r="AV398" s="535" t="b">
        <f t="shared" ref="AV398:AV404" si="87">AND(ISNUMBER(AA398),AQ398="")</f>
        <v>0</v>
      </c>
      <c r="AW398" s="536" t="b">
        <f t="shared" ref="AW398:AW404" si="88">AND(ISNUMBER(AA398),AQ398&lt;&gt;AR398)</f>
        <v>0</v>
      </c>
      <c r="AX398" s="537" t="b">
        <f>OR(AND(AJ396=EUconst_kNm3,AJ398=EUconst_tCO2pt),AND(AJ396=EUconst_t,AJ398=EUconst_tCO2pkNm3))</f>
        <v>0</v>
      </c>
      <c r="AY398" s="522" t="b">
        <f t="shared" ref="AY398:AY404" si="89">AND(L398&lt;&gt;"",Y398=EUconst_NA)</f>
        <v>0</v>
      </c>
      <c r="AZ398" s="30"/>
      <c r="BA398" s="30"/>
      <c r="BB398" s="538" t="s">
        <v>588</v>
      </c>
      <c r="BC398" s="537" t="str">
        <f>IF(K386=BC396,AR396*IF(AJ398=EUconst_tCO2pTJ,(AR399/1000),1)*AR398*AR400*AR404,"")</f>
        <v/>
      </c>
      <c r="BD398" s="515" t="str">
        <f>IF(K386=BD396,AR396*AR398*AR401*AR404,"")</f>
        <v/>
      </c>
      <c r="BE398" s="514" t="str">
        <f>IF(K386=BE396,3.664*AR396*AR402*AR404,"")</f>
        <v/>
      </c>
      <c r="BF398" s="30"/>
      <c r="BG398" s="30"/>
      <c r="BH398" s="30"/>
      <c r="BI398" s="30"/>
      <c r="BJ398" s="30"/>
      <c r="BK398" s="30"/>
      <c r="BL398" s="30"/>
      <c r="BM398" s="30"/>
      <c r="BN398" s="30"/>
      <c r="BO398" s="30"/>
      <c r="BP398" s="30"/>
      <c r="BQ398" s="30"/>
      <c r="BR398" s="30"/>
      <c r="BS398" s="30"/>
      <c r="BT398" s="30"/>
      <c r="BU398" s="30"/>
      <c r="BV398" s="30"/>
      <c r="BW398" s="30"/>
      <c r="BX398" s="30"/>
      <c r="BY398" s="30"/>
      <c r="BZ398" s="522" t="b">
        <f>OR(BZ396,Y398=EUconst_NA)</f>
        <v>1</v>
      </c>
    </row>
    <row r="399" spans="1:78" s="140" customFormat="1" ht="12.75" customHeight="1" thickBot="1" x14ac:dyDescent="0.25">
      <c r="A399" s="777"/>
      <c r="B399" s="1248"/>
      <c r="C399" s="783" t="s">
        <v>196</v>
      </c>
      <c r="D399" s="503" t="str">
        <f>Translations!$B$636</f>
        <v>GŠV:</v>
      </c>
      <c r="E399" s="504"/>
      <c r="F399" s="539"/>
      <c r="G399" s="1603" t="str">
        <f t="shared" si="84"/>
        <v/>
      </c>
      <c r="H399" s="1604"/>
      <c r="I399" s="1112" t="str">
        <f>AJ399</f>
        <v/>
      </c>
      <c r="J399" s="540"/>
      <c r="K399" s="541" t="str">
        <f t="shared" si="85"/>
        <v/>
      </c>
      <c r="L399" s="542"/>
      <c r="M399" s="700" t="str">
        <f>IF(AND(E387&lt;&gt;"",OR(F399="",COUNT(K399:L399)=0),Y399&lt;&gt;EUconst_NA,T387&lt;&gt;TRUE),EUconst_ERR_Incomplete,IF(COUNTIF(AX399:AZ399,TRUE)&gt;0,EUconst_ERR_Inconsistent,""))</f>
        <v/>
      </c>
      <c r="O399" s="1305"/>
      <c r="P399" s="33"/>
      <c r="Q399" s="33"/>
      <c r="R399" s="33"/>
      <c r="S399" s="30"/>
      <c r="T399" s="543" t="str">
        <f>EUconst_CNTR_NCV&amp;E387</f>
        <v>NCV_</v>
      </c>
      <c r="U399" s="488"/>
      <c r="V399" s="544" t="str">
        <f t="shared" ref="V399:V404" si="90">V398</f>
        <v/>
      </c>
      <c r="W399" s="30"/>
      <c r="X399" s="488"/>
      <c r="Y399" s="545" t="str">
        <f>IF(OR(T387=TRUE,E387=""),"",IF(F399=EUconst_NA,EUconst_NA,INDEX(EUwideConstants!$N:$N,MATCH(T399,EUwideConstants!$Q:$Q,0))))</f>
        <v/>
      </c>
      <c r="Z399" s="546" t="str">
        <f>IF(ISBLANK(F399),"",IF(F399=EUconst_NA,"",INDEX(EUwideConstants!$H:$M,MATCH(T399,EUwideConstants!$Q:$Q,0),MATCH(F399,CNTR_TierList,0))))</f>
        <v/>
      </c>
      <c r="AA399" s="547" t="str">
        <f>IF(COUNTIF(EUconst_DefaultValues,Z399)&gt;0,MATCH(Z399,EUconst_DefaultValues,0),"")</f>
        <v/>
      </c>
      <c r="AB399" s="30"/>
      <c r="AC399" s="548" t="b">
        <f>AND(AC396,Y399&lt;&gt;EUconst_NA)</f>
        <v>0</v>
      </c>
      <c r="AD399" s="30"/>
      <c r="AE399" s="549" t="str">
        <f>EUconst_CNTR_NCV&amp;EUconst_Unit</f>
        <v>NCV_Vienetas</v>
      </c>
      <c r="AF399" s="550" t="str">
        <f>IF(AC399=TRUE, IF(COUNTIF(MSPara_SourceStreamCategory,V399)=0,"",INDEX(MSPara_CalcFactorsMatrix,MATCH(V399,MSPara_SourceStreamCategory,0),MATCH(AE399&amp;"_"&amp;2,MSPara_CalcFactors,0))),"")</f>
        <v/>
      </c>
      <c r="AG399" s="551" t="str">
        <f>IF(AC399=TRUE, IF(COUNTIF(MSPara_SourceStreamCategory,V399)=0,"",INDEX(MSPara_CalcFactorsMatrix,MATCH(V399,MSPara_SourceStreamCategory,0),MATCH(AE399&amp;"_"&amp;1,MSPara_CalcFactors,0))),"")</f>
        <v/>
      </c>
      <c r="AH399" s="552" t="str">
        <f>IF(AA399="","",INDEX(AF399:AG399,3-AA399))</f>
        <v/>
      </c>
      <c r="AI399" s="553"/>
      <c r="AJ399" s="548" t="str">
        <f>IF(AC399=TRUE,IF(AJ396="","",IF(AJ396=EUconst_kNm3,EUconst_GJpkNm3,EUconst_GJpt)),"")</f>
        <v/>
      </c>
      <c r="AK399" s="554"/>
      <c r="AL399" s="333"/>
      <c r="AM399" s="549" t="str">
        <f>EUconst_CNTR_NCV&amp;EUconst_Value</f>
        <v>NCV_Vertė</v>
      </c>
      <c r="AN399" s="555" t="str">
        <f>IF(AC399=TRUE,IF(COUNTIF(MSPara_SourceStreamCategory,V399)=0,"",INDEX(MSPara_CalcFactorsMatrix,MATCH(V399,MSPara_SourceStreamCategory,0),MATCH(AM399&amp;"_"&amp;2,MSPara_CalcFactors,0))),"")</f>
        <v/>
      </c>
      <c r="AO399" s="556" t="str">
        <f>IF(AC399=TRUE,IF(COUNTIF(MSPara_SourceStreamCategory,V399)=0,"",INDEX(MSPara_CalcFactorsMatrix,MATCH(V399,MSPara_SourceStreamCategory,0),MATCH(AM399&amp;"_"&amp;1,MSPara_CalcFactors,0))),"")</f>
        <v/>
      </c>
      <c r="AP399" s="548" t="b">
        <f>AND(AND(AH399&lt;&gt;"",AJ399&lt;&gt;""),AJ399=AH399)</f>
        <v>0</v>
      </c>
      <c r="AQ399" s="557" t="str">
        <f>IF(AND(AA399&lt;&gt;"",AP399=TRUE),IF(OR(INDEX(AN399:AO399,3-AA399)=EUconst_NA,INDEX(AN399:AO399,3-AA399)=0),"",INDEX(AN399:AO399,3-AA399)),"")</f>
        <v/>
      </c>
      <c r="AR399" s="548">
        <f>IF(AC399=TRUE,IF(COUNT(K399:L399)=0,0,IF(L399="",K399,L399)),0)</f>
        <v>0</v>
      </c>
      <c r="AS399" s="544" t="b">
        <f>AND(AC399=TRUE,OR(AND(F399&lt;&gt;"",NOT(ISNUMBER(AA399))),L399&lt;&gt;"",F399="",AQ399=""))</f>
        <v>0</v>
      </c>
      <c r="AT399" s="544" t="b">
        <f t="shared" si="86"/>
        <v>0</v>
      </c>
      <c r="AU399" s="30"/>
      <c r="AV399" s="558" t="b">
        <f t="shared" si="87"/>
        <v>0</v>
      </c>
      <c r="AW399" s="559" t="b">
        <f t="shared" si="88"/>
        <v>0</v>
      </c>
      <c r="AX399" s="30"/>
      <c r="AY399" s="544" t="b">
        <f t="shared" si="89"/>
        <v>0</v>
      </c>
      <c r="AZ399" s="30"/>
      <c r="BA399" s="30"/>
      <c r="BB399" s="538" t="s">
        <v>589</v>
      </c>
      <c r="BC399" s="537" t="str">
        <f>IF(K386=BC396,AR396*IF(AJ398=EUconst_tCO2pTJ,(AR399/1000),1)*AR398*AR400*AR403,"")</f>
        <v/>
      </c>
      <c r="BD399" s="515" t="str">
        <f>IF(K386=BD396,AR396*AR398*AR401*AR403,"")</f>
        <v/>
      </c>
      <c r="BE399" s="514" t="str">
        <f>IF(K386=BE396,3.664*AR396*AR402*AR403,"")</f>
        <v/>
      </c>
      <c r="BF399" s="30"/>
      <c r="BG399" s="30"/>
      <c r="BH399" s="30"/>
      <c r="BI399" s="30"/>
      <c r="BJ399" s="30"/>
      <c r="BK399" s="30"/>
      <c r="BL399" s="30"/>
      <c r="BM399" s="30"/>
      <c r="BN399" s="30"/>
      <c r="BO399" s="30"/>
      <c r="BP399" s="30"/>
      <c r="BQ399" s="30"/>
      <c r="BR399" s="30"/>
      <c r="BS399" s="30"/>
      <c r="BT399" s="30"/>
      <c r="BU399" s="30"/>
      <c r="BV399" s="30"/>
      <c r="BW399" s="30"/>
      <c r="BX399" s="30"/>
      <c r="BY399" s="30"/>
      <c r="BZ399" s="544" t="b">
        <f>OR(BZ396,Y399=EUconst_NA)</f>
        <v>1</v>
      </c>
    </row>
    <row r="400" spans="1:78" s="140" customFormat="1" ht="12.75" customHeight="1" thickBot="1" x14ac:dyDescent="0.25">
      <c r="A400" s="777"/>
      <c r="B400" s="1248"/>
      <c r="C400" s="783" t="s">
        <v>197</v>
      </c>
      <c r="D400" s="503" t="str">
        <f>Translations!$B$638</f>
        <v>Oksidacijos koef.:</v>
      </c>
      <c r="E400" s="504"/>
      <c r="F400" s="539"/>
      <c r="G400" s="1603" t="str">
        <f t="shared" si="84"/>
        <v/>
      </c>
      <c r="H400" s="1604"/>
      <c r="I400" s="1113" t="str">
        <f>IF(OR(AC400=FALSE,Y400=EUconst_NA),"","-")</f>
        <v/>
      </c>
      <c r="J400" s="560"/>
      <c r="K400" s="561" t="str">
        <f t="shared" si="85"/>
        <v/>
      </c>
      <c r="L400" s="694"/>
      <c r="M400" s="700" t="str">
        <f>IF(AND(E387&lt;&gt;"",OR(F400="",COUNT(K400:L400)=0),Y400&lt;&gt;EUconst_NA,T387&lt;&gt;TRUE),EUconst_ERR_Incomplete,IF(COUNTIF(AX400:AZ400,TRUE)&gt;0,EUconst_ERR_Inconsistent,""))</f>
        <v/>
      </c>
      <c r="O400" s="1305"/>
      <c r="P400" s="33"/>
      <c r="Q400" s="33"/>
      <c r="R400" s="33"/>
      <c r="S400" s="30"/>
      <c r="T400" s="543" t="str">
        <f>EUconst_CNTR_OxidationFactor&amp;E387</f>
        <v>OxF_</v>
      </c>
      <c r="U400" s="488"/>
      <c r="V400" s="544" t="str">
        <f t="shared" si="90"/>
        <v/>
      </c>
      <c r="W400" s="30"/>
      <c r="X400" s="488"/>
      <c r="Y400" s="545" t="str">
        <f>IF(OR(T387=TRUE,E387=""),"",INDEX(EUwideConstants!$N:$N,MATCH(T400,EUwideConstants!$Q:$Q,0)))</f>
        <v/>
      </c>
      <c r="Z400" s="546" t="str">
        <f>IF(ISBLANK(F400),"",IF(F400=EUconst_NA,"",INDEX(EUwideConstants!$H:$M,MATCH(T400,EUwideConstants!$Q:$Q,0),MATCH(F400,CNTR_TierList,0))))</f>
        <v/>
      </c>
      <c r="AA400" s="525" t="str">
        <f>IF(F400=1,1,"")</f>
        <v/>
      </c>
      <c r="AB400" s="30"/>
      <c r="AC400" s="548" t="b">
        <f>AND(AC396,Y400&lt;&gt;EUconst_NA)</f>
        <v>0</v>
      </c>
      <c r="AD400" s="30"/>
      <c r="AE400" s="563"/>
      <c r="AG400" s="564"/>
      <c r="AH400" s="553"/>
      <c r="AI400" s="565"/>
      <c r="AJ400" s="553"/>
      <c r="AK400" s="566"/>
      <c r="AL400" s="333"/>
      <c r="AM400" s="549" t="str">
        <f>EUconst_CNTR_OxidationFactor&amp;EUconst_Value</f>
        <v>OxF_Vertė</v>
      </c>
      <c r="AN400" s="567"/>
      <c r="AO400" s="525">
        <v>1</v>
      </c>
      <c r="AP400" s="553"/>
      <c r="AQ400" s="568" t="str">
        <f>IF(AA400="","",AO400)</f>
        <v/>
      </c>
      <c r="AR400" s="548">
        <f>IF(AC400=TRUE,IF(COUNT(K400:L400)=0,0,IF(L400="",K400,L400)),1)</f>
        <v>1</v>
      </c>
      <c r="AS400" s="544" t="b">
        <f>AND(AC400=TRUE,OR(ISNUMBER(L400),NOT(ISNUMBER(AA400))))</f>
        <v>0</v>
      </c>
      <c r="AT400" s="544" t="b">
        <f t="shared" si="86"/>
        <v>0</v>
      </c>
      <c r="AU400" s="30"/>
      <c r="AV400" s="558" t="b">
        <f t="shared" si="87"/>
        <v>0</v>
      </c>
      <c r="AW400" s="559" t="b">
        <f t="shared" si="88"/>
        <v>0</v>
      </c>
      <c r="AX400" s="30"/>
      <c r="AY400" s="585" t="b">
        <f t="shared" si="89"/>
        <v>0</v>
      </c>
      <c r="AZ400" s="522" t="b">
        <f>AR400&gt;100%</f>
        <v>0</v>
      </c>
      <c r="BA400" s="30"/>
      <c r="BB400" s="538" t="s">
        <v>287</v>
      </c>
      <c r="BC400" s="537" t="str">
        <f>IF(K386=BC396,AR396*IF(AJ398=EUconst_tCO2pTJ,(AR399/1000),1)*AR398*AR400*(1-AR403),"")</f>
        <v/>
      </c>
      <c r="BD400" s="515" t="str">
        <f>IF(K386=BD396,AR396*AR398*AR401*(1-AR403),"")</f>
        <v/>
      </c>
      <c r="BE400" s="514" t="str">
        <f>IF(K386=BE396,3.664*AR396*AR402*(1-AR403),"")</f>
        <v/>
      </c>
      <c r="BF400" s="30"/>
      <c r="BG400" s="30"/>
      <c r="BH400" s="30"/>
      <c r="BI400" s="30"/>
      <c r="BJ400" s="30"/>
      <c r="BK400" s="30"/>
      <c r="BL400" s="30"/>
      <c r="BM400" s="30"/>
      <c r="BN400" s="30"/>
      <c r="BO400" s="30"/>
      <c r="BP400" s="30"/>
      <c r="BQ400" s="30"/>
      <c r="BR400" s="30"/>
      <c r="BS400" s="30"/>
      <c r="BT400" s="30"/>
      <c r="BU400" s="30"/>
      <c r="BV400" s="30"/>
      <c r="BW400" s="30"/>
      <c r="BX400" s="30"/>
      <c r="BY400" s="30"/>
      <c r="BZ400" s="544" t="b">
        <f>OR(BZ396,Y400=EUconst_NA)</f>
        <v>1</v>
      </c>
    </row>
    <row r="401" spans="1:78" s="140" customFormat="1" ht="12.75" customHeight="1" thickBot="1" x14ac:dyDescent="0.25">
      <c r="A401" s="777"/>
      <c r="B401" s="1248"/>
      <c r="C401" s="783" t="s">
        <v>198</v>
      </c>
      <c r="D401" s="503" t="str">
        <f>Translations!$B$639</f>
        <v>Konversijos koef.:</v>
      </c>
      <c r="E401" s="504"/>
      <c r="F401" s="539"/>
      <c r="G401" s="1603" t="str">
        <f t="shared" si="84"/>
        <v/>
      </c>
      <c r="H401" s="1604"/>
      <c r="I401" s="1113" t="str">
        <f>IF(OR(AC401=FALSE,Y401=EUconst_NA),"","-")</f>
        <v/>
      </c>
      <c r="J401" s="560"/>
      <c r="K401" s="561" t="str">
        <f t="shared" si="85"/>
        <v/>
      </c>
      <c r="L401" s="694"/>
      <c r="M401" s="700" t="str">
        <f>IF(AND(E387&lt;&gt;"",OR(F401="",COUNT(K401:L401)=0),Y401&lt;&gt;EUconst_NA,T387&lt;&gt;TRUE),EUconst_ERR_Incomplete,IF(COUNTIF(AX401:AZ401,TRUE)&gt;0,EUconst_ERR_Inconsistent,""))</f>
        <v/>
      </c>
      <c r="O401" s="1305"/>
      <c r="P401" s="33"/>
      <c r="Q401" s="33"/>
      <c r="R401" s="33"/>
      <c r="S401" s="30"/>
      <c r="T401" s="543" t="str">
        <f>EUconst_CNTR_ConversionFactor&amp;E387</f>
        <v>ConvF_</v>
      </c>
      <c r="U401" s="488"/>
      <c r="V401" s="544" t="str">
        <f t="shared" si="90"/>
        <v/>
      </c>
      <c r="W401" s="30"/>
      <c r="X401" s="488"/>
      <c r="Y401" s="545" t="str">
        <f>IF(OR(T387=TRUE,E387=""),"",INDEX(EUwideConstants!$N:$N,MATCH(T401,EUwideConstants!$Q:$Q,0)))</f>
        <v/>
      </c>
      <c r="Z401" s="546" t="str">
        <f>IF(ISBLANK(F401),"",IF(F401=EUconst_NA,"",INDEX(EUwideConstants!$H:$M,MATCH(T401,EUwideConstants!$Q:$Q,0),MATCH(F401,CNTR_TierList,0))))</f>
        <v/>
      </c>
      <c r="AA401" s="573" t="str">
        <f>IF(F401=1,1,"")</f>
        <v/>
      </c>
      <c r="AB401" s="30"/>
      <c r="AC401" s="548" t="b">
        <f>AND(AC396,Y401&lt;&gt;EUconst_NA)</f>
        <v>0</v>
      </c>
      <c r="AD401" s="30"/>
      <c r="AE401" s="563"/>
      <c r="AG401" s="564"/>
      <c r="AH401" s="574"/>
      <c r="AI401" s="565"/>
      <c r="AJ401" s="574"/>
      <c r="AK401" s="566"/>
      <c r="AL401" s="333"/>
      <c r="AM401" s="549" t="str">
        <f>EUconst_CNTR_ConversionFactor&amp;EUconst_Value</f>
        <v>ConvF_Vertė</v>
      </c>
      <c r="AN401" s="575"/>
      <c r="AO401" s="573">
        <v>1</v>
      </c>
      <c r="AP401" s="574"/>
      <c r="AQ401" s="576" t="str">
        <f>IF(AA401="","",AO401)</f>
        <v/>
      </c>
      <c r="AR401" s="548">
        <f>IF(AC401=TRUE,IF(COUNT(K401:L401)=0,0,IF(L401="",K401,L401)),1)</f>
        <v>1</v>
      </c>
      <c r="AS401" s="544" t="b">
        <f>AND(AC401=TRUE,OR(ISNUMBER(L401),NOT(ISNUMBER(AA401))))</f>
        <v>0</v>
      </c>
      <c r="AT401" s="544" t="b">
        <f t="shared" si="86"/>
        <v>0</v>
      </c>
      <c r="AU401" s="30"/>
      <c r="AV401" s="558" t="b">
        <f t="shared" si="87"/>
        <v>0</v>
      </c>
      <c r="AW401" s="559" t="b">
        <f t="shared" si="88"/>
        <v>0</v>
      </c>
      <c r="AX401" s="30"/>
      <c r="AY401" s="585" t="b">
        <f t="shared" si="89"/>
        <v>0</v>
      </c>
      <c r="AZ401" s="571" t="b">
        <f>AR401&gt;100%</f>
        <v>0</v>
      </c>
      <c r="BA401" s="30"/>
      <c r="BB401" s="569" t="s">
        <v>481</v>
      </c>
      <c r="BC401" s="570">
        <f>AR396*AR399/1000*(1-AR403)</f>
        <v>0</v>
      </c>
      <c r="BD401" s="571">
        <f>BC401</f>
        <v>0</v>
      </c>
      <c r="BE401" s="572">
        <f>BC401</f>
        <v>0</v>
      </c>
      <c r="BF401" s="30"/>
      <c r="BG401" s="30"/>
      <c r="BH401" s="30"/>
      <c r="BI401" s="30"/>
      <c r="BJ401" s="30"/>
      <c r="BK401" s="30"/>
      <c r="BL401" s="30"/>
      <c r="BM401" s="30"/>
      <c r="BN401" s="30"/>
      <c r="BO401" s="30"/>
      <c r="BP401" s="30"/>
      <c r="BQ401" s="30"/>
      <c r="BR401" s="30"/>
      <c r="BS401" s="30"/>
      <c r="BT401" s="30"/>
      <c r="BU401" s="30"/>
      <c r="BV401" s="30"/>
      <c r="BW401" s="30"/>
      <c r="BX401" s="30"/>
      <c r="BY401" s="30"/>
      <c r="BZ401" s="544" t="b">
        <f>OR(BZ396,Y401=EUconst_NA)</f>
        <v>1</v>
      </c>
    </row>
    <row r="402" spans="1:78" s="140" customFormat="1" ht="12.75" customHeight="1" thickBot="1" x14ac:dyDescent="0.25">
      <c r="A402" s="777"/>
      <c r="B402" s="1248"/>
      <c r="C402" s="783" t="s">
        <v>324</v>
      </c>
      <c r="D402" s="503" t="str">
        <f>Translations!$B$640</f>
        <v>Anglies kiekis (C):</v>
      </c>
      <c r="E402" s="504"/>
      <c r="F402" s="539"/>
      <c r="G402" s="1603" t="str">
        <f t="shared" si="84"/>
        <v/>
      </c>
      <c r="H402" s="1604"/>
      <c r="I402" s="1113" t="str">
        <f>AJ402</f>
        <v/>
      </c>
      <c r="J402" s="577"/>
      <c r="K402" s="578" t="str">
        <f t="shared" si="85"/>
        <v/>
      </c>
      <c r="L402" s="579"/>
      <c r="M402" s="700" t="str">
        <f>IF(AND(E387&lt;&gt;"",OR(F402="",COUNT(K402:L402)=0),Y402&lt;&gt;EUconst_NA,T387&lt;&gt;TRUE),EUconst_ERR_Incomplete,IF(COUNTIF(AX402:AZ402,TRUE)&gt;0,EUconst_ERR_Inconsistent,""))</f>
        <v/>
      </c>
      <c r="O402" s="1305"/>
      <c r="P402" s="33"/>
      <c r="Q402" s="33"/>
      <c r="R402" s="33"/>
      <c r="S402" s="30"/>
      <c r="T402" s="543" t="str">
        <f>EUconst_CNTR_CarbonContent&amp;E387</f>
        <v>CarbC_</v>
      </c>
      <c r="U402" s="488"/>
      <c r="V402" s="544" t="str">
        <f t="shared" si="90"/>
        <v/>
      </c>
      <c r="W402" s="30"/>
      <c r="X402" s="488"/>
      <c r="Y402" s="545" t="str">
        <f>IF(OR(T387=TRUE,E387=""),"",INDEX(EUwideConstants!$N:$N,MATCH(T402,EUwideConstants!$Q:$Q,0)))</f>
        <v/>
      </c>
      <c r="Z402" s="546" t="str">
        <f>IF(ISBLANK(F402),"",IF(F402=EUconst_NA,"",INDEX(EUwideConstants!$H:$M,MATCH(T402,EUwideConstants!$Q:$Q,0),MATCH(F402,CNTR_TierList,0))))</f>
        <v/>
      </c>
      <c r="AA402" s="580" t="str">
        <f>IF(COUNTIF(EUconst_DefaultValues,Z402)&gt;0,MATCH(Z402,EUconst_DefaultValues,0),"")</f>
        <v/>
      </c>
      <c r="AB402" s="30"/>
      <c r="AC402" s="548" t="b">
        <f>AND(AC396,Y402&lt;&gt;EUconst_NA)</f>
        <v>0</v>
      </c>
      <c r="AD402" s="30"/>
      <c r="AE402" s="549" t="str">
        <f>EUconst_CNTR_CarbonContent&amp;EUconst_Unit</f>
        <v>CarbC_Vienetas</v>
      </c>
      <c r="AF402" s="550" t="str">
        <f>IF(AC402=TRUE, IF(COUNTIF(MSPara_SourceStreamCategory,V402)=0,"",INDEX(MSPara_CalcFactorsMatrix,MATCH(V402,MSPara_SourceStreamCategory,0),MATCH(AE402&amp;"_"&amp;2,MSPara_CalcFactors,0))),"")</f>
        <v/>
      </c>
      <c r="AG402" s="551" t="str">
        <f>IF(AC402=TRUE, IF(COUNTIF(MSPara_SourceStreamCategory,V402)=0,"",INDEX(MSPara_CalcFactorsMatrix,MATCH(V402,MSPara_SourceStreamCategory,0),MATCH(AE402&amp;"_"&amp;1,MSPara_CalcFactors,0))),"")</f>
        <v/>
      </c>
      <c r="AH402" s="581" t="str">
        <f>IF(AA402="","",INDEX(AF402:AG402,3-AA402))</f>
        <v/>
      </c>
      <c r="AI402" s="565"/>
      <c r="AJ402" s="582" t="str">
        <f>IF(AC402=TRUE,IF(AJ396="","",IF(AJ396=EUconst_kNm3,EUconst_tCpkNm3,EUconst_tCpt)),"")</f>
        <v/>
      </c>
      <c r="AK402" s="566"/>
      <c r="AL402" s="333"/>
      <c r="AM402" s="549" t="str">
        <f>EUconst_CNTR_CarbonContent&amp;EUconst_Value</f>
        <v>CarbC_Vertė</v>
      </c>
      <c r="AN402" s="555" t="str">
        <f>IF(AC402=TRUE,IF(COUNTIF(MSPara_SourceStreamCategory,V402)=0,"",INDEX(MSPara_CalcFactorsMatrix,MATCH(V402,MSPara_SourceStreamCategory,0),MATCH(AM402&amp;"_"&amp;2,MSPara_CalcFactors,0))),"")</f>
        <v/>
      </c>
      <c r="AO402" s="583" t="str">
        <f>IF(AC402=TRUE,IF(COUNTIF(MSPara_SourceStreamCategory,V402)=0,"",INDEX(MSPara_CalcFactorsMatrix,MATCH(V402,MSPara_SourceStreamCategory,0),MATCH(AM402&amp;"_"&amp;1,MSPara_CalcFactors,0))),"")</f>
        <v/>
      </c>
      <c r="AP402" s="548" t="b">
        <f>AND(AND(AH402&lt;&gt;"",AJ402&lt;&gt;""),AJ402=AH402)</f>
        <v>0</v>
      </c>
      <c r="AQ402" s="584" t="str">
        <f>IF(AND(AA402&lt;&gt;"",AP402=TRUE),IF(OR(INDEX(AN402:AO402,3-AA402)=EUconst_NA,INDEX(AN402:AO402,3-AA402)=0),"",INDEX(AN402:AO402,3-AA402)),"")</f>
        <v/>
      </c>
      <c r="AR402" s="548">
        <f>IF(AC402=TRUE,IF(COUNT(K402:L402)=0,0,IF(L402="",K402,L402)),0)</f>
        <v>0</v>
      </c>
      <c r="AS402" s="544" t="b">
        <f>AND(AC402=TRUE,OR(AND(F402&lt;&gt;"",NOT(ISNUMBER(AA402))),L402&lt;&gt;"",F402="",AQ402=""))</f>
        <v>0</v>
      </c>
      <c r="AT402" s="544" t="b">
        <f t="shared" si="86"/>
        <v>0</v>
      </c>
      <c r="AU402" s="30"/>
      <c r="AV402" s="558" t="b">
        <f t="shared" si="87"/>
        <v>0</v>
      </c>
      <c r="AW402" s="559" t="b">
        <f t="shared" si="88"/>
        <v>0</v>
      </c>
      <c r="AX402" s="537" t="b">
        <f>OR(AND(AJ396=EUconst_kNm3,AJ402=EUconst_tCpt),AND(AJ396=EUconst_t,AJ402=EUconst_tCpkNm3))</f>
        <v>0</v>
      </c>
      <c r="AY402" s="544" t="b">
        <f t="shared" si="89"/>
        <v>0</v>
      </c>
      <c r="AZ402" s="30"/>
      <c r="BA402" s="30"/>
      <c r="BB402" s="569" t="s">
        <v>482</v>
      </c>
      <c r="BC402" s="570">
        <f>AR396*AR399/1000*AR403</f>
        <v>0</v>
      </c>
      <c r="BD402" s="571">
        <f>BC402</f>
        <v>0</v>
      </c>
      <c r="BE402" s="572">
        <f>BC402</f>
        <v>0</v>
      </c>
      <c r="BF402" s="30"/>
      <c r="BG402" s="30"/>
      <c r="BH402" s="30"/>
      <c r="BI402" s="30"/>
      <c r="BJ402" s="30"/>
      <c r="BK402" s="30"/>
      <c r="BL402" s="30"/>
      <c r="BM402" s="30"/>
      <c r="BN402" s="30"/>
      <c r="BO402" s="30"/>
      <c r="BP402" s="30"/>
      <c r="BQ402" s="30"/>
      <c r="BR402" s="30"/>
      <c r="BS402" s="30"/>
      <c r="BT402" s="30"/>
      <c r="BU402" s="30"/>
      <c r="BV402" s="30"/>
      <c r="BW402" s="30"/>
      <c r="BX402" s="30"/>
      <c r="BY402" s="30"/>
      <c r="BZ402" s="544" t="b">
        <f>OR(BZ396,Y402=EUconst_NA)</f>
        <v>1</v>
      </c>
    </row>
    <row r="403" spans="1:78" s="140" customFormat="1" ht="12.75" customHeight="1" x14ac:dyDescent="0.2">
      <c r="A403" s="777"/>
      <c r="B403" s="1248"/>
      <c r="C403" s="753" t="s">
        <v>325</v>
      </c>
      <c r="D403" s="503" t="str">
        <f>Translations!$B$641</f>
        <v>Biomasės dalis (BioC):</v>
      </c>
      <c r="E403" s="504"/>
      <c r="F403" s="539"/>
      <c r="G403" s="1603" t="str">
        <f t="shared" si="84"/>
        <v/>
      </c>
      <c r="H403" s="1604"/>
      <c r="I403" s="1113" t="str">
        <f>IF(OR(AC403=FALSE,Y403=EUconst_NA),"","-")</f>
        <v/>
      </c>
      <c r="J403" s="560"/>
      <c r="K403" s="561" t="str">
        <f t="shared" si="85"/>
        <v/>
      </c>
      <c r="L403" s="694"/>
      <c r="M403" s="700" t="str">
        <f>IF(AND(E387&lt;&gt;"",OR(F403="",COUNT(K403:L403)=0),Y403&lt;&gt;EUconst_NA,T387&lt;&gt;TRUE),EUconst_ERR_Incomplete,IF(COUNTIF(AX403:AZ403,TRUE)&gt;0,EUconst_ERR_Inconsistent,""))</f>
        <v/>
      </c>
      <c r="O403" s="1305"/>
      <c r="P403" s="635"/>
      <c r="Q403" s="635"/>
      <c r="R403" s="635"/>
      <c r="S403" s="30"/>
      <c r="T403" s="543" t="str">
        <f>EUconst_CNTR_BiomassContent&amp;E387</f>
        <v>BioC_</v>
      </c>
      <c r="U403" s="488"/>
      <c r="V403" s="585" t="str">
        <f t="shared" si="90"/>
        <v/>
      </c>
      <c r="W403" s="522" t="str">
        <f>IF(COUNTIF(MSPara_SourceStreamCategory,V403)=0,"",INDEX(MSPara_IsFossil,MATCH(V403,MSPara_SourceStreamCategory,0)))</f>
        <v/>
      </c>
      <c r="X403" s="488"/>
      <c r="Y403" s="545" t="str">
        <f>IF(OR(T387=TRUE,E387=""),"",IF(OR(W403=TRUE,F403=EUconst_NA),EUconst_NA,INDEX(EUwideConstants!$N:$N,MATCH(T403,EUwideConstants!$Q:$Q,0))))</f>
        <v/>
      </c>
      <c r="Z403" s="546" t="str">
        <f>IF(ISBLANK(F403),"",IF(F403=EUconst_NA,"",INDEX(EUwideConstants!$H:$M,MATCH(T403,EUwideConstants!$Q:$Q,0),MATCH(F403,CNTR_TierList,0))))</f>
        <v/>
      </c>
      <c r="AA403" s="586" t="str">
        <f>IF(F403=1,1,"")</f>
        <v/>
      </c>
      <c r="AB403" s="30"/>
      <c r="AC403" s="548" t="b">
        <f>AND(AC396,Y403&lt;&gt;EUconst_NA)</f>
        <v>0</v>
      </c>
      <c r="AD403" s="30"/>
      <c r="AE403" s="563"/>
      <c r="AG403" s="564"/>
      <c r="AH403" s="553"/>
      <c r="AI403" s="565"/>
      <c r="AJ403" s="553"/>
      <c r="AK403" s="566"/>
      <c r="AL403" s="333"/>
      <c r="AM403" s="549" t="str">
        <f>EUconst_CNTR_BiomassContent&amp;EUconst_Value</f>
        <v>BioC_Vertė</v>
      </c>
      <c r="AO403" s="587" t="str">
        <f>IF(AC403=TRUE,IF(COUNTIF(MSPara_SourceStreamCategory,V403)=0,"",INDEX(MSPara_CalcFactorsMatrix,MATCH(V403,MSPara_SourceStreamCategory,0),MATCH(AM403&amp;"_"&amp;2,MSPara_CalcFactors,0))),"")</f>
        <v/>
      </c>
      <c r="AP403" s="553"/>
      <c r="AQ403" s="568" t="str">
        <f>IF(OR(AA403="",AO403=EUconst_NA),"",AO403)</f>
        <v/>
      </c>
      <c r="AR403" s="548">
        <f>IF(AC403=TRUE,IF(COUNT(K403:L403)=0,0,IF(L403="",K403,L403)),0)</f>
        <v>0</v>
      </c>
      <c r="AS403" s="544" t="b">
        <f>AND(AC403=TRUE,OR(AND(F403&lt;&gt;"",NOT(ISNUMBER(AA403))),L403&lt;&gt;"",F403="",AQ403=""))</f>
        <v>0</v>
      </c>
      <c r="AT403" s="544" t="b">
        <f t="shared" si="86"/>
        <v>0</v>
      </c>
      <c r="AU403" s="30"/>
      <c r="AV403" s="558" t="b">
        <f t="shared" si="87"/>
        <v>0</v>
      </c>
      <c r="AW403" s="559" t="b">
        <f t="shared" si="88"/>
        <v>0</v>
      </c>
      <c r="AX403" s="30"/>
      <c r="AY403" s="585" t="b">
        <f t="shared" si="89"/>
        <v>0</v>
      </c>
      <c r="AZ403" s="522" t="b">
        <f>OR(AR403&gt;100%,(AR403+AR404)&gt;100%)</f>
        <v>0</v>
      </c>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544" t="b">
        <f>OR(BZ396,Y403=EUconst_NA)</f>
        <v>1</v>
      </c>
    </row>
    <row r="404" spans="1:78" s="140" customFormat="1" ht="12.75" customHeight="1" thickBot="1" x14ac:dyDescent="0.25">
      <c r="A404" s="777"/>
      <c r="B404" s="1248"/>
      <c r="C404" s="753" t="s">
        <v>448</v>
      </c>
      <c r="D404" s="503" t="str">
        <f>Translations!$B$647</f>
        <v>Netvarios BioC dalis:</v>
      </c>
      <c r="E404" s="504"/>
      <c r="F404" s="588"/>
      <c r="G404" s="1603" t="str">
        <f t="shared" si="84"/>
        <v/>
      </c>
      <c r="H404" s="1604"/>
      <c r="I404" s="1114" t="str">
        <f>IF(OR(AC404=FALSE,Y404=EUconst_NA),"","-")</f>
        <v/>
      </c>
      <c r="J404" s="560"/>
      <c r="K404" s="589" t="str">
        <f t="shared" si="85"/>
        <v/>
      </c>
      <c r="L404" s="1100"/>
      <c r="M404" s="700" t="str">
        <f>IF(AND(E387&lt;&gt;"",OR(F404="",COUNT(K404:L404)=0),Y404&lt;&gt;EUconst_NA,T387&lt;&gt;TRUE),EUconst_ERR_Incomplete,IF(COUNTIF(AX404:AZ404,TRUE)&gt;0,EUconst_ERR_Inconsistent,""))</f>
        <v/>
      </c>
      <c r="O404" s="1305"/>
      <c r="P404" s="635"/>
      <c r="Q404" s="635"/>
      <c r="R404" s="635"/>
      <c r="S404" s="30"/>
      <c r="T404" s="590" t="str">
        <f>EUconst_CNTR_BiomassContent&amp;E387</f>
        <v>BioC_</v>
      </c>
      <c r="U404" s="488"/>
      <c r="V404" s="570" t="str">
        <f t="shared" si="90"/>
        <v/>
      </c>
      <c r="W404" s="571" t="str">
        <f>IF(COUNTIF(MSPara_SourceStreamCategory,V404)=0,"",INDEX(MSPara_IsFossil,MATCH(V404,MSPara_SourceStreamCategory,0)))</f>
        <v/>
      </c>
      <c r="X404" s="488"/>
      <c r="Y404" s="591" t="str">
        <f>IF(OR(T387=TRUE,E387=""),"",IF(OR(W404=TRUE,F404=EUconst_NA),EUconst_NA,INDEX(EUwideConstants!$N:$N,MATCH(T404,EUwideConstants!$Q:$Q,0))))</f>
        <v/>
      </c>
      <c r="Z404" s="592" t="str">
        <f>IF(ISBLANK(F404),"",IF(F404=EUconst_NA,"",INDEX(EUwideConstants!$H:$M,MATCH(T404,EUwideConstants!$Q:$Q,0),MATCH(F404,CNTR_TierList,0))))</f>
        <v/>
      </c>
      <c r="AA404" s="593" t="str">
        <f>IF(F404=1,1,"")</f>
        <v/>
      </c>
      <c r="AB404" s="30"/>
      <c r="AC404" s="594" t="b">
        <f>AND(AC396,Y404&lt;&gt;EUconst_NA)</f>
        <v>0</v>
      </c>
      <c r="AD404" s="30"/>
      <c r="AE404" s="595"/>
      <c r="AF404" s="596"/>
      <c r="AG404" s="597"/>
      <c r="AH404" s="598"/>
      <c r="AI404" s="598"/>
      <c r="AJ404" s="598"/>
      <c r="AK404" s="599"/>
      <c r="AL404" s="333"/>
      <c r="AM404" s="600" t="str">
        <f>EUconst_CNTR_BiomassContent&amp;EUconst_Value</f>
        <v>BioC_Vertė</v>
      </c>
      <c r="AN404" s="596"/>
      <c r="AO404" s="601" t="str">
        <f>IF(AC404=TRUE,IF(COUNTIF(MSPara_SourceStreamCategory,V404)=0,"",INDEX(MSPara_CalcFactorsMatrix,MATCH(V404,MSPara_SourceStreamCategory,0),MATCH(AM404&amp;"_"&amp;2,MSPara_CalcFactors,0))),"")</f>
        <v/>
      </c>
      <c r="AP404" s="598"/>
      <c r="AQ404" s="602" t="str">
        <f>IF(OR(AA404="",AO404=EUconst_NA),"",AO404)</f>
        <v/>
      </c>
      <c r="AR404" s="594">
        <f>IF(AC404=TRUE,IF(COUNT(K404:L404)=0,0,IF(L404="",K404,L404)),0)</f>
        <v>0</v>
      </c>
      <c r="AS404" s="603" t="b">
        <f>AND(AC404=TRUE,OR(AND(F404&lt;&gt;"",NOT(ISNUMBER(AA404))),L404&lt;&gt;"",F404="",AQ404=""))</f>
        <v>0</v>
      </c>
      <c r="AT404" s="603" t="b">
        <f t="shared" si="86"/>
        <v>0</v>
      </c>
      <c r="AU404" s="30"/>
      <c r="AV404" s="604" t="b">
        <f t="shared" si="87"/>
        <v>0</v>
      </c>
      <c r="AW404" s="605" t="b">
        <f t="shared" si="88"/>
        <v>0</v>
      </c>
      <c r="AX404" s="30"/>
      <c r="AY404" s="570" t="b">
        <f t="shared" si="89"/>
        <v>0</v>
      </c>
      <c r="AZ404" s="571" t="b">
        <f>OR(AR403&gt;100%,(AR403+AR404)&gt;100%)</f>
        <v>0</v>
      </c>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571" t="b">
        <f>OR(BZ396,Y404=EUconst_NA)</f>
        <v>1</v>
      </c>
    </row>
    <row r="405" spans="1:78" s="140" customFormat="1" ht="5.0999999999999996" customHeight="1" x14ac:dyDescent="0.2">
      <c r="A405" s="777"/>
      <c r="B405" s="1248"/>
      <c r="C405" s="164"/>
      <c r="D405" s="178"/>
      <c r="O405" s="1305"/>
      <c r="P405" s="33"/>
      <c r="Q405" s="33"/>
      <c r="R405" s="33"/>
      <c r="S405" s="172"/>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row>
    <row r="406" spans="1:78" s="140" customFormat="1" ht="12.75" customHeight="1" x14ac:dyDescent="0.2">
      <c r="A406" s="777"/>
      <c r="B406" s="1248"/>
      <c r="C406" s="164"/>
      <c r="D406" s="1629" t="str">
        <f>Translations!$B$674</f>
        <v>Pakopos galioja nuo:</v>
      </c>
      <c r="E406" s="1629"/>
      <c r="F406" s="1630"/>
      <c r="G406" s="1014"/>
      <c r="H406" s="606" t="str">
        <f>Translations!$B$675</f>
        <v>iki:</v>
      </c>
      <c r="I406" s="1014"/>
      <c r="J406" s="1620" t="str">
        <f>Translations!$B$676</f>
        <v>Atliekų katalogo numeris (jeigu taikytina):</v>
      </c>
      <c r="K406" s="1621"/>
      <c r="L406" s="1621"/>
      <c r="M406" s="1622"/>
      <c r="N406" s="1232"/>
      <c r="O406" s="1305"/>
      <c r="P406" s="33"/>
      <c r="Q406" s="33"/>
      <c r="R406" s="33"/>
      <c r="S406" s="1233"/>
      <c r="T406" s="483"/>
      <c r="U406" s="483"/>
      <c r="V406" s="48" t="b">
        <f>IF(V396="",FALSE,INDEX(CNTR_IsWaste,MATCH(V396,MSParameters!$A$218:$A$376,0)))</f>
        <v>0</v>
      </c>
      <c r="W406" s="1233" t="s">
        <v>1689</v>
      </c>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2" t="b">
        <f>BZ396</f>
        <v>1</v>
      </c>
    </row>
    <row r="407" spans="1:78" s="140" customFormat="1" ht="5.0999999999999996" customHeight="1" x14ac:dyDescent="0.2">
      <c r="A407" s="777"/>
      <c r="B407" s="1248"/>
      <c r="C407" s="164"/>
      <c r="D407" s="606"/>
      <c r="E407" s="486"/>
      <c r="F407" s="486"/>
      <c r="G407" s="486"/>
      <c r="H407" s="486"/>
      <c r="I407" s="486"/>
      <c r="J407" s="486"/>
      <c r="K407" s="486"/>
      <c r="L407" s="486"/>
      <c r="M407" s="486"/>
      <c r="N407" s="486"/>
      <c r="O407" s="1305"/>
      <c r="P407" s="33"/>
      <c r="Q407" s="33"/>
      <c r="R407" s="33"/>
      <c r="S407" s="172"/>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row>
    <row r="408" spans="1:78" s="140" customFormat="1" ht="12.75" customHeight="1" x14ac:dyDescent="0.2">
      <c r="A408" s="777"/>
      <c r="B408" s="1248"/>
      <c r="C408" s="164"/>
      <c r="D408" s="486"/>
      <c r="E408" s="486"/>
      <c r="F408" s="486"/>
      <c r="G408" s="486"/>
      <c r="H408" s="486"/>
      <c r="I408" s="486"/>
      <c r="J408" s="486"/>
      <c r="K408" s="486"/>
      <c r="L408" s="486"/>
      <c r="M408" s="606" t="str">
        <f>Translations!$B$677</f>
        <v>Stebėsenos plane šiam sukėlikliui suteiktas identifikatorius:</v>
      </c>
      <c r="N408" s="705"/>
      <c r="O408" s="1305"/>
      <c r="P408" s="33"/>
      <c r="Q408" s="33"/>
      <c r="R408" s="33"/>
      <c r="S408" s="172"/>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2" t="b">
        <f>BZ406</f>
        <v>1</v>
      </c>
    </row>
    <row r="409" spans="1:78" s="140" customFormat="1" ht="5.0999999999999996" customHeight="1" x14ac:dyDescent="0.2">
      <c r="A409" s="784"/>
      <c r="B409" s="1316"/>
      <c r="D409" s="178"/>
      <c r="O409" s="1317"/>
      <c r="P409" s="488"/>
      <c r="Q409" s="488"/>
      <c r="R409" s="488"/>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row>
    <row r="410" spans="1:78" s="140" customFormat="1" x14ac:dyDescent="0.2">
      <c r="A410" s="784"/>
      <c r="B410" s="1316"/>
      <c r="D410" s="1618" t="str">
        <f>Translations!$B$160</f>
        <v>Pastabos:</v>
      </c>
      <c r="E410" s="1619"/>
      <c r="F410" s="1605"/>
      <c r="G410" s="1606"/>
      <c r="H410" s="1606"/>
      <c r="I410" s="1606"/>
      <c r="J410" s="1606"/>
      <c r="K410" s="1606"/>
      <c r="L410" s="1606"/>
      <c r="M410" s="1606"/>
      <c r="N410" s="1607"/>
      <c r="O410" s="1317"/>
      <c r="P410" s="488"/>
      <c r="Q410" s="488"/>
      <c r="R410" s="488"/>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2" t="b">
        <f>BZ406</f>
        <v>1</v>
      </c>
    </row>
    <row r="411" spans="1:78" s="28" customFormat="1" ht="12.75" customHeight="1" thickBot="1" x14ac:dyDescent="0.25">
      <c r="A411" s="777"/>
      <c r="B411" s="1312"/>
      <c r="C411" s="490"/>
      <c r="D411" s="491"/>
      <c r="E411" s="492"/>
      <c r="F411" s="490"/>
      <c r="G411" s="493"/>
      <c r="H411" s="493"/>
      <c r="I411" s="493"/>
      <c r="J411" s="493"/>
      <c r="K411" s="493"/>
      <c r="L411" s="493"/>
      <c r="M411" s="493"/>
      <c r="N411" s="493"/>
      <c r="O411" s="1313"/>
      <c r="P411" s="485"/>
      <c r="Q411" s="485"/>
      <c r="R411" s="485"/>
      <c r="S411" s="58"/>
      <c r="T411" s="58"/>
      <c r="U411" s="489"/>
      <c r="V411" s="58"/>
      <c r="W411" s="58"/>
      <c r="X411" s="489"/>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30"/>
      <c r="BJ411" s="30"/>
      <c r="BK411" s="30"/>
      <c r="BL411" s="58"/>
      <c r="BM411" s="58"/>
      <c r="BN411" s="58"/>
      <c r="BO411" s="58"/>
      <c r="BP411" s="58"/>
      <c r="BQ411" s="58"/>
      <c r="BR411" s="58"/>
      <c r="BS411" s="58"/>
      <c r="BT411" s="58"/>
      <c r="BU411" s="58"/>
      <c r="BV411" s="58"/>
      <c r="BW411" s="58"/>
      <c r="BX411" s="58"/>
      <c r="BY411" s="58"/>
      <c r="BZ411" s="58"/>
    </row>
    <row r="412" spans="1:78" s="28" customFormat="1" ht="12.75" customHeight="1" thickBot="1" x14ac:dyDescent="0.25">
      <c r="A412" s="782"/>
      <c r="B412" s="1312"/>
      <c r="C412" s="486"/>
      <c r="D412" s="178"/>
      <c r="E412" s="487"/>
      <c r="F412" s="486"/>
      <c r="G412" s="478"/>
      <c r="H412" s="478"/>
      <c r="I412" s="478"/>
      <c r="J412" s="478"/>
      <c r="K412" s="486"/>
      <c r="L412" s="478"/>
      <c r="M412" s="478"/>
      <c r="N412" s="478"/>
      <c r="O412" s="1313"/>
      <c r="P412" s="485"/>
      <c r="Q412" s="485"/>
      <c r="R412" s="485"/>
      <c r="S412" s="23"/>
      <c r="T412" s="27" t="str">
        <f>IF(ISBLANK(E413),"",MATCH(E413,CNTR_SourceStreamNames,0))</f>
        <v/>
      </c>
      <c r="U412" s="609" t="str">
        <f>IF(ISBLANK(E413),"",INDEX(B_InstallationDescription!$D$71:$D$145,MATCH(E413,CNTR_SourceStreamNames,0)))</f>
        <v/>
      </c>
      <c r="V412" s="76"/>
      <c r="W412" s="56"/>
      <c r="X412" s="56"/>
      <c r="Y412" s="56"/>
      <c r="Z412" s="58"/>
      <c r="AA412" s="58"/>
      <c r="AB412" s="58"/>
      <c r="AC412" s="58"/>
      <c r="AD412" s="58"/>
      <c r="AE412" s="58"/>
      <c r="AF412" s="58"/>
      <c r="AG412" s="58"/>
      <c r="AH412" s="58"/>
      <c r="AI412" s="58"/>
      <c r="AJ412" s="58"/>
      <c r="AK412" s="482"/>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6"/>
      <c r="BI412" s="56"/>
      <c r="BJ412" s="56"/>
      <c r="BK412" s="56"/>
      <c r="BL412" s="56"/>
      <c r="BM412" s="56"/>
      <c r="BN412" s="56"/>
      <c r="BO412" s="56"/>
      <c r="BP412" s="56"/>
      <c r="BQ412" s="56"/>
      <c r="BR412" s="56"/>
      <c r="BS412" s="56"/>
      <c r="BT412" s="56"/>
      <c r="BU412" s="56"/>
      <c r="BV412" s="56"/>
      <c r="BW412" s="56"/>
      <c r="BX412" s="56"/>
      <c r="BY412" s="56"/>
      <c r="BZ412" s="484" t="s">
        <v>259</v>
      </c>
    </row>
    <row r="413" spans="1:78" s="140" customFormat="1" ht="15" customHeight="1" thickBot="1" x14ac:dyDescent="0.25">
      <c r="A413" s="1302" t="str">
        <f>IF(E413="","","PRINT")</f>
        <v/>
      </c>
      <c r="B413" s="1248"/>
      <c r="C413" s="608">
        <f>C386+1</f>
        <v>14</v>
      </c>
      <c r="D413" s="164"/>
      <c r="E413" s="1610"/>
      <c r="F413" s="1611"/>
      <c r="G413" s="1611"/>
      <c r="H413" s="1611"/>
      <c r="I413" s="1611"/>
      <c r="J413" s="1612"/>
      <c r="K413" s="1623" t="str">
        <f>IF(E414="","",INDEX(EUwideConstants!$F$353:$F$394,MATCH(E414,EUConst_TierActivityListNames,0)))</f>
        <v/>
      </c>
      <c r="L413" s="1624"/>
      <c r="M413" s="494" t="str">
        <f>Translations!$B$665</f>
        <v>CO2, iškastinio kuro kilmės:</v>
      </c>
      <c r="N413" s="1012" t="str">
        <f>IF(OR(K413="",T414=TRUE),"",INDEX(BC427:BE427,MATCH(K413,BC423:BE423,0)))</f>
        <v/>
      </c>
      <c r="O413" s="1314" t="s">
        <v>257</v>
      </c>
      <c r="P413" s="1303" t="str">
        <f>IF(AND(E413&lt;&gt;"",COUNTIF(P414:$P$2089,"PRINT")=0),"PRINT","")</f>
        <v/>
      </c>
      <c r="Q413" s="343" t="str">
        <f>EUconst_SumCO2 &amp; "_" &amp; K413</f>
        <v>SUM_CO2_</v>
      </c>
      <c r="R413" s="485"/>
      <c r="S413" s="23"/>
      <c r="T413" s="500" t="s">
        <v>387</v>
      </c>
      <c r="U413" s="23"/>
      <c r="V413" s="76"/>
      <c r="W413" s="56"/>
      <c r="X413" s="58"/>
      <c r="Y413" s="58"/>
      <c r="Z413" s="58"/>
      <c r="AA413" s="58"/>
      <c r="AB413" s="58"/>
      <c r="AC413" s="58"/>
      <c r="AD413" s="58"/>
      <c r="AE413" s="58"/>
      <c r="AF413" s="58"/>
      <c r="AG413" s="58"/>
      <c r="AH413" s="58"/>
      <c r="AI413" s="333"/>
      <c r="AJ413" s="333"/>
      <c r="AK413" s="333"/>
      <c r="AL413" s="333"/>
      <c r="AM413" s="333"/>
      <c r="AN413" s="333"/>
      <c r="AO413" s="333"/>
      <c r="AP413" s="333"/>
      <c r="AQ413" s="333"/>
      <c r="AR413" s="333"/>
      <c r="AS413" s="333"/>
      <c r="AT413" s="333"/>
      <c r="AU413" s="333"/>
      <c r="AV413" s="333"/>
      <c r="AW413" s="333"/>
      <c r="AX413" s="333"/>
      <c r="AY413" s="333"/>
      <c r="AZ413" s="333"/>
      <c r="BA413" s="333"/>
      <c r="BB413" s="333"/>
      <c r="BC413" s="333"/>
      <c r="BD413" s="333"/>
      <c r="BE413" s="333"/>
      <c r="BF413" s="333"/>
      <c r="BG413" s="333"/>
      <c r="BH413" s="834">
        <f>AR423</f>
        <v>0</v>
      </c>
      <c r="BI413" s="834" t="str">
        <f>AJ423</f>
        <v/>
      </c>
      <c r="BJ413" s="834">
        <f>AR425</f>
        <v>0</v>
      </c>
      <c r="BK413" s="834" t="str">
        <f>AJ425</f>
        <v/>
      </c>
      <c r="BL413" s="834">
        <f>AR426</f>
        <v>0</v>
      </c>
      <c r="BM413" s="834" t="str">
        <f>AJ426</f>
        <v/>
      </c>
      <c r="BN413" s="834">
        <f>AR427</f>
        <v>1</v>
      </c>
      <c r="BO413" s="834">
        <f>AR428</f>
        <v>1</v>
      </c>
      <c r="BP413" s="834">
        <f>AR429</f>
        <v>0</v>
      </c>
      <c r="BQ413" s="834" t="str">
        <f>AJ429</f>
        <v/>
      </c>
      <c r="BR413" s="834">
        <f>AR430</f>
        <v>0</v>
      </c>
      <c r="BS413" s="834">
        <f>AR431</f>
        <v>0</v>
      </c>
      <c r="BT413" s="834" t="str">
        <f>N413</f>
        <v/>
      </c>
      <c r="BU413" s="834" t="str">
        <f>N414</f>
        <v/>
      </c>
      <c r="BV413" s="834" t="str">
        <f>R416</f>
        <v/>
      </c>
      <c r="BW413" s="834" t="str">
        <f>R422</f>
        <v/>
      </c>
      <c r="BX413" s="834" t="str">
        <f>R423</f>
        <v/>
      </c>
      <c r="BY413" s="56"/>
      <c r="BZ413" s="610" t="b">
        <f>CNTR_CalcRelevant=EUconst_NotRelevant</f>
        <v>0</v>
      </c>
    </row>
    <row r="414" spans="1:78" s="140" customFormat="1" ht="15" customHeight="1" thickBot="1" x14ac:dyDescent="0.25">
      <c r="A414" s="777"/>
      <c r="B414" s="1248"/>
      <c r="C414" s="164"/>
      <c r="D414" s="164"/>
      <c r="E414" s="1625" t="str">
        <f>IF(ISBLANK(E413),"",IF(INDEX(B_InstallationDescription!$E$71:$E$145,MATCH(U412,B_InstallationDescription!$D$71:$D$145,0))&gt;0,INDEX(B_InstallationDescription!$E$71:$E$145,MATCH(U412,B_InstallationDescription!$D$71:$D$145,0)),""))</f>
        <v/>
      </c>
      <c r="F414" s="1626"/>
      <c r="G414" s="1626"/>
      <c r="H414" s="1626"/>
      <c r="I414" s="1626"/>
      <c r="J414" s="1627"/>
      <c r="M414" s="337" t="str">
        <f>Translations!$B$666</f>
        <v>CO2, biomasės kilmės.:</v>
      </c>
      <c r="N414" s="1013" t="str">
        <f>IF(OR(K413="",T414=TRUE),"",INDEX(BC426:BE426,MATCH(K413,BC423:BE423,0)))</f>
        <v/>
      </c>
      <c r="O414" s="1315" t="s">
        <v>257</v>
      </c>
      <c r="P414" s="485"/>
      <c r="Q414" s="343" t="str">
        <f>EUconst_SumBioCO2 &amp; "_" &amp; K413</f>
        <v>SUM_bioCO2_</v>
      </c>
      <c r="R414" s="485"/>
      <c r="S414" s="23"/>
      <c r="T414" s="48" t="str">
        <f>IF(E414="","",MATCH(E414,EUConst_TierActivityListNames,0)&gt;40)</f>
        <v/>
      </c>
      <c r="U414" s="23"/>
      <c r="V414" s="76"/>
      <c r="W414" s="56"/>
      <c r="X414" s="58"/>
      <c r="Y414" s="27" t="s">
        <v>91</v>
      </c>
      <c r="Z414" s="30"/>
      <c r="AA414" s="30"/>
      <c r="AB414" s="30"/>
      <c r="AC414" s="30"/>
      <c r="AD414" s="30"/>
      <c r="AE414" s="27" t="s">
        <v>297</v>
      </c>
      <c r="AF414" s="58"/>
      <c r="AG414" s="495"/>
      <c r="AH414" s="30"/>
      <c r="AI414" s="30"/>
      <c r="AJ414" s="495"/>
      <c r="AK414" s="495"/>
      <c r="AL414" s="333"/>
      <c r="AM414" s="27" t="s">
        <v>303</v>
      </c>
      <c r="AN414" s="496"/>
      <c r="AO414" s="496"/>
      <c r="AP414" s="30"/>
      <c r="AQ414" s="30"/>
      <c r="AR414" s="30"/>
      <c r="AS414" s="30"/>
      <c r="AT414" s="30"/>
      <c r="AU414" s="30"/>
      <c r="AV414" s="27" t="s">
        <v>310</v>
      </c>
      <c r="AW414" s="30"/>
      <c r="AX414" s="483"/>
      <c r="AY414" s="30"/>
      <c r="AZ414" s="30"/>
      <c r="BA414" s="30"/>
      <c r="BB414" s="27" t="s">
        <v>217</v>
      </c>
      <c r="BC414" s="30"/>
      <c r="BD414" s="30"/>
      <c r="BE414" s="30"/>
      <c r="BF414" s="30"/>
      <c r="BG414" s="27" t="s">
        <v>486</v>
      </c>
      <c r="BH414" s="833" t="s">
        <v>552</v>
      </c>
      <c r="BI414" s="833" t="s">
        <v>487</v>
      </c>
      <c r="BJ414" s="833" t="s">
        <v>211</v>
      </c>
      <c r="BK414" s="833" t="s">
        <v>488</v>
      </c>
      <c r="BL414" s="833" t="s">
        <v>68</v>
      </c>
      <c r="BM414" s="833" t="s">
        <v>489</v>
      </c>
      <c r="BN414" s="833" t="s">
        <v>490</v>
      </c>
      <c r="BO414" s="833" t="s">
        <v>491</v>
      </c>
      <c r="BP414" s="833" t="s">
        <v>214</v>
      </c>
      <c r="BQ414" s="833" t="s">
        <v>492</v>
      </c>
      <c r="BR414" s="833" t="s">
        <v>493</v>
      </c>
      <c r="BS414" s="833" t="s">
        <v>494</v>
      </c>
      <c r="BT414" s="833" t="s">
        <v>287</v>
      </c>
      <c r="BU414" s="833" t="s">
        <v>495</v>
      </c>
      <c r="BV414" s="833" t="s">
        <v>498</v>
      </c>
      <c r="BW414" s="833" t="s">
        <v>496</v>
      </c>
      <c r="BX414" s="833" t="s">
        <v>497</v>
      </c>
      <c r="BY414" s="30"/>
      <c r="BZ414" s="30"/>
    </row>
    <row r="415" spans="1:78" s="140" customFormat="1" ht="5.0999999999999996" customHeight="1" thickBot="1" x14ac:dyDescent="0.25">
      <c r="A415" s="777"/>
      <c r="B415" s="1248"/>
      <c r="C415" s="164"/>
      <c r="D415" s="164"/>
      <c r="E415" s="164"/>
      <c r="F415" s="164"/>
      <c r="G415" s="164"/>
      <c r="M415" s="141"/>
      <c r="N415" s="141"/>
      <c r="O415" s="1305"/>
      <c r="P415" s="33"/>
      <c r="Q415" s="33"/>
      <c r="R415" s="33"/>
      <c r="S415" s="23"/>
      <c r="T415" s="23"/>
      <c r="U415" s="23"/>
      <c r="V415" s="76"/>
      <c r="W415" s="30"/>
      <c r="X415" s="30"/>
      <c r="Y415" s="485"/>
      <c r="Z415" s="30"/>
      <c r="AA415" s="30"/>
      <c r="AB415" s="30"/>
      <c r="AC415" s="30"/>
      <c r="AD415" s="30"/>
      <c r="AE415" s="30"/>
      <c r="AF415" s="58"/>
      <c r="AG415" s="30"/>
      <c r="AH415" s="30"/>
      <c r="AI415" s="30"/>
      <c r="AJ415" s="495"/>
      <c r="AK415" s="495"/>
      <c r="AL415" s="333"/>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row>
    <row r="416" spans="1:78" s="140" customFormat="1" ht="12.75" customHeight="1" thickBot="1" x14ac:dyDescent="0.25">
      <c r="A416" s="777"/>
      <c r="B416" s="1248"/>
      <c r="C416" s="164"/>
      <c r="D416" s="164"/>
      <c r="E416" s="1628" t="str">
        <f>IF(E413="","",IF(T414=TRUE,HYPERLINK("#JUMP_14",EUconst_MsgGoOnPFC),HYPERLINK("#JUMP_E_8",EUconst_FurtherGuidancePoint1)))</f>
        <v/>
      </c>
      <c r="F416" s="1628"/>
      <c r="G416" s="1628"/>
      <c r="H416" s="1628"/>
      <c r="I416" s="1628"/>
      <c r="J416" s="1628"/>
      <c r="K416" s="1628"/>
      <c r="L416" s="1628"/>
      <c r="M416" s="1628"/>
      <c r="N416" s="141"/>
      <c r="O416" s="1305"/>
      <c r="P416" s="33"/>
      <c r="Q416" s="343" t="str">
        <f>EUconst_SumNonSustBioCO2 &amp; "_" &amp; K413</f>
        <v>SUM_bioNonSustCO2_</v>
      </c>
      <c r="R416" s="698" t="str">
        <f>IF(OR(K413="",T414=TRUE),"",ROUND(INDEX(BC425:BE425,MATCH(K413,BC423:BE423,0)),0))</f>
        <v/>
      </c>
      <c r="S416" s="23"/>
      <c r="T416" s="23"/>
      <c r="U416" s="23"/>
      <c r="V416" s="30"/>
      <c r="W416" s="30"/>
      <c r="X416" s="30"/>
      <c r="Y416" s="58"/>
      <c r="Z416" s="30"/>
      <c r="AA416" s="30"/>
      <c r="AB416" s="30"/>
      <c r="AC416" s="30"/>
      <c r="AD416" s="30"/>
      <c r="AE416" s="30"/>
      <c r="AF416" s="58"/>
      <c r="AG416" s="30"/>
      <c r="AH416" s="30"/>
      <c r="AI416" s="30"/>
      <c r="AJ416" s="495"/>
      <c r="AK416" s="495"/>
      <c r="AL416" s="333"/>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row>
    <row r="417" spans="1:78" s="140" customFormat="1" ht="5.0999999999999996" customHeight="1" thickBot="1" x14ac:dyDescent="0.25">
      <c r="A417" s="777"/>
      <c r="B417" s="1248"/>
      <c r="C417" s="164"/>
      <c r="D417" s="164"/>
      <c r="E417" s="164"/>
      <c r="F417" s="164"/>
      <c r="G417" s="164"/>
      <c r="M417" s="141"/>
      <c r="N417" s="141"/>
      <c r="O417" s="1305"/>
      <c r="P417" s="23"/>
      <c r="Q417" s="23"/>
      <c r="R417" s="23"/>
      <c r="S417" s="23"/>
      <c r="T417" s="23"/>
      <c r="U417" s="23"/>
      <c r="V417" s="30"/>
      <c r="W417" s="30"/>
      <c r="X417" s="30"/>
      <c r="Y417" s="485"/>
      <c r="Z417" s="30"/>
      <c r="AA417" s="30"/>
      <c r="AB417" s="30"/>
      <c r="AC417" s="30"/>
      <c r="AD417" s="30"/>
      <c r="AE417" s="30"/>
      <c r="AF417" s="58"/>
      <c r="AG417" s="30"/>
      <c r="AH417" s="30"/>
      <c r="AI417" s="30"/>
      <c r="AJ417" s="495"/>
      <c r="AK417" s="495"/>
      <c r="AL417" s="333"/>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row>
    <row r="418" spans="1:78" s="140" customFormat="1" ht="12.75" customHeight="1" thickBot="1" x14ac:dyDescent="0.25">
      <c r="A418" s="777"/>
      <c r="B418" s="1248"/>
      <c r="C418" s="783" t="s">
        <v>4</v>
      </c>
      <c r="D418" s="503" t="str">
        <f>Translations!$B$622</f>
        <v>VD:</v>
      </c>
      <c r="E418" s="1631" t="str">
        <f>Translations!$B$667</f>
        <v>Ar veiklos duomenys gaunami sudedant išmatuotus kiekius (t. y. ne atliekant nuolatinius matavimus)?</v>
      </c>
      <c r="F418" s="1631"/>
      <c r="G418" s="1631"/>
      <c r="H418" s="1631"/>
      <c r="I418" s="1631"/>
      <c r="J418" s="1631"/>
      <c r="K418" s="1631"/>
      <c r="L418" s="1122"/>
      <c r="M418" s="498"/>
      <c r="O418" s="1305"/>
      <c r="P418" s="23"/>
      <c r="Q418" s="23"/>
      <c r="R418" s="23"/>
      <c r="S418" s="23"/>
      <c r="T418" s="23"/>
      <c r="U418" s="23"/>
      <c r="V418" s="30"/>
      <c r="W418" s="30"/>
      <c r="X418" s="30"/>
      <c r="Y418" s="485"/>
      <c r="Z418" s="30"/>
      <c r="AA418" s="30"/>
      <c r="AB418" s="30"/>
      <c r="AC418" s="1115" t="b">
        <f>AND(E413&lt;&gt;"",T414&lt;&gt;TRUE)</f>
        <v>0</v>
      </c>
      <c r="AD418" s="30"/>
      <c r="AE418" s="30"/>
      <c r="AF418" s="58"/>
      <c r="AG418" s="30"/>
      <c r="AH418" s="30"/>
      <c r="AI418" s="30"/>
      <c r="AJ418" s="495"/>
      <c r="AK418" s="495"/>
      <c r="AL418" s="333"/>
      <c r="AM418" s="30"/>
      <c r="AN418" s="30"/>
      <c r="AO418" s="30"/>
      <c r="AP418" s="30"/>
      <c r="AQ418" s="30"/>
      <c r="AR418" s="30"/>
      <c r="AS418" s="30"/>
      <c r="AT418" s="1115" t="b">
        <f>MSPara_BatchReportingMandatory&lt;&gt;TRUE</f>
        <v>0</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1115" t="b">
        <f>OR(CNTR_CalcRelevant=EUconst_NotRelevant,AND(COUNTA(CNTR_ListRelevantSections)&gt;0,OR(T414=TRUE,E413="")))</f>
        <v>1</v>
      </c>
    </row>
    <row r="419" spans="1:78" s="140" customFormat="1" ht="5.0999999999999996" customHeight="1" thickBot="1" x14ac:dyDescent="0.25">
      <c r="A419" s="777"/>
      <c r="B419" s="1248"/>
      <c r="C419" s="164"/>
      <c r="D419" s="164"/>
      <c r="E419" s="164"/>
      <c r="F419" s="164"/>
      <c r="G419" s="164"/>
      <c r="H419" s="486"/>
      <c r="I419" s="486"/>
      <c r="J419" s="486"/>
      <c r="K419" s="486"/>
      <c r="L419" s="486"/>
      <c r="M419" s="498"/>
      <c r="O419" s="1305"/>
      <c r="P419" s="23"/>
      <c r="Q419" s="23"/>
      <c r="R419" s="23"/>
      <c r="S419" s="23"/>
      <c r="T419" s="23"/>
      <c r="U419" s="23"/>
      <c r="V419" s="30"/>
      <c r="W419" s="30"/>
      <c r="X419" s="30"/>
      <c r="Y419" s="485"/>
      <c r="Z419" s="30"/>
      <c r="AA419" s="30"/>
      <c r="AB419" s="30"/>
      <c r="AC419" s="483"/>
      <c r="AD419" s="30"/>
      <c r="AE419" s="30"/>
      <c r="AF419" s="58"/>
      <c r="AG419" s="30"/>
      <c r="AH419" s="30"/>
      <c r="AI419" s="30"/>
      <c r="AJ419" s="495"/>
      <c r="AK419" s="495"/>
      <c r="AL419" s="333"/>
      <c r="AM419" s="30"/>
      <c r="AN419" s="30"/>
      <c r="AO419" s="30"/>
      <c r="AP419" s="30"/>
      <c r="AQ419" s="30"/>
      <c r="AR419" s="30"/>
      <c r="AS419" s="30"/>
      <c r="AT419" s="483"/>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483"/>
    </row>
    <row r="420" spans="1:78" s="140" customFormat="1" ht="12.75" customHeight="1" thickBot="1" x14ac:dyDescent="0.25">
      <c r="A420" s="777"/>
      <c r="B420" s="1248"/>
      <c r="C420" s="783" t="s">
        <v>5</v>
      </c>
      <c r="D420" s="503" t="str">
        <f>Translations!$B$622</f>
        <v>VD:</v>
      </c>
      <c r="E420" s="1105" t="str">
        <f>Translations!$B$668</f>
        <v>Pradinis kiekis:</v>
      </c>
      <c r="F420" s="1123"/>
      <c r="G420" s="1106" t="str">
        <f>Translations!$B$669</f>
        <v>Galutinis kiekis:</v>
      </c>
      <c r="H420" s="1123"/>
      <c r="I420" s="1106" t="str">
        <f>Translations!$B$670</f>
        <v>Įsigytas kiekis:</v>
      </c>
      <c r="J420" s="1123"/>
      <c r="K420" s="1106" t="str">
        <f>Translations!$B$671</f>
        <v>Perduotas kiekis:</v>
      </c>
      <c r="L420" s="1123"/>
      <c r="M420" s="1107" t="str">
        <f>IF(AND(L418=TRUE,COUNT(F420,H420,J420,L420)&lt;4),EUconst_ERR_Incomplete,"")</f>
        <v/>
      </c>
      <c r="O420" s="1305"/>
      <c r="P420" s="23"/>
      <c r="Q420" s="23"/>
      <c r="R420" s="23"/>
      <c r="S420" s="23"/>
      <c r="T420" s="23"/>
      <c r="U420" s="23"/>
      <c r="V420" s="30"/>
      <c r="W420" s="30"/>
      <c r="X420" s="30"/>
      <c r="Y420" s="485"/>
      <c r="Z420" s="30"/>
      <c r="AA420" s="30"/>
      <c r="AB420" s="30"/>
      <c r="AC420" s="1115" t="b">
        <f>AC418</f>
        <v>0</v>
      </c>
      <c r="AD420" s="30"/>
      <c r="AE420" s="30"/>
      <c r="AF420" s="58"/>
      <c r="AG420" s="30"/>
      <c r="AH420" s="30"/>
      <c r="AI420" s="30"/>
      <c r="AJ420" s="495"/>
      <c r="AK420" s="495"/>
      <c r="AL420" s="333"/>
      <c r="AM420" s="30"/>
      <c r="AN420" s="30"/>
      <c r="AO420" s="30"/>
      <c r="AP420" s="30"/>
      <c r="AQ420" s="30"/>
      <c r="AR420" s="30"/>
      <c r="AS420" s="30"/>
      <c r="AT420" s="1115" t="b">
        <f>AND(AT418=TRUE,L418="")</f>
        <v>0</v>
      </c>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1115" t="b">
        <f>OR(BZ418,AND(NOT(ISBLANK(L418)),L418=FALSE))</f>
        <v>1</v>
      </c>
    </row>
    <row r="421" spans="1:78" s="140" customFormat="1" ht="5.0999999999999996" customHeight="1" thickBot="1" x14ac:dyDescent="0.25">
      <c r="A421" s="777"/>
      <c r="B421" s="1248"/>
      <c r="C421" s="164"/>
      <c r="D421" s="164"/>
      <c r="E421" s="164"/>
      <c r="F421" s="164"/>
      <c r="G421" s="164"/>
      <c r="M421" s="141"/>
      <c r="N421" s="141"/>
      <c r="O421" s="1305"/>
      <c r="P421" s="23"/>
      <c r="Q421" s="23"/>
      <c r="R421" s="23"/>
      <c r="S421" s="23"/>
      <c r="T421" s="23"/>
      <c r="U421" s="23"/>
      <c r="V421" s="30"/>
      <c r="W421" s="30"/>
      <c r="X421" s="30"/>
      <c r="Y421" s="485"/>
      <c r="Z421" s="30"/>
      <c r="AA421" s="30"/>
      <c r="AB421" s="30"/>
      <c r="AC421" s="30"/>
      <c r="AD421" s="30"/>
      <c r="AE421" s="30"/>
      <c r="AF421" s="58"/>
      <c r="AG421" s="30"/>
      <c r="AH421" s="30"/>
      <c r="AI421" s="30"/>
      <c r="AJ421" s="495"/>
      <c r="AK421" s="495"/>
      <c r="AL421" s="333"/>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row>
    <row r="422" spans="1:78" s="140" customFormat="1" ht="12.75" customHeight="1" thickBot="1" x14ac:dyDescent="0.25">
      <c r="A422" s="777"/>
      <c r="B422" s="1248"/>
      <c r="C422" s="164"/>
      <c r="D422" s="164"/>
      <c r="E422" s="164"/>
      <c r="F422" s="497" t="str">
        <f>Translations!$B$333</f>
        <v>Pakopa</v>
      </c>
      <c r="G422" s="1613" t="str">
        <f>Translations!$B$672</f>
        <v>pakopos aprašas</v>
      </c>
      <c r="H422" s="1613"/>
      <c r="I422" s="1608" t="str">
        <f>Translations!$B$158</f>
        <v>Vienetas</v>
      </c>
      <c r="J422" s="1608"/>
      <c r="K422" s="1608" t="str">
        <f>Translations!$B$673</f>
        <v>Vertė</v>
      </c>
      <c r="L422" s="1608"/>
      <c r="M422" s="498" t="str">
        <f>Translations!$B$610</f>
        <v>klaida</v>
      </c>
      <c r="O422" s="1305"/>
      <c r="P422" s="499"/>
      <c r="Q422" s="343" t="str">
        <f>EUconst_SumEnergyIN &amp; "_" &amp; K413</f>
        <v>SUM_EnergyIN_</v>
      </c>
      <c r="R422" s="390" t="str">
        <f>IF(OR(K413="",T414)=TRUE,"",INDEX(BC428:BE428,MATCH(K413,BC423:BE423,0)))</f>
        <v/>
      </c>
      <c r="S422" s="30"/>
      <c r="T422" s="480"/>
      <c r="U422" s="30"/>
      <c r="V422" s="500" t="s">
        <v>298</v>
      </c>
      <c r="W422" s="30"/>
      <c r="X422" s="30"/>
      <c r="Y422" s="485" t="s">
        <v>560</v>
      </c>
      <c r="Z422" s="485" t="s">
        <v>313</v>
      </c>
      <c r="AA422" s="30"/>
      <c r="AB422" s="30"/>
      <c r="AC422" s="496" t="s">
        <v>304</v>
      </c>
      <c r="AD422" s="30"/>
      <c r="AE422" s="30"/>
      <c r="AF422" s="483" t="s">
        <v>300</v>
      </c>
      <c r="AG422" s="483" t="s">
        <v>301</v>
      </c>
      <c r="AH422" s="485" t="s">
        <v>299</v>
      </c>
      <c r="AI422" s="495" t="s">
        <v>302</v>
      </c>
      <c r="AJ422" s="495" t="s">
        <v>561</v>
      </c>
      <c r="AK422" s="501" t="s">
        <v>306</v>
      </c>
      <c r="AL422" s="333"/>
      <c r="AM422" s="30"/>
      <c r="AN422" s="483" t="s">
        <v>300</v>
      </c>
      <c r="AO422" s="483" t="s">
        <v>301</v>
      </c>
      <c r="AP422" s="502" t="s">
        <v>305</v>
      </c>
      <c r="AQ422" s="495" t="s">
        <v>563</v>
      </c>
      <c r="AR422" s="495" t="s">
        <v>562</v>
      </c>
      <c r="AS422" s="501" t="s">
        <v>306</v>
      </c>
      <c r="AT422" s="501" t="s">
        <v>306</v>
      </c>
      <c r="AU422" s="30"/>
      <c r="AV422" s="483"/>
      <c r="AW422" s="483"/>
      <c r="AX422" s="483" t="s">
        <v>316</v>
      </c>
      <c r="AY422" s="483"/>
      <c r="AZ422" s="483"/>
      <c r="BA422" s="483"/>
      <c r="BB422" s="483"/>
      <c r="BC422" s="483"/>
      <c r="BD422" s="483"/>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484" t="s">
        <v>259</v>
      </c>
    </row>
    <row r="423" spans="1:78" s="140" customFormat="1" ht="12.75" customHeight="1" thickBot="1" x14ac:dyDescent="0.25">
      <c r="A423" s="777"/>
      <c r="B423" s="1248"/>
      <c r="C423" s="753" t="s">
        <v>194</v>
      </c>
      <c r="D423" s="503" t="str">
        <f>Translations!$B$622</f>
        <v>VD:</v>
      </c>
      <c r="E423" s="504"/>
      <c r="F423" s="393"/>
      <c r="G423" s="1603" t="str">
        <f>IF(OR(ISBLANK(F423),F423=EUconst_NoTier),"",IF(Z423=0,EUconst_NA,IF(ISERROR(Z423),"",Z423)))</f>
        <v/>
      </c>
      <c r="H423" s="1604"/>
      <c r="I423" s="1108" t="str">
        <f>IF(J423&lt;&gt;"","",AI423)</f>
        <v/>
      </c>
      <c r="J423" s="1109"/>
      <c r="K423" s="1116" t="str">
        <f>IF(L423="",AQ423,"")</f>
        <v/>
      </c>
      <c r="L423" s="1199"/>
      <c r="M423" s="700" t="str">
        <f>IF(AND(E414&lt;&gt;"",OR(F423="",COUNT(K423:L423)=0),Y423&lt;&gt;EUconst_NA,T414&lt;&gt;TRUE),EUconst_ERR_Incomplete,IF(COUNTIF(AX423:AZ423,TRUE)&gt;0,EUconst_ERR_Inconsistent,""))</f>
        <v/>
      </c>
      <c r="O423" s="1305"/>
      <c r="P423" s="635"/>
      <c r="Q423" s="343" t="str">
        <f>EUconst_SumBioEnergyIN &amp; "_" &amp; K413</f>
        <v>SUM_BioEnergyIN_</v>
      </c>
      <c r="R423" s="390" t="str">
        <f>IF(OR(K413="",T414)=TRUE,"",INDEX(BC429:BE429,MATCH(K413,BC423:BE423,0)))</f>
        <v/>
      </c>
      <c r="S423" s="30"/>
      <c r="T423" s="505" t="str">
        <f>EUconst_CNTR_ActivityData&amp;E414</f>
        <v>ActivityData_</v>
      </c>
      <c r="U423" s="488"/>
      <c r="V423" s="505" t="str">
        <f>IF(E413="","",INDEX(B_InstallationDescription!$I$71:$I$145,MATCH(U412,B_InstallationDescription!$D$71:$D$145,0)))</f>
        <v/>
      </c>
      <c r="W423" s="495" t="s">
        <v>533</v>
      </c>
      <c r="X423" s="488"/>
      <c r="Y423" s="506" t="str">
        <f>IF(OR(T414=TRUE,E414=""),"",INDEX(EUwideConstants!$N:$N,MATCH(T423,EUwideConstants!$Q:$Q,0)))</f>
        <v/>
      </c>
      <c r="Z423" s="507" t="str">
        <f>IF(ISBLANK(F423),"",IF(F423=EUconst_NA,"",INDEX(EUwideConstants!$H:$M,MATCH(T423,EUwideConstants!$Q:$Q,0),MATCH(F423,CNTR_TierList,0))))</f>
        <v/>
      </c>
      <c r="AA423" s="508" t="s">
        <v>299</v>
      </c>
      <c r="AB423" s="495"/>
      <c r="AC423" s="509" t="b">
        <f>AC418</f>
        <v>0</v>
      </c>
      <c r="AD423" s="30"/>
      <c r="AE423" s="510" t="str">
        <f>EUconst_CNTR_ActivityData&amp;EUconst_Unit</f>
        <v>ActivityData_Vienetas</v>
      </c>
      <c r="AF423" s="511" t="str">
        <f>IF(AC423=TRUE, IF(COUNTIF(MSPara_SourceStreamCategory,V423)=0,"",INDEX(MSPara_CalcFactorsMatrix,MATCH(V423,MSPara_SourceStreamCategory,0),MATCH(AE423&amp;"_"&amp;2,MSPara_CalcFactors,0))),"")</f>
        <v/>
      </c>
      <c r="AG423" s="512" t="str">
        <f>IF(AC423=TRUE, IF(COUNTIF(MSPara_SourceStreamCategory,V423)=0,"",INDEX(MSPara_CalcFactorsMatrix,MATCH(V423,MSPara_SourceStreamCategory,0),MATCH(AE423&amp;"_"&amp;1,MSPara_CalcFactors,0))),"")</f>
        <v/>
      </c>
      <c r="AH423" s="509" t="str">
        <f>IF(OR(AF423="",AF423=EUconst_NA),IF(OR(AG423=EUconst_NA,AG423=""),"",AG423),AF423)</f>
        <v/>
      </c>
      <c r="AI423" s="506" t="str">
        <f>IF(AC423=TRUE,IF(AH423="",EUconst_t,AH423),"")</f>
        <v/>
      </c>
      <c r="AJ423" s="513" t="str">
        <f>IF(J423="",AI423,J423)</f>
        <v/>
      </c>
      <c r="AK423" s="514" t="b">
        <f>IF(K413=EUconst_Fuel,J423&lt;&gt;"",FALSE)</f>
        <v>0</v>
      </c>
      <c r="AL423" s="333"/>
      <c r="AM423" s="505" t="str">
        <f>EUconst_CNTR_ActivityData&amp;EUconst_Value</f>
        <v>ActivityData_Vertė</v>
      </c>
      <c r="AN423" s="496"/>
      <c r="AO423" s="496"/>
      <c r="AP423" s="509" t="b">
        <f>AND(AND(AH423&lt;&gt;"",AJ423&lt;&gt;""),AJ423=AH423)</f>
        <v>0</v>
      </c>
      <c r="AQ423" s="610" t="str">
        <f>IF(L418=TRUE,SUM(F420)-SUM(H420)+SUM(J420)-SUM(L420),"")</f>
        <v/>
      </c>
      <c r="AR423" s="509">
        <f>IF(Y423=EUconst_NA,0,IF(COUNT(K423:L423)=0,0,IF(L423="",K423,L423)))</f>
        <v>0</v>
      </c>
      <c r="AS423" s="1115" t="b">
        <f>AND(AC423=TRUE,OR(L423&lt;&gt;"",AQ423=""))</f>
        <v>0</v>
      </c>
      <c r="AT423" s="1115" t="b">
        <f>AND(AC423=TRUE,NOT(AS423))</f>
        <v>0</v>
      </c>
      <c r="AU423" s="30"/>
      <c r="AV423" s="483" t="s">
        <v>309</v>
      </c>
      <c r="AW423" s="483" t="s">
        <v>314</v>
      </c>
      <c r="AX423" s="515"/>
      <c r="AY423" s="30" t="s">
        <v>536</v>
      </c>
      <c r="AZ423" s="30"/>
      <c r="BA423" s="30"/>
      <c r="BB423" s="495"/>
      <c r="BC423" s="484" t="str">
        <f>EUconst_Fuel</f>
        <v>Degimas</v>
      </c>
      <c r="BD423" s="484" t="str">
        <f>EUconst_ProcessCarbonate</f>
        <v>Proceso metu išsiskiriančios ŠESD</v>
      </c>
      <c r="BE423" s="484" t="str">
        <f>EUconst_MassBalance</f>
        <v>Masės balansas</v>
      </c>
      <c r="BF423" s="30"/>
      <c r="BG423" s="30"/>
      <c r="BH423" s="30"/>
      <c r="BI423" s="30"/>
      <c r="BJ423" s="30"/>
      <c r="BK423" s="30"/>
      <c r="BL423" s="30"/>
      <c r="BM423" s="30"/>
      <c r="BN423" s="30"/>
      <c r="BO423" s="30"/>
      <c r="BP423" s="30"/>
      <c r="BQ423" s="30"/>
      <c r="BR423" s="30"/>
      <c r="BS423" s="30"/>
      <c r="BT423" s="30"/>
      <c r="BU423" s="30"/>
      <c r="BV423" s="30"/>
      <c r="BW423" s="30"/>
      <c r="BX423" s="30"/>
      <c r="BY423" s="30"/>
      <c r="BZ423" s="515" t="b">
        <f>BZ418</f>
        <v>1</v>
      </c>
    </row>
    <row r="424" spans="1:78" s="140" customFormat="1" ht="5.0999999999999996" customHeight="1" thickBot="1" x14ac:dyDescent="0.25">
      <c r="A424" s="777"/>
      <c r="B424" s="1248"/>
      <c r="C424" s="783"/>
      <c r="D424" s="298"/>
      <c r="F424" s="141"/>
      <c r="G424" s="141"/>
      <c r="H424" s="141" t="s">
        <v>233</v>
      </c>
      <c r="I424" s="516"/>
      <c r="J424" s="516"/>
      <c r="K424" s="141"/>
      <c r="L424" s="141"/>
      <c r="M424" s="701"/>
      <c r="O424" s="1305"/>
      <c r="P424" s="33"/>
      <c r="Q424" s="33"/>
      <c r="R424" s="33"/>
      <c r="S424" s="30"/>
      <c r="T424" s="153"/>
      <c r="U424" s="488"/>
      <c r="V424" s="30"/>
      <c r="W424" s="30"/>
      <c r="X424" s="488"/>
      <c r="Y424" s="517"/>
      <c r="Z424" s="30"/>
      <c r="AA424" s="30"/>
      <c r="AB424" s="30"/>
      <c r="AC424" s="30"/>
      <c r="AD424" s="30"/>
      <c r="AE424" s="30"/>
      <c r="AF424" s="30"/>
      <c r="AG424" s="30"/>
      <c r="AH424" s="30"/>
      <c r="AI424" s="30"/>
      <c r="AJ424" s="30"/>
      <c r="AK424" s="30"/>
      <c r="AL424" s="333"/>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484"/>
    </row>
    <row r="425" spans="1:78" s="140" customFormat="1" ht="12.75" customHeight="1" thickBot="1" x14ac:dyDescent="0.25">
      <c r="A425" s="777"/>
      <c r="B425" s="1248"/>
      <c r="C425" s="783" t="s">
        <v>195</v>
      </c>
      <c r="D425" s="503" t="str">
        <f>Translations!$B$634</f>
        <v>(prelim.) ITF:</v>
      </c>
      <c r="E425" s="504"/>
      <c r="F425" s="518"/>
      <c r="G425" s="1603" t="str">
        <f t="shared" ref="G425:G431" si="91">IF(OR(ISBLANK(F425),F425=EUconst_NoTier),"",IF(Z425=0,EUconst_NotApplicable,IF(ISERROR(Z425),"",Z425)))</f>
        <v/>
      </c>
      <c r="H425" s="1609"/>
      <c r="I425" s="1110" t="str">
        <f>IF(J425&lt;&gt;"","",AI425)</f>
        <v/>
      </c>
      <c r="J425" s="1111"/>
      <c r="K425" s="519" t="str">
        <f t="shared" ref="K425:K431" si="92">IF(L425="",AQ425,"")</f>
        <v/>
      </c>
      <c r="L425" s="520"/>
      <c r="M425" s="700" t="str">
        <f>IF(AND(E414&lt;&gt;"",OR(F425="",COUNT(K425:L425)=0),Y425&lt;&gt;EUconst_NA,T414&lt;&gt;TRUE),EUconst_ERR_Incomplete,IF(COUNTIF(AX425:AZ425,TRUE)&gt;0,EUconst_ERR_Inconsistent,""))</f>
        <v/>
      </c>
      <c r="N425" s="486"/>
      <c r="O425" s="1305"/>
      <c r="P425" s="33"/>
      <c r="Q425" s="33"/>
      <c r="R425" s="33"/>
      <c r="S425" s="30"/>
      <c r="T425" s="521" t="str">
        <f>EUconst_CNTR_EF&amp;E414</f>
        <v>EF_</v>
      </c>
      <c r="U425" s="488"/>
      <c r="V425" s="522" t="str">
        <f>V423</f>
        <v/>
      </c>
      <c r="W425" s="30"/>
      <c r="X425" s="488"/>
      <c r="Y425" s="523" t="str">
        <f>IF(OR(T414=TRUE,E414=""),"",IF(F425=EUconst_NA,EUconst_NA,INDEX(EUwideConstants!$N:$N,MATCH(T425,EUwideConstants!$Q:$Q,0))))</f>
        <v/>
      </c>
      <c r="Z425" s="524" t="str">
        <f>IF(ISBLANK(F425),"",IF(F425=EUconst_NA,"",INDEX(EUwideConstants!$H:$M,MATCH(T425,EUwideConstants!$Q:$Q,0),MATCH(F425,CNTR_TierList,0))))</f>
        <v/>
      </c>
      <c r="AA425" s="525" t="str">
        <f>IF(COUNTIF(EUconst_DefaultValues,Z425)&gt;0,MATCH(Z425,EUconst_DefaultValues,0),"")</f>
        <v/>
      </c>
      <c r="AB425" s="30"/>
      <c r="AC425" s="526" t="b">
        <f>AND(AC423,Y425&lt;&gt;EUconst_NA)</f>
        <v>0</v>
      </c>
      <c r="AD425" s="30"/>
      <c r="AE425" s="510" t="str">
        <f>EUconst_CNTR_EF&amp;EUconst_Unit</f>
        <v>EF_Vienetas</v>
      </c>
      <c r="AF425" s="527" t="str">
        <f>IF(AC425=TRUE, IF(COUNTIF(MSPara_SourceStreamCategory,V425)=0,"",INDEX(MSPara_CalcFactorsMatrix,MATCH(V425,MSPara_SourceStreamCategory,0),MATCH(AE425&amp;"_"&amp;2,MSPara_CalcFactors,0))),"")</f>
        <v/>
      </c>
      <c r="AG425" s="528" t="str">
        <f>IF(AC425=TRUE, IF(COUNTIF(MSPara_SourceStreamCategory,V425)=0,"",INDEX(MSPara_CalcFactorsMatrix,MATCH(V425,MSPara_SourceStreamCategory,0),MATCH(AE425&amp;"_"&amp;1,MSPara_CalcFactors,0))),"")</f>
        <v/>
      </c>
      <c r="AH425" s="529" t="str">
        <f>IF(AA425="","",INDEX(AF425:AG425,3-AA425))</f>
        <v/>
      </c>
      <c r="AI425" s="530" t="str">
        <f>IF(AC425=TRUE,IF(OR(AH425="",AH425=EUconst_NA),IF(K413=EUconst_Fuel,EUconst_tCO2pTJ,EUconst_tCO2pt),AH425),"")</f>
        <v/>
      </c>
      <c r="AJ425" s="526" t="str">
        <f>IF(J425="",AI425,J425)</f>
        <v/>
      </c>
      <c r="AK425" s="531" t="b">
        <f>IF(K413=EUconst_Fuel,J425&lt;&gt;"",FALSE)</f>
        <v>0</v>
      </c>
      <c r="AL425" s="333"/>
      <c r="AM425" s="510" t="str">
        <f>EUconst_CNTR_EF&amp;EUconst_Value</f>
        <v>EF_Vertė</v>
      </c>
      <c r="AN425" s="532" t="str">
        <f>IF(AC425=TRUE,IF(COUNTIF(MSPara_SourceStreamCategory,V425)=0,"",INDEX(MSPara_CalcFactorsMatrix,MATCH(V425,MSPara_SourceStreamCategory,0),MATCH(AM425&amp;"_"&amp;2,MSPara_CalcFactors,0))),"")</f>
        <v/>
      </c>
      <c r="AO425" s="533" t="str">
        <f>IF(AC425=TRUE,IF(COUNTIF(MSPara_SourceStreamCategory,V425)=0,"",INDEX(MSPara_CalcFactorsMatrix,MATCH(V425,MSPara_SourceStreamCategory,0),MATCH(AM425&amp;"_"&amp;1,MSPara_CalcFactors,0))),"")</f>
        <v/>
      </c>
      <c r="AP425" s="526" t="b">
        <f>AND(AND(AH425&lt;&gt;"",AJ425&lt;&gt;""),AJ425=AH425)</f>
        <v>0</v>
      </c>
      <c r="AQ425" s="534" t="str">
        <f>IF(AND(AA425&lt;&gt;"",AP425=TRUE),IF(OR(INDEX(AN425:AO425,3-AA425)=EUconst_NA,INDEX(AN425:AO425,3-AA425)=0),"",INDEX(AN425:AO425,3-AA425)),"")</f>
        <v/>
      </c>
      <c r="AR425" s="526">
        <f>IF(AC425=TRUE,IF(COUNT(K425:L425)=0,0,IF(L425="",K425,L425)),0)</f>
        <v>0</v>
      </c>
      <c r="AS425" s="522" t="b">
        <f>AND(AC425=TRUE,OR(AND(F425&lt;&gt;"",NOT(ISNUMBER(AA425))),L425&lt;&gt;"",F425="",AQ425=""))</f>
        <v>0</v>
      </c>
      <c r="AT425" s="522" t="b">
        <f t="shared" ref="AT425:AT431" si="93">AND(AC425=TRUE,NOT(AS425))</f>
        <v>0</v>
      </c>
      <c r="AU425" s="30"/>
      <c r="AV425" s="535" t="b">
        <f t="shared" ref="AV425:AV431" si="94">AND(ISNUMBER(AA425),AQ425="")</f>
        <v>0</v>
      </c>
      <c r="AW425" s="536" t="b">
        <f t="shared" ref="AW425:AW431" si="95">AND(ISNUMBER(AA425),AQ425&lt;&gt;AR425)</f>
        <v>0</v>
      </c>
      <c r="AX425" s="537" t="b">
        <f>OR(AND(AJ423=EUconst_kNm3,AJ425=EUconst_tCO2pt),AND(AJ423=EUconst_t,AJ425=EUconst_tCO2pkNm3))</f>
        <v>0</v>
      </c>
      <c r="AY425" s="522" t="b">
        <f t="shared" ref="AY425:AY431" si="96">AND(L425&lt;&gt;"",Y425=EUconst_NA)</f>
        <v>0</v>
      </c>
      <c r="AZ425" s="30"/>
      <c r="BA425" s="30"/>
      <c r="BB425" s="538" t="s">
        <v>588</v>
      </c>
      <c r="BC425" s="537" t="str">
        <f>IF(K413=BC423,AR423*IF(AJ425=EUconst_tCO2pTJ,(AR426/1000),1)*AR425*AR427*AR431,"")</f>
        <v/>
      </c>
      <c r="BD425" s="515" t="str">
        <f>IF(K413=BD423,AR423*AR425*AR428*AR431,"")</f>
        <v/>
      </c>
      <c r="BE425" s="514" t="str">
        <f>IF(K413=BE423,3.664*AR423*AR429*AR431,"")</f>
        <v/>
      </c>
      <c r="BF425" s="30"/>
      <c r="BG425" s="30"/>
      <c r="BH425" s="30"/>
      <c r="BI425" s="30"/>
      <c r="BJ425" s="30"/>
      <c r="BK425" s="30"/>
      <c r="BL425" s="30"/>
      <c r="BM425" s="30"/>
      <c r="BN425" s="30"/>
      <c r="BO425" s="30"/>
      <c r="BP425" s="30"/>
      <c r="BQ425" s="30"/>
      <c r="BR425" s="30"/>
      <c r="BS425" s="30"/>
      <c r="BT425" s="30"/>
      <c r="BU425" s="30"/>
      <c r="BV425" s="30"/>
      <c r="BW425" s="30"/>
      <c r="BX425" s="30"/>
      <c r="BY425" s="30"/>
      <c r="BZ425" s="522" t="b">
        <f>OR(BZ423,Y425=EUconst_NA)</f>
        <v>1</v>
      </c>
    </row>
    <row r="426" spans="1:78" s="140" customFormat="1" ht="12.75" customHeight="1" thickBot="1" x14ac:dyDescent="0.25">
      <c r="A426" s="777"/>
      <c r="B426" s="1248"/>
      <c r="C426" s="783" t="s">
        <v>196</v>
      </c>
      <c r="D426" s="503" t="str">
        <f>Translations!$B$636</f>
        <v>GŠV:</v>
      </c>
      <c r="E426" s="504"/>
      <c r="F426" s="539"/>
      <c r="G426" s="1603" t="str">
        <f t="shared" si="91"/>
        <v/>
      </c>
      <c r="H426" s="1604"/>
      <c r="I426" s="1112" t="str">
        <f>AJ426</f>
        <v/>
      </c>
      <c r="J426" s="540"/>
      <c r="K426" s="541" t="str">
        <f t="shared" si="92"/>
        <v/>
      </c>
      <c r="L426" s="542"/>
      <c r="M426" s="700" t="str">
        <f>IF(AND(E414&lt;&gt;"",OR(F426="",COUNT(K426:L426)=0),Y426&lt;&gt;EUconst_NA,T414&lt;&gt;TRUE),EUconst_ERR_Incomplete,IF(COUNTIF(AX426:AZ426,TRUE)&gt;0,EUconst_ERR_Inconsistent,""))</f>
        <v/>
      </c>
      <c r="O426" s="1305"/>
      <c r="P426" s="33"/>
      <c r="Q426" s="33"/>
      <c r="R426" s="33"/>
      <c r="S426" s="30"/>
      <c r="T426" s="543" t="str">
        <f>EUconst_CNTR_NCV&amp;E414</f>
        <v>NCV_</v>
      </c>
      <c r="U426" s="488"/>
      <c r="V426" s="544" t="str">
        <f t="shared" ref="V426:V431" si="97">V425</f>
        <v/>
      </c>
      <c r="W426" s="30"/>
      <c r="X426" s="488"/>
      <c r="Y426" s="545" t="str">
        <f>IF(OR(T414=TRUE,E414=""),"",IF(F426=EUconst_NA,EUconst_NA,INDEX(EUwideConstants!$N:$N,MATCH(T426,EUwideConstants!$Q:$Q,0))))</f>
        <v/>
      </c>
      <c r="Z426" s="546" t="str">
        <f>IF(ISBLANK(F426),"",IF(F426=EUconst_NA,"",INDEX(EUwideConstants!$H:$M,MATCH(T426,EUwideConstants!$Q:$Q,0),MATCH(F426,CNTR_TierList,0))))</f>
        <v/>
      </c>
      <c r="AA426" s="547" t="str">
        <f>IF(COUNTIF(EUconst_DefaultValues,Z426)&gt;0,MATCH(Z426,EUconst_DefaultValues,0),"")</f>
        <v/>
      </c>
      <c r="AB426" s="30"/>
      <c r="AC426" s="548" t="b">
        <f>AND(AC423,Y426&lt;&gt;EUconst_NA)</f>
        <v>0</v>
      </c>
      <c r="AD426" s="30"/>
      <c r="AE426" s="549" t="str">
        <f>EUconst_CNTR_NCV&amp;EUconst_Unit</f>
        <v>NCV_Vienetas</v>
      </c>
      <c r="AF426" s="550" t="str">
        <f>IF(AC426=TRUE, IF(COUNTIF(MSPara_SourceStreamCategory,V426)=0,"",INDEX(MSPara_CalcFactorsMatrix,MATCH(V426,MSPara_SourceStreamCategory,0),MATCH(AE426&amp;"_"&amp;2,MSPara_CalcFactors,0))),"")</f>
        <v/>
      </c>
      <c r="AG426" s="551" t="str">
        <f>IF(AC426=TRUE, IF(COUNTIF(MSPara_SourceStreamCategory,V426)=0,"",INDEX(MSPara_CalcFactorsMatrix,MATCH(V426,MSPara_SourceStreamCategory,0),MATCH(AE426&amp;"_"&amp;1,MSPara_CalcFactors,0))),"")</f>
        <v/>
      </c>
      <c r="AH426" s="552" t="str">
        <f>IF(AA426="","",INDEX(AF426:AG426,3-AA426))</f>
        <v/>
      </c>
      <c r="AI426" s="553"/>
      <c r="AJ426" s="548" t="str">
        <f>IF(AC426=TRUE,IF(AJ423="","",IF(AJ423=EUconst_kNm3,EUconst_GJpkNm3,EUconst_GJpt)),"")</f>
        <v/>
      </c>
      <c r="AK426" s="554"/>
      <c r="AL426" s="333"/>
      <c r="AM426" s="549" t="str">
        <f>EUconst_CNTR_NCV&amp;EUconst_Value</f>
        <v>NCV_Vertė</v>
      </c>
      <c r="AN426" s="555" t="str">
        <f>IF(AC426=TRUE,IF(COUNTIF(MSPara_SourceStreamCategory,V426)=0,"",INDEX(MSPara_CalcFactorsMatrix,MATCH(V426,MSPara_SourceStreamCategory,0),MATCH(AM426&amp;"_"&amp;2,MSPara_CalcFactors,0))),"")</f>
        <v/>
      </c>
      <c r="AO426" s="556" t="str">
        <f>IF(AC426=TRUE,IF(COUNTIF(MSPara_SourceStreamCategory,V426)=0,"",INDEX(MSPara_CalcFactorsMatrix,MATCH(V426,MSPara_SourceStreamCategory,0),MATCH(AM426&amp;"_"&amp;1,MSPara_CalcFactors,0))),"")</f>
        <v/>
      </c>
      <c r="AP426" s="548" t="b">
        <f>AND(AND(AH426&lt;&gt;"",AJ426&lt;&gt;""),AJ426=AH426)</f>
        <v>0</v>
      </c>
      <c r="AQ426" s="557" t="str">
        <f>IF(AND(AA426&lt;&gt;"",AP426=TRUE),IF(OR(INDEX(AN426:AO426,3-AA426)=EUconst_NA,INDEX(AN426:AO426,3-AA426)=0),"",INDEX(AN426:AO426,3-AA426)),"")</f>
        <v/>
      </c>
      <c r="AR426" s="548">
        <f>IF(AC426=TRUE,IF(COUNT(K426:L426)=0,0,IF(L426="",K426,L426)),0)</f>
        <v>0</v>
      </c>
      <c r="AS426" s="544" t="b">
        <f>AND(AC426=TRUE,OR(AND(F426&lt;&gt;"",NOT(ISNUMBER(AA426))),L426&lt;&gt;"",F426="",AQ426=""))</f>
        <v>0</v>
      </c>
      <c r="AT426" s="544" t="b">
        <f t="shared" si="93"/>
        <v>0</v>
      </c>
      <c r="AU426" s="30"/>
      <c r="AV426" s="558" t="b">
        <f t="shared" si="94"/>
        <v>0</v>
      </c>
      <c r="AW426" s="559" t="b">
        <f t="shared" si="95"/>
        <v>0</v>
      </c>
      <c r="AX426" s="30"/>
      <c r="AY426" s="544" t="b">
        <f t="shared" si="96"/>
        <v>0</v>
      </c>
      <c r="AZ426" s="30"/>
      <c r="BA426" s="30"/>
      <c r="BB426" s="538" t="s">
        <v>589</v>
      </c>
      <c r="BC426" s="537" t="str">
        <f>IF(K413=BC423,AR423*IF(AJ425=EUconst_tCO2pTJ,(AR426/1000),1)*AR425*AR427*AR430,"")</f>
        <v/>
      </c>
      <c r="BD426" s="515" t="str">
        <f>IF(K413=BD423,AR423*AR425*AR428*AR430,"")</f>
        <v/>
      </c>
      <c r="BE426" s="514" t="str">
        <f>IF(K413=BE423,3.664*AR423*AR429*AR430,"")</f>
        <v/>
      </c>
      <c r="BF426" s="30"/>
      <c r="BG426" s="30"/>
      <c r="BH426" s="30"/>
      <c r="BI426" s="30"/>
      <c r="BJ426" s="30"/>
      <c r="BK426" s="30"/>
      <c r="BL426" s="30"/>
      <c r="BM426" s="30"/>
      <c r="BN426" s="30"/>
      <c r="BO426" s="30"/>
      <c r="BP426" s="30"/>
      <c r="BQ426" s="30"/>
      <c r="BR426" s="30"/>
      <c r="BS426" s="30"/>
      <c r="BT426" s="30"/>
      <c r="BU426" s="30"/>
      <c r="BV426" s="30"/>
      <c r="BW426" s="30"/>
      <c r="BX426" s="30"/>
      <c r="BY426" s="30"/>
      <c r="BZ426" s="544" t="b">
        <f>OR(BZ423,Y426=EUconst_NA)</f>
        <v>1</v>
      </c>
    </row>
    <row r="427" spans="1:78" s="140" customFormat="1" ht="12.75" customHeight="1" thickBot="1" x14ac:dyDescent="0.25">
      <c r="A427" s="777"/>
      <c r="B427" s="1248"/>
      <c r="C427" s="783" t="s">
        <v>197</v>
      </c>
      <c r="D427" s="503" t="str">
        <f>Translations!$B$638</f>
        <v>Oksidacijos koef.:</v>
      </c>
      <c r="E427" s="504"/>
      <c r="F427" s="539"/>
      <c r="G427" s="1603" t="str">
        <f t="shared" si="91"/>
        <v/>
      </c>
      <c r="H427" s="1604"/>
      <c r="I427" s="1113" t="str">
        <f>IF(OR(AC427=FALSE,Y427=EUconst_NA),"","-")</f>
        <v/>
      </c>
      <c r="J427" s="560"/>
      <c r="K427" s="561" t="str">
        <f t="shared" si="92"/>
        <v/>
      </c>
      <c r="L427" s="694"/>
      <c r="M427" s="700" t="str">
        <f>IF(AND(E414&lt;&gt;"",OR(F427="",COUNT(K427:L427)=0),Y427&lt;&gt;EUconst_NA,T414&lt;&gt;TRUE),EUconst_ERR_Incomplete,IF(COUNTIF(AX427:AZ427,TRUE)&gt;0,EUconst_ERR_Inconsistent,""))</f>
        <v/>
      </c>
      <c r="O427" s="1305"/>
      <c r="P427" s="33"/>
      <c r="Q427" s="33"/>
      <c r="R427" s="33"/>
      <c r="S427" s="30"/>
      <c r="T427" s="543" t="str">
        <f>EUconst_CNTR_OxidationFactor&amp;E414</f>
        <v>OxF_</v>
      </c>
      <c r="U427" s="488"/>
      <c r="V427" s="544" t="str">
        <f t="shared" si="97"/>
        <v/>
      </c>
      <c r="W427" s="30"/>
      <c r="X427" s="488"/>
      <c r="Y427" s="545" t="str">
        <f>IF(OR(T414=TRUE,E414=""),"",INDEX(EUwideConstants!$N:$N,MATCH(T427,EUwideConstants!$Q:$Q,0)))</f>
        <v/>
      </c>
      <c r="Z427" s="546" t="str">
        <f>IF(ISBLANK(F427),"",IF(F427=EUconst_NA,"",INDEX(EUwideConstants!$H:$M,MATCH(T427,EUwideConstants!$Q:$Q,0),MATCH(F427,CNTR_TierList,0))))</f>
        <v/>
      </c>
      <c r="AA427" s="525" t="str">
        <f>IF(F427=1,1,"")</f>
        <v/>
      </c>
      <c r="AB427" s="30"/>
      <c r="AC427" s="548" t="b">
        <f>AND(AC423,Y427&lt;&gt;EUconst_NA)</f>
        <v>0</v>
      </c>
      <c r="AD427" s="30"/>
      <c r="AE427" s="563"/>
      <c r="AG427" s="564"/>
      <c r="AH427" s="553"/>
      <c r="AI427" s="565"/>
      <c r="AJ427" s="553"/>
      <c r="AK427" s="566"/>
      <c r="AL427" s="333"/>
      <c r="AM427" s="549" t="str">
        <f>EUconst_CNTR_OxidationFactor&amp;EUconst_Value</f>
        <v>OxF_Vertė</v>
      </c>
      <c r="AN427" s="567"/>
      <c r="AO427" s="525">
        <v>1</v>
      </c>
      <c r="AP427" s="553"/>
      <c r="AQ427" s="568" t="str">
        <f>IF(AA427="","",AO427)</f>
        <v/>
      </c>
      <c r="AR427" s="548">
        <f>IF(AC427=TRUE,IF(COUNT(K427:L427)=0,0,IF(L427="",K427,L427)),1)</f>
        <v>1</v>
      </c>
      <c r="AS427" s="544" t="b">
        <f>AND(AC427=TRUE,OR(ISNUMBER(L427),NOT(ISNUMBER(AA427))))</f>
        <v>0</v>
      </c>
      <c r="AT427" s="544" t="b">
        <f t="shared" si="93"/>
        <v>0</v>
      </c>
      <c r="AU427" s="30"/>
      <c r="AV427" s="558" t="b">
        <f t="shared" si="94"/>
        <v>0</v>
      </c>
      <c r="AW427" s="559" t="b">
        <f t="shared" si="95"/>
        <v>0</v>
      </c>
      <c r="AX427" s="30"/>
      <c r="AY427" s="585" t="b">
        <f t="shared" si="96"/>
        <v>0</v>
      </c>
      <c r="AZ427" s="522" t="b">
        <f>AR427&gt;100%</f>
        <v>0</v>
      </c>
      <c r="BA427" s="30"/>
      <c r="BB427" s="538" t="s">
        <v>287</v>
      </c>
      <c r="BC427" s="537" t="str">
        <f>IF(K413=BC423,AR423*IF(AJ425=EUconst_tCO2pTJ,(AR426/1000),1)*AR425*AR427*(1-AR430),"")</f>
        <v/>
      </c>
      <c r="BD427" s="515" t="str">
        <f>IF(K413=BD423,AR423*AR425*AR428*(1-AR430),"")</f>
        <v/>
      </c>
      <c r="BE427" s="514" t="str">
        <f>IF(K413=BE423,3.664*AR423*AR429*(1-AR430),"")</f>
        <v/>
      </c>
      <c r="BF427" s="30"/>
      <c r="BG427" s="30"/>
      <c r="BH427" s="30"/>
      <c r="BI427" s="30"/>
      <c r="BJ427" s="30"/>
      <c r="BK427" s="30"/>
      <c r="BL427" s="30"/>
      <c r="BM427" s="30"/>
      <c r="BN427" s="30"/>
      <c r="BO427" s="30"/>
      <c r="BP427" s="30"/>
      <c r="BQ427" s="30"/>
      <c r="BR427" s="30"/>
      <c r="BS427" s="30"/>
      <c r="BT427" s="30"/>
      <c r="BU427" s="30"/>
      <c r="BV427" s="30"/>
      <c r="BW427" s="30"/>
      <c r="BX427" s="30"/>
      <c r="BY427" s="30"/>
      <c r="BZ427" s="544" t="b">
        <f>OR(BZ423,Y427=EUconst_NA)</f>
        <v>1</v>
      </c>
    </row>
    <row r="428" spans="1:78" s="140" customFormat="1" ht="12.75" customHeight="1" thickBot="1" x14ac:dyDescent="0.25">
      <c r="A428" s="777"/>
      <c r="B428" s="1248"/>
      <c r="C428" s="783" t="s">
        <v>198</v>
      </c>
      <c r="D428" s="503" t="str">
        <f>Translations!$B$639</f>
        <v>Konversijos koef.:</v>
      </c>
      <c r="E428" s="504"/>
      <c r="F428" s="539"/>
      <c r="G428" s="1603" t="str">
        <f t="shared" si="91"/>
        <v/>
      </c>
      <c r="H428" s="1604"/>
      <c r="I428" s="1113" t="str">
        <f>IF(OR(AC428=FALSE,Y428=EUconst_NA),"","-")</f>
        <v/>
      </c>
      <c r="J428" s="560"/>
      <c r="K428" s="561" t="str">
        <f t="shared" si="92"/>
        <v/>
      </c>
      <c r="L428" s="694"/>
      <c r="M428" s="700" t="str">
        <f>IF(AND(E414&lt;&gt;"",OR(F428="",COUNT(K428:L428)=0),Y428&lt;&gt;EUconst_NA,T414&lt;&gt;TRUE),EUconst_ERR_Incomplete,IF(COUNTIF(AX428:AZ428,TRUE)&gt;0,EUconst_ERR_Inconsistent,""))</f>
        <v/>
      </c>
      <c r="O428" s="1305"/>
      <c r="P428" s="33"/>
      <c r="Q428" s="33"/>
      <c r="R428" s="33"/>
      <c r="S428" s="30"/>
      <c r="T428" s="543" t="str">
        <f>EUconst_CNTR_ConversionFactor&amp;E414</f>
        <v>ConvF_</v>
      </c>
      <c r="U428" s="488"/>
      <c r="V428" s="544" t="str">
        <f t="shared" si="97"/>
        <v/>
      </c>
      <c r="W428" s="30"/>
      <c r="X428" s="488"/>
      <c r="Y428" s="545" t="str">
        <f>IF(OR(T414=TRUE,E414=""),"",INDEX(EUwideConstants!$N:$N,MATCH(T428,EUwideConstants!$Q:$Q,0)))</f>
        <v/>
      </c>
      <c r="Z428" s="546" t="str">
        <f>IF(ISBLANK(F428),"",IF(F428=EUconst_NA,"",INDEX(EUwideConstants!$H:$M,MATCH(T428,EUwideConstants!$Q:$Q,0),MATCH(F428,CNTR_TierList,0))))</f>
        <v/>
      </c>
      <c r="AA428" s="573" t="str">
        <f>IF(F428=1,1,"")</f>
        <v/>
      </c>
      <c r="AB428" s="30"/>
      <c r="AC428" s="548" t="b">
        <f>AND(AC423,Y428&lt;&gt;EUconst_NA)</f>
        <v>0</v>
      </c>
      <c r="AD428" s="30"/>
      <c r="AE428" s="563"/>
      <c r="AG428" s="564"/>
      <c r="AH428" s="574"/>
      <c r="AI428" s="565"/>
      <c r="AJ428" s="574"/>
      <c r="AK428" s="566"/>
      <c r="AL428" s="333"/>
      <c r="AM428" s="549" t="str">
        <f>EUconst_CNTR_ConversionFactor&amp;EUconst_Value</f>
        <v>ConvF_Vertė</v>
      </c>
      <c r="AN428" s="575"/>
      <c r="AO428" s="573">
        <v>1</v>
      </c>
      <c r="AP428" s="574"/>
      <c r="AQ428" s="576" t="str">
        <f>IF(AA428="","",AO428)</f>
        <v/>
      </c>
      <c r="AR428" s="548">
        <f>IF(AC428=TRUE,IF(COUNT(K428:L428)=0,0,IF(L428="",K428,L428)),1)</f>
        <v>1</v>
      </c>
      <c r="AS428" s="544" t="b">
        <f>AND(AC428=TRUE,OR(ISNUMBER(L428),NOT(ISNUMBER(AA428))))</f>
        <v>0</v>
      </c>
      <c r="AT428" s="544" t="b">
        <f t="shared" si="93"/>
        <v>0</v>
      </c>
      <c r="AU428" s="30"/>
      <c r="AV428" s="558" t="b">
        <f t="shared" si="94"/>
        <v>0</v>
      </c>
      <c r="AW428" s="559" t="b">
        <f t="shared" si="95"/>
        <v>0</v>
      </c>
      <c r="AX428" s="30"/>
      <c r="AY428" s="585" t="b">
        <f t="shared" si="96"/>
        <v>0</v>
      </c>
      <c r="AZ428" s="571" t="b">
        <f>AR428&gt;100%</f>
        <v>0</v>
      </c>
      <c r="BA428" s="30"/>
      <c r="BB428" s="569" t="s">
        <v>481</v>
      </c>
      <c r="BC428" s="570">
        <f>AR423*AR426/1000*(1-AR430)</f>
        <v>0</v>
      </c>
      <c r="BD428" s="571">
        <f>BC428</f>
        <v>0</v>
      </c>
      <c r="BE428" s="572">
        <f>BC428</f>
        <v>0</v>
      </c>
      <c r="BF428" s="30"/>
      <c r="BG428" s="30"/>
      <c r="BH428" s="30"/>
      <c r="BI428" s="30"/>
      <c r="BJ428" s="30"/>
      <c r="BK428" s="30"/>
      <c r="BL428" s="30"/>
      <c r="BM428" s="30"/>
      <c r="BN428" s="30"/>
      <c r="BO428" s="30"/>
      <c r="BP428" s="30"/>
      <c r="BQ428" s="30"/>
      <c r="BR428" s="30"/>
      <c r="BS428" s="30"/>
      <c r="BT428" s="30"/>
      <c r="BU428" s="30"/>
      <c r="BV428" s="30"/>
      <c r="BW428" s="30"/>
      <c r="BX428" s="30"/>
      <c r="BY428" s="30"/>
      <c r="BZ428" s="544" t="b">
        <f>OR(BZ423,Y428=EUconst_NA)</f>
        <v>1</v>
      </c>
    </row>
    <row r="429" spans="1:78" s="140" customFormat="1" ht="12.75" customHeight="1" thickBot="1" x14ac:dyDescent="0.25">
      <c r="A429" s="777"/>
      <c r="B429" s="1248"/>
      <c r="C429" s="783" t="s">
        <v>324</v>
      </c>
      <c r="D429" s="503" t="str">
        <f>Translations!$B$640</f>
        <v>Anglies kiekis (C):</v>
      </c>
      <c r="E429" s="504"/>
      <c r="F429" s="539"/>
      <c r="G429" s="1603" t="str">
        <f t="shared" si="91"/>
        <v/>
      </c>
      <c r="H429" s="1604"/>
      <c r="I429" s="1113" t="str">
        <f>AJ429</f>
        <v/>
      </c>
      <c r="J429" s="577"/>
      <c r="K429" s="578" t="str">
        <f t="shared" si="92"/>
        <v/>
      </c>
      <c r="L429" s="579"/>
      <c r="M429" s="700" t="str">
        <f>IF(AND(E414&lt;&gt;"",OR(F429="",COUNT(K429:L429)=0),Y429&lt;&gt;EUconst_NA,T414&lt;&gt;TRUE),EUconst_ERR_Incomplete,IF(COUNTIF(AX429:AZ429,TRUE)&gt;0,EUconst_ERR_Inconsistent,""))</f>
        <v/>
      </c>
      <c r="O429" s="1305"/>
      <c r="P429" s="33"/>
      <c r="Q429" s="33"/>
      <c r="R429" s="33"/>
      <c r="S429" s="30"/>
      <c r="T429" s="543" t="str">
        <f>EUconst_CNTR_CarbonContent&amp;E414</f>
        <v>CarbC_</v>
      </c>
      <c r="U429" s="488"/>
      <c r="V429" s="544" t="str">
        <f t="shared" si="97"/>
        <v/>
      </c>
      <c r="W429" s="30"/>
      <c r="X429" s="488"/>
      <c r="Y429" s="545" t="str">
        <f>IF(OR(T414=TRUE,E414=""),"",INDEX(EUwideConstants!$N:$N,MATCH(T429,EUwideConstants!$Q:$Q,0)))</f>
        <v/>
      </c>
      <c r="Z429" s="546" t="str">
        <f>IF(ISBLANK(F429),"",IF(F429=EUconst_NA,"",INDEX(EUwideConstants!$H:$M,MATCH(T429,EUwideConstants!$Q:$Q,0),MATCH(F429,CNTR_TierList,0))))</f>
        <v/>
      </c>
      <c r="AA429" s="580" t="str">
        <f>IF(COUNTIF(EUconst_DefaultValues,Z429)&gt;0,MATCH(Z429,EUconst_DefaultValues,0),"")</f>
        <v/>
      </c>
      <c r="AB429" s="30"/>
      <c r="AC429" s="548" t="b">
        <f>AND(AC423,Y429&lt;&gt;EUconst_NA)</f>
        <v>0</v>
      </c>
      <c r="AD429" s="30"/>
      <c r="AE429" s="549" t="str">
        <f>EUconst_CNTR_CarbonContent&amp;EUconst_Unit</f>
        <v>CarbC_Vienetas</v>
      </c>
      <c r="AF429" s="550" t="str">
        <f>IF(AC429=TRUE, IF(COUNTIF(MSPara_SourceStreamCategory,V429)=0,"",INDEX(MSPara_CalcFactorsMatrix,MATCH(V429,MSPara_SourceStreamCategory,0),MATCH(AE429&amp;"_"&amp;2,MSPara_CalcFactors,0))),"")</f>
        <v/>
      </c>
      <c r="AG429" s="551" t="str">
        <f>IF(AC429=TRUE, IF(COUNTIF(MSPara_SourceStreamCategory,V429)=0,"",INDEX(MSPara_CalcFactorsMatrix,MATCH(V429,MSPara_SourceStreamCategory,0),MATCH(AE429&amp;"_"&amp;1,MSPara_CalcFactors,0))),"")</f>
        <v/>
      </c>
      <c r="AH429" s="581" t="str">
        <f>IF(AA429="","",INDEX(AF429:AG429,3-AA429))</f>
        <v/>
      </c>
      <c r="AI429" s="565"/>
      <c r="AJ429" s="582" t="str">
        <f>IF(AC429=TRUE,IF(AJ423="","",IF(AJ423=EUconst_kNm3,EUconst_tCpkNm3,EUconst_tCpt)),"")</f>
        <v/>
      </c>
      <c r="AK429" s="566"/>
      <c r="AL429" s="333"/>
      <c r="AM429" s="549" t="str">
        <f>EUconst_CNTR_CarbonContent&amp;EUconst_Value</f>
        <v>CarbC_Vertė</v>
      </c>
      <c r="AN429" s="555" t="str">
        <f>IF(AC429=TRUE,IF(COUNTIF(MSPara_SourceStreamCategory,V429)=0,"",INDEX(MSPara_CalcFactorsMatrix,MATCH(V429,MSPara_SourceStreamCategory,0),MATCH(AM429&amp;"_"&amp;2,MSPara_CalcFactors,0))),"")</f>
        <v/>
      </c>
      <c r="AO429" s="583" t="str">
        <f>IF(AC429=TRUE,IF(COUNTIF(MSPara_SourceStreamCategory,V429)=0,"",INDEX(MSPara_CalcFactorsMatrix,MATCH(V429,MSPara_SourceStreamCategory,0),MATCH(AM429&amp;"_"&amp;1,MSPara_CalcFactors,0))),"")</f>
        <v/>
      </c>
      <c r="AP429" s="548" t="b">
        <f>AND(AND(AH429&lt;&gt;"",AJ429&lt;&gt;""),AJ429=AH429)</f>
        <v>0</v>
      </c>
      <c r="AQ429" s="584" t="str">
        <f>IF(AND(AA429&lt;&gt;"",AP429=TRUE),IF(OR(INDEX(AN429:AO429,3-AA429)=EUconst_NA,INDEX(AN429:AO429,3-AA429)=0),"",INDEX(AN429:AO429,3-AA429)),"")</f>
        <v/>
      </c>
      <c r="AR429" s="548">
        <f>IF(AC429=TRUE,IF(COUNT(K429:L429)=0,0,IF(L429="",K429,L429)),0)</f>
        <v>0</v>
      </c>
      <c r="AS429" s="544" t="b">
        <f>AND(AC429=TRUE,OR(AND(F429&lt;&gt;"",NOT(ISNUMBER(AA429))),L429&lt;&gt;"",F429="",AQ429=""))</f>
        <v>0</v>
      </c>
      <c r="AT429" s="544" t="b">
        <f t="shared" si="93"/>
        <v>0</v>
      </c>
      <c r="AU429" s="30"/>
      <c r="AV429" s="558" t="b">
        <f t="shared" si="94"/>
        <v>0</v>
      </c>
      <c r="AW429" s="559" t="b">
        <f t="shared" si="95"/>
        <v>0</v>
      </c>
      <c r="AX429" s="537" t="b">
        <f>OR(AND(AJ423=EUconst_kNm3,AJ429=EUconst_tCpt),AND(AJ423=EUconst_t,AJ429=EUconst_tCpkNm3))</f>
        <v>0</v>
      </c>
      <c r="AY429" s="544" t="b">
        <f t="shared" si="96"/>
        <v>0</v>
      </c>
      <c r="AZ429" s="30"/>
      <c r="BA429" s="30"/>
      <c r="BB429" s="569" t="s">
        <v>482</v>
      </c>
      <c r="BC429" s="570">
        <f>AR423*AR426/1000*AR430</f>
        <v>0</v>
      </c>
      <c r="BD429" s="571">
        <f>BC429</f>
        <v>0</v>
      </c>
      <c r="BE429" s="572">
        <f>BC429</f>
        <v>0</v>
      </c>
      <c r="BF429" s="30"/>
      <c r="BG429" s="30"/>
      <c r="BH429" s="30"/>
      <c r="BI429" s="30"/>
      <c r="BJ429" s="30"/>
      <c r="BK429" s="30"/>
      <c r="BL429" s="30"/>
      <c r="BM429" s="30"/>
      <c r="BN429" s="30"/>
      <c r="BO429" s="30"/>
      <c r="BP429" s="30"/>
      <c r="BQ429" s="30"/>
      <c r="BR429" s="30"/>
      <c r="BS429" s="30"/>
      <c r="BT429" s="30"/>
      <c r="BU429" s="30"/>
      <c r="BV429" s="30"/>
      <c r="BW429" s="30"/>
      <c r="BX429" s="30"/>
      <c r="BY429" s="30"/>
      <c r="BZ429" s="544" t="b">
        <f>OR(BZ423,Y429=EUconst_NA)</f>
        <v>1</v>
      </c>
    </row>
    <row r="430" spans="1:78" s="140" customFormat="1" ht="12.75" customHeight="1" x14ac:dyDescent="0.2">
      <c r="A430" s="777"/>
      <c r="B430" s="1248"/>
      <c r="C430" s="753" t="s">
        <v>325</v>
      </c>
      <c r="D430" s="503" t="str">
        <f>Translations!$B$641</f>
        <v>Biomasės dalis (BioC):</v>
      </c>
      <c r="E430" s="504"/>
      <c r="F430" s="539"/>
      <c r="G430" s="1603" t="str">
        <f t="shared" si="91"/>
        <v/>
      </c>
      <c r="H430" s="1604"/>
      <c r="I430" s="1113" t="str">
        <f>IF(OR(AC430=FALSE,Y430=EUconst_NA),"","-")</f>
        <v/>
      </c>
      <c r="J430" s="560"/>
      <c r="K430" s="561" t="str">
        <f t="shared" si="92"/>
        <v/>
      </c>
      <c r="L430" s="694"/>
      <c r="M430" s="700" t="str">
        <f>IF(AND(E414&lt;&gt;"",OR(F430="",COUNT(K430:L430)=0),Y430&lt;&gt;EUconst_NA,T414&lt;&gt;TRUE),EUconst_ERR_Incomplete,IF(COUNTIF(AX430:AZ430,TRUE)&gt;0,EUconst_ERR_Inconsistent,""))</f>
        <v/>
      </c>
      <c r="O430" s="1305"/>
      <c r="P430" s="635"/>
      <c r="Q430" s="635"/>
      <c r="R430" s="635"/>
      <c r="S430" s="30"/>
      <c r="T430" s="543" t="str">
        <f>EUconst_CNTR_BiomassContent&amp;E414</f>
        <v>BioC_</v>
      </c>
      <c r="U430" s="488"/>
      <c r="V430" s="585" t="str">
        <f t="shared" si="97"/>
        <v/>
      </c>
      <c r="W430" s="522" t="str">
        <f>IF(COUNTIF(MSPara_SourceStreamCategory,V430)=0,"",INDEX(MSPara_IsFossil,MATCH(V430,MSPara_SourceStreamCategory,0)))</f>
        <v/>
      </c>
      <c r="X430" s="488"/>
      <c r="Y430" s="545" t="str">
        <f>IF(OR(T414=TRUE,E414=""),"",IF(OR(W430=TRUE,F430=EUconst_NA),EUconst_NA,INDEX(EUwideConstants!$N:$N,MATCH(T430,EUwideConstants!$Q:$Q,0))))</f>
        <v/>
      </c>
      <c r="Z430" s="546" t="str">
        <f>IF(ISBLANK(F430),"",IF(F430=EUconst_NA,"",INDEX(EUwideConstants!$H:$M,MATCH(T430,EUwideConstants!$Q:$Q,0),MATCH(F430,CNTR_TierList,0))))</f>
        <v/>
      </c>
      <c r="AA430" s="586" t="str">
        <f>IF(F430=1,1,"")</f>
        <v/>
      </c>
      <c r="AB430" s="30"/>
      <c r="AC430" s="548" t="b">
        <f>AND(AC423,Y430&lt;&gt;EUconst_NA)</f>
        <v>0</v>
      </c>
      <c r="AD430" s="30"/>
      <c r="AE430" s="563"/>
      <c r="AG430" s="564"/>
      <c r="AH430" s="553"/>
      <c r="AI430" s="565"/>
      <c r="AJ430" s="553"/>
      <c r="AK430" s="566"/>
      <c r="AL430" s="333"/>
      <c r="AM430" s="549" t="str">
        <f>EUconst_CNTR_BiomassContent&amp;EUconst_Value</f>
        <v>BioC_Vertė</v>
      </c>
      <c r="AO430" s="587" t="str">
        <f>IF(AC430=TRUE,IF(COUNTIF(MSPara_SourceStreamCategory,V430)=0,"",INDEX(MSPara_CalcFactorsMatrix,MATCH(V430,MSPara_SourceStreamCategory,0),MATCH(AM430&amp;"_"&amp;2,MSPara_CalcFactors,0))),"")</f>
        <v/>
      </c>
      <c r="AP430" s="553"/>
      <c r="AQ430" s="568" t="str">
        <f>IF(OR(AA430="",AO430=EUconst_NA),"",AO430)</f>
        <v/>
      </c>
      <c r="AR430" s="548">
        <f>IF(AC430=TRUE,IF(COUNT(K430:L430)=0,0,IF(L430="",K430,L430)),0)</f>
        <v>0</v>
      </c>
      <c r="AS430" s="544" t="b">
        <f>AND(AC430=TRUE,OR(AND(F430&lt;&gt;"",NOT(ISNUMBER(AA430))),L430&lt;&gt;"",F430="",AQ430=""))</f>
        <v>0</v>
      </c>
      <c r="AT430" s="544" t="b">
        <f t="shared" si="93"/>
        <v>0</v>
      </c>
      <c r="AU430" s="30"/>
      <c r="AV430" s="558" t="b">
        <f t="shared" si="94"/>
        <v>0</v>
      </c>
      <c r="AW430" s="559" t="b">
        <f t="shared" si="95"/>
        <v>0</v>
      </c>
      <c r="AX430" s="30"/>
      <c r="AY430" s="585" t="b">
        <f t="shared" si="96"/>
        <v>0</v>
      </c>
      <c r="AZ430" s="522" t="b">
        <f>OR(AR430&gt;100%,(AR430+AR431)&gt;100%)</f>
        <v>0</v>
      </c>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544" t="b">
        <f>OR(BZ423,Y430=EUconst_NA)</f>
        <v>1</v>
      </c>
    </row>
    <row r="431" spans="1:78" s="140" customFormat="1" ht="12.75" customHeight="1" thickBot="1" x14ac:dyDescent="0.25">
      <c r="A431" s="777"/>
      <c r="B431" s="1248"/>
      <c r="C431" s="753" t="s">
        <v>448</v>
      </c>
      <c r="D431" s="503" t="str">
        <f>Translations!$B$647</f>
        <v>Netvarios BioC dalis:</v>
      </c>
      <c r="E431" s="504"/>
      <c r="F431" s="588"/>
      <c r="G431" s="1603" t="str">
        <f t="shared" si="91"/>
        <v/>
      </c>
      <c r="H431" s="1604"/>
      <c r="I431" s="1114" t="str">
        <f>IF(OR(AC431=FALSE,Y431=EUconst_NA),"","-")</f>
        <v/>
      </c>
      <c r="J431" s="560"/>
      <c r="K431" s="589" t="str">
        <f t="shared" si="92"/>
        <v/>
      </c>
      <c r="L431" s="1100"/>
      <c r="M431" s="700" t="str">
        <f>IF(AND(E414&lt;&gt;"",OR(F431="",COUNT(K431:L431)=0),Y431&lt;&gt;EUconst_NA,T414&lt;&gt;TRUE),EUconst_ERR_Incomplete,IF(COUNTIF(AX431:AZ431,TRUE)&gt;0,EUconst_ERR_Inconsistent,""))</f>
        <v/>
      </c>
      <c r="O431" s="1305"/>
      <c r="P431" s="635"/>
      <c r="Q431" s="635"/>
      <c r="R431" s="635"/>
      <c r="S431" s="30"/>
      <c r="T431" s="590" t="str">
        <f>EUconst_CNTR_BiomassContent&amp;E414</f>
        <v>BioC_</v>
      </c>
      <c r="U431" s="488"/>
      <c r="V431" s="570" t="str">
        <f t="shared" si="97"/>
        <v/>
      </c>
      <c r="W431" s="571" t="str">
        <f>IF(COUNTIF(MSPara_SourceStreamCategory,V431)=0,"",INDEX(MSPara_IsFossil,MATCH(V431,MSPara_SourceStreamCategory,0)))</f>
        <v/>
      </c>
      <c r="X431" s="488"/>
      <c r="Y431" s="591" t="str">
        <f>IF(OR(T414=TRUE,E414=""),"",IF(OR(W431=TRUE,F431=EUconst_NA),EUconst_NA,INDEX(EUwideConstants!$N:$N,MATCH(T431,EUwideConstants!$Q:$Q,0))))</f>
        <v/>
      </c>
      <c r="Z431" s="592" t="str">
        <f>IF(ISBLANK(F431),"",IF(F431=EUconst_NA,"",INDEX(EUwideConstants!$H:$M,MATCH(T431,EUwideConstants!$Q:$Q,0),MATCH(F431,CNTR_TierList,0))))</f>
        <v/>
      </c>
      <c r="AA431" s="593" t="str">
        <f>IF(F431=1,1,"")</f>
        <v/>
      </c>
      <c r="AB431" s="30"/>
      <c r="AC431" s="594" t="b">
        <f>AND(AC423,Y431&lt;&gt;EUconst_NA)</f>
        <v>0</v>
      </c>
      <c r="AD431" s="30"/>
      <c r="AE431" s="595"/>
      <c r="AF431" s="596"/>
      <c r="AG431" s="597"/>
      <c r="AH431" s="598"/>
      <c r="AI431" s="598"/>
      <c r="AJ431" s="598"/>
      <c r="AK431" s="599"/>
      <c r="AL431" s="333"/>
      <c r="AM431" s="600" t="str">
        <f>EUconst_CNTR_BiomassContent&amp;EUconst_Value</f>
        <v>BioC_Vertė</v>
      </c>
      <c r="AN431" s="596"/>
      <c r="AO431" s="601" t="str">
        <f>IF(AC431=TRUE,IF(COUNTIF(MSPara_SourceStreamCategory,V431)=0,"",INDEX(MSPara_CalcFactorsMatrix,MATCH(V431,MSPara_SourceStreamCategory,0),MATCH(AM431&amp;"_"&amp;2,MSPara_CalcFactors,0))),"")</f>
        <v/>
      </c>
      <c r="AP431" s="598"/>
      <c r="AQ431" s="602" t="str">
        <f>IF(OR(AA431="",AO431=EUconst_NA),"",AO431)</f>
        <v/>
      </c>
      <c r="AR431" s="594">
        <f>IF(AC431=TRUE,IF(COUNT(K431:L431)=0,0,IF(L431="",K431,L431)),0)</f>
        <v>0</v>
      </c>
      <c r="AS431" s="603" t="b">
        <f>AND(AC431=TRUE,OR(AND(F431&lt;&gt;"",NOT(ISNUMBER(AA431))),L431&lt;&gt;"",F431="",AQ431=""))</f>
        <v>0</v>
      </c>
      <c r="AT431" s="603" t="b">
        <f t="shared" si="93"/>
        <v>0</v>
      </c>
      <c r="AU431" s="30"/>
      <c r="AV431" s="604" t="b">
        <f t="shared" si="94"/>
        <v>0</v>
      </c>
      <c r="AW431" s="605" t="b">
        <f t="shared" si="95"/>
        <v>0</v>
      </c>
      <c r="AX431" s="30"/>
      <c r="AY431" s="570" t="b">
        <f t="shared" si="96"/>
        <v>0</v>
      </c>
      <c r="AZ431" s="571" t="b">
        <f>OR(AR430&gt;100%,(AR430+AR431)&gt;100%)</f>
        <v>0</v>
      </c>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571" t="b">
        <f>OR(BZ423,Y431=EUconst_NA)</f>
        <v>1</v>
      </c>
    </row>
    <row r="432" spans="1:78" s="140" customFormat="1" ht="5.0999999999999996" customHeight="1" x14ac:dyDescent="0.2">
      <c r="A432" s="777"/>
      <c r="B432" s="1248"/>
      <c r="C432" s="164"/>
      <c r="D432" s="178"/>
      <c r="O432" s="1305"/>
      <c r="P432" s="33"/>
      <c r="Q432" s="33"/>
      <c r="R432" s="33"/>
      <c r="S432" s="172"/>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row>
    <row r="433" spans="1:78" s="140" customFormat="1" ht="12.75" customHeight="1" x14ac:dyDescent="0.2">
      <c r="A433" s="777"/>
      <c r="B433" s="1248"/>
      <c r="C433" s="164"/>
      <c r="D433" s="1629" t="str">
        <f>Translations!$B$674</f>
        <v>Pakopos galioja nuo:</v>
      </c>
      <c r="E433" s="1629"/>
      <c r="F433" s="1630"/>
      <c r="G433" s="1014"/>
      <c r="H433" s="606" t="str">
        <f>Translations!$B$675</f>
        <v>iki:</v>
      </c>
      <c r="I433" s="1014"/>
      <c r="J433" s="1620" t="str">
        <f>Translations!$B$676</f>
        <v>Atliekų katalogo numeris (jeigu taikytina):</v>
      </c>
      <c r="K433" s="1621"/>
      <c r="L433" s="1621"/>
      <c r="M433" s="1622"/>
      <c r="N433" s="1232"/>
      <c r="O433" s="1305"/>
      <c r="P433" s="33"/>
      <c r="Q433" s="33"/>
      <c r="R433" s="33"/>
      <c r="S433" s="1233"/>
      <c r="T433" s="483"/>
      <c r="U433" s="483"/>
      <c r="V433" s="48" t="b">
        <f>IF(V423="",FALSE,INDEX(CNTR_IsWaste,MATCH(V423,MSParameters!$A$218:$A$376,0)))</f>
        <v>0</v>
      </c>
      <c r="W433" s="1233" t="s">
        <v>1689</v>
      </c>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2" t="b">
        <f>BZ423</f>
        <v>1</v>
      </c>
    </row>
    <row r="434" spans="1:78" s="140" customFormat="1" ht="5.0999999999999996" customHeight="1" x14ac:dyDescent="0.2">
      <c r="A434" s="777"/>
      <c r="B434" s="1248"/>
      <c r="C434" s="164"/>
      <c r="D434" s="606"/>
      <c r="E434" s="486"/>
      <c r="F434" s="486"/>
      <c r="G434" s="486"/>
      <c r="H434" s="486"/>
      <c r="I434" s="486"/>
      <c r="J434" s="486"/>
      <c r="K434" s="486"/>
      <c r="L434" s="486"/>
      <c r="M434" s="486"/>
      <c r="N434" s="486"/>
      <c r="O434" s="1305"/>
      <c r="P434" s="33"/>
      <c r="Q434" s="33"/>
      <c r="R434" s="33"/>
      <c r="S434" s="172"/>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row>
    <row r="435" spans="1:78" s="140" customFormat="1" ht="12.75" customHeight="1" x14ac:dyDescent="0.2">
      <c r="A435" s="777"/>
      <c r="B435" s="1248"/>
      <c r="C435" s="164"/>
      <c r="D435" s="486"/>
      <c r="E435" s="486"/>
      <c r="F435" s="486"/>
      <c r="G435" s="486"/>
      <c r="H435" s="486"/>
      <c r="I435" s="486"/>
      <c r="J435" s="486"/>
      <c r="K435" s="486"/>
      <c r="L435" s="486"/>
      <c r="M435" s="606" t="str">
        <f>Translations!$B$677</f>
        <v>Stebėsenos plane šiam sukėlikliui suteiktas identifikatorius:</v>
      </c>
      <c r="N435" s="705"/>
      <c r="O435" s="1305"/>
      <c r="P435" s="33"/>
      <c r="Q435" s="33"/>
      <c r="R435" s="33"/>
      <c r="S435" s="172"/>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2" t="b">
        <f>BZ433</f>
        <v>1</v>
      </c>
    </row>
    <row r="436" spans="1:78" s="140" customFormat="1" ht="5.0999999999999996" customHeight="1" x14ac:dyDescent="0.2">
      <c r="A436" s="784"/>
      <c r="B436" s="1316"/>
      <c r="D436" s="178"/>
      <c r="O436" s="1317"/>
      <c r="P436" s="488"/>
      <c r="Q436" s="488"/>
      <c r="R436" s="488"/>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row>
    <row r="437" spans="1:78" s="140" customFormat="1" x14ac:dyDescent="0.2">
      <c r="A437" s="784"/>
      <c r="B437" s="1316"/>
      <c r="D437" s="1618" t="str">
        <f>Translations!$B$160</f>
        <v>Pastabos:</v>
      </c>
      <c r="E437" s="1619"/>
      <c r="F437" s="1605"/>
      <c r="G437" s="1606"/>
      <c r="H437" s="1606"/>
      <c r="I437" s="1606"/>
      <c r="J437" s="1606"/>
      <c r="K437" s="1606"/>
      <c r="L437" s="1606"/>
      <c r="M437" s="1606"/>
      <c r="N437" s="1607"/>
      <c r="O437" s="1317"/>
      <c r="P437" s="488"/>
      <c r="Q437" s="488"/>
      <c r="R437" s="488"/>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2" t="b">
        <f>BZ433</f>
        <v>1</v>
      </c>
    </row>
    <row r="438" spans="1:78" s="28" customFormat="1" ht="12.75" customHeight="1" thickBot="1" x14ac:dyDescent="0.25">
      <c r="A438" s="777"/>
      <c r="B438" s="1312"/>
      <c r="C438" s="490"/>
      <c r="D438" s="491"/>
      <c r="E438" s="492"/>
      <c r="F438" s="490"/>
      <c r="G438" s="493"/>
      <c r="H438" s="493"/>
      <c r="I438" s="493"/>
      <c r="J438" s="493"/>
      <c r="K438" s="493"/>
      <c r="L438" s="493"/>
      <c r="M438" s="493"/>
      <c r="N438" s="493"/>
      <c r="O438" s="1313"/>
      <c r="P438" s="485"/>
      <c r="Q438" s="485"/>
      <c r="R438" s="485"/>
      <c r="S438" s="58"/>
      <c r="T438" s="58"/>
      <c r="U438" s="489"/>
      <c r="V438" s="58"/>
      <c r="W438" s="58"/>
      <c r="X438" s="489"/>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30"/>
      <c r="BJ438" s="30"/>
      <c r="BK438" s="30"/>
      <c r="BL438" s="58"/>
      <c r="BM438" s="58"/>
      <c r="BN438" s="58"/>
      <c r="BO438" s="58"/>
      <c r="BP438" s="58"/>
      <c r="BQ438" s="58"/>
      <c r="BR438" s="58"/>
      <c r="BS438" s="58"/>
      <c r="BT438" s="58"/>
      <c r="BU438" s="58"/>
      <c r="BV438" s="58"/>
      <c r="BW438" s="58"/>
      <c r="BX438" s="58"/>
      <c r="BY438" s="58"/>
      <c r="BZ438" s="58"/>
    </row>
    <row r="439" spans="1:78" s="28" customFormat="1" ht="12.75" customHeight="1" thickBot="1" x14ac:dyDescent="0.25">
      <c r="A439" s="782"/>
      <c r="B439" s="1312"/>
      <c r="C439" s="486"/>
      <c r="D439" s="178"/>
      <c r="E439" s="487"/>
      <c r="F439" s="486"/>
      <c r="G439" s="478"/>
      <c r="H439" s="478"/>
      <c r="I439" s="478"/>
      <c r="J439" s="478"/>
      <c r="K439" s="486"/>
      <c r="L439" s="478"/>
      <c r="M439" s="478"/>
      <c r="N439" s="478"/>
      <c r="O439" s="1313"/>
      <c r="P439" s="485"/>
      <c r="Q439" s="485"/>
      <c r="R439" s="485"/>
      <c r="S439" s="23"/>
      <c r="T439" s="27" t="str">
        <f>IF(ISBLANK(E440),"",MATCH(E440,CNTR_SourceStreamNames,0))</f>
        <v/>
      </c>
      <c r="U439" s="609" t="str">
        <f>IF(ISBLANK(E440),"",INDEX(B_InstallationDescription!$D$71:$D$145,MATCH(E440,CNTR_SourceStreamNames,0)))</f>
        <v/>
      </c>
      <c r="V439" s="76"/>
      <c r="W439" s="56"/>
      <c r="X439" s="56"/>
      <c r="Y439" s="56"/>
      <c r="Z439" s="58"/>
      <c r="AA439" s="58"/>
      <c r="AB439" s="58"/>
      <c r="AC439" s="58"/>
      <c r="AD439" s="58"/>
      <c r="AE439" s="58"/>
      <c r="AF439" s="58"/>
      <c r="AG439" s="58"/>
      <c r="AH439" s="58"/>
      <c r="AI439" s="58"/>
      <c r="AJ439" s="58"/>
      <c r="AK439" s="482"/>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6"/>
      <c r="BI439" s="56"/>
      <c r="BJ439" s="56"/>
      <c r="BK439" s="56"/>
      <c r="BL439" s="56"/>
      <c r="BM439" s="56"/>
      <c r="BN439" s="56"/>
      <c r="BO439" s="56"/>
      <c r="BP439" s="56"/>
      <c r="BQ439" s="56"/>
      <c r="BR439" s="56"/>
      <c r="BS439" s="56"/>
      <c r="BT439" s="56"/>
      <c r="BU439" s="56"/>
      <c r="BV439" s="56"/>
      <c r="BW439" s="56"/>
      <c r="BX439" s="56"/>
      <c r="BY439" s="56"/>
      <c r="BZ439" s="484" t="s">
        <v>259</v>
      </c>
    </row>
    <row r="440" spans="1:78" s="140" customFormat="1" ht="15" customHeight="1" thickBot="1" x14ac:dyDescent="0.25">
      <c r="A440" s="1302" t="str">
        <f>IF(E440="","","PRINT")</f>
        <v/>
      </c>
      <c r="B440" s="1248"/>
      <c r="C440" s="608">
        <f>C413+1</f>
        <v>15</v>
      </c>
      <c r="D440" s="164"/>
      <c r="E440" s="1610"/>
      <c r="F440" s="1611"/>
      <c r="G440" s="1611"/>
      <c r="H440" s="1611"/>
      <c r="I440" s="1611"/>
      <c r="J440" s="1612"/>
      <c r="K440" s="1623" t="str">
        <f>IF(E441="","",INDEX(EUwideConstants!$F$353:$F$394,MATCH(E441,EUConst_TierActivityListNames,0)))</f>
        <v/>
      </c>
      <c r="L440" s="1624"/>
      <c r="M440" s="494" t="str">
        <f>Translations!$B$665</f>
        <v>CO2, iškastinio kuro kilmės:</v>
      </c>
      <c r="N440" s="1012" t="str">
        <f>IF(OR(K440="",T441=TRUE),"",INDEX(BC454:BE454,MATCH(K440,BC450:BE450,0)))</f>
        <v/>
      </c>
      <c r="O440" s="1314" t="s">
        <v>257</v>
      </c>
      <c r="P440" s="1303" t="str">
        <f>IF(AND(E440&lt;&gt;"",COUNTIF(P441:$P$2089,"PRINT")=0),"PRINT","")</f>
        <v/>
      </c>
      <c r="Q440" s="343" t="str">
        <f>EUconst_SumCO2 &amp; "_" &amp; K440</f>
        <v>SUM_CO2_</v>
      </c>
      <c r="R440" s="485"/>
      <c r="S440" s="23"/>
      <c r="T440" s="500" t="s">
        <v>387</v>
      </c>
      <c r="U440" s="23"/>
      <c r="V440" s="76"/>
      <c r="W440" s="56"/>
      <c r="X440" s="58"/>
      <c r="Y440" s="58"/>
      <c r="Z440" s="58"/>
      <c r="AA440" s="58"/>
      <c r="AB440" s="58"/>
      <c r="AC440" s="58"/>
      <c r="AD440" s="58"/>
      <c r="AE440" s="58"/>
      <c r="AF440" s="58"/>
      <c r="AG440" s="58"/>
      <c r="AH440" s="58"/>
      <c r="AI440" s="333"/>
      <c r="AJ440" s="333"/>
      <c r="AK440" s="333"/>
      <c r="AL440" s="333"/>
      <c r="AM440" s="333"/>
      <c r="AN440" s="333"/>
      <c r="AO440" s="333"/>
      <c r="AP440" s="333"/>
      <c r="AQ440" s="333"/>
      <c r="AR440" s="333"/>
      <c r="AS440" s="333"/>
      <c r="AT440" s="333"/>
      <c r="AU440" s="333"/>
      <c r="AV440" s="333"/>
      <c r="AW440" s="333"/>
      <c r="AX440" s="333"/>
      <c r="AY440" s="333"/>
      <c r="AZ440" s="333"/>
      <c r="BA440" s="333"/>
      <c r="BB440" s="333"/>
      <c r="BC440" s="333"/>
      <c r="BD440" s="333"/>
      <c r="BE440" s="333"/>
      <c r="BF440" s="333"/>
      <c r="BG440" s="333"/>
      <c r="BH440" s="834">
        <f>AR450</f>
        <v>0</v>
      </c>
      <c r="BI440" s="834" t="str">
        <f>AJ450</f>
        <v/>
      </c>
      <c r="BJ440" s="834">
        <f>AR452</f>
        <v>0</v>
      </c>
      <c r="BK440" s="834" t="str">
        <f>AJ452</f>
        <v/>
      </c>
      <c r="BL440" s="834">
        <f>AR453</f>
        <v>0</v>
      </c>
      <c r="BM440" s="834" t="str">
        <f>AJ453</f>
        <v/>
      </c>
      <c r="BN440" s="834">
        <f>AR454</f>
        <v>1</v>
      </c>
      <c r="BO440" s="834">
        <f>AR455</f>
        <v>1</v>
      </c>
      <c r="BP440" s="834">
        <f>AR456</f>
        <v>0</v>
      </c>
      <c r="BQ440" s="834" t="str">
        <f>AJ456</f>
        <v/>
      </c>
      <c r="BR440" s="834">
        <f>AR457</f>
        <v>0</v>
      </c>
      <c r="BS440" s="834">
        <f>AR458</f>
        <v>0</v>
      </c>
      <c r="BT440" s="834" t="str">
        <f>N440</f>
        <v/>
      </c>
      <c r="BU440" s="834" t="str">
        <f>N441</f>
        <v/>
      </c>
      <c r="BV440" s="834" t="str">
        <f>R443</f>
        <v/>
      </c>
      <c r="BW440" s="834" t="str">
        <f>R449</f>
        <v/>
      </c>
      <c r="BX440" s="834" t="str">
        <f>R450</f>
        <v/>
      </c>
      <c r="BY440" s="56"/>
      <c r="BZ440" s="610" t="b">
        <f>CNTR_CalcRelevant=EUconst_NotRelevant</f>
        <v>0</v>
      </c>
    </row>
    <row r="441" spans="1:78" s="140" customFormat="1" ht="15" customHeight="1" thickBot="1" x14ac:dyDescent="0.25">
      <c r="A441" s="777"/>
      <c r="B441" s="1248"/>
      <c r="C441" s="164"/>
      <c r="D441" s="164"/>
      <c r="E441" s="1625" t="str">
        <f>IF(ISBLANK(E440),"",IF(INDEX(B_InstallationDescription!$E$71:$E$145,MATCH(U439,B_InstallationDescription!$D$71:$D$145,0))&gt;0,INDEX(B_InstallationDescription!$E$71:$E$145,MATCH(U439,B_InstallationDescription!$D$71:$D$145,0)),""))</f>
        <v/>
      </c>
      <c r="F441" s="1626"/>
      <c r="G441" s="1626"/>
      <c r="H441" s="1626"/>
      <c r="I441" s="1626"/>
      <c r="J441" s="1627"/>
      <c r="M441" s="337" t="str">
        <f>Translations!$B$666</f>
        <v>CO2, biomasės kilmės.:</v>
      </c>
      <c r="N441" s="1013" t="str">
        <f>IF(OR(K440="",T441=TRUE),"",INDEX(BC453:BE453,MATCH(K440,BC450:BE450,0)))</f>
        <v/>
      </c>
      <c r="O441" s="1315" t="s">
        <v>257</v>
      </c>
      <c r="P441" s="485"/>
      <c r="Q441" s="343" t="str">
        <f>EUconst_SumBioCO2 &amp; "_" &amp; K440</f>
        <v>SUM_bioCO2_</v>
      </c>
      <c r="R441" s="485"/>
      <c r="S441" s="23"/>
      <c r="T441" s="48" t="str">
        <f>IF(E441="","",MATCH(E441,EUConst_TierActivityListNames,0)&gt;40)</f>
        <v/>
      </c>
      <c r="U441" s="23"/>
      <c r="V441" s="76"/>
      <c r="W441" s="56"/>
      <c r="X441" s="58"/>
      <c r="Y441" s="27" t="s">
        <v>91</v>
      </c>
      <c r="Z441" s="30"/>
      <c r="AA441" s="30"/>
      <c r="AB441" s="30"/>
      <c r="AC441" s="30"/>
      <c r="AD441" s="30"/>
      <c r="AE441" s="27" t="s">
        <v>297</v>
      </c>
      <c r="AF441" s="58"/>
      <c r="AG441" s="495"/>
      <c r="AH441" s="30"/>
      <c r="AI441" s="30"/>
      <c r="AJ441" s="495"/>
      <c r="AK441" s="495"/>
      <c r="AL441" s="333"/>
      <c r="AM441" s="27" t="s">
        <v>303</v>
      </c>
      <c r="AN441" s="496"/>
      <c r="AO441" s="496"/>
      <c r="AP441" s="30"/>
      <c r="AQ441" s="30"/>
      <c r="AR441" s="30"/>
      <c r="AS441" s="30"/>
      <c r="AT441" s="30"/>
      <c r="AU441" s="30"/>
      <c r="AV441" s="27" t="s">
        <v>310</v>
      </c>
      <c r="AW441" s="30"/>
      <c r="AX441" s="483"/>
      <c r="AY441" s="30"/>
      <c r="AZ441" s="30"/>
      <c r="BA441" s="30"/>
      <c r="BB441" s="27" t="s">
        <v>217</v>
      </c>
      <c r="BC441" s="30"/>
      <c r="BD441" s="30"/>
      <c r="BE441" s="30"/>
      <c r="BF441" s="30"/>
      <c r="BG441" s="27" t="s">
        <v>486</v>
      </c>
      <c r="BH441" s="833" t="s">
        <v>552</v>
      </c>
      <c r="BI441" s="833" t="s">
        <v>487</v>
      </c>
      <c r="BJ441" s="833" t="s">
        <v>211</v>
      </c>
      <c r="BK441" s="833" t="s">
        <v>488</v>
      </c>
      <c r="BL441" s="833" t="s">
        <v>68</v>
      </c>
      <c r="BM441" s="833" t="s">
        <v>489</v>
      </c>
      <c r="BN441" s="833" t="s">
        <v>490</v>
      </c>
      <c r="BO441" s="833" t="s">
        <v>491</v>
      </c>
      <c r="BP441" s="833" t="s">
        <v>214</v>
      </c>
      <c r="BQ441" s="833" t="s">
        <v>492</v>
      </c>
      <c r="BR441" s="833" t="s">
        <v>493</v>
      </c>
      <c r="BS441" s="833" t="s">
        <v>494</v>
      </c>
      <c r="BT441" s="833" t="s">
        <v>287</v>
      </c>
      <c r="BU441" s="833" t="s">
        <v>495</v>
      </c>
      <c r="BV441" s="833" t="s">
        <v>498</v>
      </c>
      <c r="BW441" s="833" t="s">
        <v>496</v>
      </c>
      <c r="BX441" s="833" t="s">
        <v>497</v>
      </c>
      <c r="BY441" s="30"/>
      <c r="BZ441" s="30"/>
    </row>
    <row r="442" spans="1:78" s="140" customFormat="1" ht="5.0999999999999996" customHeight="1" thickBot="1" x14ac:dyDescent="0.25">
      <c r="A442" s="777"/>
      <c r="B442" s="1248"/>
      <c r="C442" s="164"/>
      <c r="D442" s="164"/>
      <c r="E442" s="164"/>
      <c r="F442" s="164"/>
      <c r="G442" s="164"/>
      <c r="M442" s="141"/>
      <c r="N442" s="141"/>
      <c r="O442" s="1305"/>
      <c r="P442" s="33"/>
      <c r="Q442" s="33"/>
      <c r="R442" s="33"/>
      <c r="S442" s="23"/>
      <c r="T442" s="23"/>
      <c r="U442" s="23"/>
      <c r="V442" s="76"/>
      <c r="W442" s="30"/>
      <c r="X442" s="30"/>
      <c r="Y442" s="485"/>
      <c r="Z442" s="30"/>
      <c r="AA442" s="30"/>
      <c r="AB442" s="30"/>
      <c r="AC442" s="30"/>
      <c r="AD442" s="30"/>
      <c r="AE442" s="30"/>
      <c r="AF442" s="58"/>
      <c r="AG442" s="30"/>
      <c r="AH442" s="30"/>
      <c r="AI442" s="30"/>
      <c r="AJ442" s="495"/>
      <c r="AK442" s="495"/>
      <c r="AL442" s="333"/>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row>
    <row r="443" spans="1:78" s="140" customFormat="1" ht="12.75" customHeight="1" thickBot="1" x14ac:dyDescent="0.25">
      <c r="A443" s="777"/>
      <c r="B443" s="1248"/>
      <c r="C443" s="164"/>
      <c r="D443" s="164"/>
      <c r="E443" s="1628" t="str">
        <f>IF(E440="","",IF(T441=TRUE,HYPERLINK("#JUMP_14",EUconst_MsgGoOnPFC),HYPERLINK("#JUMP_E_8",EUconst_FurtherGuidancePoint1)))</f>
        <v/>
      </c>
      <c r="F443" s="1628"/>
      <c r="G443" s="1628"/>
      <c r="H443" s="1628"/>
      <c r="I443" s="1628"/>
      <c r="J443" s="1628"/>
      <c r="K443" s="1628"/>
      <c r="L443" s="1628"/>
      <c r="M443" s="1628"/>
      <c r="N443" s="141"/>
      <c r="O443" s="1305"/>
      <c r="P443" s="33"/>
      <c r="Q443" s="343" t="str">
        <f>EUconst_SumNonSustBioCO2 &amp; "_" &amp; K440</f>
        <v>SUM_bioNonSustCO2_</v>
      </c>
      <c r="R443" s="698" t="str">
        <f>IF(OR(K440="",T441=TRUE),"",ROUND(INDEX(BC452:BE452,MATCH(K440,BC450:BE450,0)),0))</f>
        <v/>
      </c>
      <c r="S443" s="23"/>
      <c r="T443" s="23"/>
      <c r="U443" s="23"/>
      <c r="V443" s="30"/>
      <c r="W443" s="30"/>
      <c r="X443" s="30"/>
      <c r="Y443" s="58"/>
      <c r="Z443" s="30"/>
      <c r="AA443" s="30"/>
      <c r="AB443" s="30"/>
      <c r="AC443" s="30"/>
      <c r="AD443" s="30"/>
      <c r="AE443" s="30"/>
      <c r="AF443" s="58"/>
      <c r="AG443" s="30"/>
      <c r="AH443" s="30"/>
      <c r="AI443" s="30"/>
      <c r="AJ443" s="495"/>
      <c r="AK443" s="495"/>
      <c r="AL443" s="333"/>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row>
    <row r="444" spans="1:78" s="140" customFormat="1" ht="5.0999999999999996" customHeight="1" thickBot="1" x14ac:dyDescent="0.25">
      <c r="A444" s="777"/>
      <c r="B444" s="1248"/>
      <c r="C444" s="164"/>
      <c r="D444" s="164"/>
      <c r="E444" s="164"/>
      <c r="F444" s="164"/>
      <c r="G444" s="164"/>
      <c r="M444" s="141"/>
      <c r="N444" s="141"/>
      <c r="O444" s="1305"/>
      <c r="P444" s="23"/>
      <c r="Q444" s="23"/>
      <c r="R444" s="23"/>
      <c r="S444" s="23"/>
      <c r="T444" s="23"/>
      <c r="U444" s="23"/>
      <c r="V444" s="30"/>
      <c r="W444" s="30"/>
      <c r="X444" s="30"/>
      <c r="Y444" s="485"/>
      <c r="Z444" s="30"/>
      <c r="AA444" s="30"/>
      <c r="AB444" s="30"/>
      <c r="AC444" s="30"/>
      <c r="AD444" s="30"/>
      <c r="AE444" s="30"/>
      <c r="AF444" s="58"/>
      <c r="AG444" s="30"/>
      <c r="AH444" s="30"/>
      <c r="AI444" s="30"/>
      <c r="AJ444" s="495"/>
      <c r="AK444" s="495"/>
      <c r="AL444" s="333"/>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row>
    <row r="445" spans="1:78" s="140" customFormat="1" ht="12.75" customHeight="1" thickBot="1" x14ac:dyDescent="0.25">
      <c r="A445" s="777"/>
      <c r="B445" s="1248"/>
      <c r="C445" s="783" t="s">
        <v>4</v>
      </c>
      <c r="D445" s="503" t="str">
        <f>Translations!$B$622</f>
        <v>VD:</v>
      </c>
      <c r="E445" s="1631" t="str">
        <f>Translations!$B$667</f>
        <v>Ar veiklos duomenys gaunami sudedant išmatuotus kiekius (t. y. ne atliekant nuolatinius matavimus)?</v>
      </c>
      <c r="F445" s="1631"/>
      <c r="G445" s="1631"/>
      <c r="H445" s="1631"/>
      <c r="I445" s="1631"/>
      <c r="J445" s="1631"/>
      <c r="K445" s="1631"/>
      <c r="L445" s="1122"/>
      <c r="M445" s="498"/>
      <c r="O445" s="1305"/>
      <c r="P445" s="23"/>
      <c r="Q445" s="23"/>
      <c r="R445" s="23"/>
      <c r="S445" s="23"/>
      <c r="T445" s="23"/>
      <c r="U445" s="23"/>
      <c r="V445" s="30"/>
      <c r="W445" s="30"/>
      <c r="X445" s="30"/>
      <c r="Y445" s="485"/>
      <c r="Z445" s="30"/>
      <c r="AA445" s="30"/>
      <c r="AB445" s="30"/>
      <c r="AC445" s="1115" t="b">
        <f>AND(E440&lt;&gt;"",T441&lt;&gt;TRUE)</f>
        <v>0</v>
      </c>
      <c r="AD445" s="30"/>
      <c r="AE445" s="30"/>
      <c r="AF445" s="58"/>
      <c r="AG445" s="30"/>
      <c r="AH445" s="30"/>
      <c r="AI445" s="30"/>
      <c r="AJ445" s="495"/>
      <c r="AK445" s="495"/>
      <c r="AL445" s="333"/>
      <c r="AM445" s="30"/>
      <c r="AN445" s="30"/>
      <c r="AO445" s="30"/>
      <c r="AP445" s="30"/>
      <c r="AQ445" s="30"/>
      <c r="AR445" s="30"/>
      <c r="AS445" s="30"/>
      <c r="AT445" s="1115" t="b">
        <f>MSPara_BatchReportingMandatory&lt;&gt;TRUE</f>
        <v>0</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1115" t="b">
        <f>OR(CNTR_CalcRelevant=EUconst_NotRelevant,AND(COUNTA(CNTR_ListRelevantSections)&gt;0,OR(T441=TRUE,E440="")))</f>
        <v>1</v>
      </c>
    </row>
    <row r="446" spans="1:78" s="140" customFormat="1" ht="5.0999999999999996" customHeight="1" thickBot="1" x14ac:dyDescent="0.25">
      <c r="A446" s="777"/>
      <c r="B446" s="1248"/>
      <c r="C446" s="164"/>
      <c r="D446" s="164"/>
      <c r="E446" s="164"/>
      <c r="F446" s="164"/>
      <c r="G446" s="164"/>
      <c r="H446" s="486"/>
      <c r="I446" s="486"/>
      <c r="J446" s="486"/>
      <c r="K446" s="486"/>
      <c r="L446" s="486"/>
      <c r="M446" s="498"/>
      <c r="O446" s="1305"/>
      <c r="P446" s="23"/>
      <c r="Q446" s="23"/>
      <c r="R446" s="23"/>
      <c r="S446" s="23"/>
      <c r="T446" s="23"/>
      <c r="U446" s="23"/>
      <c r="V446" s="30"/>
      <c r="W446" s="30"/>
      <c r="X446" s="30"/>
      <c r="Y446" s="485"/>
      <c r="Z446" s="30"/>
      <c r="AA446" s="30"/>
      <c r="AB446" s="30"/>
      <c r="AC446" s="483"/>
      <c r="AD446" s="30"/>
      <c r="AE446" s="30"/>
      <c r="AF446" s="58"/>
      <c r="AG446" s="30"/>
      <c r="AH446" s="30"/>
      <c r="AI446" s="30"/>
      <c r="AJ446" s="495"/>
      <c r="AK446" s="495"/>
      <c r="AL446" s="333"/>
      <c r="AM446" s="30"/>
      <c r="AN446" s="30"/>
      <c r="AO446" s="30"/>
      <c r="AP446" s="30"/>
      <c r="AQ446" s="30"/>
      <c r="AR446" s="30"/>
      <c r="AS446" s="30"/>
      <c r="AT446" s="483"/>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483"/>
    </row>
    <row r="447" spans="1:78" s="140" customFormat="1" ht="12.75" customHeight="1" thickBot="1" x14ac:dyDescent="0.25">
      <c r="A447" s="777"/>
      <c r="B447" s="1248"/>
      <c r="C447" s="783" t="s">
        <v>5</v>
      </c>
      <c r="D447" s="503" t="str">
        <f>Translations!$B$622</f>
        <v>VD:</v>
      </c>
      <c r="E447" s="1105" t="str">
        <f>Translations!$B$668</f>
        <v>Pradinis kiekis:</v>
      </c>
      <c r="F447" s="1123"/>
      <c r="G447" s="1106" t="str">
        <f>Translations!$B$669</f>
        <v>Galutinis kiekis:</v>
      </c>
      <c r="H447" s="1123"/>
      <c r="I447" s="1106" t="str">
        <f>Translations!$B$670</f>
        <v>Įsigytas kiekis:</v>
      </c>
      <c r="J447" s="1123"/>
      <c r="K447" s="1106" t="str">
        <f>Translations!$B$671</f>
        <v>Perduotas kiekis:</v>
      </c>
      <c r="L447" s="1123"/>
      <c r="M447" s="1107" t="str">
        <f>IF(AND(L445=TRUE,COUNT(F447,H447,J447,L447)&lt;4),EUconst_ERR_Incomplete,"")</f>
        <v/>
      </c>
      <c r="O447" s="1305"/>
      <c r="P447" s="23"/>
      <c r="Q447" s="23"/>
      <c r="R447" s="23"/>
      <c r="S447" s="23"/>
      <c r="T447" s="23"/>
      <c r="U447" s="23"/>
      <c r="V447" s="30"/>
      <c r="W447" s="30"/>
      <c r="X447" s="30"/>
      <c r="Y447" s="485"/>
      <c r="Z447" s="30"/>
      <c r="AA447" s="30"/>
      <c r="AB447" s="30"/>
      <c r="AC447" s="1115" t="b">
        <f>AC445</f>
        <v>0</v>
      </c>
      <c r="AD447" s="30"/>
      <c r="AE447" s="30"/>
      <c r="AF447" s="58"/>
      <c r="AG447" s="30"/>
      <c r="AH447" s="30"/>
      <c r="AI447" s="30"/>
      <c r="AJ447" s="495"/>
      <c r="AK447" s="495"/>
      <c r="AL447" s="333"/>
      <c r="AM447" s="30"/>
      <c r="AN447" s="30"/>
      <c r="AO447" s="30"/>
      <c r="AP447" s="30"/>
      <c r="AQ447" s="30"/>
      <c r="AR447" s="30"/>
      <c r="AS447" s="30"/>
      <c r="AT447" s="1115" t="b">
        <f>AND(AT445=TRUE,L445="")</f>
        <v>0</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1115" t="b">
        <f>OR(BZ445,AND(NOT(ISBLANK(L445)),L445=FALSE))</f>
        <v>1</v>
      </c>
    </row>
    <row r="448" spans="1:78" s="140" customFormat="1" ht="5.0999999999999996" customHeight="1" thickBot="1" x14ac:dyDescent="0.25">
      <c r="A448" s="777"/>
      <c r="B448" s="1248"/>
      <c r="C448" s="164"/>
      <c r="D448" s="164"/>
      <c r="E448" s="164"/>
      <c r="F448" s="164"/>
      <c r="G448" s="164"/>
      <c r="M448" s="141"/>
      <c r="N448" s="141"/>
      <c r="O448" s="1305"/>
      <c r="P448" s="23"/>
      <c r="Q448" s="23"/>
      <c r="R448" s="23"/>
      <c r="S448" s="23"/>
      <c r="T448" s="23"/>
      <c r="U448" s="23"/>
      <c r="V448" s="30"/>
      <c r="W448" s="30"/>
      <c r="X448" s="30"/>
      <c r="Y448" s="485"/>
      <c r="Z448" s="30"/>
      <c r="AA448" s="30"/>
      <c r="AB448" s="30"/>
      <c r="AC448" s="30"/>
      <c r="AD448" s="30"/>
      <c r="AE448" s="30"/>
      <c r="AF448" s="58"/>
      <c r="AG448" s="30"/>
      <c r="AH448" s="30"/>
      <c r="AI448" s="30"/>
      <c r="AJ448" s="495"/>
      <c r="AK448" s="495"/>
      <c r="AL448" s="333"/>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row>
    <row r="449" spans="1:78" s="140" customFormat="1" ht="12.75" customHeight="1" thickBot="1" x14ac:dyDescent="0.25">
      <c r="A449" s="777"/>
      <c r="B449" s="1248"/>
      <c r="C449" s="164"/>
      <c r="D449" s="164"/>
      <c r="E449" s="164"/>
      <c r="F449" s="497" t="str">
        <f>Translations!$B$333</f>
        <v>Pakopa</v>
      </c>
      <c r="G449" s="1613" t="str">
        <f>Translations!$B$672</f>
        <v>pakopos aprašas</v>
      </c>
      <c r="H449" s="1613"/>
      <c r="I449" s="1608" t="str">
        <f>Translations!$B$158</f>
        <v>Vienetas</v>
      </c>
      <c r="J449" s="1608"/>
      <c r="K449" s="1608" t="str">
        <f>Translations!$B$673</f>
        <v>Vertė</v>
      </c>
      <c r="L449" s="1608"/>
      <c r="M449" s="498" t="str">
        <f>Translations!$B$610</f>
        <v>klaida</v>
      </c>
      <c r="O449" s="1305"/>
      <c r="P449" s="499"/>
      <c r="Q449" s="343" t="str">
        <f>EUconst_SumEnergyIN &amp; "_" &amp; K440</f>
        <v>SUM_EnergyIN_</v>
      </c>
      <c r="R449" s="390" t="str">
        <f>IF(OR(K440="",T441)=TRUE,"",INDEX(BC455:BE455,MATCH(K440,BC450:BE450,0)))</f>
        <v/>
      </c>
      <c r="S449" s="30"/>
      <c r="T449" s="480"/>
      <c r="U449" s="30"/>
      <c r="V449" s="500" t="s">
        <v>298</v>
      </c>
      <c r="W449" s="30"/>
      <c r="X449" s="30"/>
      <c r="Y449" s="485" t="s">
        <v>560</v>
      </c>
      <c r="Z449" s="485" t="s">
        <v>313</v>
      </c>
      <c r="AA449" s="30"/>
      <c r="AB449" s="30"/>
      <c r="AC449" s="496" t="s">
        <v>304</v>
      </c>
      <c r="AD449" s="30"/>
      <c r="AE449" s="30"/>
      <c r="AF449" s="483" t="s">
        <v>300</v>
      </c>
      <c r="AG449" s="483" t="s">
        <v>301</v>
      </c>
      <c r="AH449" s="485" t="s">
        <v>299</v>
      </c>
      <c r="AI449" s="495" t="s">
        <v>302</v>
      </c>
      <c r="AJ449" s="495" t="s">
        <v>561</v>
      </c>
      <c r="AK449" s="501" t="s">
        <v>306</v>
      </c>
      <c r="AL449" s="333"/>
      <c r="AM449" s="30"/>
      <c r="AN449" s="483" t="s">
        <v>300</v>
      </c>
      <c r="AO449" s="483" t="s">
        <v>301</v>
      </c>
      <c r="AP449" s="502" t="s">
        <v>305</v>
      </c>
      <c r="AQ449" s="495" t="s">
        <v>563</v>
      </c>
      <c r="AR449" s="495" t="s">
        <v>562</v>
      </c>
      <c r="AS449" s="501" t="s">
        <v>306</v>
      </c>
      <c r="AT449" s="501" t="s">
        <v>306</v>
      </c>
      <c r="AU449" s="30"/>
      <c r="AV449" s="483"/>
      <c r="AW449" s="483"/>
      <c r="AX449" s="483" t="s">
        <v>316</v>
      </c>
      <c r="AY449" s="483"/>
      <c r="AZ449" s="483"/>
      <c r="BA449" s="483"/>
      <c r="BB449" s="483"/>
      <c r="BC449" s="483"/>
      <c r="BD449" s="483"/>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484" t="s">
        <v>259</v>
      </c>
    </row>
    <row r="450" spans="1:78" s="140" customFormat="1" ht="12.75" customHeight="1" thickBot="1" x14ac:dyDescent="0.25">
      <c r="A450" s="777"/>
      <c r="B450" s="1248"/>
      <c r="C450" s="753" t="s">
        <v>194</v>
      </c>
      <c r="D450" s="503" t="str">
        <f>Translations!$B$622</f>
        <v>VD:</v>
      </c>
      <c r="E450" s="504"/>
      <c r="F450" s="393"/>
      <c r="G450" s="1603" t="str">
        <f>IF(OR(ISBLANK(F450),F450=EUconst_NoTier),"",IF(Z450=0,EUconst_NA,IF(ISERROR(Z450),"",Z450)))</f>
        <v/>
      </c>
      <c r="H450" s="1604"/>
      <c r="I450" s="1108" t="str">
        <f>IF(J450&lt;&gt;"","",AI450)</f>
        <v/>
      </c>
      <c r="J450" s="1109"/>
      <c r="K450" s="1116" t="str">
        <f>IF(L450="",AQ450,"")</f>
        <v/>
      </c>
      <c r="L450" s="1199"/>
      <c r="M450" s="700" t="str">
        <f>IF(AND(E441&lt;&gt;"",OR(F450="",COUNT(K450:L450)=0),Y450&lt;&gt;EUconst_NA,T441&lt;&gt;TRUE),EUconst_ERR_Incomplete,IF(COUNTIF(AX450:AZ450,TRUE)&gt;0,EUconst_ERR_Inconsistent,""))</f>
        <v/>
      </c>
      <c r="O450" s="1305"/>
      <c r="P450" s="635"/>
      <c r="Q450" s="343" t="str">
        <f>EUconst_SumBioEnergyIN &amp; "_" &amp; K440</f>
        <v>SUM_BioEnergyIN_</v>
      </c>
      <c r="R450" s="390" t="str">
        <f>IF(OR(K440="",T441)=TRUE,"",INDEX(BC456:BE456,MATCH(K440,BC450:BE450,0)))</f>
        <v/>
      </c>
      <c r="S450" s="30"/>
      <c r="T450" s="505" t="str">
        <f>EUconst_CNTR_ActivityData&amp;E441</f>
        <v>ActivityData_</v>
      </c>
      <c r="U450" s="488"/>
      <c r="V450" s="505" t="str">
        <f>IF(E440="","",INDEX(B_InstallationDescription!$I$71:$I$145,MATCH(U439,B_InstallationDescription!$D$71:$D$145,0)))</f>
        <v/>
      </c>
      <c r="W450" s="495" t="s">
        <v>533</v>
      </c>
      <c r="X450" s="488"/>
      <c r="Y450" s="506" t="str">
        <f>IF(OR(T441=TRUE,E441=""),"",INDEX(EUwideConstants!$N:$N,MATCH(T450,EUwideConstants!$Q:$Q,0)))</f>
        <v/>
      </c>
      <c r="Z450" s="507" t="str">
        <f>IF(ISBLANK(F450),"",IF(F450=EUconst_NA,"",INDEX(EUwideConstants!$H:$M,MATCH(T450,EUwideConstants!$Q:$Q,0),MATCH(F450,CNTR_TierList,0))))</f>
        <v/>
      </c>
      <c r="AA450" s="508" t="s">
        <v>299</v>
      </c>
      <c r="AB450" s="495"/>
      <c r="AC450" s="509" t="b">
        <f>AC445</f>
        <v>0</v>
      </c>
      <c r="AD450" s="30"/>
      <c r="AE450" s="510" t="str">
        <f>EUconst_CNTR_ActivityData&amp;EUconst_Unit</f>
        <v>ActivityData_Vienetas</v>
      </c>
      <c r="AF450" s="511" t="str">
        <f>IF(AC450=TRUE, IF(COUNTIF(MSPara_SourceStreamCategory,V450)=0,"",INDEX(MSPara_CalcFactorsMatrix,MATCH(V450,MSPara_SourceStreamCategory,0),MATCH(AE450&amp;"_"&amp;2,MSPara_CalcFactors,0))),"")</f>
        <v/>
      </c>
      <c r="AG450" s="512" t="str">
        <f>IF(AC450=TRUE, IF(COUNTIF(MSPara_SourceStreamCategory,V450)=0,"",INDEX(MSPara_CalcFactorsMatrix,MATCH(V450,MSPara_SourceStreamCategory,0),MATCH(AE450&amp;"_"&amp;1,MSPara_CalcFactors,0))),"")</f>
        <v/>
      </c>
      <c r="AH450" s="509" t="str">
        <f>IF(OR(AF450="",AF450=EUconst_NA),IF(OR(AG450=EUconst_NA,AG450=""),"",AG450),AF450)</f>
        <v/>
      </c>
      <c r="AI450" s="506" t="str">
        <f>IF(AC450=TRUE,IF(AH450="",EUconst_t,AH450),"")</f>
        <v/>
      </c>
      <c r="AJ450" s="513" t="str">
        <f>IF(J450="",AI450,J450)</f>
        <v/>
      </c>
      <c r="AK450" s="514" t="b">
        <f>IF(K440=EUconst_Fuel,J450&lt;&gt;"",FALSE)</f>
        <v>0</v>
      </c>
      <c r="AL450" s="333"/>
      <c r="AM450" s="505" t="str">
        <f>EUconst_CNTR_ActivityData&amp;EUconst_Value</f>
        <v>ActivityData_Vertė</v>
      </c>
      <c r="AN450" s="496"/>
      <c r="AO450" s="496"/>
      <c r="AP450" s="509" t="b">
        <f>AND(AND(AH450&lt;&gt;"",AJ450&lt;&gt;""),AJ450=AH450)</f>
        <v>0</v>
      </c>
      <c r="AQ450" s="610" t="str">
        <f>IF(L445=TRUE,SUM(F447)-SUM(H447)+SUM(J447)-SUM(L447),"")</f>
        <v/>
      </c>
      <c r="AR450" s="509">
        <f>IF(Y450=EUconst_NA,0,IF(COUNT(K450:L450)=0,0,IF(L450="",K450,L450)))</f>
        <v>0</v>
      </c>
      <c r="AS450" s="1115" t="b">
        <f>AND(AC450=TRUE,OR(L450&lt;&gt;"",AQ450=""))</f>
        <v>0</v>
      </c>
      <c r="AT450" s="1115" t="b">
        <f>AND(AC450=TRUE,NOT(AS450))</f>
        <v>0</v>
      </c>
      <c r="AU450" s="30"/>
      <c r="AV450" s="483" t="s">
        <v>309</v>
      </c>
      <c r="AW450" s="483" t="s">
        <v>314</v>
      </c>
      <c r="AX450" s="515"/>
      <c r="AY450" s="30" t="s">
        <v>536</v>
      </c>
      <c r="AZ450" s="30"/>
      <c r="BA450" s="30"/>
      <c r="BB450" s="495"/>
      <c r="BC450" s="484" t="str">
        <f>EUconst_Fuel</f>
        <v>Degimas</v>
      </c>
      <c r="BD450" s="484" t="str">
        <f>EUconst_ProcessCarbonate</f>
        <v>Proceso metu išsiskiriančios ŠESD</v>
      </c>
      <c r="BE450" s="484" t="str">
        <f>EUconst_MassBalance</f>
        <v>Masės balansas</v>
      </c>
      <c r="BF450" s="30"/>
      <c r="BG450" s="30"/>
      <c r="BH450" s="30"/>
      <c r="BI450" s="30"/>
      <c r="BJ450" s="30"/>
      <c r="BK450" s="30"/>
      <c r="BL450" s="30"/>
      <c r="BM450" s="30"/>
      <c r="BN450" s="30"/>
      <c r="BO450" s="30"/>
      <c r="BP450" s="30"/>
      <c r="BQ450" s="30"/>
      <c r="BR450" s="30"/>
      <c r="BS450" s="30"/>
      <c r="BT450" s="30"/>
      <c r="BU450" s="30"/>
      <c r="BV450" s="30"/>
      <c r="BW450" s="30"/>
      <c r="BX450" s="30"/>
      <c r="BY450" s="30"/>
      <c r="BZ450" s="515" t="b">
        <f>BZ445</f>
        <v>1</v>
      </c>
    </row>
    <row r="451" spans="1:78" s="140" customFormat="1" ht="5.0999999999999996" customHeight="1" thickBot="1" x14ac:dyDescent="0.25">
      <c r="A451" s="777"/>
      <c r="B451" s="1248"/>
      <c r="C451" s="783"/>
      <c r="D451" s="298"/>
      <c r="F451" s="141"/>
      <c r="G451" s="141"/>
      <c r="H451" s="141" t="s">
        <v>233</v>
      </c>
      <c r="I451" s="516"/>
      <c r="J451" s="516"/>
      <c r="K451" s="141"/>
      <c r="L451" s="141"/>
      <c r="M451" s="701"/>
      <c r="O451" s="1305"/>
      <c r="P451" s="33"/>
      <c r="Q451" s="33"/>
      <c r="R451" s="33"/>
      <c r="S451" s="30"/>
      <c r="T451" s="153"/>
      <c r="U451" s="488"/>
      <c r="V451" s="30"/>
      <c r="W451" s="30"/>
      <c r="X451" s="488"/>
      <c r="Y451" s="517"/>
      <c r="Z451" s="30"/>
      <c r="AA451" s="30"/>
      <c r="AB451" s="30"/>
      <c r="AC451" s="30"/>
      <c r="AD451" s="30"/>
      <c r="AE451" s="30"/>
      <c r="AF451" s="30"/>
      <c r="AG451" s="30"/>
      <c r="AH451" s="30"/>
      <c r="AI451" s="30"/>
      <c r="AJ451" s="30"/>
      <c r="AK451" s="30"/>
      <c r="AL451" s="333"/>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484"/>
    </row>
    <row r="452" spans="1:78" s="140" customFormat="1" ht="12.75" customHeight="1" thickBot="1" x14ac:dyDescent="0.25">
      <c r="A452" s="777"/>
      <c r="B452" s="1248"/>
      <c r="C452" s="783" t="s">
        <v>195</v>
      </c>
      <c r="D452" s="503" t="str">
        <f>Translations!$B$634</f>
        <v>(prelim.) ITF:</v>
      </c>
      <c r="E452" s="504"/>
      <c r="F452" s="518"/>
      <c r="G452" s="1603" t="str">
        <f t="shared" ref="G452:G458" si="98">IF(OR(ISBLANK(F452),F452=EUconst_NoTier),"",IF(Z452=0,EUconst_NotApplicable,IF(ISERROR(Z452),"",Z452)))</f>
        <v/>
      </c>
      <c r="H452" s="1609"/>
      <c r="I452" s="1110" t="str">
        <f>IF(J452&lt;&gt;"","",AI452)</f>
        <v/>
      </c>
      <c r="J452" s="1111"/>
      <c r="K452" s="519" t="str">
        <f t="shared" ref="K452:K458" si="99">IF(L452="",AQ452,"")</f>
        <v/>
      </c>
      <c r="L452" s="520"/>
      <c r="M452" s="700" t="str">
        <f>IF(AND(E441&lt;&gt;"",OR(F452="",COUNT(K452:L452)=0),Y452&lt;&gt;EUconst_NA,T441&lt;&gt;TRUE),EUconst_ERR_Incomplete,IF(COUNTIF(AX452:AZ452,TRUE)&gt;0,EUconst_ERR_Inconsistent,""))</f>
        <v/>
      </c>
      <c r="N452" s="486"/>
      <c r="O452" s="1305"/>
      <c r="P452" s="33"/>
      <c r="Q452" s="33"/>
      <c r="R452" s="33"/>
      <c r="S452" s="30"/>
      <c r="T452" s="521" t="str">
        <f>EUconst_CNTR_EF&amp;E441</f>
        <v>EF_</v>
      </c>
      <c r="U452" s="488"/>
      <c r="V452" s="522" t="str">
        <f>V450</f>
        <v/>
      </c>
      <c r="W452" s="30"/>
      <c r="X452" s="488"/>
      <c r="Y452" s="523" t="str">
        <f>IF(OR(T441=TRUE,E441=""),"",IF(F452=EUconst_NA,EUconst_NA,INDEX(EUwideConstants!$N:$N,MATCH(T452,EUwideConstants!$Q:$Q,0))))</f>
        <v/>
      </c>
      <c r="Z452" s="524" t="str">
        <f>IF(ISBLANK(F452),"",IF(F452=EUconst_NA,"",INDEX(EUwideConstants!$H:$M,MATCH(T452,EUwideConstants!$Q:$Q,0),MATCH(F452,CNTR_TierList,0))))</f>
        <v/>
      </c>
      <c r="AA452" s="525" t="str">
        <f>IF(COUNTIF(EUconst_DefaultValues,Z452)&gt;0,MATCH(Z452,EUconst_DefaultValues,0),"")</f>
        <v/>
      </c>
      <c r="AB452" s="30"/>
      <c r="AC452" s="526" t="b">
        <f>AND(AC450,Y452&lt;&gt;EUconst_NA)</f>
        <v>0</v>
      </c>
      <c r="AD452" s="30"/>
      <c r="AE452" s="510" t="str">
        <f>EUconst_CNTR_EF&amp;EUconst_Unit</f>
        <v>EF_Vienetas</v>
      </c>
      <c r="AF452" s="527" t="str">
        <f>IF(AC452=TRUE, IF(COUNTIF(MSPara_SourceStreamCategory,V452)=0,"",INDEX(MSPara_CalcFactorsMatrix,MATCH(V452,MSPara_SourceStreamCategory,0),MATCH(AE452&amp;"_"&amp;2,MSPara_CalcFactors,0))),"")</f>
        <v/>
      </c>
      <c r="AG452" s="528" t="str">
        <f>IF(AC452=TRUE, IF(COUNTIF(MSPara_SourceStreamCategory,V452)=0,"",INDEX(MSPara_CalcFactorsMatrix,MATCH(V452,MSPara_SourceStreamCategory,0),MATCH(AE452&amp;"_"&amp;1,MSPara_CalcFactors,0))),"")</f>
        <v/>
      </c>
      <c r="AH452" s="529" t="str">
        <f>IF(AA452="","",INDEX(AF452:AG452,3-AA452))</f>
        <v/>
      </c>
      <c r="AI452" s="530" t="str">
        <f>IF(AC452=TRUE,IF(OR(AH452="",AH452=EUconst_NA),IF(K440=EUconst_Fuel,EUconst_tCO2pTJ,EUconst_tCO2pt),AH452),"")</f>
        <v/>
      </c>
      <c r="AJ452" s="526" t="str">
        <f>IF(J452="",AI452,J452)</f>
        <v/>
      </c>
      <c r="AK452" s="531" t="b">
        <f>IF(K440=EUconst_Fuel,J452&lt;&gt;"",FALSE)</f>
        <v>0</v>
      </c>
      <c r="AL452" s="333"/>
      <c r="AM452" s="510" t="str">
        <f>EUconst_CNTR_EF&amp;EUconst_Value</f>
        <v>EF_Vertė</v>
      </c>
      <c r="AN452" s="532" t="str">
        <f>IF(AC452=TRUE,IF(COUNTIF(MSPara_SourceStreamCategory,V452)=0,"",INDEX(MSPara_CalcFactorsMatrix,MATCH(V452,MSPara_SourceStreamCategory,0),MATCH(AM452&amp;"_"&amp;2,MSPara_CalcFactors,0))),"")</f>
        <v/>
      </c>
      <c r="AO452" s="533" t="str">
        <f>IF(AC452=TRUE,IF(COUNTIF(MSPara_SourceStreamCategory,V452)=0,"",INDEX(MSPara_CalcFactorsMatrix,MATCH(V452,MSPara_SourceStreamCategory,0),MATCH(AM452&amp;"_"&amp;1,MSPara_CalcFactors,0))),"")</f>
        <v/>
      </c>
      <c r="AP452" s="526" t="b">
        <f>AND(AND(AH452&lt;&gt;"",AJ452&lt;&gt;""),AJ452=AH452)</f>
        <v>0</v>
      </c>
      <c r="AQ452" s="534" t="str">
        <f>IF(AND(AA452&lt;&gt;"",AP452=TRUE),IF(OR(INDEX(AN452:AO452,3-AA452)=EUconst_NA,INDEX(AN452:AO452,3-AA452)=0),"",INDEX(AN452:AO452,3-AA452)),"")</f>
        <v/>
      </c>
      <c r="AR452" s="526">
        <f>IF(AC452=TRUE,IF(COUNT(K452:L452)=0,0,IF(L452="",K452,L452)),0)</f>
        <v>0</v>
      </c>
      <c r="AS452" s="522" t="b">
        <f>AND(AC452=TRUE,OR(AND(F452&lt;&gt;"",NOT(ISNUMBER(AA452))),L452&lt;&gt;"",F452="",AQ452=""))</f>
        <v>0</v>
      </c>
      <c r="AT452" s="522" t="b">
        <f t="shared" ref="AT452:AT458" si="100">AND(AC452=TRUE,NOT(AS452))</f>
        <v>0</v>
      </c>
      <c r="AU452" s="30"/>
      <c r="AV452" s="535" t="b">
        <f t="shared" ref="AV452:AV458" si="101">AND(ISNUMBER(AA452),AQ452="")</f>
        <v>0</v>
      </c>
      <c r="AW452" s="536" t="b">
        <f t="shared" ref="AW452:AW458" si="102">AND(ISNUMBER(AA452),AQ452&lt;&gt;AR452)</f>
        <v>0</v>
      </c>
      <c r="AX452" s="537" t="b">
        <f>OR(AND(AJ450=EUconst_kNm3,AJ452=EUconst_tCO2pt),AND(AJ450=EUconst_t,AJ452=EUconst_tCO2pkNm3))</f>
        <v>0</v>
      </c>
      <c r="AY452" s="522" t="b">
        <f t="shared" ref="AY452:AY458" si="103">AND(L452&lt;&gt;"",Y452=EUconst_NA)</f>
        <v>0</v>
      </c>
      <c r="AZ452" s="30"/>
      <c r="BA452" s="30"/>
      <c r="BB452" s="538" t="s">
        <v>588</v>
      </c>
      <c r="BC452" s="537" t="str">
        <f>IF(K440=BC450,AR450*IF(AJ452=EUconst_tCO2pTJ,(AR453/1000),1)*AR452*AR454*AR458,"")</f>
        <v/>
      </c>
      <c r="BD452" s="515" t="str">
        <f>IF(K440=BD450,AR450*AR452*AR455*AR458,"")</f>
        <v/>
      </c>
      <c r="BE452" s="514" t="str">
        <f>IF(K440=BE450,3.664*AR450*AR456*AR458,"")</f>
        <v/>
      </c>
      <c r="BF452" s="30"/>
      <c r="BG452" s="30"/>
      <c r="BH452" s="30"/>
      <c r="BI452" s="30"/>
      <c r="BJ452" s="30"/>
      <c r="BK452" s="30"/>
      <c r="BL452" s="30"/>
      <c r="BM452" s="30"/>
      <c r="BN452" s="30"/>
      <c r="BO452" s="30"/>
      <c r="BP452" s="30"/>
      <c r="BQ452" s="30"/>
      <c r="BR452" s="30"/>
      <c r="BS452" s="30"/>
      <c r="BT452" s="30"/>
      <c r="BU452" s="30"/>
      <c r="BV452" s="30"/>
      <c r="BW452" s="30"/>
      <c r="BX452" s="30"/>
      <c r="BY452" s="30"/>
      <c r="BZ452" s="522" t="b">
        <f>OR(BZ450,Y452=EUconst_NA)</f>
        <v>1</v>
      </c>
    </row>
    <row r="453" spans="1:78" s="140" customFormat="1" ht="12.75" customHeight="1" thickBot="1" x14ac:dyDescent="0.25">
      <c r="A453" s="777"/>
      <c r="B453" s="1248"/>
      <c r="C453" s="783" t="s">
        <v>196</v>
      </c>
      <c r="D453" s="503" t="str">
        <f>Translations!$B$636</f>
        <v>GŠV:</v>
      </c>
      <c r="E453" s="504"/>
      <c r="F453" s="539"/>
      <c r="G453" s="1603" t="str">
        <f t="shared" si="98"/>
        <v/>
      </c>
      <c r="H453" s="1604"/>
      <c r="I453" s="1112" t="str">
        <f>AJ453</f>
        <v/>
      </c>
      <c r="J453" s="540"/>
      <c r="K453" s="541" t="str">
        <f t="shared" si="99"/>
        <v/>
      </c>
      <c r="L453" s="542"/>
      <c r="M453" s="700" t="str">
        <f>IF(AND(E441&lt;&gt;"",OR(F453="",COUNT(K453:L453)=0),Y453&lt;&gt;EUconst_NA,T441&lt;&gt;TRUE),EUconst_ERR_Incomplete,IF(COUNTIF(AX453:AZ453,TRUE)&gt;0,EUconst_ERR_Inconsistent,""))</f>
        <v/>
      </c>
      <c r="O453" s="1305"/>
      <c r="P453" s="33"/>
      <c r="Q453" s="33"/>
      <c r="R453" s="33"/>
      <c r="S453" s="30"/>
      <c r="T453" s="543" t="str">
        <f>EUconst_CNTR_NCV&amp;E441</f>
        <v>NCV_</v>
      </c>
      <c r="U453" s="488"/>
      <c r="V453" s="544" t="str">
        <f t="shared" ref="V453:V458" si="104">V452</f>
        <v/>
      </c>
      <c r="W453" s="30"/>
      <c r="X453" s="488"/>
      <c r="Y453" s="545" t="str">
        <f>IF(OR(T441=TRUE,E441=""),"",IF(F453=EUconst_NA,EUconst_NA,INDEX(EUwideConstants!$N:$N,MATCH(T453,EUwideConstants!$Q:$Q,0))))</f>
        <v/>
      </c>
      <c r="Z453" s="546" t="str">
        <f>IF(ISBLANK(F453),"",IF(F453=EUconst_NA,"",INDEX(EUwideConstants!$H:$M,MATCH(T453,EUwideConstants!$Q:$Q,0),MATCH(F453,CNTR_TierList,0))))</f>
        <v/>
      </c>
      <c r="AA453" s="547" t="str">
        <f>IF(COUNTIF(EUconst_DefaultValues,Z453)&gt;0,MATCH(Z453,EUconst_DefaultValues,0),"")</f>
        <v/>
      </c>
      <c r="AB453" s="30"/>
      <c r="AC453" s="548" t="b">
        <f>AND(AC450,Y453&lt;&gt;EUconst_NA)</f>
        <v>0</v>
      </c>
      <c r="AD453" s="30"/>
      <c r="AE453" s="549" t="str">
        <f>EUconst_CNTR_NCV&amp;EUconst_Unit</f>
        <v>NCV_Vienetas</v>
      </c>
      <c r="AF453" s="550" t="str">
        <f>IF(AC453=TRUE, IF(COUNTIF(MSPara_SourceStreamCategory,V453)=0,"",INDEX(MSPara_CalcFactorsMatrix,MATCH(V453,MSPara_SourceStreamCategory,0),MATCH(AE453&amp;"_"&amp;2,MSPara_CalcFactors,0))),"")</f>
        <v/>
      </c>
      <c r="AG453" s="551" t="str">
        <f>IF(AC453=TRUE, IF(COUNTIF(MSPara_SourceStreamCategory,V453)=0,"",INDEX(MSPara_CalcFactorsMatrix,MATCH(V453,MSPara_SourceStreamCategory,0),MATCH(AE453&amp;"_"&amp;1,MSPara_CalcFactors,0))),"")</f>
        <v/>
      </c>
      <c r="AH453" s="552" t="str">
        <f>IF(AA453="","",INDEX(AF453:AG453,3-AA453))</f>
        <v/>
      </c>
      <c r="AI453" s="553"/>
      <c r="AJ453" s="548" t="str">
        <f>IF(AC453=TRUE,IF(AJ450="","",IF(AJ450=EUconst_kNm3,EUconst_GJpkNm3,EUconst_GJpt)),"")</f>
        <v/>
      </c>
      <c r="AK453" s="554"/>
      <c r="AL453" s="333"/>
      <c r="AM453" s="549" t="str">
        <f>EUconst_CNTR_NCV&amp;EUconst_Value</f>
        <v>NCV_Vertė</v>
      </c>
      <c r="AN453" s="555" t="str">
        <f>IF(AC453=TRUE,IF(COUNTIF(MSPara_SourceStreamCategory,V453)=0,"",INDEX(MSPara_CalcFactorsMatrix,MATCH(V453,MSPara_SourceStreamCategory,0),MATCH(AM453&amp;"_"&amp;2,MSPara_CalcFactors,0))),"")</f>
        <v/>
      </c>
      <c r="AO453" s="556" t="str">
        <f>IF(AC453=TRUE,IF(COUNTIF(MSPara_SourceStreamCategory,V453)=0,"",INDEX(MSPara_CalcFactorsMatrix,MATCH(V453,MSPara_SourceStreamCategory,0),MATCH(AM453&amp;"_"&amp;1,MSPara_CalcFactors,0))),"")</f>
        <v/>
      </c>
      <c r="AP453" s="548" t="b">
        <f>AND(AND(AH453&lt;&gt;"",AJ453&lt;&gt;""),AJ453=AH453)</f>
        <v>0</v>
      </c>
      <c r="AQ453" s="557" t="str">
        <f>IF(AND(AA453&lt;&gt;"",AP453=TRUE),IF(OR(INDEX(AN453:AO453,3-AA453)=EUconst_NA,INDEX(AN453:AO453,3-AA453)=0),"",INDEX(AN453:AO453,3-AA453)),"")</f>
        <v/>
      </c>
      <c r="AR453" s="548">
        <f>IF(AC453=TRUE,IF(COUNT(K453:L453)=0,0,IF(L453="",K453,L453)),0)</f>
        <v>0</v>
      </c>
      <c r="AS453" s="544" t="b">
        <f>AND(AC453=TRUE,OR(AND(F453&lt;&gt;"",NOT(ISNUMBER(AA453))),L453&lt;&gt;"",F453="",AQ453=""))</f>
        <v>0</v>
      </c>
      <c r="AT453" s="544" t="b">
        <f t="shared" si="100"/>
        <v>0</v>
      </c>
      <c r="AU453" s="30"/>
      <c r="AV453" s="558" t="b">
        <f t="shared" si="101"/>
        <v>0</v>
      </c>
      <c r="AW453" s="559" t="b">
        <f t="shared" si="102"/>
        <v>0</v>
      </c>
      <c r="AX453" s="30"/>
      <c r="AY453" s="544" t="b">
        <f t="shared" si="103"/>
        <v>0</v>
      </c>
      <c r="AZ453" s="30"/>
      <c r="BA453" s="30"/>
      <c r="BB453" s="538" t="s">
        <v>589</v>
      </c>
      <c r="BC453" s="537" t="str">
        <f>IF(K440=BC450,AR450*IF(AJ452=EUconst_tCO2pTJ,(AR453/1000),1)*AR452*AR454*AR457,"")</f>
        <v/>
      </c>
      <c r="BD453" s="515" t="str">
        <f>IF(K440=BD450,AR450*AR452*AR455*AR457,"")</f>
        <v/>
      </c>
      <c r="BE453" s="514" t="str">
        <f>IF(K440=BE450,3.664*AR450*AR456*AR457,"")</f>
        <v/>
      </c>
      <c r="BF453" s="30"/>
      <c r="BG453" s="30"/>
      <c r="BH453" s="30"/>
      <c r="BI453" s="30"/>
      <c r="BJ453" s="30"/>
      <c r="BK453" s="30"/>
      <c r="BL453" s="30"/>
      <c r="BM453" s="30"/>
      <c r="BN453" s="30"/>
      <c r="BO453" s="30"/>
      <c r="BP453" s="30"/>
      <c r="BQ453" s="30"/>
      <c r="BR453" s="30"/>
      <c r="BS453" s="30"/>
      <c r="BT453" s="30"/>
      <c r="BU453" s="30"/>
      <c r="BV453" s="30"/>
      <c r="BW453" s="30"/>
      <c r="BX453" s="30"/>
      <c r="BY453" s="30"/>
      <c r="BZ453" s="544" t="b">
        <f>OR(BZ450,Y453=EUconst_NA)</f>
        <v>1</v>
      </c>
    </row>
    <row r="454" spans="1:78" s="140" customFormat="1" ht="12.75" customHeight="1" thickBot="1" x14ac:dyDescent="0.25">
      <c r="A454" s="777"/>
      <c r="B454" s="1248"/>
      <c r="C454" s="783" t="s">
        <v>197</v>
      </c>
      <c r="D454" s="503" t="str">
        <f>Translations!$B$638</f>
        <v>Oksidacijos koef.:</v>
      </c>
      <c r="E454" s="504"/>
      <c r="F454" s="539"/>
      <c r="G454" s="1603" t="str">
        <f t="shared" si="98"/>
        <v/>
      </c>
      <c r="H454" s="1604"/>
      <c r="I454" s="1113" t="str">
        <f>IF(OR(AC454=FALSE,Y454=EUconst_NA),"","-")</f>
        <v/>
      </c>
      <c r="J454" s="560"/>
      <c r="K454" s="561" t="str">
        <f t="shared" si="99"/>
        <v/>
      </c>
      <c r="L454" s="694"/>
      <c r="M454" s="700" t="str">
        <f>IF(AND(E441&lt;&gt;"",OR(F454="",COUNT(K454:L454)=0),Y454&lt;&gt;EUconst_NA,T441&lt;&gt;TRUE),EUconst_ERR_Incomplete,IF(COUNTIF(AX454:AZ454,TRUE)&gt;0,EUconst_ERR_Inconsistent,""))</f>
        <v/>
      </c>
      <c r="O454" s="1305"/>
      <c r="P454" s="33"/>
      <c r="Q454" s="33"/>
      <c r="R454" s="33"/>
      <c r="S454" s="30"/>
      <c r="T454" s="543" t="str">
        <f>EUconst_CNTR_OxidationFactor&amp;E441</f>
        <v>OxF_</v>
      </c>
      <c r="U454" s="488"/>
      <c r="V454" s="544" t="str">
        <f t="shared" si="104"/>
        <v/>
      </c>
      <c r="W454" s="30"/>
      <c r="X454" s="488"/>
      <c r="Y454" s="545" t="str">
        <f>IF(OR(T441=TRUE,E441=""),"",INDEX(EUwideConstants!$N:$N,MATCH(T454,EUwideConstants!$Q:$Q,0)))</f>
        <v/>
      </c>
      <c r="Z454" s="546" t="str">
        <f>IF(ISBLANK(F454),"",IF(F454=EUconst_NA,"",INDEX(EUwideConstants!$H:$M,MATCH(T454,EUwideConstants!$Q:$Q,0),MATCH(F454,CNTR_TierList,0))))</f>
        <v/>
      </c>
      <c r="AA454" s="525" t="str">
        <f>IF(F454=1,1,"")</f>
        <v/>
      </c>
      <c r="AB454" s="30"/>
      <c r="AC454" s="548" t="b">
        <f>AND(AC450,Y454&lt;&gt;EUconst_NA)</f>
        <v>0</v>
      </c>
      <c r="AD454" s="30"/>
      <c r="AE454" s="563"/>
      <c r="AG454" s="564"/>
      <c r="AH454" s="553"/>
      <c r="AI454" s="565"/>
      <c r="AJ454" s="553"/>
      <c r="AK454" s="566"/>
      <c r="AL454" s="333"/>
      <c r="AM454" s="549" t="str">
        <f>EUconst_CNTR_OxidationFactor&amp;EUconst_Value</f>
        <v>OxF_Vertė</v>
      </c>
      <c r="AN454" s="567"/>
      <c r="AO454" s="525">
        <v>1</v>
      </c>
      <c r="AP454" s="553"/>
      <c r="AQ454" s="568" t="str">
        <f>IF(AA454="","",AO454)</f>
        <v/>
      </c>
      <c r="AR454" s="548">
        <f>IF(AC454=TRUE,IF(COUNT(K454:L454)=0,0,IF(L454="",K454,L454)),1)</f>
        <v>1</v>
      </c>
      <c r="AS454" s="544" t="b">
        <f>AND(AC454=TRUE,OR(ISNUMBER(L454),NOT(ISNUMBER(AA454))))</f>
        <v>0</v>
      </c>
      <c r="AT454" s="544" t="b">
        <f t="shared" si="100"/>
        <v>0</v>
      </c>
      <c r="AU454" s="30"/>
      <c r="AV454" s="558" t="b">
        <f t="shared" si="101"/>
        <v>0</v>
      </c>
      <c r="AW454" s="559" t="b">
        <f t="shared" si="102"/>
        <v>0</v>
      </c>
      <c r="AX454" s="30"/>
      <c r="AY454" s="585" t="b">
        <f t="shared" si="103"/>
        <v>0</v>
      </c>
      <c r="AZ454" s="522" t="b">
        <f>AR454&gt;100%</f>
        <v>0</v>
      </c>
      <c r="BA454" s="30"/>
      <c r="BB454" s="538" t="s">
        <v>287</v>
      </c>
      <c r="BC454" s="537" t="str">
        <f>IF(K440=BC450,AR450*IF(AJ452=EUconst_tCO2pTJ,(AR453/1000),1)*AR452*AR454*(1-AR457),"")</f>
        <v/>
      </c>
      <c r="BD454" s="515" t="str">
        <f>IF(K440=BD450,AR450*AR452*AR455*(1-AR457),"")</f>
        <v/>
      </c>
      <c r="BE454" s="514" t="str">
        <f>IF(K440=BE450,3.664*AR450*AR456*(1-AR457),"")</f>
        <v/>
      </c>
      <c r="BF454" s="30"/>
      <c r="BG454" s="30"/>
      <c r="BH454" s="30"/>
      <c r="BI454" s="30"/>
      <c r="BJ454" s="30"/>
      <c r="BK454" s="30"/>
      <c r="BL454" s="30"/>
      <c r="BM454" s="30"/>
      <c r="BN454" s="30"/>
      <c r="BO454" s="30"/>
      <c r="BP454" s="30"/>
      <c r="BQ454" s="30"/>
      <c r="BR454" s="30"/>
      <c r="BS454" s="30"/>
      <c r="BT454" s="30"/>
      <c r="BU454" s="30"/>
      <c r="BV454" s="30"/>
      <c r="BW454" s="30"/>
      <c r="BX454" s="30"/>
      <c r="BY454" s="30"/>
      <c r="BZ454" s="544" t="b">
        <f>OR(BZ450,Y454=EUconst_NA)</f>
        <v>1</v>
      </c>
    </row>
    <row r="455" spans="1:78" s="140" customFormat="1" ht="12.75" customHeight="1" thickBot="1" x14ac:dyDescent="0.25">
      <c r="A455" s="777"/>
      <c r="B455" s="1248"/>
      <c r="C455" s="783" t="s">
        <v>198</v>
      </c>
      <c r="D455" s="503" t="str">
        <f>Translations!$B$639</f>
        <v>Konversijos koef.:</v>
      </c>
      <c r="E455" s="504"/>
      <c r="F455" s="539"/>
      <c r="G455" s="1603" t="str">
        <f t="shared" si="98"/>
        <v/>
      </c>
      <c r="H455" s="1604"/>
      <c r="I455" s="1113" t="str">
        <f>IF(OR(AC455=FALSE,Y455=EUconst_NA),"","-")</f>
        <v/>
      </c>
      <c r="J455" s="560"/>
      <c r="K455" s="561" t="str">
        <f t="shared" si="99"/>
        <v/>
      </c>
      <c r="L455" s="694"/>
      <c r="M455" s="700" t="str">
        <f>IF(AND(E441&lt;&gt;"",OR(F455="",COUNT(K455:L455)=0),Y455&lt;&gt;EUconst_NA,T441&lt;&gt;TRUE),EUconst_ERR_Incomplete,IF(COUNTIF(AX455:AZ455,TRUE)&gt;0,EUconst_ERR_Inconsistent,""))</f>
        <v/>
      </c>
      <c r="O455" s="1305"/>
      <c r="P455" s="33"/>
      <c r="Q455" s="33"/>
      <c r="R455" s="33"/>
      <c r="S455" s="30"/>
      <c r="T455" s="543" t="str">
        <f>EUconst_CNTR_ConversionFactor&amp;E441</f>
        <v>ConvF_</v>
      </c>
      <c r="U455" s="488"/>
      <c r="V455" s="544" t="str">
        <f t="shared" si="104"/>
        <v/>
      </c>
      <c r="W455" s="30"/>
      <c r="X455" s="488"/>
      <c r="Y455" s="545" t="str">
        <f>IF(OR(T441=TRUE,E441=""),"",INDEX(EUwideConstants!$N:$N,MATCH(T455,EUwideConstants!$Q:$Q,0)))</f>
        <v/>
      </c>
      <c r="Z455" s="546" t="str">
        <f>IF(ISBLANK(F455),"",IF(F455=EUconst_NA,"",INDEX(EUwideConstants!$H:$M,MATCH(T455,EUwideConstants!$Q:$Q,0),MATCH(F455,CNTR_TierList,0))))</f>
        <v/>
      </c>
      <c r="AA455" s="573" t="str">
        <f>IF(F455=1,1,"")</f>
        <v/>
      </c>
      <c r="AB455" s="30"/>
      <c r="AC455" s="548" t="b">
        <f>AND(AC450,Y455&lt;&gt;EUconst_NA)</f>
        <v>0</v>
      </c>
      <c r="AD455" s="30"/>
      <c r="AE455" s="563"/>
      <c r="AG455" s="564"/>
      <c r="AH455" s="574"/>
      <c r="AI455" s="565"/>
      <c r="AJ455" s="574"/>
      <c r="AK455" s="566"/>
      <c r="AL455" s="333"/>
      <c r="AM455" s="549" t="str">
        <f>EUconst_CNTR_ConversionFactor&amp;EUconst_Value</f>
        <v>ConvF_Vertė</v>
      </c>
      <c r="AN455" s="575"/>
      <c r="AO455" s="573">
        <v>1</v>
      </c>
      <c r="AP455" s="574"/>
      <c r="AQ455" s="576" t="str">
        <f>IF(AA455="","",AO455)</f>
        <v/>
      </c>
      <c r="AR455" s="548">
        <f>IF(AC455=TRUE,IF(COUNT(K455:L455)=0,0,IF(L455="",K455,L455)),1)</f>
        <v>1</v>
      </c>
      <c r="AS455" s="544" t="b">
        <f>AND(AC455=TRUE,OR(ISNUMBER(L455),NOT(ISNUMBER(AA455))))</f>
        <v>0</v>
      </c>
      <c r="AT455" s="544" t="b">
        <f t="shared" si="100"/>
        <v>0</v>
      </c>
      <c r="AU455" s="30"/>
      <c r="AV455" s="558" t="b">
        <f t="shared" si="101"/>
        <v>0</v>
      </c>
      <c r="AW455" s="559" t="b">
        <f t="shared" si="102"/>
        <v>0</v>
      </c>
      <c r="AX455" s="30"/>
      <c r="AY455" s="585" t="b">
        <f t="shared" si="103"/>
        <v>0</v>
      </c>
      <c r="AZ455" s="571" t="b">
        <f>AR455&gt;100%</f>
        <v>0</v>
      </c>
      <c r="BA455" s="30"/>
      <c r="BB455" s="569" t="s">
        <v>481</v>
      </c>
      <c r="BC455" s="570">
        <f>AR450*AR453/1000*(1-AR457)</f>
        <v>0</v>
      </c>
      <c r="BD455" s="571">
        <f>BC455</f>
        <v>0</v>
      </c>
      <c r="BE455" s="572">
        <f>BC455</f>
        <v>0</v>
      </c>
      <c r="BF455" s="30"/>
      <c r="BG455" s="30"/>
      <c r="BH455" s="30"/>
      <c r="BI455" s="30"/>
      <c r="BJ455" s="30"/>
      <c r="BK455" s="30"/>
      <c r="BL455" s="30"/>
      <c r="BM455" s="30"/>
      <c r="BN455" s="30"/>
      <c r="BO455" s="30"/>
      <c r="BP455" s="30"/>
      <c r="BQ455" s="30"/>
      <c r="BR455" s="30"/>
      <c r="BS455" s="30"/>
      <c r="BT455" s="30"/>
      <c r="BU455" s="30"/>
      <c r="BV455" s="30"/>
      <c r="BW455" s="30"/>
      <c r="BX455" s="30"/>
      <c r="BY455" s="30"/>
      <c r="BZ455" s="544" t="b">
        <f>OR(BZ450,Y455=EUconst_NA)</f>
        <v>1</v>
      </c>
    </row>
    <row r="456" spans="1:78" s="140" customFormat="1" ht="12.75" customHeight="1" thickBot="1" x14ac:dyDescent="0.25">
      <c r="A456" s="777"/>
      <c r="B456" s="1248"/>
      <c r="C456" s="783" t="s">
        <v>324</v>
      </c>
      <c r="D456" s="503" t="str">
        <f>Translations!$B$640</f>
        <v>Anglies kiekis (C):</v>
      </c>
      <c r="E456" s="504"/>
      <c r="F456" s="539"/>
      <c r="G456" s="1603" t="str">
        <f t="shared" si="98"/>
        <v/>
      </c>
      <c r="H456" s="1604"/>
      <c r="I456" s="1113" t="str">
        <f>AJ456</f>
        <v/>
      </c>
      <c r="J456" s="577"/>
      <c r="K456" s="578" t="str">
        <f t="shared" si="99"/>
        <v/>
      </c>
      <c r="L456" s="579"/>
      <c r="M456" s="700" t="str">
        <f>IF(AND(E441&lt;&gt;"",OR(F456="",COUNT(K456:L456)=0),Y456&lt;&gt;EUconst_NA,T441&lt;&gt;TRUE),EUconst_ERR_Incomplete,IF(COUNTIF(AX456:AZ456,TRUE)&gt;0,EUconst_ERR_Inconsistent,""))</f>
        <v/>
      </c>
      <c r="O456" s="1305"/>
      <c r="P456" s="33"/>
      <c r="Q456" s="33"/>
      <c r="R456" s="33"/>
      <c r="S456" s="30"/>
      <c r="T456" s="543" t="str">
        <f>EUconst_CNTR_CarbonContent&amp;E441</f>
        <v>CarbC_</v>
      </c>
      <c r="U456" s="488"/>
      <c r="V456" s="544" t="str">
        <f t="shared" si="104"/>
        <v/>
      </c>
      <c r="W456" s="30"/>
      <c r="X456" s="488"/>
      <c r="Y456" s="545" t="str">
        <f>IF(OR(T441=TRUE,E441=""),"",INDEX(EUwideConstants!$N:$N,MATCH(T456,EUwideConstants!$Q:$Q,0)))</f>
        <v/>
      </c>
      <c r="Z456" s="546" t="str">
        <f>IF(ISBLANK(F456),"",IF(F456=EUconst_NA,"",INDEX(EUwideConstants!$H:$M,MATCH(T456,EUwideConstants!$Q:$Q,0),MATCH(F456,CNTR_TierList,0))))</f>
        <v/>
      </c>
      <c r="AA456" s="580" t="str">
        <f>IF(COUNTIF(EUconst_DefaultValues,Z456)&gt;0,MATCH(Z456,EUconst_DefaultValues,0),"")</f>
        <v/>
      </c>
      <c r="AB456" s="30"/>
      <c r="AC456" s="548" t="b">
        <f>AND(AC450,Y456&lt;&gt;EUconst_NA)</f>
        <v>0</v>
      </c>
      <c r="AD456" s="30"/>
      <c r="AE456" s="549" t="str">
        <f>EUconst_CNTR_CarbonContent&amp;EUconst_Unit</f>
        <v>CarbC_Vienetas</v>
      </c>
      <c r="AF456" s="550" t="str">
        <f>IF(AC456=TRUE, IF(COUNTIF(MSPara_SourceStreamCategory,V456)=0,"",INDEX(MSPara_CalcFactorsMatrix,MATCH(V456,MSPara_SourceStreamCategory,0),MATCH(AE456&amp;"_"&amp;2,MSPara_CalcFactors,0))),"")</f>
        <v/>
      </c>
      <c r="AG456" s="551" t="str">
        <f>IF(AC456=TRUE, IF(COUNTIF(MSPara_SourceStreamCategory,V456)=0,"",INDEX(MSPara_CalcFactorsMatrix,MATCH(V456,MSPara_SourceStreamCategory,0),MATCH(AE456&amp;"_"&amp;1,MSPara_CalcFactors,0))),"")</f>
        <v/>
      </c>
      <c r="AH456" s="581" t="str">
        <f>IF(AA456="","",INDEX(AF456:AG456,3-AA456))</f>
        <v/>
      </c>
      <c r="AI456" s="565"/>
      <c r="AJ456" s="582" t="str">
        <f>IF(AC456=TRUE,IF(AJ450="","",IF(AJ450=EUconst_kNm3,EUconst_tCpkNm3,EUconst_tCpt)),"")</f>
        <v/>
      </c>
      <c r="AK456" s="566"/>
      <c r="AL456" s="333"/>
      <c r="AM456" s="549" t="str">
        <f>EUconst_CNTR_CarbonContent&amp;EUconst_Value</f>
        <v>CarbC_Vertė</v>
      </c>
      <c r="AN456" s="555" t="str">
        <f>IF(AC456=TRUE,IF(COUNTIF(MSPara_SourceStreamCategory,V456)=0,"",INDEX(MSPara_CalcFactorsMatrix,MATCH(V456,MSPara_SourceStreamCategory,0),MATCH(AM456&amp;"_"&amp;2,MSPara_CalcFactors,0))),"")</f>
        <v/>
      </c>
      <c r="AO456" s="583" t="str">
        <f>IF(AC456=TRUE,IF(COUNTIF(MSPara_SourceStreamCategory,V456)=0,"",INDEX(MSPara_CalcFactorsMatrix,MATCH(V456,MSPara_SourceStreamCategory,0),MATCH(AM456&amp;"_"&amp;1,MSPara_CalcFactors,0))),"")</f>
        <v/>
      </c>
      <c r="AP456" s="548" t="b">
        <f>AND(AND(AH456&lt;&gt;"",AJ456&lt;&gt;""),AJ456=AH456)</f>
        <v>0</v>
      </c>
      <c r="AQ456" s="584" t="str">
        <f>IF(AND(AA456&lt;&gt;"",AP456=TRUE),IF(OR(INDEX(AN456:AO456,3-AA456)=EUconst_NA,INDEX(AN456:AO456,3-AA456)=0),"",INDEX(AN456:AO456,3-AA456)),"")</f>
        <v/>
      </c>
      <c r="AR456" s="548">
        <f>IF(AC456=TRUE,IF(COUNT(K456:L456)=0,0,IF(L456="",K456,L456)),0)</f>
        <v>0</v>
      </c>
      <c r="AS456" s="544" t="b">
        <f>AND(AC456=TRUE,OR(AND(F456&lt;&gt;"",NOT(ISNUMBER(AA456))),L456&lt;&gt;"",F456="",AQ456=""))</f>
        <v>0</v>
      </c>
      <c r="AT456" s="544" t="b">
        <f t="shared" si="100"/>
        <v>0</v>
      </c>
      <c r="AU456" s="30"/>
      <c r="AV456" s="558" t="b">
        <f t="shared" si="101"/>
        <v>0</v>
      </c>
      <c r="AW456" s="559" t="b">
        <f t="shared" si="102"/>
        <v>0</v>
      </c>
      <c r="AX456" s="537" t="b">
        <f>OR(AND(AJ450=EUconst_kNm3,AJ456=EUconst_tCpt),AND(AJ450=EUconst_t,AJ456=EUconst_tCpkNm3))</f>
        <v>0</v>
      </c>
      <c r="AY456" s="544" t="b">
        <f t="shared" si="103"/>
        <v>0</v>
      </c>
      <c r="AZ456" s="30"/>
      <c r="BA456" s="30"/>
      <c r="BB456" s="569" t="s">
        <v>482</v>
      </c>
      <c r="BC456" s="570">
        <f>AR450*AR453/1000*AR457</f>
        <v>0</v>
      </c>
      <c r="BD456" s="571">
        <f>BC456</f>
        <v>0</v>
      </c>
      <c r="BE456" s="572">
        <f>BC456</f>
        <v>0</v>
      </c>
      <c r="BF456" s="30"/>
      <c r="BG456" s="30"/>
      <c r="BH456" s="30"/>
      <c r="BI456" s="30"/>
      <c r="BJ456" s="30"/>
      <c r="BK456" s="30"/>
      <c r="BL456" s="30"/>
      <c r="BM456" s="30"/>
      <c r="BN456" s="30"/>
      <c r="BO456" s="30"/>
      <c r="BP456" s="30"/>
      <c r="BQ456" s="30"/>
      <c r="BR456" s="30"/>
      <c r="BS456" s="30"/>
      <c r="BT456" s="30"/>
      <c r="BU456" s="30"/>
      <c r="BV456" s="30"/>
      <c r="BW456" s="30"/>
      <c r="BX456" s="30"/>
      <c r="BY456" s="30"/>
      <c r="BZ456" s="544" t="b">
        <f>OR(BZ450,Y456=EUconst_NA)</f>
        <v>1</v>
      </c>
    </row>
    <row r="457" spans="1:78" s="140" customFormat="1" ht="12.75" customHeight="1" x14ac:dyDescent="0.2">
      <c r="A457" s="777"/>
      <c r="B457" s="1248"/>
      <c r="C457" s="753" t="s">
        <v>325</v>
      </c>
      <c r="D457" s="503" t="str">
        <f>Translations!$B$641</f>
        <v>Biomasės dalis (BioC):</v>
      </c>
      <c r="E457" s="504"/>
      <c r="F457" s="539"/>
      <c r="G457" s="1603" t="str">
        <f t="shared" si="98"/>
        <v/>
      </c>
      <c r="H457" s="1604"/>
      <c r="I457" s="1113" t="str">
        <f>IF(OR(AC457=FALSE,Y457=EUconst_NA),"","-")</f>
        <v/>
      </c>
      <c r="J457" s="560"/>
      <c r="K457" s="561" t="str">
        <f t="shared" si="99"/>
        <v/>
      </c>
      <c r="L457" s="694"/>
      <c r="M457" s="700" t="str">
        <f>IF(AND(E441&lt;&gt;"",OR(F457="",COUNT(K457:L457)=0),Y457&lt;&gt;EUconst_NA,T441&lt;&gt;TRUE),EUconst_ERR_Incomplete,IF(COUNTIF(AX457:AZ457,TRUE)&gt;0,EUconst_ERR_Inconsistent,""))</f>
        <v/>
      </c>
      <c r="O457" s="1305"/>
      <c r="P457" s="635"/>
      <c r="Q457" s="635"/>
      <c r="R457" s="635"/>
      <c r="S457" s="30"/>
      <c r="T457" s="543" t="str">
        <f>EUconst_CNTR_BiomassContent&amp;E441</f>
        <v>BioC_</v>
      </c>
      <c r="U457" s="488"/>
      <c r="V457" s="585" t="str">
        <f t="shared" si="104"/>
        <v/>
      </c>
      <c r="W457" s="522" t="str">
        <f>IF(COUNTIF(MSPara_SourceStreamCategory,V457)=0,"",INDEX(MSPara_IsFossil,MATCH(V457,MSPara_SourceStreamCategory,0)))</f>
        <v/>
      </c>
      <c r="X457" s="488"/>
      <c r="Y457" s="545" t="str">
        <f>IF(OR(T441=TRUE,E441=""),"",IF(OR(W457=TRUE,F457=EUconst_NA),EUconst_NA,INDEX(EUwideConstants!$N:$N,MATCH(T457,EUwideConstants!$Q:$Q,0))))</f>
        <v/>
      </c>
      <c r="Z457" s="546" t="str">
        <f>IF(ISBLANK(F457),"",IF(F457=EUconst_NA,"",INDEX(EUwideConstants!$H:$M,MATCH(T457,EUwideConstants!$Q:$Q,0),MATCH(F457,CNTR_TierList,0))))</f>
        <v/>
      </c>
      <c r="AA457" s="586" t="str">
        <f>IF(F457=1,1,"")</f>
        <v/>
      </c>
      <c r="AB457" s="30"/>
      <c r="AC457" s="548" t="b">
        <f>AND(AC450,Y457&lt;&gt;EUconst_NA)</f>
        <v>0</v>
      </c>
      <c r="AD457" s="30"/>
      <c r="AE457" s="563"/>
      <c r="AG457" s="564"/>
      <c r="AH457" s="553"/>
      <c r="AI457" s="565"/>
      <c r="AJ457" s="553"/>
      <c r="AK457" s="566"/>
      <c r="AL457" s="333"/>
      <c r="AM457" s="549" t="str">
        <f>EUconst_CNTR_BiomassContent&amp;EUconst_Value</f>
        <v>BioC_Vertė</v>
      </c>
      <c r="AO457" s="587" t="str">
        <f>IF(AC457=TRUE,IF(COUNTIF(MSPara_SourceStreamCategory,V457)=0,"",INDEX(MSPara_CalcFactorsMatrix,MATCH(V457,MSPara_SourceStreamCategory,0),MATCH(AM457&amp;"_"&amp;2,MSPara_CalcFactors,0))),"")</f>
        <v/>
      </c>
      <c r="AP457" s="553"/>
      <c r="AQ457" s="568" t="str">
        <f>IF(OR(AA457="",AO457=EUconst_NA),"",AO457)</f>
        <v/>
      </c>
      <c r="AR457" s="548">
        <f>IF(AC457=TRUE,IF(COUNT(K457:L457)=0,0,IF(L457="",K457,L457)),0)</f>
        <v>0</v>
      </c>
      <c r="AS457" s="544" t="b">
        <f>AND(AC457=TRUE,OR(AND(F457&lt;&gt;"",NOT(ISNUMBER(AA457))),L457&lt;&gt;"",F457="",AQ457=""))</f>
        <v>0</v>
      </c>
      <c r="AT457" s="544" t="b">
        <f t="shared" si="100"/>
        <v>0</v>
      </c>
      <c r="AU457" s="30"/>
      <c r="AV457" s="558" t="b">
        <f t="shared" si="101"/>
        <v>0</v>
      </c>
      <c r="AW457" s="559" t="b">
        <f t="shared" si="102"/>
        <v>0</v>
      </c>
      <c r="AX457" s="30"/>
      <c r="AY457" s="585" t="b">
        <f t="shared" si="103"/>
        <v>0</v>
      </c>
      <c r="AZ457" s="522" t="b">
        <f>OR(AR457&gt;100%,(AR457+AR458)&gt;100%)</f>
        <v>0</v>
      </c>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544" t="b">
        <f>OR(BZ450,Y457=EUconst_NA)</f>
        <v>1</v>
      </c>
    </row>
    <row r="458" spans="1:78" s="140" customFormat="1" ht="12.75" customHeight="1" thickBot="1" x14ac:dyDescent="0.25">
      <c r="A458" s="777"/>
      <c r="B458" s="1248"/>
      <c r="C458" s="753" t="s">
        <v>448</v>
      </c>
      <c r="D458" s="503" t="str">
        <f>Translations!$B$647</f>
        <v>Netvarios BioC dalis:</v>
      </c>
      <c r="E458" s="504"/>
      <c r="F458" s="588"/>
      <c r="G458" s="1603" t="str">
        <f t="shared" si="98"/>
        <v/>
      </c>
      <c r="H458" s="1604"/>
      <c r="I458" s="1114" t="str">
        <f>IF(OR(AC458=FALSE,Y458=EUconst_NA),"","-")</f>
        <v/>
      </c>
      <c r="J458" s="560"/>
      <c r="K458" s="589" t="str">
        <f t="shared" si="99"/>
        <v/>
      </c>
      <c r="L458" s="1100"/>
      <c r="M458" s="700" t="str">
        <f>IF(AND(E441&lt;&gt;"",OR(F458="",COUNT(K458:L458)=0),Y458&lt;&gt;EUconst_NA,T441&lt;&gt;TRUE),EUconst_ERR_Incomplete,IF(COUNTIF(AX458:AZ458,TRUE)&gt;0,EUconst_ERR_Inconsistent,""))</f>
        <v/>
      </c>
      <c r="O458" s="1305"/>
      <c r="P458" s="635"/>
      <c r="Q458" s="635"/>
      <c r="R458" s="635"/>
      <c r="S458" s="30"/>
      <c r="T458" s="590" t="str">
        <f>EUconst_CNTR_BiomassContent&amp;E441</f>
        <v>BioC_</v>
      </c>
      <c r="U458" s="488"/>
      <c r="V458" s="570" t="str">
        <f t="shared" si="104"/>
        <v/>
      </c>
      <c r="W458" s="571" t="str">
        <f>IF(COUNTIF(MSPara_SourceStreamCategory,V458)=0,"",INDEX(MSPara_IsFossil,MATCH(V458,MSPara_SourceStreamCategory,0)))</f>
        <v/>
      </c>
      <c r="X458" s="488"/>
      <c r="Y458" s="591" t="str">
        <f>IF(OR(T441=TRUE,E441=""),"",IF(OR(W458=TRUE,F458=EUconst_NA),EUconst_NA,INDEX(EUwideConstants!$N:$N,MATCH(T458,EUwideConstants!$Q:$Q,0))))</f>
        <v/>
      </c>
      <c r="Z458" s="592" t="str">
        <f>IF(ISBLANK(F458),"",IF(F458=EUconst_NA,"",INDEX(EUwideConstants!$H:$M,MATCH(T458,EUwideConstants!$Q:$Q,0),MATCH(F458,CNTR_TierList,0))))</f>
        <v/>
      </c>
      <c r="AA458" s="593" t="str">
        <f>IF(F458=1,1,"")</f>
        <v/>
      </c>
      <c r="AB458" s="30"/>
      <c r="AC458" s="594" t="b">
        <f>AND(AC450,Y458&lt;&gt;EUconst_NA)</f>
        <v>0</v>
      </c>
      <c r="AD458" s="30"/>
      <c r="AE458" s="595"/>
      <c r="AF458" s="596"/>
      <c r="AG458" s="597"/>
      <c r="AH458" s="598"/>
      <c r="AI458" s="598"/>
      <c r="AJ458" s="598"/>
      <c r="AK458" s="599"/>
      <c r="AL458" s="333"/>
      <c r="AM458" s="600" t="str">
        <f>EUconst_CNTR_BiomassContent&amp;EUconst_Value</f>
        <v>BioC_Vertė</v>
      </c>
      <c r="AN458" s="596"/>
      <c r="AO458" s="601" t="str">
        <f>IF(AC458=TRUE,IF(COUNTIF(MSPara_SourceStreamCategory,V458)=0,"",INDEX(MSPara_CalcFactorsMatrix,MATCH(V458,MSPara_SourceStreamCategory,0),MATCH(AM458&amp;"_"&amp;2,MSPara_CalcFactors,0))),"")</f>
        <v/>
      </c>
      <c r="AP458" s="598"/>
      <c r="AQ458" s="602" t="str">
        <f>IF(OR(AA458="",AO458=EUconst_NA),"",AO458)</f>
        <v/>
      </c>
      <c r="AR458" s="594">
        <f>IF(AC458=TRUE,IF(COUNT(K458:L458)=0,0,IF(L458="",K458,L458)),0)</f>
        <v>0</v>
      </c>
      <c r="AS458" s="603" t="b">
        <f>AND(AC458=TRUE,OR(AND(F458&lt;&gt;"",NOT(ISNUMBER(AA458))),L458&lt;&gt;"",F458="",AQ458=""))</f>
        <v>0</v>
      </c>
      <c r="AT458" s="603" t="b">
        <f t="shared" si="100"/>
        <v>0</v>
      </c>
      <c r="AU458" s="30"/>
      <c r="AV458" s="604" t="b">
        <f t="shared" si="101"/>
        <v>0</v>
      </c>
      <c r="AW458" s="605" t="b">
        <f t="shared" si="102"/>
        <v>0</v>
      </c>
      <c r="AX458" s="30"/>
      <c r="AY458" s="570" t="b">
        <f t="shared" si="103"/>
        <v>0</v>
      </c>
      <c r="AZ458" s="571" t="b">
        <f>OR(AR457&gt;100%,(AR457+AR458)&gt;100%)</f>
        <v>0</v>
      </c>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571" t="b">
        <f>OR(BZ450,Y458=EUconst_NA)</f>
        <v>1</v>
      </c>
    </row>
    <row r="459" spans="1:78" s="140" customFormat="1" ht="5.0999999999999996" customHeight="1" x14ac:dyDescent="0.2">
      <c r="A459" s="777"/>
      <c r="B459" s="1248"/>
      <c r="C459" s="164"/>
      <c r="D459" s="178"/>
      <c r="O459" s="1305"/>
      <c r="P459" s="33"/>
      <c r="Q459" s="33"/>
      <c r="R459" s="33"/>
      <c r="S459" s="172"/>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row>
    <row r="460" spans="1:78" s="140" customFormat="1" ht="12.75" customHeight="1" x14ac:dyDescent="0.2">
      <c r="A460" s="777"/>
      <c r="B460" s="1248"/>
      <c r="C460" s="164"/>
      <c r="D460" s="1629" t="str">
        <f>Translations!$B$674</f>
        <v>Pakopos galioja nuo:</v>
      </c>
      <c r="E460" s="1629"/>
      <c r="F460" s="1630"/>
      <c r="G460" s="1014"/>
      <c r="H460" s="606" t="str">
        <f>Translations!$B$675</f>
        <v>iki:</v>
      </c>
      <c r="I460" s="1014"/>
      <c r="J460" s="1620" t="str">
        <f>Translations!$B$676</f>
        <v>Atliekų katalogo numeris (jeigu taikytina):</v>
      </c>
      <c r="K460" s="1621"/>
      <c r="L460" s="1621"/>
      <c r="M460" s="1622"/>
      <c r="N460" s="1232"/>
      <c r="O460" s="1305"/>
      <c r="P460" s="33"/>
      <c r="Q460" s="33"/>
      <c r="R460" s="33"/>
      <c r="S460" s="1233"/>
      <c r="T460" s="483"/>
      <c r="U460" s="483"/>
      <c r="V460" s="48" t="b">
        <f>IF(V450="",FALSE,INDEX(CNTR_IsWaste,MATCH(V450,MSParameters!$A$218:$A$376,0)))</f>
        <v>0</v>
      </c>
      <c r="W460" s="1233" t="s">
        <v>1689</v>
      </c>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2" t="b">
        <f>BZ450</f>
        <v>1</v>
      </c>
    </row>
    <row r="461" spans="1:78" s="140" customFormat="1" ht="5.0999999999999996" customHeight="1" x14ac:dyDescent="0.2">
      <c r="A461" s="777"/>
      <c r="B461" s="1248"/>
      <c r="C461" s="164"/>
      <c r="D461" s="606"/>
      <c r="E461" s="486"/>
      <c r="F461" s="486"/>
      <c r="G461" s="486"/>
      <c r="H461" s="486"/>
      <c r="I461" s="486"/>
      <c r="J461" s="486"/>
      <c r="K461" s="486"/>
      <c r="L461" s="486"/>
      <c r="M461" s="486"/>
      <c r="N461" s="486"/>
      <c r="O461" s="1305"/>
      <c r="P461" s="33"/>
      <c r="Q461" s="33"/>
      <c r="R461" s="33"/>
      <c r="S461" s="172"/>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row>
    <row r="462" spans="1:78" s="140" customFormat="1" ht="12.75" customHeight="1" x14ac:dyDescent="0.2">
      <c r="A462" s="777"/>
      <c r="B462" s="1248"/>
      <c r="C462" s="164"/>
      <c r="D462" s="486"/>
      <c r="E462" s="486"/>
      <c r="F462" s="486"/>
      <c r="G462" s="486"/>
      <c r="H462" s="486"/>
      <c r="I462" s="486"/>
      <c r="J462" s="486"/>
      <c r="K462" s="486"/>
      <c r="L462" s="486"/>
      <c r="M462" s="606" t="str">
        <f>Translations!$B$677</f>
        <v>Stebėsenos plane šiam sukėlikliui suteiktas identifikatorius:</v>
      </c>
      <c r="N462" s="705"/>
      <c r="O462" s="1305"/>
      <c r="P462" s="33"/>
      <c r="Q462" s="33"/>
      <c r="R462" s="33"/>
      <c r="S462" s="172"/>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2" t="b">
        <f>BZ460</f>
        <v>1</v>
      </c>
    </row>
    <row r="463" spans="1:78" s="140" customFormat="1" ht="5.0999999999999996" customHeight="1" x14ac:dyDescent="0.2">
      <c r="A463" s="784"/>
      <c r="B463" s="1316"/>
      <c r="D463" s="178"/>
      <c r="O463" s="1317"/>
      <c r="P463" s="488"/>
      <c r="Q463" s="488"/>
      <c r="R463" s="488"/>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row>
    <row r="464" spans="1:78" s="140" customFormat="1" x14ac:dyDescent="0.2">
      <c r="A464" s="784"/>
      <c r="B464" s="1316"/>
      <c r="D464" s="1618" t="str">
        <f>Translations!$B$160</f>
        <v>Pastabos:</v>
      </c>
      <c r="E464" s="1619"/>
      <c r="F464" s="1605"/>
      <c r="G464" s="1606"/>
      <c r="H464" s="1606"/>
      <c r="I464" s="1606"/>
      <c r="J464" s="1606"/>
      <c r="K464" s="1606"/>
      <c r="L464" s="1606"/>
      <c r="M464" s="1606"/>
      <c r="N464" s="1607"/>
      <c r="O464" s="1317"/>
      <c r="P464" s="488"/>
      <c r="Q464" s="488"/>
      <c r="R464" s="488"/>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2" t="b">
        <f>BZ460</f>
        <v>1</v>
      </c>
    </row>
    <row r="465" spans="1:78" s="28" customFormat="1" ht="12.75" customHeight="1" thickBot="1" x14ac:dyDescent="0.25">
      <c r="A465" s="777"/>
      <c r="B465" s="1312"/>
      <c r="C465" s="490"/>
      <c r="D465" s="491"/>
      <c r="E465" s="492"/>
      <c r="F465" s="490"/>
      <c r="G465" s="493"/>
      <c r="H465" s="493"/>
      <c r="I465" s="493"/>
      <c r="J465" s="493"/>
      <c r="K465" s="493"/>
      <c r="L465" s="493"/>
      <c r="M465" s="493"/>
      <c r="N465" s="493"/>
      <c r="O465" s="1313"/>
      <c r="P465" s="485"/>
      <c r="Q465" s="485"/>
      <c r="R465" s="485"/>
      <c r="S465" s="58"/>
      <c r="T465" s="58"/>
      <c r="U465" s="489"/>
      <c r="V465" s="58"/>
      <c r="W465" s="58"/>
      <c r="X465" s="489"/>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30"/>
      <c r="BJ465" s="30"/>
      <c r="BK465" s="30"/>
      <c r="BL465" s="58"/>
      <c r="BM465" s="58"/>
      <c r="BN465" s="58"/>
      <c r="BO465" s="58"/>
      <c r="BP465" s="58"/>
      <c r="BQ465" s="58"/>
      <c r="BR465" s="58"/>
      <c r="BS465" s="58"/>
      <c r="BT465" s="58"/>
      <c r="BU465" s="58"/>
      <c r="BV465" s="58"/>
      <c r="BW465" s="58"/>
      <c r="BX465" s="58"/>
      <c r="BY465" s="58"/>
      <c r="BZ465" s="58"/>
    </row>
    <row r="466" spans="1:78" s="28" customFormat="1" ht="12.75" customHeight="1" thickBot="1" x14ac:dyDescent="0.25">
      <c r="A466" s="782"/>
      <c r="B466" s="1312"/>
      <c r="C466" s="486"/>
      <c r="D466" s="178"/>
      <c r="E466" s="487"/>
      <c r="F466" s="486"/>
      <c r="G466" s="478"/>
      <c r="H466" s="478"/>
      <c r="I466" s="478"/>
      <c r="J466" s="478"/>
      <c r="K466" s="486"/>
      <c r="L466" s="478"/>
      <c r="M466" s="478"/>
      <c r="N466" s="478"/>
      <c r="O466" s="1313"/>
      <c r="P466" s="485"/>
      <c r="Q466" s="485"/>
      <c r="R466" s="485"/>
      <c r="S466" s="23"/>
      <c r="T466" s="27" t="str">
        <f>IF(ISBLANK(E467),"",MATCH(E467,CNTR_SourceStreamNames,0))</f>
        <v/>
      </c>
      <c r="U466" s="609" t="str">
        <f>IF(ISBLANK(E467),"",INDEX(B_InstallationDescription!$D$71:$D$145,MATCH(E467,CNTR_SourceStreamNames,0)))</f>
        <v/>
      </c>
      <c r="V466" s="76"/>
      <c r="W466" s="56"/>
      <c r="X466" s="56"/>
      <c r="Y466" s="56"/>
      <c r="Z466" s="58"/>
      <c r="AA466" s="58"/>
      <c r="AB466" s="58"/>
      <c r="AC466" s="58"/>
      <c r="AD466" s="58"/>
      <c r="AE466" s="58"/>
      <c r="AF466" s="58"/>
      <c r="AG466" s="58"/>
      <c r="AH466" s="58"/>
      <c r="AI466" s="58"/>
      <c r="AJ466" s="58"/>
      <c r="AK466" s="482"/>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6"/>
      <c r="BI466" s="56"/>
      <c r="BJ466" s="56"/>
      <c r="BK466" s="56"/>
      <c r="BL466" s="56"/>
      <c r="BM466" s="56"/>
      <c r="BN466" s="56"/>
      <c r="BO466" s="56"/>
      <c r="BP466" s="56"/>
      <c r="BQ466" s="56"/>
      <c r="BR466" s="56"/>
      <c r="BS466" s="56"/>
      <c r="BT466" s="56"/>
      <c r="BU466" s="56"/>
      <c r="BV466" s="56"/>
      <c r="BW466" s="56"/>
      <c r="BX466" s="56"/>
      <c r="BY466" s="56"/>
      <c r="BZ466" s="484" t="s">
        <v>259</v>
      </c>
    </row>
    <row r="467" spans="1:78" s="140" customFormat="1" ht="15" customHeight="1" thickBot="1" x14ac:dyDescent="0.25">
      <c r="A467" s="1302" t="str">
        <f>IF(E467="","","PRINT")</f>
        <v/>
      </c>
      <c r="B467" s="1248"/>
      <c r="C467" s="608">
        <f>C440+1</f>
        <v>16</v>
      </c>
      <c r="D467" s="164"/>
      <c r="E467" s="1610"/>
      <c r="F467" s="1611"/>
      <c r="G467" s="1611"/>
      <c r="H467" s="1611"/>
      <c r="I467" s="1611"/>
      <c r="J467" s="1612"/>
      <c r="K467" s="1623" t="str">
        <f>IF(E468="","",INDEX(EUwideConstants!$F$353:$F$394,MATCH(E468,EUConst_TierActivityListNames,0)))</f>
        <v/>
      </c>
      <c r="L467" s="1624"/>
      <c r="M467" s="494" t="str">
        <f>Translations!$B$665</f>
        <v>CO2, iškastinio kuro kilmės:</v>
      </c>
      <c r="N467" s="1012" t="str">
        <f>IF(OR(K467="",T468=TRUE),"",INDEX(BC481:BE481,MATCH(K467,BC477:BE477,0)))</f>
        <v/>
      </c>
      <c r="O467" s="1314" t="s">
        <v>257</v>
      </c>
      <c r="P467" s="1303" t="str">
        <f>IF(AND(E467&lt;&gt;"",COUNTIF(P468:$P$2089,"PRINT")=0),"PRINT","")</f>
        <v/>
      </c>
      <c r="Q467" s="343" t="str">
        <f>EUconst_SumCO2 &amp; "_" &amp; K467</f>
        <v>SUM_CO2_</v>
      </c>
      <c r="R467" s="485"/>
      <c r="S467" s="23"/>
      <c r="T467" s="500" t="s">
        <v>387</v>
      </c>
      <c r="U467" s="23"/>
      <c r="V467" s="76"/>
      <c r="W467" s="56"/>
      <c r="X467" s="58"/>
      <c r="Y467" s="58"/>
      <c r="Z467" s="58"/>
      <c r="AA467" s="58"/>
      <c r="AB467" s="58"/>
      <c r="AC467" s="58"/>
      <c r="AD467" s="58"/>
      <c r="AE467" s="58"/>
      <c r="AF467" s="58"/>
      <c r="AG467" s="58"/>
      <c r="AH467" s="58"/>
      <c r="AI467" s="333"/>
      <c r="AJ467" s="333"/>
      <c r="AK467" s="333"/>
      <c r="AL467" s="333"/>
      <c r="AM467" s="333"/>
      <c r="AN467" s="333"/>
      <c r="AO467" s="333"/>
      <c r="AP467" s="333"/>
      <c r="AQ467" s="333"/>
      <c r="AR467" s="333"/>
      <c r="AS467" s="333"/>
      <c r="AT467" s="333"/>
      <c r="AU467" s="333"/>
      <c r="AV467" s="333"/>
      <c r="AW467" s="333"/>
      <c r="AX467" s="333"/>
      <c r="AY467" s="333"/>
      <c r="AZ467" s="333"/>
      <c r="BA467" s="333"/>
      <c r="BB467" s="333"/>
      <c r="BC467" s="333"/>
      <c r="BD467" s="333"/>
      <c r="BE467" s="333"/>
      <c r="BF467" s="333"/>
      <c r="BG467" s="333"/>
      <c r="BH467" s="834">
        <f>AR477</f>
        <v>0</v>
      </c>
      <c r="BI467" s="834" t="str">
        <f>AJ477</f>
        <v/>
      </c>
      <c r="BJ467" s="834">
        <f>AR479</f>
        <v>0</v>
      </c>
      <c r="BK467" s="834" t="str">
        <f>AJ479</f>
        <v/>
      </c>
      <c r="BL467" s="834">
        <f>AR480</f>
        <v>0</v>
      </c>
      <c r="BM467" s="834" t="str">
        <f>AJ480</f>
        <v/>
      </c>
      <c r="BN467" s="834">
        <f>AR481</f>
        <v>1</v>
      </c>
      <c r="BO467" s="834">
        <f>AR482</f>
        <v>1</v>
      </c>
      <c r="BP467" s="834">
        <f>AR483</f>
        <v>0</v>
      </c>
      <c r="BQ467" s="834" t="str">
        <f>AJ483</f>
        <v/>
      </c>
      <c r="BR467" s="834">
        <f>AR484</f>
        <v>0</v>
      </c>
      <c r="BS467" s="834">
        <f>AR485</f>
        <v>0</v>
      </c>
      <c r="BT467" s="834" t="str">
        <f>N467</f>
        <v/>
      </c>
      <c r="BU467" s="834" t="str">
        <f>N468</f>
        <v/>
      </c>
      <c r="BV467" s="834" t="str">
        <f>R470</f>
        <v/>
      </c>
      <c r="BW467" s="834" t="str">
        <f>R476</f>
        <v/>
      </c>
      <c r="BX467" s="834" t="str">
        <f>R477</f>
        <v/>
      </c>
      <c r="BY467" s="56"/>
      <c r="BZ467" s="610" t="b">
        <f>CNTR_CalcRelevant=EUconst_NotRelevant</f>
        <v>0</v>
      </c>
    </row>
    <row r="468" spans="1:78" s="140" customFormat="1" ht="15" customHeight="1" thickBot="1" x14ac:dyDescent="0.25">
      <c r="A468" s="777"/>
      <c r="B468" s="1248"/>
      <c r="C468" s="164"/>
      <c r="D468" s="164"/>
      <c r="E468" s="1625" t="str">
        <f>IF(ISBLANK(E467),"",IF(INDEX(B_InstallationDescription!$E$71:$E$145,MATCH(U466,B_InstallationDescription!$D$71:$D$145,0))&gt;0,INDEX(B_InstallationDescription!$E$71:$E$145,MATCH(U466,B_InstallationDescription!$D$71:$D$145,0)),""))</f>
        <v/>
      </c>
      <c r="F468" s="1626"/>
      <c r="G468" s="1626"/>
      <c r="H468" s="1626"/>
      <c r="I468" s="1626"/>
      <c r="J468" s="1627"/>
      <c r="M468" s="337" t="str">
        <f>Translations!$B$666</f>
        <v>CO2, biomasės kilmės.:</v>
      </c>
      <c r="N468" s="1013" t="str">
        <f>IF(OR(K467="",T468=TRUE),"",INDEX(BC480:BE480,MATCH(K467,BC477:BE477,0)))</f>
        <v/>
      </c>
      <c r="O468" s="1315" t="s">
        <v>257</v>
      </c>
      <c r="P468" s="485"/>
      <c r="Q468" s="343" t="str">
        <f>EUconst_SumBioCO2 &amp; "_" &amp; K467</f>
        <v>SUM_bioCO2_</v>
      </c>
      <c r="R468" s="485"/>
      <c r="S468" s="23"/>
      <c r="T468" s="48" t="str">
        <f>IF(E468="","",MATCH(E468,EUConst_TierActivityListNames,0)&gt;40)</f>
        <v/>
      </c>
      <c r="U468" s="23"/>
      <c r="V468" s="76"/>
      <c r="W468" s="56"/>
      <c r="X468" s="58"/>
      <c r="Y468" s="27" t="s">
        <v>91</v>
      </c>
      <c r="Z468" s="30"/>
      <c r="AA468" s="30"/>
      <c r="AB468" s="30"/>
      <c r="AC468" s="30"/>
      <c r="AD468" s="30"/>
      <c r="AE468" s="27" t="s">
        <v>297</v>
      </c>
      <c r="AF468" s="58"/>
      <c r="AG468" s="495"/>
      <c r="AH468" s="30"/>
      <c r="AI468" s="30"/>
      <c r="AJ468" s="495"/>
      <c r="AK468" s="495"/>
      <c r="AL468" s="333"/>
      <c r="AM468" s="27" t="s">
        <v>303</v>
      </c>
      <c r="AN468" s="496"/>
      <c r="AO468" s="496"/>
      <c r="AP468" s="30"/>
      <c r="AQ468" s="30"/>
      <c r="AR468" s="30"/>
      <c r="AS468" s="30"/>
      <c r="AT468" s="30"/>
      <c r="AU468" s="30"/>
      <c r="AV468" s="27" t="s">
        <v>310</v>
      </c>
      <c r="AW468" s="30"/>
      <c r="AX468" s="483"/>
      <c r="AY468" s="30"/>
      <c r="AZ468" s="30"/>
      <c r="BA468" s="30"/>
      <c r="BB468" s="27" t="s">
        <v>217</v>
      </c>
      <c r="BC468" s="30"/>
      <c r="BD468" s="30"/>
      <c r="BE468" s="30"/>
      <c r="BF468" s="30"/>
      <c r="BG468" s="27" t="s">
        <v>486</v>
      </c>
      <c r="BH468" s="833" t="s">
        <v>552</v>
      </c>
      <c r="BI468" s="833" t="s">
        <v>487</v>
      </c>
      <c r="BJ468" s="833" t="s">
        <v>211</v>
      </c>
      <c r="BK468" s="833" t="s">
        <v>488</v>
      </c>
      <c r="BL468" s="833" t="s">
        <v>68</v>
      </c>
      <c r="BM468" s="833" t="s">
        <v>489</v>
      </c>
      <c r="BN468" s="833" t="s">
        <v>490</v>
      </c>
      <c r="BO468" s="833" t="s">
        <v>491</v>
      </c>
      <c r="BP468" s="833" t="s">
        <v>214</v>
      </c>
      <c r="BQ468" s="833" t="s">
        <v>492</v>
      </c>
      <c r="BR468" s="833" t="s">
        <v>493</v>
      </c>
      <c r="BS468" s="833" t="s">
        <v>494</v>
      </c>
      <c r="BT468" s="833" t="s">
        <v>287</v>
      </c>
      <c r="BU468" s="833" t="s">
        <v>495</v>
      </c>
      <c r="BV468" s="833" t="s">
        <v>498</v>
      </c>
      <c r="BW468" s="833" t="s">
        <v>496</v>
      </c>
      <c r="BX468" s="833" t="s">
        <v>497</v>
      </c>
      <c r="BY468" s="30"/>
      <c r="BZ468" s="30"/>
    </row>
    <row r="469" spans="1:78" s="140" customFormat="1" ht="5.0999999999999996" customHeight="1" thickBot="1" x14ac:dyDescent="0.25">
      <c r="A469" s="777"/>
      <c r="B469" s="1248"/>
      <c r="C469" s="164"/>
      <c r="D469" s="164"/>
      <c r="E469" s="164"/>
      <c r="F469" s="164"/>
      <c r="G469" s="164"/>
      <c r="M469" s="141"/>
      <c r="N469" s="141"/>
      <c r="O469" s="1305"/>
      <c r="P469" s="33"/>
      <c r="Q469" s="33"/>
      <c r="R469" s="33"/>
      <c r="S469" s="23"/>
      <c r="T469" s="23"/>
      <c r="U469" s="23"/>
      <c r="V469" s="76"/>
      <c r="W469" s="30"/>
      <c r="X469" s="30"/>
      <c r="Y469" s="485"/>
      <c r="Z469" s="30"/>
      <c r="AA469" s="30"/>
      <c r="AB469" s="30"/>
      <c r="AC469" s="30"/>
      <c r="AD469" s="30"/>
      <c r="AE469" s="30"/>
      <c r="AF469" s="58"/>
      <c r="AG469" s="30"/>
      <c r="AH469" s="30"/>
      <c r="AI469" s="30"/>
      <c r="AJ469" s="495"/>
      <c r="AK469" s="495"/>
      <c r="AL469" s="333"/>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row>
    <row r="470" spans="1:78" s="140" customFormat="1" ht="12.75" customHeight="1" thickBot="1" x14ac:dyDescent="0.25">
      <c r="A470" s="777"/>
      <c r="B470" s="1248"/>
      <c r="C470" s="164"/>
      <c r="D470" s="164"/>
      <c r="E470" s="1628" t="str">
        <f>IF(E467="","",IF(T468=TRUE,HYPERLINK("#JUMP_14",EUconst_MsgGoOnPFC),HYPERLINK("#JUMP_E_8",EUconst_FurtherGuidancePoint1)))</f>
        <v/>
      </c>
      <c r="F470" s="1628"/>
      <c r="G470" s="1628"/>
      <c r="H470" s="1628"/>
      <c r="I470" s="1628"/>
      <c r="J470" s="1628"/>
      <c r="K470" s="1628"/>
      <c r="L470" s="1628"/>
      <c r="M470" s="1628"/>
      <c r="N470" s="141"/>
      <c r="O470" s="1305"/>
      <c r="P470" s="33"/>
      <c r="Q470" s="343" t="str">
        <f>EUconst_SumNonSustBioCO2 &amp; "_" &amp; K467</f>
        <v>SUM_bioNonSustCO2_</v>
      </c>
      <c r="R470" s="698" t="str">
        <f>IF(OR(K467="",T468=TRUE),"",ROUND(INDEX(BC479:BE479,MATCH(K467,BC477:BE477,0)),0))</f>
        <v/>
      </c>
      <c r="S470" s="23"/>
      <c r="T470" s="23"/>
      <c r="U470" s="23"/>
      <c r="V470" s="30"/>
      <c r="W470" s="30"/>
      <c r="X470" s="30"/>
      <c r="Y470" s="58"/>
      <c r="Z470" s="30"/>
      <c r="AA470" s="30"/>
      <c r="AB470" s="30"/>
      <c r="AC470" s="30"/>
      <c r="AD470" s="30"/>
      <c r="AE470" s="30"/>
      <c r="AF470" s="58"/>
      <c r="AG470" s="30"/>
      <c r="AH470" s="30"/>
      <c r="AI470" s="30"/>
      <c r="AJ470" s="495"/>
      <c r="AK470" s="495"/>
      <c r="AL470" s="333"/>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row>
    <row r="471" spans="1:78" s="140" customFormat="1" ht="5.0999999999999996" customHeight="1" thickBot="1" x14ac:dyDescent="0.25">
      <c r="A471" s="777"/>
      <c r="B471" s="1248"/>
      <c r="C471" s="164"/>
      <c r="D471" s="164"/>
      <c r="E471" s="164"/>
      <c r="F471" s="164"/>
      <c r="G471" s="164"/>
      <c r="M471" s="141"/>
      <c r="N471" s="141"/>
      <c r="O471" s="1305"/>
      <c r="P471" s="23"/>
      <c r="Q471" s="23"/>
      <c r="R471" s="23"/>
      <c r="S471" s="23"/>
      <c r="T471" s="23"/>
      <c r="U471" s="23"/>
      <c r="V471" s="30"/>
      <c r="W471" s="30"/>
      <c r="X471" s="30"/>
      <c r="Y471" s="485"/>
      <c r="Z471" s="30"/>
      <c r="AA471" s="30"/>
      <c r="AB471" s="30"/>
      <c r="AC471" s="30"/>
      <c r="AD471" s="30"/>
      <c r="AE471" s="30"/>
      <c r="AF471" s="58"/>
      <c r="AG471" s="30"/>
      <c r="AH471" s="30"/>
      <c r="AI471" s="30"/>
      <c r="AJ471" s="495"/>
      <c r="AK471" s="495"/>
      <c r="AL471" s="333"/>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row>
    <row r="472" spans="1:78" s="140" customFormat="1" ht="12.75" customHeight="1" thickBot="1" x14ac:dyDescent="0.25">
      <c r="A472" s="777"/>
      <c r="B472" s="1248"/>
      <c r="C472" s="783" t="s">
        <v>4</v>
      </c>
      <c r="D472" s="503" t="str">
        <f>Translations!$B$622</f>
        <v>VD:</v>
      </c>
      <c r="E472" s="1631" t="str">
        <f>Translations!$B$667</f>
        <v>Ar veiklos duomenys gaunami sudedant išmatuotus kiekius (t. y. ne atliekant nuolatinius matavimus)?</v>
      </c>
      <c r="F472" s="1631"/>
      <c r="G472" s="1631"/>
      <c r="H472" s="1631"/>
      <c r="I472" s="1631"/>
      <c r="J472" s="1631"/>
      <c r="K472" s="1631"/>
      <c r="L472" s="1122"/>
      <c r="M472" s="498"/>
      <c r="O472" s="1305"/>
      <c r="P472" s="23"/>
      <c r="Q472" s="23"/>
      <c r="R472" s="23"/>
      <c r="S472" s="23"/>
      <c r="T472" s="23"/>
      <c r="U472" s="23"/>
      <c r="V472" s="30"/>
      <c r="W472" s="30"/>
      <c r="X472" s="30"/>
      <c r="Y472" s="485"/>
      <c r="Z472" s="30"/>
      <c r="AA472" s="30"/>
      <c r="AB472" s="30"/>
      <c r="AC472" s="1115" t="b">
        <f>AND(E467&lt;&gt;"",T468&lt;&gt;TRUE)</f>
        <v>0</v>
      </c>
      <c r="AD472" s="30"/>
      <c r="AE472" s="30"/>
      <c r="AF472" s="58"/>
      <c r="AG472" s="30"/>
      <c r="AH472" s="30"/>
      <c r="AI472" s="30"/>
      <c r="AJ472" s="495"/>
      <c r="AK472" s="495"/>
      <c r="AL472" s="333"/>
      <c r="AM472" s="30"/>
      <c r="AN472" s="30"/>
      <c r="AO472" s="30"/>
      <c r="AP472" s="30"/>
      <c r="AQ472" s="30"/>
      <c r="AR472" s="30"/>
      <c r="AS472" s="30"/>
      <c r="AT472" s="1115" t="b">
        <f>MSPara_BatchReportingMandatory&lt;&gt;TRUE</f>
        <v>0</v>
      </c>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1115" t="b">
        <f>OR(CNTR_CalcRelevant=EUconst_NotRelevant,AND(COUNTA(CNTR_ListRelevantSections)&gt;0,OR(T468=TRUE,E467="")))</f>
        <v>1</v>
      </c>
    </row>
    <row r="473" spans="1:78" s="140" customFormat="1" ht="5.0999999999999996" customHeight="1" thickBot="1" x14ac:dyDescent="0.25">
      <c r="A473" s="777"/>
      <c r="B473" s="1248"/>
      <c r="C473" s="164"/>
      <c r="D473" s="164"/>
      <c r="E473" s="164"/>
      <c r="F473" s="164"/>
      <c r="G473" s="164"/>
      <c r="H473" s="486"/>
      <c r="I473" s="486"/>
      <c r="J473" s="486"/>
      <c r="K473" s="486"/>
      <c r="L473" s="486"/>
      <c r="M473" s="498"/>
      <c r="O473" s="1305"/>
      <c r="P473" s="23"/>
      <c r="Q473" s="23"/>
      <c r="R473" s="23"/>
      <c r="S473" s="23"/>
      <c r="T473" s="23"/>
      <c r="U473" s="23"/>
      <c r="V473" s="30"/>
      <c r="W473" s="30"/>
      <c r="X473" s="30"/>
      <c r="Y473" s="485"/>
      <c r="Z473" s="30"/>
      <c r="AA473" s="30"/>
      <c r="AB473" s="30"/>
      <c r="AC473" s="483"/>
      <c r="AD473" s="30"/>
      <c r="AE473" s="30"/>
      <c r="AF473" s="58"/>
      <c r="AG473" s="30"/>
      <c r="AH473" s="30"/>
      <c r="AI473" s="30"/>
      <c r="AJ473" s="495"/>
      <c r="AK473" s="495"/>
      <c r="AL473" s="333"/>
      <c r="AM473" s="30"/>
      <c r="AN473" s="30"/>
      <c r="AO473" s="30"/>
      <c r="AP473" s="30"/>
      <c r="AQ473" s="30"/>
      <c r="AR473" s="30"/>
      <c r="AS473" s="30"/>
      <c r="AT473" s="483"/>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483"/>
    </row>
    <row r="474" spans="1:78" s="140" customFormat="1" ht="12.75" customHeight="1" thickBot="1" x14ac:dyDescent="0.25">
      <c r="A474" s="777"/>
      <c r="B474" s="1248"/>
      <c r="C474" s="783" t="s">
        <v>5</v>
      </c>
      <c r="D474" s="503" t="str">
        <f>Translations!$B$622</f>
        <v>VD:</v>
      </c>
      <c r="E474" s="1105" t="str">
        <f>Translations!$B$668</f>
        <v>Pradinis kiekis:</v>
      </c>
      <c r="F474" s="1123"/>
      <c r="G474" s="1106" t="str">
        <f>Translations!$B$669</f>
        <v>Galutinis kiekis:</v>
      </c>
      <c r="H474" s="1123"/>
      <c r="I474" s="1106" t="str">
        <f>Translations!$B$670</f>
        <v>Įsigytas kiekis:</v>
      </c>
      <c r="J474" s="1123"/>
      <c r="K474" s="1106" t="str">
        <f>Translations!$B$671</f>
        <v>Perduotas kiekis:</v>
      </c>
      <c r="L474" s="1123"/>
      <c r="M474" s="1107" t="str">
        <f>IF(AND(L472=TRUE,COUNT(F474,H474,J474,L474)&lt;4),EUconst_ERR_Incomplete,"")</f>
        <v/>
      </c>
      <c r="O474" s="1305"/>
      <c r="P474" s="23"/>
      <c r="Q474" s="23"/>
      <c r="R474" s="23"/>
      <c r="S474" s="23"/>
      <c r="T474" s="23"/>
      <c r="U474" s="23"/>
      <c r="V474" s="30"/>
      <c r="W474" s="30"/>
      <c r="X474" s="30"/>
      <c r="Y474" s="485"/>
      <c r="Z474" s="30"/>
      <c r="AA474" s="30"/>
      <c r="AB474" s="30"/>
      <c r="AC474" s="1115" t="b">
        <f>AC472</f>
        <v>0</v>
      </c>
      <c r="AD474" s="30"/>
      <c r="AE474" s="30"/>
      <c r="AF474" s="58"/>
      <c r="AG474" s="30"/>
      <c r="AH474" s="30"/>
      <c r="AI474" s="30"/>
      <c r="AJ474" s="495"/>
      <c r="AK474" s="495"/>
      <c r="AL474" s="333"/>
      <c r="AM474" s="30"/>
      <c r="AN474" s="30"/>
      <c r="AO474" s="30"/>
      <c r="AP474" s="30"/>
      <c r="AQ474" s="30"/>
      <c r="AR474" s="30"/>
      <c r="AS474" s="30"/>
      <c r="AT474" s="1115" t="b">
        <f>AND(AT472=TRUE,L472="")</f>
        <v>0</v>
      </c>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1115" t="b">
        <f>OR(BZ472,AND(NOT(ISBLANK(L472)),L472=FALSE))</f>
        <v>1</v>
      </c>
    </row>
    <row r="475" spans="1:78" s="140" customFormat="1" ht="5.0999999999999996" customHeight="1" thickBot="1" x14ac:dyDescent="0.25">
      <c r="A475" s="777"/>
      <c r="B475" s="1248"/>
      <c r="C475" s="164"/>
      <c r="D475" s="164"/>
      <c r="E475" s="164"/>
      <c r="F475" s="164"/>
      <c r="G475" s="164"/>
      <c r="M475" s="141"/>
      <c r="N475" s="141"/>
      <c r="O475" s="1305"/>
      <c r="P475" s="23"/>
      <c r="Q475" s="23"/>
      <c r="R475" s="23"/>
      <c r="S475" s="23"/>
      <c r="T475" s="23"/>
      <c r="U475" s="23"/>
      <c r="V475" s="30"/>
      <c r="W475" s="30"/>
      <c r="X475" s="30"/>
      <c r="Y475" s="485"/>
      <c r="Z475" s="30"/>
      <c r="AA475" s="30"/>
      <c r="AB475" s="30"/>
      <c r="AC475" s="30"/>
      <c r="AD475" s="30"/>
      <c r="AE475" s="30"/>
      <c r="AF475" s="58"/>
      <c r="AG475" s="30"/>
      <c r="AH475" s="30"/>
      <c r="AI475" s="30"/>
      <c r="AJ475" s="495"/>
      <c r="AK475" s="495"/>
      <c r="AL475" s="333"/>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row>
    <row r="476" spans="1:78" s="140" customFormat="1" ht="12.75" customHeight="1" thickBot="1" x14ac:dyDescent="0.25">
      <c r="A476" s="777"/>
      <c r="B476" s="1248"/>
      <c r="C476" s="164"/>
      <c r="D476" s="164"/>
      <c r="E476" s="164"/>
      <c r="F476" s="497" t="str">
        <f>Translations!$B$333</f>
        <v>Pakopa</v>
      </c>
      <c r="G476" s="1613" t="str">
        <f>Translations!$B$672</f>
        <v>pakopos aprašas</v>
      </c>
      <c r="H476" s="1613"/>
      <c r="I476" s="1608" t="str">
        <f>Translations!$B$158</f>
        <v>Vienetas</v>
      </c>
      <c r="J476" s="1608"/>
      <c r="K476" s="1608" t="str">
        <f>Translations!$B$673</f>
        <v>Vertė</v>
      </c>
      <c r="L476" s="1608"/>
      <c r="M476" s="498" t="str">
        <f>Translations!$B$610</f>
        <v>klaida</v>
      </c>
      <c r="O476" s="1305"/>
      <c r="P476" s="499"/>
      <c r="Q476" s="343" t="str">
        <f>EUconst_SumEnergyIN &amp; "_" &amp; K467</f>
        <v>SUM_EnergyIN_</v>
      </c>
      <c r="R476" s="390" t="str">
        <f>IF(OR(K467="",T468)=TRUE,"",INDEX(BC482:BE482,MATCH(K467,BC477:BE477,0)))</f>
        <v/>
      </c>
      <c r="S476" s="30"/>
      <c r="T476" s="480"/>
      <c r="U476" s="30"/>
      <c r="V476" s="500" t="s">
        <v>298</v>
      </c>
      <c r="W476" s="30"/>
      <c r="X476" s="30"/>
      <c r="Y476" s="485" t="s">
        <v>560</v>
      </c>
      <c r="Z476" s="485" t="s">
        <v>313</v>
      </c>
      <c r="AA476" s="30"/>
      <c r="AB476" s="30"/>
      <c r="AC476" s="496" t="s">
        <v>304</v>
      </c>
      <c r="AD476" s="30"/>
      <c r="AE476" s="30"/>
      <c r="AF476" s="483" t="s">
        <v>300</v>
      </c>
      <c r="AG476" s="483" t="s">
        <v>301</v>
      </c>
      <c r="AH476" s="485" t="s">
        <v>299</v>
      </c>
      <c r="AI476" s="495" t="s">
        <v>302</v>
      </c>
      <c r="AJ476" s="495" t="s">
        <v>561</v>
      </c>
      <c r="AK476" s="501" t="s">
        <v>306</v>
      </c>
      <c r="AL476" s="333"/>
      <c r="AM476" s="30"/>
      <c r="AN476" s="483" t="s">
        <v>300</v>
      </c>
      <c r="AO476" s="483" t="s">
        <v>301</v>
      </c>
      <c r="AP476" s="502" t="s">
        <v>305</v>
      </c>
      <c r="AQ476" s="495" t="s">
        <v>563</v>
      </c>
      <c r="AR476" s="495" t="s">
        <v>562</v>
      </c>
      <c r="AS476" s="501" t="s">
        <v>306</v>
      </c>
      <c r="AT476" s="501" t="s">
        <v>306</v>
      </c>
      <c r="AU476" s="30"/>
      <c r="AV476" s="483"/>
      <c r="AW476" s="483"/>
      <c r="AX476" s="483" t="s">
        <v>316</v>
      </c>
      <c r="AY476" s="483"/>
      <c r="AZ476" s="483"/>
      <c r="BA476" s="483"/>
      <c r="BB476" s="483"/>
      <c r="BC476" s="483"/>
      <c r="BD476" s="483"/>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484" t="s">
        <v>259</v>
      </c>
    </row>
    <row r="477" spans="1:78" s="140" customFormat="1" ht="12.75" customHeight="1" thickBot="1" x14ac:dyDescent="0.25">
      <c r="A477" s="777"/>
      <c r="B477" s="1248"/>
      <c r="C477" s="753" t="s">
        <v>194</v>
      </c>
      <c r="D477" s="503" t="str">
        <f>Translations!$B$622</f>
        <v>VD:</v>
      </c>
      <c r="E477" s="504"/>
      <c r="F477" s="393"/>
      <c r="G477" s="1603" t="str">
        <f>IF(OR(ISBLANK(F477),F477=EUconst_NoTier),"",IF(Z477=0,EUconst_NA,IF(ISERROR(Z477),"",Z477)))</f>
        <v/>
      </c>
      <c r="H477" s="1604"/>
      <c r="I477" s="1108" t="str">
        <f>IF(J477&lt;&gt;"","",AI477)</f>
        <v/>
      </c>
      <c r="J477" s="1109"/>
      <c r="K477" s="1116" t="str">
        <f>IF(L477="",AQ477,"")</f>
        <v/>
      </c>
      <c r="L477" s="1199"/>
      <c r="M477" s="700" t="str">
        <f>IF(AND(E468&lt;&gt;"",OR(F477="",COUNT(K477:L477)=0),Y477&lt;&gt;EUconst_NA,T468&lt;&gt;TRUE),EUconst_ERR_Incomplete,IF(COUNTIF(AX477:AZ477,TRUE)&gt;0,EUconst_ERR_Inconsistent,""))</f>
        <v/>
      </c>
      <c r="O477" s="1305"/>
      <c r="P477" s="635"/>
      <c r="Q477" s="343" t="str">
        <f>EUconst_SumBioEnergyIN &amp; "_" &amp; K467</f>
        <v>SUM_BioEnergyIN_</v>
      </c>
      <c r="R477" s="390" t="str">
        <f>IF(OR(K467="",T468)=TRUE,"",INDEX(BC483:BE483,MATCH(K467,BC477:BE477,0)))</f>
        <v/>
      </c>
      <c r="S477" s="30"/>
      <c r="T477" s="505" t="str">
        <f>EUconst_CNTR_ActivityData&amp;E468</f>
        <v>ActivityData_</v>
      </c>
      <c r="U477" s="488"/>
      <c r="V477" s="505" t="str">
        <f>IF(E467="","",INDEX(B_InstallationDescription!$I$71:$I$145,MATCH(U466,B_InstallationDescription!$D$71:$D$145,0)))</f>
        <v/>
      </c>
      <c r="W477" s="495" t="s">
        <v>533</v>
      </c>
      <c r="X477" s="488"/>
      <c r="Y477" s="506" t="str">
        <f>IF(OR(T468=TRUE,E468=""),"",INDEX(EUwideConstants!$N:$N,MATCH(T477,EUwideConstants!$Q:$Q,0)))</f>
        <v/>
      </c>
      <c r="Z477" s="507" t="str">
        <f>IF(ISBLANK(F477),"",IF(F477=EUconst_NA,"",INDEX(EUwideConstants!$H:$M,MATCH(T477,EUwideConstants!$Q:$Q,0),MATCH(F477,CNTR_TierList,0))))</f>
        <v/>
      </c>
      <c r="AA477" s="508" t="s">
        <v>299</v>
      </c>
      <c r="AB477" s="495"/>
      <c r="AC477" s="509" t="b">
        <f>AC472</f>
        <v>0</v>
      </c>
      <c r="AD477" s="30"/>
      <c r="AE477" s="510" t="str">
        <f>EUconst_CNTR_ActivityData&amp;EUconst_Unit</f>
        <v>ActivityData_Vienetas</v>
      </c>
      <c r="AF477" s="511" t="str">
        <f>IF(AC477=TRUE, IF(COUNTIF(MSPara_SourceStreamCategory,V477)=0,"",INDEX(MSPara_CalcFactorsMatrix,MATCH(V477,MSPara_SourceStreamCategory,0),MATCH(AE477&amp;"_"&amp;2,MSPara_CalcFactors,0))),"")</f>
        <v/>
      </c>
      <c r="AG477" s="512" t="str">
        <f>IF(AC477=TRUE, IF(COUNTIF(MSPara_SourceStreamCategory,V477)=0,"",INDEX(MSPara_CalcFactorsMatrix,MATCH(V477,MSPara_SourceStreamCategory,0),MATCH(AE477&amp;"_"&amp;1,MSPara_CalcFactors,0))),"")</f>
        <v/>
      </c>
      <c r="AH477" s="509" t="str">
        <f>IF(OR(AF477="",AF477=EUconst_NA),IF(OR(AG477=EUconst_NA,AG477=""),"",AG477),AF477)</f>
        <v/>
      </c>
      <c r="AI477" s="506" t="str">
        <f>IF(AC477=TRUE,IF(AH477="",EUconst_t,AH477),"")</f>
        <v/>
      </c>
      <c r="AJ477" s="513" t="str">
        <f>IF(J477="",AI477,J477)</f>
        <v/>
      </c>
      <c r="AK477" s="514" t="b">
        <f>IF(K467=EUconst_Fuel,J477&lt;&gt;"",FALSE)</f>
        <v>0</v>
      </c>
      <c r="AL477" s="333"/>
      <c r="AM477" s="505" t="str">
        <f>EUconst_CNTR_ActivityData&amp;EUconst_Value</f>
        <v>ActivityData_Vertė</v>
      </c>
      <c r="AN477" s="496"/>
      <c r="AO477" s="496"/>
      <c r="AP477" s="509" t="b">
        <f>AND(AND(AH477&lt;&gt;"",AJ477&lt;&gt;""),AJ477=AH477)</f>
        <v>0</v>
      </c>
      <c r="AQ477" s="610" t="str">
        <f>IF(L472=TRUE,SUM(F474)-SUM(H474)+SUM(J474)-SUM(L474),"")</f>
        <v/>
      </c>
      <c r="AR477" s="509">
        <f>IF(Y477=EUconst_NA,0,IF(COUNT(K477:L477)=0,0,IF(L477="",K477,L477)))</f>
        <v>0</v>
      </c>
      <c r="AS477" s="1115" t="b">
        <f>AND(AC477=TRUE,OR(L477&lt;&gt;"",AQ477=""))</f>
        <v>0</v>
      </c>
      <c r="AT477" s="1115" t="b">
        <f>AND(AC477=TRUE,NOT(AS477))</f>
        <v>0</v>
      </c>
      <c r="AU477" s="30"/>
      <c r="AV477" s="483" t="s">
        <v>309</v>
      </c>
      <c r="AW477" s="483" t="s">
        <v>314</v>
      </c>
      <c r="AX477" s="515"/>
      <c r="AY477" s="30" t="s">
        <v>536</v>
      </c>
      <c r="AZ477" s="30"/>
      <c r="BA477" s="30"/>
      <c r="BB477" s="495"/>
      <c r="BC477" s="484" t="str">
        <f>EUconst_Fuel</f>
        <v>Degimas</v>
      </c>
      <c r="BD477" s="484" t="str">
        <f>EUconst_ProcessCarbonate</f>
        <v>Proceso metu išsiskiriančios ŠESD</v>
      </c>
      <c r="BE477" s="484" t="str">
        <f>EUconst_MassBalance</f>
        <v>Masės balansas</v>
      </c>
      <c r="BF477" s="30"/>
      <c r="BG477" s="30"/>
      <c r="BH477" s="30"/>
      <c r="BI477" s="30"/>
      <c r="BJ477" s="30"/>
      <c r="BK477" s="30"/>
      <c r="BL477" s="30"/>
      <c r="BM477" s="30"/>
      <c r="BN477" s="30"/>
      <c r="BO477" s="30"/>
      <c r="BP477" s="30"/>
      <c r="BQ477" s="30"/>
      <c r="BR477" s="30"/>
      <c r="BS477" s="30"/>
      <c r="BT477" s="30"/>
      <c r="BU477" s="30"/>
      <c r="BV477" s="30"/>
      <c r="BW477" s="30"/>
      <c r="BX477" s="30"/>
      <c r="BY477" s="30"/>
      <c r="BZ477" s="515" t="b">
        <f>BZ472</f>
        <v>1</v>
      </c>
    </row>
    <row r="478" spans="1:78" s="140" customFormat="1" ht="5.0999999999999996" customHeight="1" thickBot="1" x14ac:dyDescent="0.25">
      <c r="A478" s="777"/>
      <c r="B478" s="1248"/>
      <c r="C478" s="783"/>
      <c r="D478" s="298"/>
      <c r="F478" s="141"/>
      <c r="G478" s="141"/>
      <c r="H478" s="141" t="s">
        <v>233</v>
      </c>
      <c r="I478" s="516"/>
      <c r="J478" s="516"/>
      <c r="K478" s="141"/>
      <c r="L478" s="141"/>
      <c r="M478" s="701"/>
      <c r="O478" s="1305"/>
      <c r="P478" s="33"/>
      <c r="Q478" s="33"/>
      <c r="R478" s="33"/>
      <c r="S478" s="30"/>
      <c r="T478" s="153"/>
      <c r="U478" s="488"/>
      <c r="V478" s="30"/>
      <c r="W478" s="30"/>
      <c r="X478" s="488"/>
      <c r="Y478" s="517"/>
      <c r="Z478" s="30"/>
      <c r="AA478" s="30"/>
      <c r="AB478" s="30"/>
      <c r="AC478" s="30"/>
      <c r="AD478" s="30"/>
      <c r="AE478" s="30"/>
      <c r="AF478" s="30"/>
      <c r="AG478" s="30"/>
      <c r="AH478" s="30"/>
      <c r="AI478" s="30"/>
      <c r="AJ478" s="30"/>
      <c r="AK478" s="30"/>
      <c r="AL478" s="333"/>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484"/>
    </row>
    <row r="479" spans="1:78" s="140" customFormat="1" ht="12.75" customHeight="1" thickBot="1" x14ac:dyDescent="0.25">
      <c r="A479" s="777"/>
      <c r="B479" s="1248"/>
      <c r="C479" s="783" t="s">
        <v>195</v>
      </c>
      <c r="D479" s="503" t="str">
        <f>Translations!$B$634</f>
        <v>(prelim.) ITF:</v>
      </c>
      <c r="E479" s="504"/>
      <c r="F479" s="518"/>
      <c r="G479" s="1603" t="str">
        <f t="shared" ref="G479:G485" si="105">IF(OR(ISBLANK(F479),F479=EUconst_NoTier),"",IF(Z479=0,EUconst_NotApplicable,IF(ISERROR(Z479),"",Z479)))</f>
        <v/>
      </c>
      <c r="H479" s="1609"/>
      <c r="I479" s="1110" t="str">
        <f>IF(J479&lt;&gt;"","",AI479)</f>
        <v/>
      </c>
      <c r="J479" s="1111"/>
      <c r="K479" s="519" t="str">
        <f t="shared" ref="K479:K485" si="106">IF(L479="",AQ479,"")</f>
        <v/>
      </c>
      <c r="L479" s="520"/>
      <c r="M479" s="700" t="str">
        <f>IF(AND(E468&lt;&gt;"",OR(F479="",COUNT(K479:L479)=0),Y479&lt;&gt;EUconst_NA,T468&lt;&gt;TRUE),EUconst_ERR_Incomplete,IF(COUNTIF(AX479:AZ479,TRUE)&gt;0,EUconst_ERR_Inconsistent,""))</f>
        <v/>
      </c>
      <c r="N479" s="486"/>
      <c r="O479" s="1305"/>
      <c r="P479" s="33"/>
      <c r="Q479" s="33"/>
      <c r="R479" s="33"/>
      <c r="S479" s="30"/>
      <c r="T479" s="521" t="str">
        <f>EUconst_CNTR_EF&amp;E468</f>
        <v>EF_</v>
      </c>
      <c r="U479" s="488"/>
      <c r="V479" s="522" t="str">
        <f>V477</f>
        <v/>
      </c>
      <c r="W479" s="30"/>
      <c r="X479" s="488"/>
      <c r="Y479" s="523" t="str">
        <f>IF(OR(T468=TRUE,E468=""),"",IF(F479=EUconst_NA,EUconst_NA,INDEX(EUwideConstants!$N:$N,MATCH(T479,EUwideConstants!$Q:$Q,0))))</f>
        <v/>
      </c>
      <c r="Z479" s="524" t="str">
        <f>IF(ISBLANK(F479),"",IF(F479=EUconst_NA,"",INDEX(EUwideConstants!$H:$M,MATCH(T479,EUwideConstants!$Q:$Q,0),MATCH(F479,CNTR_TierList,0))))</f>
        <v/>
      </c>
      <c r="AA479" s="525" t="str">
        <f>IF(COUNTIF(EUconst_DefaultValues,Z479)&gt;0,MATCH(Z479,EUconst_DefaultValues,0),"")</f>
        <v/>
      </c>
      <c r="AB479" s="30"/>
      <c r="AC479" s="526" t="b">
        <f>AND(AC477,Y479&lt;&gt;EUconst_NA)</f>
        <v>0</v>
      </c>
      <c r="AD479" s="30"/>
      <c r="AE479" s="510" t="str">
        <f>EUconst_CNTR_EF&amp;EUconst_Unit</f>
        <v>EF_Vienetas</v>
      </c>
      <c r="AF479" s="527" t="str">
        <f>IF(AC479=TRUE, IF(COUNTIF(MSPara_SourceStreamCategory,V479)=0,"",INDEX(MSPara_CalcFactorsMatrix,MATCH(V479,MSPara_SourceStreamCategory,0),MATCH(AE479&amp;"_"&amp;2,MSPara_CalcFactors,0))),"")</f>
        <v/>
      </c>
      <c r="AG479" s="528" t="str">
        <f>IF(AC479=TRUE, IF(COUNTIF(MSPara_SourceStreamCategory,V479)=0,"",INDEX(MSPara_CalcFactorsMatrix,MATCH(V479,MSPara_SourceStreamCategory,0),MATCH(AE479&amp;"_"&amp;1,MSPara_CalcFactors,0))),"")</f>
        <v/>
      </c>
      <c r="AH479" s="529" t="str">
        <f>IF(AA479="","",INDEX(AF479:AG479,3-AA479))</f>
        <v/>
      </c>
      <c r="AI479" s="530" t="str">
        <f>IF(AC479=TRUE,IF(OR(AH479="",AH479=EUconst_NA),IF(K467=EUconst_Fuel,EUconst_tCO2pTJ,EUconst_tCO2pt),AH479),"")</f>
        <v/>
      </c>
      <c r="AJ479" s="526" t="str">
        <f>IF(J479="",AI479,J479)</f>
        <v/>
      </c>
      <c r="AK479" s="531" t="b">
        <f>IF(K467=EUconst_Fuel,J479&lt;&gt;"",FALSE)</f>
        <v>0</v>
      </c>
      <c r="AL479" s="333"/>
      <c r="AM479" s="510" t="str">
        <f>EUconst_CNTR_EF&amp;EUconst_Value</f>
        <v>EF_Vertė</v>
      </c>
      <c r="AN479" s="532" t="str">
        <f>IF(AC479=TRUE,IF(COUNTIF(MSPara_SourceStreamCategory,V479)=0,"",INDEX(MSPara_CalcFactorsMatrix,MATCH(V479,MSPara_SourceStreamCategory,0),MATCH(AM479&amp;"_"&amp;2,MSPara_CalcFactors,0))),"")</f>
        <v/>
      </c>
      <c r="AO479" s="533" t="str">
        <f>IF(AC479=TRUE,IF(COUNTIF(MSPara_SourceStreamCategory,V479)=0,"",INDEX(MSPara_CalcFactorsMatrix,MATCH(V479,MSPara_SourceStreamCategory,0),MATCH(AM479&amp;"_"&amp;1,MSPara_CalcFactors,0))),"")</f>
        <v/>
      </c>
      <c r="AP479" s="526" t="b">
        <f>AND(AND(AH479&lt;&gt;"",AJ479&lt;&gt;""),AJ479=AH479)</f>
        <v>0</v>
      </c>
      <c r="AQ479" s="534" t="str">
        <f>IF(AND(AA479&lt;&gt;"",AP479=TRUE),IF(OR(INDEX(AN479:AO479,3-AA479)=EUconst_NA,INDEX(AN479:AO479,3-AA479)=0),"",INDEX(AN479:AO479,3-AA479)),"")</f>
        <v/>
      </c>
      <c r="AR479" s="526">
        <f>IF(AC479=TRUE,IF(COUNT(K479:L479)=0,0,IF(L479="",K479,L479)),0)</f>
        <v>0</v>
      </c>
      <c r="AS479" s="522" t="b">
        <f>AND(AC479=TRUE,OR(AND(F479&lt;&gt;"",NOT(ISNUMBER(AA479))),L479&lt;&gt;"",F479="",AQ479=""))</f>
        <v>0</v>
      </c>
      <c r="AT479" s="522" t="b">
        <f t="shared" ref="AT479:AT485" si="107">AND(AC479=TRUE,NOT(AS479))</f>
        <v>0</v>
      </c>
      <c r="AU479" s="30"/>
      <c r="AV479" s="535" t="b">
        <f t="shared" ref="AV479:AV485" si="108">AND(ISNUMBER(AA479),AQ479="")</f>
        <v>0</v>
      </c>
      <c r="AW479" s="536" t="b">
        <f t="shared" ref="AW479:AW485" si="109">AND(ISNUMBER(AA479),AQ479&lt;&gt;AR479)</f>
        <v>0</v>
      </c>
      <c r="AX479" s="537" t="b">
        <f>OR(AND(AJ477=EUconst_kNm3,AJ479=EUconst_tCO2pt),AND(AJ477=EUconst_t,AJ479=EUconst_tCO2pkNm3))</f>
        <v>0</v>
      </c>
      <c r="AY479" s="522" t="b">
        <f t="shared" ref="AY479:AY485" si="110">AND(L479&lt;&gt;"",Y479=EUconst_NA)</f>
        <v>0</v>
      </c>
      <c r="AZ479" s="30"/>
      <c r="BA479" s="30"/>
      <c r="BB479" s="538" t="s">
        <v>588</v>
      </c>
      <c r="BC479" s="537" t="str">
        <f>IF(K467=BC477,AR477*IF(AJ479=EUconst_tCO2pTJ,(AR480/1000),1)*AR479*AR481*AR485,"")</f>
        <v/>
      </c>
      <c r="BD479" s="515" t="str">
        <f>IF(K467=BD477,AR477*AR479*AR482*AR485,"")</f>
        <v/>
      </c>
      <c r="BE479" s="514" t="str">
        <f>IF(K467=BE477,3.664*AR477*AR483*AR485,"")</f>
        <v/>
      </c>
      <c r="BF479" s="30"/>
      <c r="BG479" s="30"/>
      <c r="BH479" s="30"/>
      <c r="BI479" s="30"/>
      <c r="BJ479" s="30"/>
      <c r="BK479" s="30"/>
      <c r="BL479" s="30"/>
      <c r="BM479" s="30"/>
      <c r="BN479" s="30"/>
      <c r="BO479" s="30"/>
      <c r="BP479" s="30"/>
      <c r="BQ479" s="30"/>
      <c r="BR479" s="30"/>
      <c r="BS479" s="30"/>
      <c r="BT479" s="30"/>
      <c r="BU479" s="30"/>
      <c r="BV479" s="30"/>
      <c r="BW479" s="30"/>
      <c r="BX479" s="30"/>
      <c r="BY479" s="30"/>
      <c r="BZ479" s="522" t="b">
        <f>OR(BZ477,Y479=EUconst_NA)</f>
        <v>1</v>
      </c>
    </row>
    <row r="480" spans="1:78" s="140" customFormat="1" ht="12.75" customHeight="1" thickBot="1" x14ac:dyDescent="0.25">
      <c r="A480" s="777"/>
      <c r="B480" s="1248"/>
      <c r="C480" s="783" t="s">
        <v>196</v>
      </c>
      <c r="D480" s="503" t="str">
        <f>Translations!$B$636</f>
        <v>GŠV:</v>
      </c>
      <c r="E480" s="504"/>
      <c r="F480" s="539"/>
      <c r="G480" s="1603" t="str">
        <f t="shared" si="105"/>
        <v/>
      </c>
      <c r="H480" s="1604"/>
      <c r="I480" s="1112" t="str">
        <f>AJ480</f>
        <v/>
      </c>
      <c r="J480" s="540"/>
      <c r="K480" s="541" t="str">
        <f t="shared" si="106"/>
        <v/>
      </c>
      <c r="L480" s="542"/>
      <c r="M480" s="700" t="str">
        <f>IF(AND(E468&lt;&gt;"",OR(F480="",COUNT(K480:L480)=0),Y480&lt;&gt;EUconst_NA,T468&lt;&gt;TRUE),EUconst_ERR_Incomplete,IF(COUNTIF(AX480:AZ480,TRUE)&gt;0,EUconst_ERR_Inconsistent,""))</f>
        <v/>
      </c>
      <c r="O480" s="1305"/>
      <c r="P480" s="33"/>
      <c r="Q480" s="33"/>
      <c r="R480" s="33"/>
      <c r="S480" s="30"/>
      <c r="T480" s="543" t="str">
        <f>EUconst_CNTR_NCV&amp;E468</f>
        <v>NCV_</v>
      </c>
      <c r="U480" s="488"/>
      <c r="V480" s="544" t="str">
        <f t="shared" ref="V480:V485" si="111">V479</f>
        <v/>
      </c>
      <c r="W480" s="30"/>
      <c r="X480" s="488"/>
      <c r="Y480" s="545" t="str">
        <f>IF(OR(T468=TRUE,E468=""),"",IF(F480=EUconst_NA,EUconst_NA,INDEX(EUwideConstants!$N:$N,MATCH(T480,EUwideConstants!$Q:$Q,0))))</f>
        <v/>
      </c>
      <c r="Z480" s="546" t="str">
        <f>IF(ISBLANK(F480),"",IF(F480=EUconst_NA,"",INDEX(EUwideConstants!$H:$M,MATCH(T480,EUwideConstants!$Q:$Q,0),MATCH(F480,CNTR_TierList,0))))</f>
        <v/>
      </c>
      <c r="AA480" s="547" t="str">
        <f>IF(COUNTIF(EUconst_DefaultValues,Z480)&gt;0,MATCH(Z480,EUconst_DefaultValues,0),"")</f>
        <v/>
      </c>
      <c r="AB480" s="30"/>
      <c r="AC480" s="548" t="b">
        <f>AND(AC477,Y480&lt;&gt;EUconst_NA)</f>
        <v>0</v>
      </c>
      <c r="AD480" s="30"/>
      <c r="AE480" s="549" t="str">
        <f>EUconst_CNTR_NCV&amp;EUconst_Unit</f>
        <v>NCV_Vienetas</v>
      </c>
      <c r="AF480" s="550" t="str">
        <f>IF(AC480=TRUE, IF(COUNTIF(MSPara_SourceStreamCategory,V480)=0,"",INDEX(MSPara_CalcFactorsMatrix,MATCH(V480,MSPara_SourceStreamCategory,0),MATCH(AE480&amp;"_"&amp;2,MSPara_CalcFactors,0))),"")</f>
        <v/>
      </c>
      <c r="AG480" s="551" t="str">
        <f>IF(AC480=TRUE, IF(COUNTIF(MSPara_SourceStreamCategory,V480)=0,"",INDEX(MSPara_CalcFactorsMatrix,MATCH(V480,MSPara_SourceStreamCategory,0),MATCH(AE480&amp;"_"&amp;1,MSPara_CalcFactors,0))),"")</f>
        <v/>
      </c>
      <c r="AH480" s="552" t="str">
        <f>IF(AA480="","",INDEX(AF480:AG480,3-AA480))</f>
        <v/>
      </c>
      <c r="AI480" s="553"/>
      <c r="AJ480" s="548" t="str">
        <f>IF(AC480=TRUE,IF(AJ477="","",IF(AJ477=EUconst_kNm3,EUconst_GJpkNm3,EUconst_GJpt)),"")</f>
        <v/>
      </c>
      <c r="AK480" s="554"/>
      <c r="AL480" s="333"/>
      <c r="AM480" s="549" t="str">
        <f>EUconst_CNTR_NCV&amp;EUconst_Value</f>
        <v>NCV_Vertė</v>
      </c>
      <c r="AN480" s="555" t="str">
        <f>IF(AC480=TRUE,IF(COUNTIF(MSPara_SourceStreamCategory,V480)=0,"",INDEX(MSPara_CalcFactorsMatrix,MATCH(V480,MSPara_SourceStreamCategory,0),MATCH(AM480&amp;"_"&amp;2,MSPara_CalcFactors,0))),"")</f>
        <v/>
      </c>
      <c r="AO480" s="556" t="str">
        <f>IF(AC480=TRUE,IF(COUNTIF(MSPara_SourceStreamCategory,V480)=0,"",INDEX(MSPara_CalcFactorsMatrix,MATCH(V480,MSPara_SourceStreamCategory,0),MATCH(AM480&amp;"_"&amp;1,MSPara_CalcFactors,0))),"")</f>
        <v/>
      </c>
      <c r="AP480" s="548" t="b">
        <f>AND(AND(AH480&lt;&gt;"",AJ480&lt;&gt;""),AJ480=AH480)</f>
        <v>0</v>
      </c>
      <c r="AQ480" s="557" t="str">
        <f>IF(AND(AA480&lt;&gt;"",AP480=TRUE),IF(OR(INDEX(AN480:AO480,3-AA480)=EUconst_NA,INDEX(AN480:AO480,3-AA480)=0),"",INDEX(AN480:AO480,3-AA480)),"")</f>
        <v/>
      </c>
      <c r="AR480" s="548">
        <f>IF(AC480=TRUE,IF(COUNT(K480:L480)=0,0,IF(L480="",K480,L480)),0)</f>
        <v>0</v>
      </c>
      <c r="AS480" s="544" t="b">
        <f>AND(AC480=TRUE,OR(AND(F480&lt;&gt;"",NOT(ISNUMBER(AA480))),L480&lt;&gt;"",F480="",AQ480=""))</f>
        <v>0</v>
      </c>
      <c r="AT480" s="544" t="b">
        <f t="shared" si="107"/>
        <v>0</v>
      </c>
      <c r="AU480" s="30"/>
      <c r="AV480" s="558" t="b">
        <f t="shared" si="108"/>
        <v>0</v>
      </c>
      <c r="AW480" s="559" t="b">
        <f t="shared" si="109"/>
        <v>0</v>
      </c>
      <c r="AX480" s="30"/>
      <c r="AY480" s="544" t="b">
        <f t="shared" si="110"/>
        <v>0</v>
      </c>
      <c r="AZ480" s="30"/>
      <c r="BA480" s="30"/>
      <c r="BB480" s="538" t="s">
        <v>589</v>
      </c>
      <c r="BC480" s="537" t="str">
        <f>IF(K467=BC477,AR477*IF(AJ479=EUconst_tCO2pTJ,(AR480/1000),1)*AR479*AR481*AR484,"")</f>
        <v/>
      </c>
      <c r="BD480" s="515" t="str">
        <f>IF(K467=BD477,AR477*AR479*AR482*AR484,"")</f>
        <v/>
      </c>
      <c r="BE480" s="514" t="str">
        <f>IF(K467=BE477,3.664*AR477*AR483*AR484,"")</f>
        <v/>
      </c>
      <c r="BF480" s="30"/>
      <c r="BG480" s="30"/>
      <c r="BH480" s="30"/>
      <c r="BI480" s="30"/>
      <c r="BJ480" s="30"/>
      <c r="BK480" s="30"/>
      <c r="BL480" s="30"/>
      <c r="BM480" s="30"/>
      <c r="BN480" s="30"/>
      <c r="BO480" s="30"/>
      <c r="BP480" s="30"/>
      <c r="BQ480" s="30"/>
      <c r="BR480" s="30"/>
      <c r="BS480" s="30"/>
      <c r="BT480" s="30"/>
      <c r="BU480" s="30"/>
      <c r="BV480" s="30"/>
      <c r="BW480" s="30"/>
      <c r="BX480" s="30"/>
      <c r="BY480" s="30"/>
      <c r="BZ480" s="544" t="b">
        <f>OR(BZ477,Y480=EUconst_NA)</f>
        <v>1</v>
      </c>
    </row>
    <row r="481" spans="1:78" s="140" customFormat="1" ht="12.75" customHeight="1" thickBot="1" x14ac:dyDescent="0.25">
      <c r="A481" s="777"/>
      <c r="B481" s="1248"/>
      <c r="C481" s="783" t="s">
        <v>197</v>
      </c>
      <c r="D481" s="503" t="str">
        <f>Translations!$B$638</f>
        <v>Oksidacijos koef.:</v>
      </c>
      <c r="E481" s="504"/>
      <c r="F481" s="539"/>
      <c r="G481" s="1603" t="str">
        <f t="shared" si="105"/>
        <v/>
      </c>
      <c r="H481" s="1604"/>
      <c r="I481" s="1113" t="str">
        <f>IF(OR(AC481=FALSE,Y481=EUconst_NA),"","-")</f>
        <v/>
      </c>
      <c r="J481" s="560"/>
      <c r="K481" s="561" t="str">
        <f t="shared" si="106"/>
        <v/>
      </c>
      <c r="L481" s="694"/>
      <c r="M481" s="700" t="str">
        <f>IF(AND(E468&lt;&gt;"",OR(F481="",COUNT(K481:L481)=0),Y481&lt;&gt;EUconst_NA,T468&lt;&gt;TRUE),EUconst_ERR_Incomplete,IF(COUNTIF(AX481:AZ481,TRUE)&gt;0,EUconst_ERR_Inconsistent,""))</f>
        <v/>
      </c>
      <c r="O481" s="1305"/>
      <c r="P481" s="33"/>
      <c r="Q481" s="33"/>
      <c r="R481" s="33"/>
      <c r="S481" s="30"/>
      <c r="T481" s="543" t="str">
        <f>EUconst_CNTR_OxidationFactor&amp;E468</f>
        <v>OxF_</v>
      </c>
      <c r="U481" s="488"/>
      <c r="V481" s="544" t="str">
        <f t="shared" si="111"/>
        <v/>
      </c>
      <c r="W481" s="30"/>
      <c r="X481" s="488"/>
      <c r="Y481" s="545" t="str">
        <f>IF(OR(T468=TRUE,E468=""),"",INDEX(EUwideConstants!$N:$N,MATCH(T481,EUwideConstants!$Q:$Q,0)))</f>
        <v/>
      </c>
      <c r="Z481" s="546" t="str">
        <f>IF(ISBLANK(F481),"",IF(F481=EUconst_NA,"",INDEX(EUwideConstants!$H:$M,MATCH(T481,EUwideConstants!$Q:$Q,0),MATCH(F481,CNTR_TierList,0))))</f>
        <v/>
      </c>
      <c r="AA481" s="525" t="str">
        <f>IF(F481=1,1,"")</f>
        <v/>
      </c>
      <c r="AB481" s="30"/>
      <c r="AC481" s="548" t="b">
        <f>AND(AC477,Y481&lt;&gt;EUconst_NA)</f>
        <v>0</v>
      </c>
      <c r="AD481" s="30"/>
      <c r="AE481" s="563"/>
      <c r="AG481" s="564"/>
      <c r="AH481" s="553"/>
      <c r="AI481" s="565"/>
      <c r="AJ481" s="553"/>
      <c r="AK481" s="566"/>
      <c r="AL481" s="333"/>
      <c r="AM481" s="549" t="str">
        <f>EUconst_CNTR_OxidationFactor&amp;EUconst_Value</f>
        <v>OxF_Vertė</v>
      </c>
      <c r="AN481" s="567"/>
      <c r="AO481" s="525">
        <v>1</v>
      </c>
      <c r="AP481" s="553"/>
      <c r="AQ481" s="568" t="str">
        <f>IF(AA481="","",AO481)</f>
        <v/>
      </c>
      <c r="AR481" s="548">
        <f>IF(AC481=TRUE,IF(COUNT(K481:L481)=0,0,IF(L481="",K481,L481)),1)</f>
        <v>1</v>
      </c>
      <c r="AS481" s="544" t="b">
        <f>AND(AC481=TRUE,OR(ISNUMBER(L481),NOT(ISNUMBER(AA481))))</f>
        <v>0</v>
      </c>
      <c r="AT481" s="544" t="b">
        <f t="shared" si="107"/>
        <v>0</v>
      </c>
      <c r="AU481" s="30"/>
      <c r="AV481" s="558" t="b">
        <f t="shared" si="108"/>
        <v>0</v>
      </c>
      <c r="AW481" s="559" t="b">
        <f t="shared" si="109"/>
        <v>0</v>
      </c>
      <c r="AX481" s="30"/>
      <c r="AY481" s="585" t="b">
        <f t="shared" si="110"/>
        <v>0</v>
      </c>
      <c r="AZ481" s="522" t="b">
        <f>AR481&gt;100%</f>
        <v>0</v>
      </c>
      <c r="BA481" s="30"/>
      <c r="BB481" s="538" t="s">
        <v>287</v>
      </c>
      <c r="BC481" s="537" t="str">
        <f>IF(K467=BC477,AR477*IF(AJ479=EUconst_tCO2pTJ,(AR480/1000),1)*AR479*AR481*(1-AR484),"")</f>
        <v/>
      </c>
      <c r="BD481" s="515" t="str">
        <f>IF(K467=BD477,AR477*AR479*AR482*(1-AR484),"")</f>
        <v/>
      </c>
      <c r="BE481" s="514" t="str">
        <f>IF(K467=BE477,3.664*AR477*AR483*(1-AR484),"")</f>
        <v/>
      </c>
      <c r="BF481" s="30"/>
      <c r="BG481" s="30"/>
      <c r="BH481" s="30"/>
      <c r="BI481" s="30"/>
      <c r="BJ481" s="30"/>
      <c r="BK481" s="30"/>
      <c r="BL481" s="30"/>
      <c r="BM481" s="30"/>
      <c r="BN481" s="30"/>
      <c r="BO481" s="30"/>
      <c r="BP481" s="30"/>
      <c r="BQ481" s="30"/>
      <c r="BR481" s="30"/>
      <c r="BS481" s="30"/>
      <c r="BT481" s="30"/>
      <c r="BU481" s="30"/>
      <c r="BV481" s="30"/>
      <c r="BW481" s="30"/>
      <c r="BX481" s="30"/>
      <c r="BY481" s="30"/>
      <c r="BZ481" s="544" t="b">
        <f>OR(BZ477,Y481=EUconst_NA)</f>
        <v>1</v>
      </c>
    </row>
    <row r="482" spans="1:78" s="140" customFormat="1" ht="12.75" customHeight="1" thickBot="1" x14ac:dyDescent="0.25">
      <c r="A482" s="777"/>
      <c r="B482" s="1248"/>
      <c r="C482" s="783" t="s">
        <v>198</v>
      </c>
      <c r="D482" s="503" t="str">
        <f>Translations!$B$639</f>
        <v>Konversijos koef.:</v>
      </c>
      <c r="E482" s="504"/>
      <c r="F482" s="539"/>
      <c r="G482" s="1603" t="str">
        <f t="shared" si="105"/>
        <v/>
      </c>
      <c r="H482" s="1604"/>
      <c r="I482" s="1113" t="str">
        <f>IF(OR(AC482=FALSE,Y482=EUconst_NA),"","-")</f>
        <v/>
      </c>
      <c r="J482" s="560"/>
      <c r="K482" s="561" t="str">
        <f t="shared" si="106"/>
        <v/>
      </c>
      <c r="L482" s="694"/>
      <c r="M482" s="700" t="str">
        <f>IF(AND(E468&lt;&gt;"",OR(F482="",COUNT(K482:L482)=0),Y482&lt;&gt;EUconst_NA,T468&lt;&gt;TRUE),EUconst_ERR_Incomplete,IF(COUNTIF(AX482:AZ482,TRUE)&gt;0,EUconst_ERR_Inconsistent,""))</f>
        <v/>
      </c>
      <c r="O482" s="1305"/>
      <c r="P482" s="33"/>
      <c r="Q482" s="33"/>
      <c r="R482" s="33"/>
      <c r="S482" s="30"/>
      <c r="T482" s="543" t="str">
        <f>EUconst_CNTR_ConversionFactor&amp;E468</f>
        <v>ConvF_</v>
      </c>
      <c r="U482" s="488"/>
      <c r="V482" s="544" t="str">
        <f t="shared" si="111"/>
        <v/>
      </c>
      <c r="W482" s="30"/>
      <c r="X482" s="488"/>
      <c r="Y482" s="545" t="str">
        <f>IF(OR(T468=TRUE,E468=""),"",INDEX(EUwideConstants!$N:$N,MATCH(T482,EUwideConstants!$Q:$Q,0)))</f>
        <v/>
      </c>
      <c r="Z482" s="546" t="str">
        <f>IF(ISBLANK(F482),"",IF(F482=EUconst_NA,"",INDEX(EUwideConstants!$H:$M,MATCH(T482,EUwideConstants!$Q:$Q,0),MATCH(F482,CNTR_TierList,0))))</f>
        <v/>
      </c>
      <c r="AA482" s="573" t="str">
        <f>IF(F482=1,1,"")</f>
        <v/>
      </c>
      <c r="AB482" s="30"/>
      <c r="AC482" s="548" t="b">
        <f>AND(AC477,Y482&lt;&gt;EUconst_NA)</f>
        <v>0</v>
      </c>
      <c r="AD482" s="30"/>
      <c r="AE482" s="563"/>
      <c r="AG482" s="564"/>
      <c r="AH482" s="574"/>
      <c r="AI482" s="565"/>
      <c r="AJ482" s="574"/>
      <c r="AK482" s="566"/>
      <c r="AL482" s="333"/>
      <c r="AM482" s="549" t="str">
        <f>EUconst_CNTR_ConversionFactor&amp;EUconst_Value</f>
        <v>ConvF_Vertė</v>
      </c>
      <c r="AN482" s="575"/>
      <c r="AO482" s="573">
        <v>1</v>
      </c>
      <c r="AP482" s="574"/>
      <c r="AQ482" s="576" t="str">
        <f>IF(AA482="","",AO482)</f>
        <v/>
      </c>
      <c r="AR482" s="548">
        <f>IF(AC482=TRUE,IF(COUNT(K482:L482)=0,0,IF(L482="",K482,L482)),1)</f>
        <v>1</v>
      </c>
      <c r="AS482" s="544" t="b">
        <f>AND(AC482=TRUE,OR(ISNUMBER(L482),NOT(ISNUMBER(AA482))))</f>
        <v>0</v>
      </c>
      <c r="AT482" s="544" t="b">
        <f t="shared" si="107"/>
        <v>0</v>
      </c>
      <c r="AU482" s="30"/>
      <c r="AV482" s="558" t="b">
        <f t="shared" si="108"/>
        <v>0</v>
      </c>
      <c r="AW482" s="559" t="b">
        <f t="shared" si="109"/>
        <v>0</v>
      </c>
      <c r="AX482" s="30"/>
      <c r="AY482" s="585" t="b">
        <f t="shared" si="110"/>
        <v>0</v>
      </c>
      <c r="AZ482" s="571" t="b">
        <f>AR482&gt;100%</f>
        <v>0</v>
      </c>
      <c r="BA482" s="30"/>
      <c r="BB482" s="569" t="s">
        <v>481</v>
      </c>
      <c r="BC482" s="570">
        <f>AR477*AR480/1000*(1-AR484)</f>
        <v>0</v>
      </c>
      <c r="BD482" s="571">
        <f>BC482</f>
        <v>0</v>
      </c>
      <c r="BE482" s="572">
        <f>BC482</f>
        <v>0</v>
      </c>
      <c r="BF482" s="30"/>
      <c r="BG482" s="30"/>
      <c r="BH482" s="30"/>
      <c r="BI482" s="30"/>
      <c r="BJ482" s="30"/>
      <c r="BK482" s="30"/>
      <c r="BL482" s="30"/>
      <c r="BM482" s="30"/>
      <c r="BN482" s="30"/>
      <c r="BO482" s="30"/>
      <c r="BP482" s="30"/>
      <c r="BQ482" s="30"/>
      <c r="BR482" s="30"/>
      <c r="BS482" s="30"/>
      <c r="BT482" s="30"/>
      <c r="BU482" s="30"/>
      <c r="BV482" s="30"/>
      <c r="BW482" s="30"/>
      <c r="BX482" s="30"/>
      <c r="BY482" s="30"/>
      <c r="BZ482" s="544" t="b">
        <f>OR(BZ477,Y482=EUconst_NA)</f>
        <v>1</v>
      </c>
    </row>
    <row r="483" spans="1:78" s="140" customFormat="1" ht="12.75" customHeight="1" thickBot="1" x14ac:dyDescent="0.25">
      <c r="A483" s="777"/>
      <c r="B483" s="1248"/>
      <c r="C483" s="783" t="s">
        <v>324</v>
      </c>
      <c r="D483" s="503" t="str">
        <f>Translations!$B$640</f>
        <v>Anglies kiekis (C):</v>
      </c>
      <c r="E483" s="504"/>
      <c r="F483" s="539"/>
      <c r="G483" s="1603" t="str">
        <f t="shared" si="105"/>
        <v/>
      </c>
      <c r="H483" s="1604"/>
      <c r="I483" s="1113" t="str">
        <f>AJ483</f>
        <v/>
      </c>
      <c r="J483" s="577"/>
      <c r="K483" s="578" t="str">
        <f t="shared" si="106"/>
        <v/>
      </c>
      <c r="L483" s="579"/>
      <c r="M483" s="700" t="str">
        <f>IF(AND(E468&lt;&gt;"",OR(F483="",COUNT(K483:L483)=0),Y483&lt;&gt;EUconst_NA,T468&lt;&gt;TRUE),EUconst_ERR_Incomplete,IF(COUNTIF(AX483:AZ483,TRUE)&gt;0,EUconst_ERR_Inconsistent,""))</f>
        <v/>
      </c>
      <c r="O483" s="1305"/>
      <c r="P483" s="33"/>
      <c r="Q483" s="33"/>
      <c r="R483" s="33"/>
      <c r="S483" s="30"/>
      <c r="T483" s="543" t="str">
        <f>EUconst_CNTR_CarbonContent&amp;E468</f>
        <v>CarbC_</v>
      </c>
      <c r="U483" s="488"/>
      <c r="V483" s="544" t="str">
        <f t="shared" si="111"/>
        <v/>
      </c>
      <c r="W483" s="30"/>
      <c r="X483" s="488"/>
      <c r="Y483" s="545" t="str">
        <f>IF(OR(T468=TRUE,E468=""),"",INDEX(EUwideConstants!$N:$N,MATCH(T483,EUwideConstants!$Q:$Q,0)))</f>
        <v/>
      </c>
      <c r="Z483" s="546" t="str">
        <f>IF(ISBLANK(F483),"",IF(F483=EUconst_NA,"",INDEX(EUwideConstants!$H:$M,MATCH(T483,EUwideConstants!$Q:$Q,0),MATCH(F483,CNTR_TierList,0))))</f>
        <v/>
      </c>
      <c r="AA483" s="580" t="str">
        <f>IF(COUNTIF(EUconst_DefaultValues,Z483)&gt;0,MATCH(Z483,EUconst_DefaultValues,0),"")</f>
        <v/>
      </c>
      <c r="AB483" s="30"/>
      <c r="AC483" s="548" t="b">
        <f>AND(AC477,Y483&lt;&gt;EUconst_NA)</f>
        <v>0</v>
      </c>
      <c r="AD483" s="30"/>
      <c r="AE483" s="549" t="str">
        <f>EUconst_CNTR_CarbonContent&amp;EUconst_Unit</f>
        <v>CarbC_Vienetas</v>
      </c>
      <c r="AF483" s="550" t="str">
        <f>IF(AC483=TRUE, IF(COUNTIF(MSPara_SourceStreamCategory,V483)=0,"",INDEX(MSPara_CalcFactorsMatrix,MATCH(V483,MSPara_SourceStreamCategory,0),MATCH(AE483&amp;"_"&amp;2,MSPara_CalcFactors,0))),"")</f>
        <v/>
      </c>
      <c r="AG483" s="551" t="str">
        <f>IF(AC483=TRUE, IF(COUNTIF(MSPara_SourceStreamCategory,V483)=0,"",INDEX(MSPara_CalcFactorsMatrix,MATCH(V483,MSPara_SourceStreamCategory,0),MATCH(AE483&amp;"_"&amp;1,MSPara_CalcFactors,0))),"")</f>
        <v/>
      </c>
      <c r="AH483" s="581" t="str">
        <f>IF(AA483="","",INDEX(AF483:AG483,3-AA483))</f>
        <v/>
      </c>
      <c r="AI483" s="565"/>
      <c r="AJ483" s="582" t="str">
        <f>IF(AC483=TRUE,IF(AJ477="","",IF(AJ477=EUconst_kNm3,EUconst_tCpkNm3,EUconst_tCpt)),"")</f>
        <v/>
      </c>
      <c r="AK483" s="566"/>
      <c r="AL483" s="333"/>
      <c r="AM483" s="549" t="str">
        <f>EUconst_CNTR_CarbonContent&amp;EUconst_Value</f>
        <v>CarbC_Vertė</v>
      </c>
      <c r="AN483" s="555" t="str">
        <f>IF(AC483=TRUE,IF(COUNTIF(MSPara_SourceStreamCategory,V483)=0,"",INDEX(MSPara_CalcFactorsMatrix,MATCH(V483,MSPara_SourceStreamCategory,0),MATCH(AM483&amp;"_"&amp;2,MSPara_CalcFactors,0))),"")</f>
        <v/>
      </c>
      <c r="AO483" s="583" t="str">
        <f>IF(AC483=TRUE,IF(COUNTIF(MSPara_SourceStreamCategory,V483)=0,"",INDEX(MSPara_CalcFactorsMatrix,MATCH(V483,MSPara_SourceStreamCategory,0),MATCH(AM483&amp;"_"&amp;1,MSPara_CalcFactors,0))),"")</f>
        <v/>
      </c>
      <c r="AP483" s="548" t="b">
        <f>AND(AND(AH483&lt;&gt;"",AJ483&lt;&gt;""),AJ483=AH483)</f>
        <v>0</v>
      </c>
      <c r="AQ483" s="584" t="str">
        <f>IF(AND(AA483&lt;&gt;"",AP483=TRUE),IF(OR(INDEX(AN483:AO483,3-AA483)=EUconst_NA,INDEX(AN483:AO483,3-AA483)=0),"",INDEX(AN483:AO483,3-AA483)),"")</f>
        <v/>
      </c>
      <c r="AR483" s="548">
        <f>IF(AC483=TRUE,IF(COUNT(K483:L483)=0,0,IF(L483="",K483,L483)),0)</f>
        <v>0</v>
      </c>
      <c r="AS483" s="544" t="b">
        <f>AND(AC483=TRUE,OR(AND(F483&lt;&gt;"",NOT(ISNUMBER(AA483))),L483&lt;&gt;"",F483="",AQ483=""))</f>
        <v>0</v>
      </c>
      <c r="AT483" s="544" t="b">
        <f t="shared" si="107"/>
        <v>0</v>
      </c>
      <c r="AU483" s="30"/>
      <c r="AV483" s="558" t="b">
        <f t="shared" si="108"/>
        <v>0</v>
      </c>
      <c r="AW483" s="559" t="b">
        <f t="shared" si="109"/>
        <v>0</v>
      </c>
      <c r="AX483" s="537" t="b">
        <f>OR(AND(AJ477=EUconst_kNm3,AJ483=EUconst_tCpt),AND(AJ477=EUconst_t,AJ483=EUconst_tCpkNm3))</f>
        <v>0</v>
      </c>
      <c r="AY483" s="544" t="b">
        <f t="shared" si="110"/>
        <v>0</v>
      </c>
      <c r="AZ483" s="30"/>
      <c r="BA483" s="30"/>
      <c r="BB483" s="569" t="s">
        <v>482</v>
      </c>
      <c r="BC483" s="570">
        <f>AR477*AR480/1000*AR484</f>
        <v>0</v>
      </c>
      <c r="BD483" s="571">
        <f>BC483</f>
        <v>0</v>
      </c>
      <c r="BE483" s="572">
        <f>BC483</f>
        <v>0</v>
      </c>
      <c r="BF483" s="30"/>
      <c r="BG483" s="30"/>
      <c r="BH483" s="30"/>
      <c r="BI483" s="30"/>
      <c r="BJ483" s="30"/>
      <c r="BK483" s="30"/>
      <c r="BL483" s="30"/>
      <c r="BM483" s="30"/>
      <c r="BN483" s="30"/>
      <c r="BO483" s="30"/>
      <c r="BP483" s="30"/>
      <c r="BQ483" s="30"/>
      <c r="BR483" s="30"/>
      <c r="BS483" s="30"/>
      <c r="BT483" s="30"/>
      <c r="BU483" s="30"/>
      <c r="BV483" s="30"/>
      <c r="BW483" s="30"/>
      <c r="BX483" s="30"/>
      <c r="BY483" s="30"/>
      <c r="BZ483" s="544" t="b">
        <f>OR(BZ477,Y483=EUconst_NA)</f>
        <v>1</v>
      </c>
    </row>
    <row r="484" spans="1:78" s="140" customFormat="1" ht="12.75" customHeight="1" x14ac:dyDescent="0.2">
      <c r="A484" s="777"/>
      <c r="B484" s="1248"/>
      <c r="C484" s="753" t="s">
        <v>325</v>
      </c>
      <c r="D484" s="503" t="str">
        <f>Translations!$B$641</f>
        <v>Biomasės dalis (BioC):</v>
      </c>
      <c r="E484" s="504"/>
      <c r="F484" s="539"/>
      <c r="G484" s="1603" t="str">
        <f t="shared" si="105"/>
        <v/>
      </c>
      <c r="H484" s="1604"/>
      <c r="I484" s="1113" t="str">
        <f>IF(OR(AC484=FALSE,Y484=EUconst_NA),"","-")</f>
        <v/>
      </c>
      <c r="J484" s="560"/>
      <c r="K484" s="561" t="str">
        <f t="shared" si="106"/>
        <v/>
      </c>
      <c r="L484" s="694"/>
      <c r="M484" s="700" t="str">
        <f>IF(AND(E468&lt;&gt;"",OR(F484="",COUNT(K484:L484)=0),Y484&lt;&gt;EUconst_NA,T468&lt;&gt;TRUE),EUconst_ERR_Incomplete,IF(COUNTIF(AX484:AZ484,TRUE)&gt;0,EUconst_ERR_Inconsistent,""))</f>
        <v/>
      </c>
      <c r="O484" s="1305"/>
      <c r="P484" s="635"/>
      <c r="Q484" s="635"/>
      <c r="R484" s="635"/>
      <c r="S484" s="30"/>
      <c r="T484" s="543" t="str">
        <f>EUconst_CNTR_BiomassContent&amp;E468</f>
        <v>BioC_</v>
      </c>
      <c r="U484" s="488"/>
      <c r="V484" s="585" t="str">
        <f t="shared" si="111"/>
        <v/>
      </c>
      <c r="W484" s="522" t="str">
        <f>IF(COUNTIF(MSPara_SourceStreamCategory,V484)=0,"",INDEX(MSPara_IsFossil,MATCH(V484,MSPara_SourceStreamCategory,0)))</f>
        <v/>
      </c>
      <c r="X484" s="488"/>
      <c r="Y484" s="545" t="str">
        <f>IF(OR(T468=TRUE,E468=""),"",IF(OR(W484=TRUE,F484=EUconst_NA),EUconst_NA,INDEX(EUwideConstants!$N:$N,MATCH(T484,EUwideConstants!$Q:$Q,0))))</f>
        <v/>
      </c>
      <c r="Z484" s="546" t="str">
        <f>IF(ISBLANK(F484),"",IF(F484=EUconst_NA,"",INDEX(EUwideConstants!$H:$M,MATCH(T484,EUwideConstants!$Q:$Q,0),MATCH(F484,CNTR_TierList,0))))</f>
        <v/>
      </c>
      <c r="AA484" s="586" t="str">
        <f>IF(F484=1,1,"")</f>
        <v/>
      </c>
      <c r="AB484" s="30"/>
      <c r="AC484" s="548" t="b">
        <f>AND(AC477,Y484&lt;&gt;EUconst_NA)</f>
        <v>0</v>
      </c>
      <c r="AD484" s="30"/>
      <c r="AE484" s="563"/>
      <c r="AG484" s="564"/>
      <c r="AH484" s="553"/>
      <c r="AI484" s="565"/>
      <c r="AJ484" s="553"/>
      <c r="AK484" s="566"/>
      <c r="AL484" s="333"/>
      <c r="AM484" s="549" t="str">
        <f>EUconst_CNTR_BiomassContent&amp;EUconst_Value</f>
        <v>BioC_Vertė</v>
      </c>
      <c r="AO484" s="587" t="str">
        <f>IF(AC484=TRUE,IF(COUNTIF(MSPara_SourceStreamCategory,V484)=0,"",INDEX(MSPara_CalcFactorsMatrix,MATCH(V484,MSPara_SourceStreamCategory,0),MATCH(AM484&amp;"_"&amp;2,MSPara_CalcFactors,0))),"")</f>
        <v/>
      </c>
      <c r="AP484" s="553"/>
      <c r="AQ484" s="568" t="str">
        <f>IF(OR(AA484="",AO484=EUconst_NA),"",AO484)</f>
        <v/>
      </c>
      <c r="AR484" s="548">
        <f>IF(AC484=TRUE,IF(COUNT(K484:L484)=0,0,IF(L484="",K484,L484)),0)</f>
        <v>0</v>
      </c>
      <c r="AS484" s="544" t="b">
        <f>AND(AC484=TRUE,OR(AND(F484&lt;&gt;"",NOT(ISNUMBER(AA484))),L484&lt;&gt;"",F484="",AQ484=""))</f>
        <v>0</v>
      </c>
      <c r="AT484" s="544" t="b">
        <f t="shared" si="107"/>
        <v>0</v>
      </c>
      <c r="AU484" s="30"/>
      <c r="AV484" s="558" t="b">
        <f t="shared" si="108"/>
        <v>0</v>
      </c>
      <c r="AW484" s="559" t="b">
        <f t="shared" si="109"/>
        <v>0</v>
      </c>
      <c r="AX484" s="30"/>
      <c r="AY484" s="585" t="b">
        <f t="shared" si="110"/>
        <v>0</v>
      </c>
      <c r="AZ484" s="522" t="b">
        <f>OR(AR484&gt;100%,(AR484+AR485)&gt;100%)</f>
        <v>0</v>
      </c>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544" t="b">
        <f>OR(BZ477,Y484=EUconst_NA)</f>
        <v>1</v>
      </c>
    </row>
    <row r="485" spans="1:78" s="140" customFormat="1" ht="12.75" customHeight="1" thickBot="1" x14ac:dyDescent="0.25">
      <c r="A485" s="777"/>
      <c r="B485" s="1248"/>
      <c r="C485" s="753" t="s">
        <v>448</v>
      </c>
      <c r="D485" s="503" t="str">
        <f>Translations!$B$647</f>
        <v>Netvarios BioC dalis:</v>
      </c>
      <c r="E485" s="504"/>
      <c r="F485" s="588"/>
      <c r="G485" s="1603" t="str">
        <f t="shared" si="105"/>
        <v/>
      </c>
      <c r="H485" s="1604"/>
      <c r="I485" s="1114" t="str">
        <f>IF(OR(AC485=FALSE,Y485=EUconst_NA),"","-")</f>
        <v/>
      </c>
      <c r="J485" s="560"/>
      <c r="K485" s="589" t="str">
        <f t="shared" si="106"/>
        <v/>
      </c>
      <c r="L485" s="1100"/>
      <c r="M485" s="700" t="str">
        <f>IF(AND(E468&lt;&gt;"",OR(F485="",COUNT(K485:L485)=0),Y485&lt;&gt;EUconst_NA,T468&lt;&gt;TRUE),EUconst_ERR_Incomplete,IF(COUNTIF(AX485:AZ485,TRUE)&gt;0,EUconst_ERR_Inconsistent,""))</f>
        <v/>
      </c>
      <c r="O485" s="1305"/>
      <c r="P485" s="635"/>
      <c r="Q485" s="635"/>
      <c r="R485" s="635"/>
      <c r="S485" s="30"/>
      <c r="T485" s="590" t="str">
        <f>EUconst_CNTR_BiomassContent&amp;E468</f>
        <v>BioC_</v>
      </c>
      <c r="U485" s="488"/>
      <c r="V485" s="570" t="str">
        <f t="shared" si="111"/>
        <v/>
      </c>
      <c r="W485" s="571" t="str">
        <f>IF(COUNTIF(MSPara_SourceStreamCategory,V485)=0,"",INDEX(MSPara_IsFossil,MATCH(V485,MSPara_SourceStreamCategory,0)))</f>
        <v/>
      </c>
      <c r="X485" s="488"/>
      <c r="Y485" s="591" t="str">
        <f>IF(OR(T468=TRUE,E468=""),"",IF(OR(W485=TRUE,F485=EUconst_NA),EUconst_NA,INDEX(EUwideConstants!$N:$N,MATCH(T485,EUwideConstants!$Q:$Q,0))))</f>
        <v/>
      </c>
      <c r="Z485" s="592" t="str">
        <f>IF(ISBLANK(F485),"",IF(F485=EUconst_NA,"",INDEX(EUwideConstants!$H:$M,MATCH(T485,EUwideConstants!$Q:$Q,0),MATCH(F485,CNTR_TierList,0))))</f>
        <v/>
      </c>
      <c r="AA485" s="593" t="str">
        <f>IF(F485=1,1,"")</f>
        <v/>
      </c>
      <c r="AB485" s="30"/>
      <c r="AC485" s="594" t="b">
        <f>AND(AC477,Y485&lt;&gt;EUconst_NA)</f>
        <v>0</v>
      </c>
      <c r="AD485" s="30"/>
      <c r="AE485" s="595"/>
      <c r="AF485" s="596"/>
      <c r="AG485" s="597"/>
      <c r="AH485" s="598"/>
      <c r="AI485" s="598"/>
      <c r="AJ485" s="598"/>
      <c r="AK485" s="599"/>
      <c r="AL485" s="333"/>
      <c r="AM485" s="600" t="str">
        <f>EUconst_CNTR_BiomassContent&amp;EUconst_Value</f>
        <v>BioC_Vertė</v>
      </c>
      <c r="AN485" s="596"/>
      <c r="AO485" s="601" t="str">
        <f>IF(AC485=TRUE,IF(COUNTIF(MSPara_SourceStreamCategory,V485)=0,"",INDEX(MSPara_CalcFactorsMatrix,MATCH(V485,MSPara_SourceStreamCategory,0),MATCH(AM485&amp;"_"&amp;2,MSPara_CalcFactors,0))),"")</f>
        <v/>
      </c>
      <c r="AP485" s="598"/>
      <c r="AQ485" s="602" t="str">
        <f>IF(OR(AA485="",AO485=EUconst_NA),"",AO485)</f>
        <v/>
      </c>
      <c r="AR485" s="594">
        <f>IF(AC485=TRUE,IF(COUNT(K485:L485)=0,0,IF(L485="",K485,L485)),0)</f>
        <v>0</v>
      </c>
      <c r="AS485" s="603" t="b">
        <f>AND(AC485=TRUE,OR(AND(F485&lt;&gt;"",NOT(ISNUMBER(AA485))),L485&lt;&gt;"",F485="",AQ485=""))</f>
        <v>0</v>
      </c>
      <c r="AT485" s="603" t="b">
        <f t="shared" si="107"/>
        <v>0</v>
      </c>
      <c r="AU485" s="30"/>
      <c r="AV485" s="604" t="b">
        <f t="shared" si="108"/>
        <v>0</v>
      </c>
      <c r="AW485" s="605" t="b">
        <f t="shared" si="109"/>
        <v>0</v>
      </c>
      <c r="AX485" s="30"/>
      <c r="AY485" s="570" t="b">
        <f t="shared" si="110"/>
        <v>0</v>
      </c>
      <c r="AZ485" s="571" t="b">
        <f>OR(AR484&gt;100%,(AR484+AR485)&gt;100%)</f>
        <v>0</v>
      </c>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571" t="b">
        <f>OR(BZ477,Y485=EUconst_NA)</f>
        <v>1</v>
      </c>
    </row>
    <row r="486" spans="1:78" s="140" customFormat="1" ht="5.0999999999999996" customHeight="1" x14ac:dyDescent="0.2">
      <c r="A486" s="777"/>
      <c r="B486" s="1248"/>
      <c r="C486" s="164"/>
      <c r="D486" s="178"/>
      <c r="O486" s="1305"/>
      <c r="P486" s="33"/>
      <c r="Q486" s="33"/>
      <c r="R486" s="33"/>
      <c r="S486" s="172"/>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row>
    <row r="487" spans="1:78" s="140" customFormat="1" ht="12.75" customHeight="1" x14ac:dyDescent="0.2">
      <c r="A487" s="777"/>
      <c r="B487" s="1248"/>
      <c r="C487" s="164"/>
      <c r="D487" s="1629" t="str">
        <f>Translations!$B$674</f>
        <v>Pakopos galioja nuo:</v>
      </c>
      <c r="E487" s="1629"/>
      <c r="F487" s="1630"/>
      <c r="G487" s="1014"/>
      <c r="H487" s="606" t="str">
        <f>Translations!$B$675</f>
        <v>iki:</v>
      </c>
      <c r="I487" s="1014"/>
      <c r="J487" s="1620" t="str">
        <f>Translations!$B$676</f>
        <v>Atliekų katalogo numeris (jeigu taikytina):</v>
      </c>
      <c r="K487" s="1621"/>
      <c r="L487" s="1621"/>
      <c r="M487" s="1622"/>
      <c r="N487" s="1232"/>
      <c r="O487" s="1305"/>
      <c r="P487" s="33"/>
      <c r="Q487" s="33"/>
      <c r="R487" s="33"/>
      <c r="S487" s="1233"/>
      <c r="T487" s="483"/>
      <c r="U487" s="483"/>
      <c r="V487" s="48" t="b">
        <f>IF(V477="",FALSE,INDEX(CNTR_IsWaste,MATCH(V477,MSParameters!$A$218:$A$376,0)))</f>
        <v>0</v>
      </c>
      <c r="W487" s="1233" t="s">
        <v>1689</v>
      </c>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2" t="b">
        <f>BZ477</f>
        <v>1</v>
      </c>
    </row>
    <row r="488" spans="1:78" s="140" customFormat="1" ht="5.0999999999999996" customHeight="1" x14ac:dyDescent="0.2">
      <c r="A488" s="777"/>
      <c r="B488" s="1248"/>
      <c r="C488" s="164"/>
      <c r="D488" s="606"/>
      <c r="E488" s="486"/>
      <c r="F488" s="486"/>
      <c r="G488" s="486"/>
      <c r="H488" s="486"/>
      <c r="I488" s="486"/>
      <c r="J488" s="486"/>
      <c r="K488" s="486"/>
      <c r="L488" s="486"/>
      <c r="M488" s="486"/>
      <c r="N488" s="486"/>
      <c r="O488" s="1305"/>
      <c r="P488" s="33"/>
      <c r="Q488" s="33"/>
      <c r="R488" s="33"/>
      <c r="S488" s="172"/>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row>
    <row r="489" spans="1:78" s="140" customFormat="1" ht="12.75" customHeight="1" x14ac:dyDescent="0.2">
      <c r="A489" s="777"/>
      <c r="B489" s="1248"/>
      <c r="C489" s="164"/>
      <c r="D489" s="486"/>
      <c r="E489" s="486"/>
      <c r="F489" s="486"/>
      <c r="G489" s="486"/>
      <c r="H489" s="486"/>
      <c r="I489" s="486"/>
      <c r="J489" s="486"/>
      <c r="K489" s="486"/>
      <c r="L489" s="486"/>
      <c r="M489" s="606" t="str">
        <f>Translations!$B$677</f>
        <v>Stebėsenos plane šiam sukėlikliui suteiktas identifikatorius:</v>
      </c>
      <c r="N489" s="705"/>
      <c r="O489" s="1305"/>
      <c r="P489" s="33"/>
      <c r="Q489" s="33"/>
      <c r="R489" s="33"/>
      <c r="S489" s="172"/>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2" t="b">
        <f>BZ487</f>
        <v>1</v>
      </c>
    </row>
    <row r="490" spans="1:78" s="140" customFormat="1" ht="5.0999999999999996" customHeight="1" x14ac:dyDescent="0.2">
      <c r="A490" s="784"/>
      <c r="B490" s="1316"/>
      <c r="D490" s="178"/>
      <c r="O490" s="1317"/>
      <c r="P490" s="488"/>
      <c r="Q490" s="488"/>
      <c r="R490" s="488"/>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row>
    <row r="491" spans="1:78" s="140" customFormat="1" x14ac:dyDescent="0.2">
      <c r="A491" s="784"/>
      <c r="B491" s="1316"/>
      <c r="D491" s="1618" t="str">
        <f>Translations!$B$160</f>
        <v>Pastabos:</v>
      </c>
      <c r="E491" s="1619"/>
      <c r="F491" s="1605"/>
      <c r="G491" s="1606"/>
      <c r="H491" s="1606"/>
      <c r="I491" s="1606"/>
      <c r="J491" s="1606"/>
      <c r="K491" s="1606"/>
      <c r="L491" s="1606"/>
      <c r="M491" s="1606"/>
      <c r="N491" s="1607"/>
      <c r="O491" s="1317"/>
      <c r="P491" s="488"/>
      <c r="Q491" s="488"/>
      <c r="R491" s="488"/>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2" t="b">
        <f>BZ487</f>
        <v>1</v>
      </c>
    </row>
    <row r="492" spans="1:78" s="28" customFormat="1" ht="12.75" customHeight="1" thickBot="1" x14ac:dyDescent="0.25">
      <c r="A492" s="777"/>
      <c r="B492" s="1312"/>
      <c r="C492" s="490"/>
      <c r="D492" s="491"/>
      <c r="E492" s="492"/>
      <c r="F492" s="490"/>
      <c r="G492" s="493"/>
      <c r="H492" s="493"/>
      <c r="I492" s="493"/>
      <c r="J492" s="493"/>
      <c r="K492" s="493"/>
      <c r="L492" s="493"/>
      <c r="M492" s="493"/>
      <c r="N492" s="493"/>
      <c r="O492" s="1313"/>
      <c r="P492" s="485"/>
      <c r="Q492" s="485"/>
      <c r="R492" s="485"/>
      <c r="S492" s="58"/>
      <c r="T492" s="58"/>
      <c r="U492" s="489"/>
      <c r="V492" s="58"/>
      <c r="W492" s="58"/>
      <c r="X492" s="489"/>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30"/>
      <c r="BJ492" s="30"/>
      <c r="BK492" s="30"/>
      <c r="BL492" s="58"/>
      <c r="BM492" s="58"/>
      <c r="BN492" s="58"/>
      <c r="BO492" s="58"/>
      <c r="BP492" s="58"/>
      <c r="BQ492" s="58"/>
      <c r="BR492" s="58"/>
      <c r="BS492" s="58"/>
      <c r="BT492" s="58"/>
      <c r="BU492" s="58"/>
      <c r="BV492" s="58"/>
      <c r="BW492" s="58"/>
      <c r="BX492" s="58"/>
      <c r="BY492" s="58"/>
      <c r="BZ492" s="58"/>
    </row>
    <row r="493" spans="1:78" s="28" customFormat="1" ht="12.75" customHeight="1" thickBot="1" x14ac:dyDescent="0.25">
      <c r="A493" s="782"/>
      <c r="B493" s="1312"/>
      <c r="C493" s="486"/>
      <c r="D493" s="178"/>
      <c r="E493" s="487"/>
      <c r="F493" s="486"/>
      <c r="G493" s="478"/>
      <c r="H493" s="478"/>
      <c r="I493" s="478"/>
      <c r="J493" s="478"/>
      <c r="K493" s="486"/>
      <c r="L493" s="478"/>
      <c r="M493" s="478"/>
      <c r="N493" s="478"/>
      <c r="O493" s="1313"/>
      <c r="P493" s="485"/>
      <c r="Q493" s="485"/>
      <c r="R493" s="485"/>
      <c r="S493" s="23"/>
      <c r="T493" s="27" t="str">
        <f>IF(ISBLANK(E494),"",MATCH(E494,CNTR_SourceStreamNames,0))</f>
        <v/>
      </c>
      <c r="U493" s="609" t="str">
        <f>IF(ISBLANK(E494),"",INDEX(B_InstallationDescription!$D$71:$D$145,MATCH(E494,CNTR_SourceStreamNames,0)))</f>
        <v/>
      </c>
      <c r="V493" s="76"/>
      <c r="W493" s="56"/>
      <c r="X493" s="56"/>
      <c r="Y493" s="56"/>
      <c r="Z493" s="58"/>
      <c r="AA493" s="58"/>
      <c r="AB493" s="58"/>
      <c r="AC493" s="58"/>
      <c r="AD493" s="58"/>
      <c r="AE493" s="58"/>
      <c r="AF493" s="58"/>
      <c r="AG493" s="58"/>
      <c r="AH493" s="58"/>
      <c r="AI493" s="58"/>
      <c r="AJ493" s="58"/>
      <c r="AK493" s="482"/>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6"/>
      <c r="BI493" s="56"/>
      <c r="BJ493" s="56"/>
      <c r="BK493" s="56"/>
      <c r="BL493" s="56"/>
      <c r="BM493" s="56"/>
      <c r="BN493" s="56"/>
      <c r="BO493" s="56"/>
      <c r="BP493" s="56"/>
      <c r="BQ493" s="56"/>
      <c r="BR493" s="56"/>
      <c r="BS493" s="56"/>
      <c r="BT493" s="56"/>
      <c r="BU493" s="56"/>
      <c r="BV493" s="56"/>
      <c r="BW493" s="56"/>
      <c r="BX493" s="56"/>
      <c r="BY493" s="56"/>
      <c r="BZ493" s="484" t="s">
        <v>259</v>
      </c>
    </row>
    <row r="494" spans="1:78" s="140" customFormat="1" ht="15" customHeight="1" thickBot="1" x14ac:dyDescent="0.25">
      <c r="A494" s="1302" t="str">
        <f>IF(E494="","","PRINT")</f>
        <v/>
      </c>
      <c r="B494" s="1248"/>
      <c r="C494" s="608">
        <f>C467+1</f>
        <v>17</v>
      </c>
      <c r="D494" s="164"/>
      <c r="E494" s="1610"/>
      <c r="F494" s="1611"/>
      <c r="G494" s="1611"/>
      <c r="H494" s="1611"/>
      <c r="I494" s="1611"/>
      <c r="J494" s="1612"/>
      <c r="K494" s="1623" t="str">
        <f>IF(E495="","",INDEX(EUwideConstants!$F$353:$F$394,MATCH(E495,EUConst_TierActivityListNames,0)))</f>
        <v/>
      </c>
      <c r="L494" s="1624"/>
      <c r="M494" s="494" t="str">
        <f>Translations!$B$665</f>
        <v>CO2, iškastinio kuro kilmės:</v>
      </c>
      <c r="N494" s="1012" t="str">
        <f>IF(OR(K494="",T495=TRUE),"",INDEX(BC508:BE508,MATCH(K494,BC504:BE504,0)))</f>
        <v/>
      </c>
      <c r="O494" s="1314" t="s">
        <v>257</v>
      </c>
      <c r="P494" s="1303" t="str">
        <f>IF(AND(E494&lt;&gt;"",COUNTIF(P495:$P$2089,"PRINT")=0),"PRINT","")</f>
        <v/>
      </c>
      <c r="Q494" s="343" t="str">
        <f>EUconst_SumCO2 &amp; "_" &amp; K494</f>
        <v>SUM_CO2_</v>
      </c>
      <c r="R494" s="485"/>
      <c r="S494" s="23"/>
      <c r="T494" s="500" t="s">
        <v>387</v>
      </c>
      <c r="U494" s="23"/>
      <c r="V494" s="76"/>
      <c r="W494" s="56"/>
      <c r="X494" s="58"/>
      <c r="Y494" s="58"/>
      <c r="Z494" s="58"/>
      <c r="AA494" s="58"/>
      <c r="AB494" s="58"/>
      <c r="AC494" s="58"/>
      <c r="AD494" s="58"/>
      <c r="AE494" s="58"/>
      <c r="AF494" s="58"/>
      <c r="AG494" s="58"/>
      <c r="AH494" s="58"/>
      <c r="AI494" s="333"/>
      <c r="AJ494" s="333"/>
      <c r="AK494" s="333"/>
      <c r="AL494" s="333"/>
      <c r="AM494" s="333"/>
      <c r="AN494" s="333"/>
      <c r="AO494" s="333"/>
      <c r="AP494" s="333"/>
      <c r="AQ494" s="333"/>
      <c r="AR494" s="333"/>
      <c r="AS494" s="333"/>
      <c r="AT494" s="333"/>
      <c r="AU494" s="333"/>
      <c r="AV494" s="333"/>
      <c r="AW494" s="333"/>
      <c r="AX494" s="333"/>
      <c r="AY494" s="333"/>
      <c r="AZ494" s="333"/>
      <c r="BA494" s="333"/>
      <c r="BB494" s="333"/>
      <c r="BC494" s="333"/>
      <c r="BD494" s="333"/>
      <c r="BE494" s="333"/>
      <c r="BF494" s="333"/>
      <c r="BG494" s="333"/>
      <c r="BH494" s="834">
        <f>AR504</f>
        <v>0</v>
      </c>
      <c r="BI494" s="834" t="str">
        <f>AJ504</f>
        <v/>
      </c>
      <c r="BJ494" s="834">
        <f>AR506</f>
        <v>0</v>
      </c>
      <c r="BK494" s="834" t="str">
        <f>AJ506</f>
        <v/>
      </c>
      <c r="BL494" s="834">
        <f>AR507</f>
        <v>0</v>
      </c>
      <c r="BM494" s="834" t="str">
        <f>AJ507</f>
        <v/>
      </c>
      <c r="BN494" s="834">
        <f>AR508</f>
        <v>1</v>
      </c>
      <c r="BO494" s="834">
        <f>AR509</f>
        <v>1</v>
      </c>
      <c r="BP494" s="834">
        <f>AR510</f>
        <v>0</v>
      </c>
      <c r="BQ494" s="834" t="str">
        <f>AJ510</f>
        <v/>
      </c>
      <c r="BR494" s="834">
        <f>AR511</f>
        <v>0</v>
      </c>
      <c r="BS494" s="834">
        <f>AR512</f>
        <v>0</v>
      </c>
      <c r="BT494" s="834" t="str">
        <f>N494</f>
        <v/>
      </c>
      <c r="BU494" s="834" t="str">
        <f>N495</f>
        <v/>
      </c>
      <c r="BV494" s="834" t="str">
        <f>R497</f>
        <v/>
      </c>
      <c r="BW494" s="834" t="str">
        <f>R503</f>
        <v/>
      </c>
      <c r="BX494" s="834" t="str">
        <f>R504</f>
        <v/>
      </c>
      <c r="BY494" s="56"/>
      <c r="BZ494" s="610" t="b">
        <f>CNTR_CalcRelevant=EUconst_NotRelevant</f>
        <v>0</v>
      </c>
    </row>
    <row r="495" spans="1:78" s="140" customFormat="1" ht="15" customHeight="1" thickBot="1" x14ac:dyDescent="0.25">
      <c r="A495" s="777"/>
      <c r="B495" s="1248"/>
      <c r="C495" s="164"/>
      <c r="D495" s="164"/>
      <c r="E495" s="1625" t="str">
        <f>IF(ISBLANK(E494),"",IF(INDEX(B_InstallationDescription!$E$71:$E$145,MATCH(U493,B_InstallationDescription!$D$71:$D$145,0))&gt;0,INDEX(B_InstallationDescription!$E$71:$E$145,MATCH(U493,B_InstallationDescription!$D$71:$D$145,0)),""))</f>
        <v/>
      </c>
      <c r="F495" s="1626"/>
      <c r="G495" s="1626"/>
      <c r="H495" s="1626"/>
      <c r="I495" s="1626"/>
      <c r="J495" s="1627"/>
      <c r="M495" s="337" t="str">
        <f>Translations!$B$666</f>
        <v>CO2, biomasės kilmės.:</v>
      </c>
      <c r="N495" s="1013" t="str">
        <f>IF(OR(K494="",T495=TRUE),"",INDEX(BC507:BE507,MATCH(K494,BC504:BE504,0)))</f>
        <v/>
      </c>
      <c r="O495" s="1315" t="s">
        <v>257</v>
      </c>
      <c r="P495" s="485"/>
      <c r="Q495" s="343" t="str">
        <f>EUconst_SumBioCO2 &amp; "_" &amp; K494</f>
        <v>SUM_bioCO2_</v>
      </c>
      <c r="R495" s="485"/>
      <c r="S495" s="23"/>
      <c r="T495" s="48" t="str">
        <f>IF(E495="","",MATCH(E495,EUConst_TierActivityListNames,0)&gt;40)</f>
        <v/>
      </c>
      <c r="U495" s="23"/>
      <c r="V495" s="76"/>
      <c r="W495" s="56"/>
      <c r="X495" s="58"/>
      <c r="Y495" s="27" t="s">
        <v>91</v>
      </c>
      <c r="Z495" s="30"/>
      <c r="AA495" s="30"/>
      <c r="AB495" s="30"/>
      <c r="AC495" s="30"/>
      <c r="AD495" s="30"/>
      <c r="AE495" s="27" t="s">
        <v>297</v>
      </c>
      <c r="AF495" s="58"/>
      <c r="AG495" s="495"/>
      <c r="AH495" s="30"/>
      <c r="AI495" s="30"/>
      <c r="AJ495" s="495"/>
      <c r="AK495" s="495"/>
      <c r="AL495" s="333"/>
      <c r="AM495" s="27" t="s">
        <v>303</v>
      </c>
      <c r="AN495" s="496"/>
      <c r="AO495" s="496"/>
      <c r="AP495" s="30"/>
      <c r="AQ495" s="30"/>
      <c r="AR495" s="30"/>
      <c r="AS495" s="30"/>
      <c r="AT495" s="30"/>
      <c r="AU495" s="30"/>
      <c r="AV495" s="27" t="s">
        <v>310</v>
      </c>
      <c r="AW495" s="30"/>
      <c r="AX495" s="483"/>
      <c r="AY495" s="30"/>
      <c r="AZ495" s="30"/>
      <c r="BA495" s="30"/>
      <c r="BB495" s="27" t="s">
        <v>217</v>
      </c>
      <c r="BC495" s="30"/>
      <c r="BD495" s="30"/>
      <c r="BE495" s="30"/>
      <c r="BF495" s="30"/>
      <c r="BG495" s="27" t="s">
        <v>486</v>
      </c>
      <c r="BH495" s="833" t="s">
        <v>552</v>
      </c>
      <c r="BI495" s="833" t="s">
        <v>487</v>
      </c>
      <c r="BJ495" s="833" t="s">
        <v>211</v>
      </c>
      <c r="BK495" s="833" t="s">
        <v>488</v>
      </c>
      <c r="BL495" s="833" t="s">
        <v>68</v>
      </c>
      <c r="BM495" s="833" t="s">
        <v>489</v>
      </c>
      <c r="BN495" s="833" t="s">
        <v>490</v>
      </c>
      <c r="BO495" s="833" t="s">
        <v>491</v>
      </c>
      <c r="BP495" s="833" t="s">
        <v>214</v>
      </c>
      <c r="BQ495" s="833" t="s">
        <v>492</v>
      </c>
      <c r="BR495" s="833" t="s">
        <v>493</v>
      </c>
      <c r="BS495" s="833" t="s">
        <v>494</v>
      </c>
      <c r="BT495" s="833" t="s">
        <v>287</v>
      </c>
      <c r="BU495" s="833" t="s">
        <v>495</v>
      </c>
      <c r="BV495" s="833" t="s">
        <v>498</v>
      </c>
      <c r="BW495" s="833" t="s">
        <v>496</v>
      </c>
      <c r="BX495" s="833" t="s">
        <v>497</v>
      </c>
      <c r="BY495" s="30"/>
      <c r="BZ495" s="30"/>
    </row>
    <row r="496" spans="1:78" s="140" customFormat="1" ht="5.0999999999999996" customHeight="1" thickBot="1" x14ac:dyDescent="0.25">
      <c r="A496" s="777"/>
      <c r="B496" s="1248"/>
      <c r="C496" s="164"/>
      <c r="D496" s="164"/>
      <c r="E496" s="164"/>
      <c r="F496" s="164"/>
      <c r="G496" s="164"/>
      <c r="M496" s="141"/>
      <c r="N496" s="141"/>
      <c r="O496" s="1305"/>
      <c r="P496" s="33"/>
      <c r="Q496" s="33"/>
      <c r="R496" s="33"/>
      <c r="S496" s="23"/>
      <c r="T496" s="23"/>
      <c r="U496" s="23"/>
      <c r="V496" s="76"/>
      <c r="W496" s="30"/>
      <c r="X496" s="30"/>
      <c r="Y496" s="485"/>
      <c r="Z496" s="30"/>
      <c r="AA496" s="30"/>
      <c r="AB496" s="30"/>
      <c r="AC496" s="30"/>
      <c r="AD496" s="30"/>
      <c r="AE496" s="30"/>
      <c r="AF496" s="58"/>
      <c r="AG496" s="30"/>
      <c r="AH496" s="30"/>
      <c r="AI496" s="30"/>
      <c r="AJ496" s="495"/>
      <c r="AK496" s="495"/>
      <c r="AL496" s="333"/>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row>
    <row r="497" spans="1:78" s="140" customFormat="1" ht="12.75" customHeight="1" thickBot="1" x14ac:dyDescent="0.25">
      <c r="A497" s="777"/>
      <c r="B497" s="1248"/>
      <c r="C497" s="164"/>
      <c r="D497" s="164"/>
      <c r="E497" s="1628" t="str">
        <f>IF(E494="","",IF(T495=TRUE,HYPERLINK("#JUMP_14",EUconst_MsgGoOnPFC),HYPERLINK("#JUMP_E_8",EUconst_FurtherGuidancePoint1)))</f>
        <v/>
      </c>
      <c r="F497" s="1628"/>
      <c r="G497" s="1628"/>
      <c r="H497" s="1628"/>
      <c r="I497" s="1628"/>
      <c r="J497" s="1628"/>
      <c r="K497" s="1628"/>
      <c r="L497" s="1628"/>
      <c r="M497" s="1628"/>
      <c r="N497" s="141"/>
      <c r="O497" s="1305"/>
      <c r="P497" s="33"/>
      <c r="Q497" s="343" t="str">
        <f>EUconst_SumNonSustBioCO2 &amp; "_" &amp; K494</f>
        <v>SUM_bioNonSustCO2_</v>
      </c>
      <c r="R497" s="698" t="str">
        <f>IF(OR(K494="",T495=TRUE),"",ROUND(INDEX(BC506:BE506,MATCH(K494,BC504:BE504,0)),0))</f>
        <v/>
      </c>
      <c r="S497" s="23"/>
      <c r="T497" s="23"/>
      <c r="U497" s="23"/>
      <c r="V497" s="30"/>
      <c r="W497" s="30"/>
      <c r="X497" s="30"/>
      <c r="Y497" s="58"/>
      <c r="Z497" s="30"/>
      <c r="AA497" s="30"/>
      <c r="AB497" s="30"/>
      <c r="AC497" s="30"/>
      <c r="AD497" s="30"/>
      <c r="AE497" s="30"/>
      <c r="AF497" s="58"/>
      <c r="AG497" s="30"/>
      <c r="AH497" s="30"/>
      <c r="AI497" s="30"/>
      <c r="AJ497" s="495"/>
      <c r="AK497" s="495"/>
      <c r="AL497" s="333"/>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row>
    <row r="498" spans="1:78" s="140" customFormat="1" ht="5.0999999999999996" customHeight="1" thickBot="1" x14ac:dyDescent="0.25">
      <c r="A498" s="777"/>
      <c r="B498" s="1248"/>
      <c r="C498" s="164"/>
      <c r="D498" s="164"/>
      <c r="E498" s="164"/>
      <c r="F498" s="164"/>
      <c r="G498" s="164"/>
      <c r="M498" s="141"/>
      <c r="N498" s="141"/>
      <c r="O498" s="1305"/>
      <c r="P498" s="23"/>
      <c r="Q498" s="23"/>
      <c r="R498" s="23"/>
      <c r="S498" s="23"/>
      <c r="T498" s="23"/>
      <c r="U498" s="23"/>
      <c r="V498" s="30"/>
      <c r="W498" s="30"/>
      <c r="X498" s="30"/>
      <c r="Y498" s="485"/>
      <c r="Z498" s="30"/>
      <c r="AA498" s="30"/>
      <c r="AB498" s="30"/>
      <c r="AC498" s="30"/>
      <c r="AD498" s="30"/>
      <c r="AE498" s="30"/>
      <c r="AF498" s="58"/>
      <c r="AG498" s="30"/>
      <c r="AH498" s="30"/>
      <c r="AI498" s="30"/>
      <c r="AJ498" s="495"/>
      <c r="AK498" s="495"/>
      <c r="AL498" s="333"/>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row>
    <row r="499" spans="1:78" s="140" customFormat="1" ht="12.75" customHeight="1" thickBot="1" x14ac:dyDescent="0.25">
      <c r="A499" s="777"/>
      <c r="B499" s="1248"/>
      <c r="C499" s="783" t="s">
        <v>4</v>
      </c>
      <c r="D499" s="503" t="str">
        <f>Translations!$B$622</f>
        <v>VD:</v>
      </c>
      <c r="E499" s="1631" t="str">
        <f>Translations!$B$667</f>
        <v>Ar veiklos duomenys gaunami sudedant išmatuotus kiekius (t. y. ne atliekant nuolatinius matavimus)?</v>
      </c>
      <c r="F499" s="1631"/>
      <c r="G499" s="1631"/>
      <c r="H499" s="1631"/>
      <c r="I499" s="1631"/>
      <c r="J499" s="1631"/>
      <c r="K499" s="1631"/>
      <c r="L499" s="1122"/>
      <c r="M499" s="498"/>
      <c r="O499" s="1305"/>
      <c r="P499" s="23"/>
      <c r="Q499" s="23"/>
      <c r="R499" s="23"/>
      <c r="S499" s="23"/>
      <c r="T499" s="23"/>
      <c r="U499" s="23"/>
      <c r="V499" s="30"/>
      <c r="W499" s="30"/>
      <c r="X499" s="30"/>
      <c r="Y499" s="485"/>
      <c r="Z499" s="30"/>
      <c r="AA499" s="30"/>
      <c r="AB499" s="30"/>
      <c r="AC499" s="1115" t="b">
        <f>AND(E494&lt;&gt;"",T495&lt;&gt;TRUE)</f>
        <v>0</v>
      </c>
      <c r="AD499" s="30"/>
      <c r="AE499" s="30"/>
      <c r="AF499" s="58"/>
      <c r="AG499" s="30"/>
      <c r="AH499" s="30"/>
      <c r="AI499" s="30"/>
      <c r="AJ499" s="495"/>
      <c r="AK499" s="495"/>
      <c r="AL499" s="333"/>
      <c r="AM499" s="30"/>
      <c r="AN499" s="30"/>
      <c r="AO499" s="30"/>
      <c r="AP499" s="30"/>
      <c r="AQ499" s="30"/>
      <c r="AR499" s="30"/>
      <c r="AS499" s="30"/>
      <c r="AT499" s="1115" t="b">
        <f>MSPara_BatchReportingMandatory&lt;&gt;TRUE</f>
        <v>0</v>
      </c>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1115" t="b">
        <f>OR(CNTR_CalcRelevant=EUconst_NotRelevant,AND(COUNTA(CNTR_ListRelevantSections)&gt;0,OR(T495=TRUE,E494="")))</f>
        <v>1</v>
      </c>
    </row>
    <row r="500" spans="1:78" s="140" customFormat="1" ht="5.0999999999999996" customHeight="1" thickBot="1" x14ac:dyDescent="0.25">
      <c r="A500" s="777"/>
      <c r="B500" s="1248"/>
      <c r="C500" s="164"/>
      <c r="D500" s="164"/>
      <c r="E500" s="164"/>
      <c r="F500" s="164"/>
      <c r="G500" s="164"/>
      <c r="H500" s="486"/>
      <c r="I500" s="486"/>
      <c r="J500" s="486"/>
      <c r="K500" s="486"/>
      <c r="L500" s="486"/>
      <c r="M500" s="498"/>
      <c r="O500" s="1305"/>
      <c r="P500" s="23"/>
      <c r="Q500" s="23"/>
      <c r="R500" s="23"/>
      <c r="S500" s="23"/>
      <c r="T500" s="23"/>
      <c r="U500" s="23"/>
      <c r="V500" s="30"/>
      <c r="W500" s="30"/>
      <c r="X500" s="30"/>
      <c r="Y500" s="485"/>
      <c r="Z500" s="30"/>
      <c r="AA500" s="30"/>
      <c r="AB500" s="30"/>
      <c r="AC500" s="483"/>
      <c r="AD500" s="30"/>
      <c r="AE500" s="30"/>
      <c r="AF500" s="58"/>
      <c r="AG500" s="30"/>
      <c r="AH500" s="30"/>
      <c r="AI500" s="30"/>
      <c r="AJ500" s="495"/>
      <c r="AK500" s="495"/>
      <c r="AL500" s="333"/>
      <c r="AM500" s="30"/>
      <c r="AN500" s="30"/>
      <c r="AO500" s="30"/>
      <c r="AP500" s="30"/>
      <c r="AQ500" s="30"/>
      <c r="AR500" s="30"/>
      <c r="AS500" s="30"/>
      <c r="AT500" s="483"/>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483"/>
    </row>
    <row r="501" spans="1:78" s="140" customFormat="1" ht="12.75" customHeight="1" thickBot="1" x14ac:dyDescent="0.25">
      <c r="A501" s="777"/>
      <c r="B501" s="1248"/>
      <c r="C501" s="783" t="s">
        <v>5</v>
      </c>
      <c r="D501" s="503" t="str">
        <f>Translations!$B$622</f>
        <v>VD:</v>
      </c>
      <c r="E501" s="1105" t="str">
        <f>Translations!$B$668</f>
        <v>Pradinis kiekis:</v>
      </c>
      <c r="F501" s="1123"/>
      <c r="G501" s="1106" t="str">
        <f>Translations!$B$669</f>
        <v>Galutinis kiekis:</v>
      </c>
      <c r="H501" s="1123"/>
      <c r="I501" s="1106" t="str">
        <f>Translations!$B$670</f>
        <v>Įsigytas kiekis:</v>
      </c>
      <c r="J501" s="1123"/>
      <c r="K501" s="1106" t="str">
        <f>Translations!$B$671</f>
        <v>Perduotas kiekis:</v>
      </c>
      <c r="L501" s="1123"/>
      <c r="M501" s="1107" t="str">
        <f>IF(AND(L499=TRUE,COUNT(F501,H501,J501,L501)&lt;4),EUconst_ERR_Incomplete,"")</f>
        <v/>
      </c>
      <c r="O501" s="1305"/>
      <c r="P501" s="23"/>
      <c r="Q501" s="23"/>
      <c r="R501" s="23"/>
      <c r="S501" s="23"/>
      <c r="T501" s="23"/>
      <c r="U501" s="23"/>
      <c r="V501" s="30"/>
      <c r="W501" s="30"/>
      <c r="X501" s="30"/>
      <c r="Y501" s="485"/>
      <c r="Z501" s="30"/>
      <c r="AA501" s="30"/>
      <c r="AB501" s="30"/>
      <c r="AC501" s="1115" t="b">
        <f>AC499</f>
        <v>0</v>
      </c>
      <c r="AD501" s="30"/>
      <c r="AE501" s="30"/>
      <c r="AF501" s="58"/>
      <c r="AG501" s="30"/>
      <c r="AH501" s="30"/>
      <c r="AI501" s="30"/>
      <c r="AJ501" s="495"/>
      <c r="AK501" s="495"/>
      <c r="AL501" s="333"/>
      <c r="AM501" s="30"/>
      <c r="AN501" s="30"/>
      <c r="AO501" s="30"/>
      <c r="AP501" s="30"/>
      <c r="AQ501" s="30"/>
      <c r="AR501" s="30"/>
      <c r="AS501" s="30"/>
      <c r="AT501" s="1115" t="b">
        <f>AND(AT499=TRUE,L499="")</f>
        <v>0</v>
      </c>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1115" t="b">
        <f>OR(BZ499,AND(NOT(ISBLANK(L499)),L499=FALSE))</f>
        <v>1</v>
      </c>
    </row>
    <row r="502" spans="1:78" s="140" customFormat="1" ht="5.0999999999999996" customHeight="1" thickBot="1" x14ac:dyDescent="0.25">
      <c r="A502" s="777"/>
      <c r="B502" s="1248"/>
      <c r="C502" s="164"/>
      <c r="D502" s="164"/>
      <c r="E502" s="164"/>
      <c r="F502" s="164"/>
      <c r="G502" s="164"/>
      <c r="M502" s="141"/>
      <c r="N502" s="141"/>
      <c r="O502" s="1305"/>
      <c r="P502" s="23"/>
      <c r="Q502" s="23"/>
      <c r="R502" s="23"/>
      <c r="S502" s="23"/>
      <c r="T502" s="23"/>
      <c r="U502" s="23"/>
      <c r="V502" s="30"/>
      <c r="W502" s="30"/>
      <c r="X502" s="30"/>
      <c r="Y502" s="485"/>
      <c r="Z502" s="30"/>
      <c r="AA502" s="30"/>
      <c r="AB502" s="30"/>
      <c r="AC502" s="30"/>
      <c r="AD502" s="30"/>
      <c r="AE502" s="30"/>
      <c r="AF502" s="58"/>
      <c r="AG502" s="30"/>
      <c r="AH502" s="30"/>
      <c r="AI502" s="30"/>
      <c r="AJ502" s="495"/>
      <c r="AK502" s="495"/>
      <c r="AL502" s="333"/>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row>
    <row r="503" spans="1:78" s="140" customFormat="1" ht="12.75" customHeight="1" thickBot="1" x14ac:dyDescent="0.25">
      <c r="A503" s="777"/>
      <c r="B503" s="1248"/>
      <c r="C503" s="164"/>
      <c r="D503" s="164"/>
      <c r="E503" s="164"/>
      <c r="F503" s="497" t="str">
        <f>Translations!$B$333</f>
        <v>Pakopa</v>
      </c>
      <c r="G503" s="1613" t="str">
        <f>Translations!$B$672</f>
        <v>pakopos aprašas</v>
      </c>
      <c r="H503" s="1613"/>
      <c r="I503" s="1608" t="str">
        <f>Translations!$B$158</f>
        <v>Vienetas</v>
      </c>
      <c r="J503" s="1608"/>
      <c r="K503" s="1608" t="str">
        <f>Translations!$B$673</f>
        <v>Vertė</v>
      </c>
      <c r="L503" s="1608"/>
      <c r="M503" s="498" t="str">
        <f>Translations!$B$610</f>
        <v>klaida</v>
      </c>
      <c r="O503" s="1305"/>
      <c r="P503" s="499"/>
      <c r="Q503" s="343" t="str">
        <f>EUconst_SumEnergyIN &amp; "_" &amp; K494</f>
        <v>SUM_EnergyIN_</v>
      </c>
      <c r="R503" s="390" t="str">
        <f>IF(OR(K494="",T495)=TRUE,"",INDEX(BC509:BE509,MATCH(K494,BC504:BE504,0)))</f>
        <v/>
      </c>
      <c r="S503" s="30"/>
      <c r="T503" s="480"/>
      <c r="U503" s="30"/>
      <c r="V503" s="500" t="s">
        <v>298</v>
      </c>
      <c r="W503" s="30"/>
      <c r="X503" s="30"/>
      <c r="Y503" s="485" t="s">
        <v>560</v>
      </c>
      <c r="Z503" s="485" t="s">
        <v>313</v>
      </c>
      <c r="AA503" s="30"/>
      <c r="AB503" s="30"/>
      <c r="AC503" s="496" t="s">
        <v>304</v>
      </c>
      <c r="AD503" s="30"/>
      <c r="AE503" s="30"/>
      <c r="AF503" s="483" t="s">
        <v>300</v>
      </c>
      <c r="AG503" s="483" t="s">
        <v>301</v>
      </c>
      <c r="AH503" s="485" t="s">
        <v>299</v>
      </c>
      <c r="AI503" s="495" t="s">
        <v>302</v>
      </c>
      <c r="AJ503" s="495" t="s">
        <v>561</v>
      </c>
      <c r="AK503" s="501" t="s">
        <v>306</v>
      </c>
      <c r="AL503" s="333"/>
      <c r="AM503" s="30"/>
      <c r="AN503" s="483" t="s">
        <v>300</v>
      </c>
      <c r="AO503" s="483" t="s">
        <v>301</v>
      </c>
      <c r="AP503" s="502" t="s">
        <v>305</v>
      </c>
      <c r="AQ503" s="495" t="s">
        <v>563</v>
      </c>
      <c r="AR503" s="495" t="s">
        <v>562</v>
      </c>
      <c r="AS503" s="501" t="s">
        <v>306</v>
      </c>
      <c r="AT503" s="501" t="s">
        <v>306</v>
      </c>
      <c r="AU503" s="30"/>
      <c r="AV503" s="483"/>
      <c r="AW503" s="483"/>
      <c r="AX503" s="483" t="s">
        <v>316</v>
      </c>
      <c r="AY503" s="483"/>
      <c r="AZ503" s="483"/>
      <c r="BA503" s="483"/>
      <c r="BB503" s="483"/>
      <c r="BC503" s="483"/>
      <c r="BD503" s="483"/>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484" t="s">
        <v>259</v>
      </c>
    </row>
    <row r="504" spans="1:78" s="140" customFormat="1" ht="12.75" customHeight="1" thickBot="1" x14ac:dyDescent="0.25">
      <c r="A504" s="777"/>
      <c r="B504" s="1248"/>
      <c r="C504" s="753" t="s">
        <v>194</v>
      </c>
      <c r="D504" s="503" t="str">
        <f>Translations!$B$622</f>
        <v>VD:</v>
      </c>
      <c r="E504" s="504"/>
      <c r="F504" s="393"/>
      <c r="G504" s="1603" t="str">
        <f>IF(OR(ISBLANK(F504),F504=EUconst_NoTier),"",IF(Z504=0,EUconst_NA,IF(ISERROR(Z504),"",Z504)))</f>
        <v/>
      </c>
      <c r="H504" s="1604"/>
      <c r="I504" s="1108" t="str">
        <f>IF(J504&lt;&gt;"","",AI504)</f>
        <v/>
      </c>
      <c r="J504" s="1109"/>
      <c r="K504" s="1116" t="str">
        <f>IF(L504="",AQ504,"")</f>
        <v/>
      </c>
      <c r="L504" s="1199"/>
      <c r="M504" s="700" t="str">
        <f>IF(AND(E495&lt;&gt;"",OR(F504="",COUNT(K504:L504)=0),Y504&lt;&gt;EUconst_NA,T495&lt;&gt;TRUE),EUconst_ERR_Incomplete,IF(COUNTIF(AX504:AZ504,TRUE)&gt;0,EUconst_ERR_Inconsistent,""))</f>
        <v/>
      </c>
      <c r="O504" s="1305"/>
      <c r="P504" s="635"/>
      <c r="Q504" s="343" t="str">
        <f>EUconst_SumBioEnergyIN &amp; "_" &amp; K494</f>
        <v>SUM_BioEnergyIN_</v>
      </c>
      <c r="R504" s="390" t="str">
        <f>IF(OR(K494="",T495)=TRUE,"",INDEX(BC510:BE510,MATCH(K494,BC504:BE504,0)))</f>
        <v/>
      </c>
      <c r="S504" s="30"/>
      <c r="T504" s="505" t="str">
        <f>EUconst_CNTR_ActivityData&amp;E495</f>
        <v>ActivityData_</v>
      </c>
      <c r="U504" s="488"/>
      <c r="V504" s="505" t="str">
        <f>IF(E494="","",INDEX(B_InstallationDescription!$I$71:$I$145,MATCH(U493,B_InstallationDescription!$D$71:$D$145,0)))</f>
        <v/>
      </c>
      <c r="W504" s="495" t="s">
        <v>533</v>
      </c>
      <c r="X504" s="488"/>
      <c r="Y504" s="506" t="str">
        <f>IF(OR(T495=TRUE,E495=""),"",INDEX(EUwideConstants!$N:$N,MATCH(T504,EUwideConstants!$Q:$Q,0)))</f>
        <v/>
      </c>
      <c r="Z504" s="507" t="str">
        <f>IF(ISBLANK(F504),"",IF(F504=EUconst_NA,"",INDEX(EUwideConstants!$H:$M,MATCH(T504,EUwideConstants!$Q:$Q,0),MATCH(F504,CNTR_TierList,0))))</f>
        <v/>
      </c>
      <c r="AA504" s="508" t="s">
        <v>299</v>
      </c>
      <c r="AB504" s="495"/>
      <c r="AC504" s="509" t="b">
        <f>AC499</f>
        <v>0</v>
      </c>
      <c r="AD504" s="30"/>
      <c r="AE504" s="510" t="str">
        <f>EUconst_CNTR_ActivityData&amp;EUconst_Unit</f>
        <v>ActivityData_Vienetas</v>
      </c>
      <c r="AF504" s="511" t="str">
        <f>IF(AC504=TRUE, IF(COUNTIF(MSPara_SourceStreamCategory,V504)=0,"",INDEX(MSPara_CalcFactorsMatrix,MATCH(V504,MSPara_SourceStreamCategory,0),MATCH(AE504&amp;"_"&amp;2,MSPara_CalcFactors,0))),"")</f>
        <v/>
      </c>
      <c r="AG504" s="512" t="str">
        <f>IF(AC504=TRUE, IF(COUNTIF(MSPara_SourceStreamCategory,V504)=0,"",INDEX(MSPara_CalcFactorsMatrix,MATCH(V504,MSPara_SourceStreamCategory,0),MATCH(AE504&amp;"_"&amp;1,MSPara_CalcFactors,0))),"")</f>
        <v/>
      </c>
      <c r="AH504" s="509" t="str">
        <f>IF(OR(AF504="",AF504=EUconst_NA),IF(OR(AG504=EUconst_NA,AG504=""),"",AG504),AF504)</f>
        <v/>
      </c>
      <c r="AI504" s="506" t="str">
        <f>IF(AC504=TRUE,IF(AH504="",EUconst_t,AH504),"")</f>
        <v/>
      </c>
      <c r="AJ504" s="513" t="str">
        <f>IF(J504="",AI504,J504)</f>
        <v/>
      </c>
      <c r="AK504" s="514" t="b">
        <f>IF(K494=EUconst_Fuel,J504&lt;&gt;"",FALSE)</f>
        <v>0</v>
      </c>
      <c r="AL504" s="333"/>
      <c r="AM504" s="505" t="str">
        <f>EUconst_CNTR_ActivityData&amp;EUconst_Value</f>
        <v>ActivityData_Vertė</v>
      </c>
      <c r="AN504" s="496"/>
      <c r="AO504" s="496"/>
      <c r="AP504" s="509" t="b">
        <f>AND(AND(AH504&lt;&gt;"",AJ504&lt;&gt;""),AJ504=AH504)</f>
        <v>0</v>
      </c>
      <c r="AQ504" s="610" t="str">
        <f>IF(L499=TRUE,SUM(F501)-SUM(H501)+SUM(J501)-SUM(L501),"")</f>
        <v/>
      </c>
      <c r="AR504" s="509">
        <f>IF(Y504=EUconst_NA,0,IF(COUNT(K504:L504)=0,0,IF(L504="",K504,L504)))</f>
        <v>0</v>
      </c>
      <c r="AS504" s="1115" t="b">
        <f>AND(AC504=TRUE,OR(L504&lt;&gt;"",AQ504=""))</f>
        <v>0</v>
      </c>
      <c r="AT504" s="1115" t="b">
        <f>AND(AC504=TRUE,NOT(AS504))</f>
        <v>0</v>
      </c>
      <c r="AU504" s="30"/>
      <c r="AV504" s="483" t="s">
        <v>309</v>
      </c>
      <c r="AW504" s="483" t="s">
        <v>314</v>
      </c>
      <c r="AX504" s="515"/>
      <c r="AY504" s="30" t="s">
        <v>536</v>
      </c>
      <c r="AZ504" s="30"/>
      <c r="BA504" s="30"/>
      <c r="BB504" s="495"/>
      <c r="BC504" s="484" t="str">
        <f>EUconst_Fuel</f>
        <v>Degimas</v>
      </c>
      <c r="BD504" s="484" t="str">
        <f>EUconst_ProcessCarbonate</f>
        <v>Proceso metu išsiskiriančios ŠESD</v>
      </c>
      <c r="BE504" s="484" t="str">
        <f>EUconst_MassBalance</f>
        <v>Masės balansas</v>
      </c>
      <c r="BF504" s="30"/>
      <c r="BG504" s="30"/>
      <c r="BH504" s="30"/>
      <c r="BI504" s="30"/>
      <c r="BJ504" s="30"/>
      <c r="BK504" s="30"/>
      <c r="BL504" s="30"/>
      <c r="BM504" s="30"/>
      <c r="BN504" s="30"/>
      <c r="BO504" s="30"/>
      <c r="BP504" s="30"/>
      <c r="BQ504" s="30"/>
      <c r="BR504" s="30"/>
      <c r="BS504" s="30"/>
      <c r="BT504" s="30"/>
      <c r="BU504" s="30"/>
      <c r="BV504" s="30"/>
      <c r="BW504" s="30"/>
      <c r="BX504" s="30"/>
      <c r="BY504" s="30"/>
      <c r="BZ504" s="515" t="b">
        <f>BZ499</f>
        <v>1</v>
      </c>
    </row>
    <row r="505" spans="1:78" s="140" customFormat="1" ht="5.0999999999999996" customHeight="1" thickBot="1" x14ac:dyDescent="0.25">
      <c r="A505" s="777"/>
      <c r="B505" s="1248"/>
      <c r="C505" s="783"/>
      <c r="D505" s="298"/>
      <c r="F505" s="141"/>
      <c r="G505" s="141"/>
      <c r="H505" s="141" t="s">
        <v>233</v>
      </c>
      <c r="I505" s="516"/>
      <c r="J505" s="516"/>
      <c r="K505" s="141"/>
      <c r="L505" s="141"/>
      <c r="M505" s="701"/>
      <c r="O505" s="1305"/>
      <c r="P505" s="33"/>
      <c r="Q505" s="33"/>
      <c r="R505" s="33"/>
      <c r="S505" s="30"/>
      <c r="T505" s="153"/>
      <c r="U505" s="488"/>
      <c r="V505" s="30"/>
      <c r="W505" s="30"/>
      <c r="X505" s="488"/>
      <c r="Y505" s="517"/>
      <c r="Z505" s="30"/>
      <c r="AA505" s="30"/>
      <c r="AB505" s="30"/>
      <c r="AC505" s="30"/>
      <c r="AD505" s="30"/>
      <c r="AE505" s="30"/>
      <c r="AF505" s="30"/>
      <c r="AG505" s="30"/>
      <c r="AH505" s="30"/>
      <c r="AI505" s="30"/>
      <c r="AJ505" s="30"/>
      <c r="AK505" s="30"/>
      <c r="AL505" s="333"/>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484"/>
    </row>
    <row r="506" spans="1:78" s="140" customFormat="1" ht="12.75" customHeight="1" thickBot="1" x14ac:dyDescent="0.25">
      <c r="A506" s="777"/>
      <c r="B506" s="1248"/>
      <c r="C506" s="783" t="s">
        <v>195</v>
      </c>
      <c r="D506" s="503" t="str">
        <f>Translations!$B$634</f>
        <v>(prelim.) ITF:</v>
      </c>
      <c r="E506" s="504"/>
      <c r="F506" s="518"/>
      <c r="G506" s="1603" t="str">
        <f t="shared" ref="G506:G512" si="112">IF(OR(ISBLANK(F506),F506=EUconst_NoTier),"",IF(Z506=0,EUconst_NotApplicable,IF(ISERROR(Z506),"",Z506)))</f>
        <v/>
      </c>
      <c r="H506" s="1609"/>
      <c r="I506" s="1110" t="str">
        <f>IF(J506&lt;&gt;"","",AI506)</f>
        <v/>
      </c>
      <c r="J506" s="1111"/>
      <c r="K506" s="519" t="str">
        <f t="shared" ref="K506:K512" si="113">IF(L506="",AQ506,"")</f>
        <v/>
      </c>
      <c r="L506" s="520"/>
      <c r="M506" s="700" t="str">
        <f>IF(AND(E495&lt;&gt;"",OR(F506="",COUNT(K506:L506)=0),Y506&lt;&gt;EUconst_NA,T495&lt;&gt;TRUE),EUconst_ERR_Incomplete,IF(COUNTIF(AX506:AZ506,TRUE)&gt;0,EUconst_ERR_Inconsistent,""))</f>
        <v/>
      </c>
      <c r="N506" s="486"/>
      <c r="O506" s="1305"/>
      <c r="P506" s="33"/>
      <c r="Q506" s="33"/>
      <c r="R506" s="33"/>
      <c r="S506" s="30"/>
      <c r="T506" s="521" t="str">
        <f>EUconst_CNTR_EF&amp;E495</f>
        <v>EF_</v>
      </c>
      <c r="U506" s="488"/>
      <c r="V506" s="522" t="str">
        <f>V504</f>
        <v/>
      </c>
      <c r="W506" s="30"/>
      <c r="X506" s="488"/>
      <c r="Y506" s="523" t="str">
        <f>IF(OR(T495=TRUE,E495=""),"",IF(F506=EUconst_NA,EUconst_NA,INDEX(EUwideConstants!$N:$N,MATCH(T506,EUwideConstants!$Q:$Q,0))))</f>
        <v/>
      </c>
      <c r="Z506" s="524" t="str">
        <f>IF(ISBLANK(F506),"",IF(F506=EUconst_NA,"",INDEX(EUwideConstants!$H:$M,MATCH(T506,EUwideConstants!$Q:$Q,0),MATCH(F506,CNTR_TierList,0))))</f>
        <v/>
      </c>
      <c r="AA506" s="525" t="str">
        <f>IF(COUNTIF(EUconst_DefaultValues,Z506)&gt;0,MATCH(Z506,EUconst_DefaultValues,0),"")</f>
        <v/>
      </c>
      <c r="AB506" s="30"/>
      <c r="AC506" s="526" t="b">
        <f>AND(AC504,Y506&lt;&gt;EUconst_NA)</f>
        <v>0</v>
      </c>
      <c r="AD506" s="30"/>
      <c r="AE506" s="510" t="str">
        <f>EUconst_CNTR_EF&amp;EUconst_Unit</f>
        <v>EF_Vienetas</v>
      </c>
      <c r="AF506" s="527" t="str">
        <f>IF(AC506=TRUE, IF(COUNTIF(MSPara_SourceStreamCategory,V506)=0,"",INDEX(MSPara_CalcFactorsMatrix,MATCH(V506,MSPara_SourceStreamCategory,0),MATCH(AE506&amp;"_"&amp;2,MSPara_CalcFactors,0))),"")</f>
        <v/>
      </c>
      <c r="AG506" s="528" t="str">
        <f>IF(AC506=TRUE, IF(COUNTIF(MSPara_SourceStreamCategory,V506)=0,"",INDEX(MSPara_CalcFactorsMatrix,MATCH(V506,MSPara_SourceStreamCategory,0),MATCH(AE506&amp;"_"&amp;1,MSPara_CalcFactors,0))),"")</f>
        <v/>
      </c>
      <c r="AH506" s="529" t="str">
        <f>IF(AA506="","",INDEX(AF506:AG506,3-AA506))</f>
        <v/>
      </c>
      <c r="AI506" s="530" t="str">
        <f>IF(AC506=TRUE,IF(OR(AH506="",AH506=EUconst_NA),IF(K494=EUconst_Fuel,EUconst_tCO2pTJ,EUconst_tCO2pt),AH506),"")</f>
        <v/>
      </c>
      <c r="AJ506" s="526" t="str">
        <f>IF(J506="",AI506,J506)</f>
        <v/>
      </c>
      <c r="AK506" s="531" t="b">
        <f>IF(K494=EUconst_Fuel,J506&lt;&gt;"",FALSE)</f>
        <v>0</v>
      </c>
      <c r="AL506" s="333"/>
      <c r="AM506" s="510" t="str">
        <f>EUconst_CNTR_EF&amp;EUconst_Value</f>
        <v>EF_Vertė</v>
      </c>
      <c r="AN506" s="532" t="str">
        <f>IF(AC506=TRUE,IF(COUNTIF(MSPara_SourceStreamCategory,V506)=0,"",INDEX(MSPara_CalcFactorsMatrix,MATCH(V506,MSPara_SourceStreamCategory,0),MATCH(AM506&amp;"_"&amp;2,MSPara_CalcFactors,0))),"")</f>
        <v/>
      </c>
      <c r="AO506" s="533" t="str">
        <f>IF(AC506=TRUE,IF(COUNTIF(MSPara_SourceStreamCategory,V506)=0,"",INDEX(MSPara_CalcFactorsMatrix,MATCH(V506,MSPara_SourceStreamCategory,0),MATCH(AM506&amp;"_"&amp;1,MSPara_CalcFactors,0))),"")</f>
        <v/>
      </c>
      <c r="AP506" s="526" t="b">
        <f>AND(AND(AH506&lt;&gt;"",AJ506&lt;&gt;""),AJ506=AH506)</f>
        <v>0</v>
      </c>
      <c r="AQ506" s="534" t="str">
        <f>IF(AND(AA506&lt;&gt;"",AP506=TRUE),IF(OR(INDEX(AN506:AO506,3-AA506)=EUconst_NA,INDEX(AN506:AO506,3-AA506)=0),"",INDEX(AN506:AO506,3-AA506)),"")</f>
        <v/>
      </c>
      <c r="AR506" s="526">
        <f>IF(AC506=TRUE,IF(COUNT(K506:L506)=0,0,IF(L506="",K506,L506)),0)</f>
        <v>0</v>
      </c>
      <c r="AS506" s="522" t="b">
        <f>AND(AC506=TRUE,OR(AND(F506&lt;&gt;"",NOT(ISNUMBER(AA506))),L506&lt;&gt;"",F506="",AQ506=""))</f>
        <v>0</v>
      </c>
      <c r="AT506" s="522" t="b">
        <f t="shared" ref="AT506:AT512" si="114">AND(AC506=TRUE,NOT(AS506))</f>
        <v>0</v>
      </c>
      <c r="AU506" s="30"/>
      <c r="AV506" s="535" t="b">
        <f t="shared" ref="AV506:AV512" si="115">AND(ISNUMBER(AA506),AQ506="")</f>
        <v>0</v>
      </c>
      <c r="AW506" s="536" t="b">
        <f t="shared" ref="AW506:AW512" si="116">AND(ISNUMBER(AA506),AQ506&lt;&gt;AR506)</f>
        <v>0</v>
      </c>
      <c r="AX506" s="537" t="b">
        <f>OR(AND(AJ504=EUconst_kNm3,AJ506=EUconst_tCO2pt),AND(AJ504=EUconst_t,AJ506=EUconst_tCO2pkNm3))</f>
        <v>0</v>
      </c>
      <c r="AY506" s="522" t="b">
        <f t="shared" ref="AY506:AY512" si="117">AND(L506&lt;&gt;"",Y506=EUconst_NA)</f>
        <v>0</v>
      </c>
      <c r="AZ506" s="30"/>
      <c r="BA506" s="30"/>
      <c r="BB506" s="538" t="s">
        <v>588</v>
      </c>
      <c r="BC506" s="537" t="str">
        <f>IF(K494=BC504,AR504*IF(AJ506=EUconst_tCO2pTJ,(AR507/1000),1)*AR506*AR508*AR512,"")</f>
        <v/>
      </c>
      <c r="BD506" s="515" t="str">
        <f>IF(K494=BD504,AR504*AR506*AR509*AR512,"")</f>
        <v/>
      </c>
      <c r="BE506" s="514" t="str">
        <f>IF(K494=BE504,3.664*AR504*AR510*AR512,"")</f>
        <v/>
      </c>
      <c r="BF506" s="30"/>
      <c r="BG506" s="30"/>
      <c r="BH506" s="30"/>
      <c r="BI506" s="30"/>
      <c r="BJ506" s="30"/>
      <c r="BK506" s="30"/>
      <c r="BL506" s="30"/>
      <c r="BM506" s="30"/>
      <c r="BN506" s="30"/>
      <c r="BO506" s="30"/>
      <c r="BP506" s="30"/>
      <c r="BQ506" s="30"/>
      <c r="BR506" s="30"/>
      <c r="BS506" s="30"/>
      <c r="BT506" s="30"/>
      <c r="BU506" s="30"/>
      <c r="BV506" s="30"/>
      <c r="BW506" s="30"/>
      <c r="BX506" s="30"/>
      <c r="BY506" s="30"/>
      <c r="BZ506" s="522" t="b">
        <f>OR(BZ504,Y506=EUconst_NA)</f>
        <v>1</v>
      </c>
    </row>
    <row r="507" spans="1:78" s="140" customFormat="1" ht="12.75" customHeight="1" thickBot="1" x14ac:dyDescent="0.25">
      <c r="A507" s="777"/>
      <c r="B507" s="1248"/>
      <c r="C507" s="783" t="s">
        <v>196</v>
      </c>
      <c r="D507" s="503" t="str">
        <f>Translations!$B$636</f>
        <v>GŠV:</v>
      </c>
      <c r="E507" s="504"/>
      <c r="F507" s="539"/>
      <c r="G507" s="1603" t="str">
        <f t="shared" si="112"/>
        <v/>
      </c>
      <c r="H507" s="1604"/>
      <c r="I507" s="1112" t="str">
        <f>AJ507</f>
        <v/>
      </c>
      <c r="J507" s="540"/>
      <c r="K507" s="541" t="str">
        <f t="shared" si="113"/>
        <v/>
      </c>
      <c r="L507" s="542"/>
      <c r="M507" s="700" t="str">
        <f>IF(AND(E495&lt;&gt;"",OR(F507="",COUNT(K507:L507)=0),Y507&lt;&gt;EUconst_NA,T495&lt;&gt;TRUE),EUconst_ERR_Incomplete,IF(COUNTIF(AX507:AZ507,TRUE)&gt;0,EUconst_ERR_Inconsistent,""))</f>
        <v/>
      </c>
      <c r="O507" s="1305"/>
      <c r="P507" s="33"/>
      <c r="Q507" s="33"/>
      <c r="R507" s="33"/>
      <c r="S507" s="30"/>
      <c r="T507" s="543" t="str">
        <f>EUconst_CNTR_NCV&amp;E495</f>
        <v>NCV_</v>
      </c>
      <c r="U507" s="488"/>
      <c r="V507" s="544" t="str">
        <f t="shared" ref="V507:V512" si="118">V506</f>
        <v/>
      </c>
      <c r="W507" s="30"/>
      <c r="X507" s="488"/>
      <c r="Y507" s="545" t="str">
        <f>IF(OR(T495=TRUE,E495=""),"",IF(F507=EUconst_NA,EUconst_NA,INDEX(EUwideConstants!$N:$N,MATCH(T507,EUwideConstants!$Q:$Q,0))))</f>
        <v/>
      </c>
      <c r="Z507" s="546" t="str">
        <f>IF(ISBLANK(F507),"",IF(F507=EUconst_NA,"",INDEX(EUwideConstants!$H:$M,MATCH(T507,EUwideConstants!$Q:$Q,0),MATCH(F507,CNTR_TierList,0))))</f>
        <v/>
      </c>
      <c r="AA507" s="547" t="str">
        <f>IF(COUNTIF(EUconst_DefaultValues,Z507)&gt;0,MATCH(Z507,EUconst_DefaultValues,0),"")</f>
        <v/>
      </c>
      <c r="AB507" s="30"/>
      <c r="AC507" s="548" t="b">
        <f>AND(AC504,Y507&lt;&gt;EUconst_NA)</f>
        <v>0</v>
      </c>
      <c r="AD507" s="30"/>
      <c r="AE507" s="549" t="str">
        <f>EUconst_CNTR_NCV&amp;EUconst_Unit</f>
        <v>NCV_Vienetas</v>
      </c>
      <c r="AF507" s="550" t="str">
        <f>IF(AC507=TRUE, IF(COUNTIF(MSPara_SourceStreamCategory,V507)=0,"",INDEX(MSPara_CalcFactorsMatrix,MATCH(V507,MSPara_SourceStreamCategory,0),MATCH(AE507&amp;"_"&amp;2,MSPara_CalcFactors,0))),"")</f>
        <v/>
      </c>
      <c r="AG507" s="551" t="str">
        <f>IF(AC507=TRUE, IF(COUNTIF(MSPara_SourceStreamCategory,V507)=0,"",INDEX(MSPara_CalcFactorsMatrix,MATCH(V507,MSPara_SourceStreamCategory,0),MATCH(AE507&amp;"_"&amp;1,MSPara_CalcFactors,0))),"")</f>
        <v/>
      </c>
      <c r="AH507" s="552" t="str">
        <f>IF(AA507="","",INDEX(AF507:AG507,3-AA507))</f>
        <v/>
      </c>
      <c r="AI507" s="553"/>
      <c r="AJ507" s="548" t="str">
        <f>IF(AC507=TRUE,IF(AJ504="","",IF(AJ504=EUconst_kNm3,EUconst_GJpkNm3,EUconst_GJpt)),"")</f>
        <v/>
      </c>
      <c r="AK507" s="554"/>
      <c r="AL507" s="333"/>
      <c r="AM507" s="549" t="str">
        <f>EUconst_CNTR_NCV&amp;EUconst_Value</f>
        <v>NCV_Vertė</v>
      </c>
      <c r="AN507" s="555" t="str">
        <f>IF(AC507=TRUE,IF(COUNTIF(MSPara_SourceStreamCategory,V507)=0,"",INDEX(MSPara_CalcFactorsMatrix,MATCH(V507,MSPara_SourceStreamCategory,0),MATCH(AM507&amp;"_"&amp;2,MSPara_CalcFactors,0))),"")</f>
        <v/>
      </c>
      <c r="AO507" s="556" t="str">
        <f>IF(AC507=TRUE,IF(COUNTIF(MSPara_SourceStreamCategory,V507)=0,"",INDEX(MSPara_CalcFactorsMatrix,MATCH(V507,MSPara_SourceStreamCategory,0),MATCH(AM507&amp;"_"&amp;1,MSPara_CalcFactors,0))),"")</f>
        <v/>
      </c>
      <c r="AP507" s="548" t="b">
        <f>AND(AND(AH507&lt;&gt;"",AJ507&lt;&gt;""),AJ507=AH507)</f>
        <v>0</v>
      </c>
      <c r="AQ507" s="557" t="str">
        <f>IF(AND(AA507&lt;&gt;"",AP507=TRUE),IF(OR(INDEX(AN507:AO507,3-AA507)=EUconst_NA,INDEX(AN507:AO507,3-AA507)=0),"",INDEX(AN507:AO507,3-AA507)),"")</f>
        <v/>
      </c>
      <c r="AR507" s="548">
        <f>IF(AC507=TRUE,IF(COUNT(K507:L507)=0,0,IF(L507="",K507,L507)),0)</f>
        <v>0</v>
      </c>
      <c r="AS507" s="544" t="b">
        <f>AND(AC507=TRUE,OR(AND(F507&lt;&gt;"",NOT(ISNUMBER(AA507))),L507&lt;&gt;"",F507="",AQ507=""))</f>
        <v>0</v>
      </c>
      <c r="AT507" s="544" t="b">
        <f t="shared" si="114"/>
        <v>0</v>
      </c>
      <c r="AU507" s="30"/>
      <c r="AV507" s="558" t="b">
        <f t="shared" si="115"/>
        <v>0</v>
      </c>
      <c r="AW507" s="559" t="b">
        <f t="shared" si="116"/>
        <v>0</v>
      </c>
      <c r="AX507" s="30"/>
      <c r="AY507" s="544" t="b">
        <f t="shared" si="117"/>
        <v>0</v>
      </c>
      <c r="AZ507" s="30"/>
      <c r="BA507" s="30"/>
      <c r="BB507" s="538" t="s">
        <v>589</v>
      </c>
      <c r="BC507" s="537" t="str">
        <f>IF(K494=BC504,AR504*IF(AJ506=EUconst_tCO2pTJ,(AR507/1000),1)*AR506*AR508*AR511,"")</f>
        <v/>
      </c>
      <c r="BD507" s="515" t="str">
        <f>IF(K494=BD504,AR504*AR506*AR509*AR511,"")</f>
        <v/>
      </c>
      <c r="BE507" s="514" t="str">
        <f>IF(K494=BE504,3.664*AR504*AR510*AR511,"")</f>
        <v/>
      </c>
      <c r="BF507" s="30"/>
      <c r="BG507" s="30"/>
      <c r="BH507" s="30"/>
      <c r="BI507" s="30"/>
      <c r="BJ507" s="30"/>
      <c r="BK507" s="30"/>
      <c r="BL507" s="30"/>
      <c r="BM507" s="30"/>
      <c r="BN507" s="30"/>
      <c r="BO507" s="30"/>
      <c r="BP507" s="30"/>
      <c r="BQ507" s="30"/>
      <c r="BR507" s="30"/>
      <c r="BS507" s="30"/>
      <c r="BT507" s="30"/>
      <c r="BU507" s="30"/>
      <c r="BV507" s="30"/>
      <c r="BW507" s="30"/>
      <c r="BX507" s="30"/>
      <c r="BY507" s="30"/>
      <c r="BZ507" s="544" t="b">
        <f>OR(BZ504,Y507=EUconst_NA)</f>
        <v>1</v>
      </c>
    </row>
    <row r="508" spans="1:78" s="140" customFormat="1" ht="12.75" customHeight="1" thickBot="1" x14ac:dyDescent="0.25">
      <c r="A508" s="777"/>
      <c r="B508" s="1248"/>
      <c r="C508" s="783" t="s">
        <v>197</v>
      </c>
      <c r="D508" s="503" t="str">
        <f>Translations!$B$638</f>
        <v>Oksidacijos koef.:</v>
      </c>
      <c r="E508" s="504"/>
      <c r="F508" s="539"/>
      <c r="G508" s="1603" t="str">
        <f t="shared" si="112"/>
        <v/>
      </c>
      <c r="H508" s="1604"/>
      <c r="I508" s="1113" t="str">
        <f>IF(OR(AC508=FALSE,Y508=EUconst_NA),"","-")</f>
        <v/>
      </c>
      <c r="J508" s="560"/>
      <c r="K508" s="561" t="str">
        <f t="shared" si="113"/>
        <v/>
      </c>
      <c r="L508" s="694"/>
      <c r="M508" s="700" t="str">
        <f>IF(AND(E495&lt;&gt;"",OR(F508="",COUNT(K508:L508)=0),Y508&lt;&gt;EUconst_NA,T495&lt;&gt;TRUE),EUconst_ERR_Incomplete,IF(COUNTIF(AX508:AZ508,TRUE)&gt;0,EUconst_ERR_Inconsistent,""))</f>
        <v/>
      </c>
      <c r="O508" s="1305"/>
      <c r="P508" s="33"/>
      <c r="Q508" s="33"/>
      <c r="R508" s="33"/>
      <c r="S508" s="30"/>
      <c r="T508" s="543" t="str">
        <f>EUconst_CNTR_OxidationFactor&amp;E495</f>
        <v>OxF_</v>
      </c>
      <c r="U508" s="488"/>
      <c r="V508" s="544" t="str">
        <f t="shared" si="118"/>
        <v/>
      </c>
      <c r="W508" s="30"/>
      <c r="X508" s="488"/>
      <c r="Y508" s="545" t="str">
        <f>IF(OR(T495=TRUE,E495=""),"",INDEX(EUwideConstants!$N:$N,MATCH(T508,EUwideConstants!$Q:$Q,0)))</f>
        <v/>
      </c>
      <c r="Z508" s="546" t="str">
        <f>IF(ISBLANK(F508),"",IF(F508=EUconst_NA,"",INDEX(EUwideConstants!$H:$M,MATCH(T508,EUwideConstants!$Q:$Q,0),MATCH(F508,CNTR_TierList,0))))</f>
        <v/>
      </c>
      <c r="AA508" s="525" t="str">
        <f>IF(F508=1,1,"")</f>
        <v/>
      </c>
      <c r="AB508" s="30"/>
      <c r="AC508" s="548" t="b">
        <f>AND(AC504,Y508&lt;&gt;EUconst_NA)</f>
        <v>0</v>
      </c>
      <c r="AD508" s="30"/>
      <c r="AE508" s="563"/>
      <c r="AG508" s="564"/>
      <c r="AH508" s="553"/>
      <c r="AI508" s="565"/>
      <c r="AJ508" s="553"/>
      <c r="AK508" s="566"/>
      <c r="AL508" s="333"/>
      <c r="AM508" s="549" t="str">
        <f>EUconst_CNTR_OxidationFactor&amp;EUconst_Value</f>
        <v>OxF_Vertė</v>
      </c>
      <c r="AN508" s="567"/>
      <c r="AO508" s="525">
        <v>1</v>
      </c>
      <c r="AP508" s="553"/>
      <c r="AQ508" s="568" t="str">
        <f>IF(AA508="","",AO508)</f>
        <v/>
      </c>
      <c r="AR508" s="548">
        <f>IF(AC508=TRUE,IF(COUNT(K508:L508)=0,0,IF(L508="",K508,L508)),1)</f>
        <v>1</v>
      </c>
      <c r="AS508" s="544" t="b">
        <f>AND(AC508=TRUE,OR(ISNUMBER(L508),NOT(ISNUMBER(AA508))))</f>
        <v>0</v>
      </c>
      <c r="AT508" s="544" t="b">
        <f t="shared" si="114"/>
        <v>0</v>
      </c>
      <c r="AU508" s="30"/>
      <c r="AV508" s="558" t="b">
        <f t="shared" si="115"/>
        <v>0</v>
      </c>
      <c r="AW508" s="559" t="b">
        <f t="shared" si="116"/>
        <v>0</v>
      </c>
      <c r="AX508" s="30"/>
      <c r="AY508" s="585" t="b">
        <f t="shared" si="117"/>
        <v>0</v>
      </c>
      <c r="AZ508" s="522" t="b">
        <f>AR508&gt;100%</f>
        <v>0</v>
      </c>
      <c r="BA508" s="30"/>
      <c r="BB508" s="538" t="s">
        <v>287</v>
      </c>
      <c r="BC508" s="537" t="str">
        <f>IF(K494=BC504,AR504*IF(AJ506=EUconst_tCO2pTJ,(AR507/1000),1)*AR506*AR508*(1-AR511),"")</f>
        <v/>
      </c>
      <c r="BD508" s="515" t="str">
        <f>IF(K494=BD504,AR504*AR506*AR509*(1-AR511),"")</f>
        <v/>
      </c>
      <c r="BE508" s="514" t="str">
        <f>IF(K494=BE504,3.664*AR504*AR510*(1-AR511),"")</f>
        <v/>
      </c>
      <c r="BF508" s="30"/>
      <c r="BG508" s="30"/>
      <c r="BH508" s="30"/>
      <c r="BI508" s="30"/>
      <c r="BJ508" s="30"/>
      <c r="BK508" s="30"/>
      <c r="BL508" s="30"/>
      <c r="BM508" s="30"/>
      <c r="BN508" s="30"/>
      <c r="BO508" s="30"/>
      <c r="BP508" s="30"/>
      <c r="BQ508" s="30"/>
      <c r="BR508" s="30"/>
      <c r="BS508" s="30"/>
      <c r="BT508" s="30"/>
      <c r="BU508" s="30"/>
      <c r="BV508" s="30"/>
      <c r="BW508" s="30"/>
      <c r="BX508" s="30"/>
      <c r="BY508" s="30"/>
      <c r="BZ508" s="544" t="b">
        <f>OR(BZ504,Y508=EUconst_NA)</f>
        <v>1</v>
      </c>
    </row>
    <row r="509" spans="1:78" s="140" customFormat="1" ht="12.75" customHeight="1" thickBot="1" x14ac:dyDescent="0.25">
      <c r="A509" s="777"/>
      <c r="B509" s="1248"/>
      <c r="C509" s="783" t="s">
        <v>198</v>
      </c>
      <c r="D509" s="503" t="str">
        <f>Translations!$B$639</f>
        <v>Konversijos koef.:</v>
      </c>
      <c r="E509" s="504"/>
      <c r="F509" s="539"/>
      <c r="G509" s="1603" t="str">
        <f t="shared" si="112"/>
        <v/>
      </c>
      <c r="H509" s="1604"/>
      <c r="I509" s="1113" t="str">
        <f>IF(OR(AC509=FALSE,Y509=EUconst_NA),"","-")</f>
        <v/>
      </c>
      <c r="J509" s="560"/>
      <c r="K509" s="561" t="str">
        <f t="shared" si="113"/>
        <v/>
      </c>
      <c r="L509" s="694"/>
      <c r="M509" s="700" t="str">
        <f>IF(AND(E495&lt;&gt;"",OR(F509="",COUNT(K509:L509)=0),Y509&lt;&gt;EUconst_NA,T495&lt;&gt;TRUE),EUconst_ERR_Incomplete,IF(COUNTIF(AX509:AZ509,TRUE)&gt;0,EUconst_ERR_Inconsistent,""))</f>
        <v/>
      </c>
      <c r="O509" s="1305"/>
      <c r="P509" s="33"/>
      <c r="Q509" s="33"/>
      <c r="R509" s="33"/>
      <c r="S509" s="30"/>
      <c r="T509" s="543" t="str">
        <f>EUconst_CNTR_ConversionFactor&amp;E495</f>
        <v>ConvF_</v>
      </c>
      <c r="U509" s="488"/>
      <c r="V509" s="544" t="str">
        <f t="shared" si="118"/>
        <v/>
      </c>
      <c r="W509" s="30"/>
      <c r="X509" s="488"/>
      <c r="Y509" s="545" t="str">
        <f>IF(OR(T495=TRUE,E495=""),"",INDEX(EUwideConstants!$N:$N,MATCH(T509,EUwideConstants!$Q:$Q,0)))</f>
        <v/>
      </c>
      <c r="Z509" s="546" t="str">
        <f>IF(ISBLANK(F509),"",IF(F509=EUconst_NA,"",INDEX(EUwideConstants!$H:$M,MATCH(T509,EUwideConstants!$Q:$Q,0),MATCH(F509,CNTR_TierList,0))))</f>
        <v/>
      </c>
      <c r="AA509" s="573" t="str">
        <f>IF(F509=1,1,"")</f>
        <v/>
      </c>
      <c r="AB509" s="30"/>
      <c r="AC509" s="548" t="b">
        <f>AND(AC504,Y509&lt;&gt;EUconst_NA)</f>
        <v>0</v>
      </c>
      <c r="AD509" s="30"/>
      <c r="AE509" s="563"/>
      <c r="AG509" s="564"/>
      <c r="AH509" s="574"/>
      <c r="AI509" s="565"/>
      <c r="AJ509" s="574"/>
      <c r="AK509" s="566"/>
      <c r="AL509" s="333"/>
      <c r="AM509" s="549" t="str">
        <f>EUconst_CNTR_ConversionFactor&amp;EUconst_Value</f>
        <v>ConvF_Vertė</v>
      </c>
      <c r="AN509" s="575"/>
      <c r="AO509" s="573">
        <v>1</v>
      </c>
      <c r="AP509" s="574"/>
      <c r="AQ509" s="576" t="str">
        <f>IF(AA509="","",AO509)</f>
        <v/>
      </c>
      <c r="AR509" s="548">
        <f>IF(AC509=TRUE,IF(COUNT(K509:L509)=0,0,IF(L509="",K509,L509)),1)</f>
        <v>1</v>
      </c>
      <c r="AS509" s="544" t="b">
        <f>AND(AC509=TRUE,OR(ISNUMBER(L509),NOT(ISNUMBER(AA509))))</f>
        <v>0</v>
      </c>
      <c r="AT509" s="544" t="b">
        <f t="shared" si="114"/>
        <v>0</v>
      </c>
      <c r="AU509" s="30"/>
      <c r="AV509" s="558" t="b">
        <f t="shared" si="115"/>
        <v>0</v>
      </c>
      <c r="AW509" s="559" t="b">
        <f t="shared" si="116"/>
        <v>0</v>
      </c>
      <c r="AX509" s="30"/>
      <c r="AY509" s="585" t="b">
        <f t="shared" si="117"/>
        <v>0</v>
      </c>
      <c r="AZ509" s="571" t="b">
        <f>AR509&gt;100%</f>
        <v>0</v>
      </c>
      <c r="BA509" s="30"/>
      <c r="BB509" s="569" t="s">
        <v>481</v>
      </c>
      <c r="BC509" s="570">
        <f>AR504*AR507/1000*(1-AR511)</f>
        <v>0</v>
      </c>
      <c r="BD509" s="571">
        <f>BC509</f>
        <v>0</v>
      </c>
      <c r="BE509" s="572">
        <f>BC509</f>
        <v>0</v>
      </c>
      <c r="BF509" s="30"/>
      <c r="BG509" s="30"/>
      <c r="BH509" s="30"/>
      <c r="BI509" s="30"/>
      <c r="BJ509" s="30"/>
      <c r="BK509" s="30"/>
      <c r="BL509" s="30"/>
      <c r="BM509" s="30"/>
      <c r="BN509" s="30"/>
      <c r="BO509" s="30"/>
      <c r="BP509" s="30"/>
      <c r="BQ509" s="30"/>
      <c r="BR509" s="30"/>
      <c r="BS509" s="30"/>
      <c r="BT509" s="30"/>
      <c r="BU509" s="30"/>
      <c r="BV509" s="30"/>
      <c r="BW509" s="30"/>
      <c r="BX509" s="30"/>
      <c r="BY509" s="30"/>
      <c r="BZ509" s="544" t="b">
        <f>OR(BZ504,Y509=EUconst_NA)</f>
        <v>1</v>
      </c>
    </row>
    <row r="510" spans="1:78" s="140" customFormat="1" ht="12.75" customHeight="1" thickBot="1" x14ac:dyDescent="0.25">
      <c r="A510" s="777"/>
      <c r="B510" s="1248"/>
      <c r="C510" s="783" t="s">
        <v>324</v>
      </c>
      <c r="D510" s="503" t="str">
        <f>Translations!$B$640</f>
        <v>Anglies kiekis (C):</v>
      </c>
      <c r="E510" s="504"/>
      <c r="F510" s="539"/>
      <c r="G510" s="1603" t="str">
        <f t="shared" si="112"/>
        <v/>
      </c>
      <c r="H510" s="1604"/>
      <c r="I510" s="1113" t="str">
        <f>AJ510</f>
        <v/>
      </c>
      <c r="J510" s="577"/>
      <c r="K510" s="578" t="str">
        <f t="shared" si="113"/>
        <v/>
      </c>
      <c r="L510" s="579"/>
      <c r="M510" s="700" t="str">
        <f>IF(AND(E495&lt;&gt;"",OR(F510="",COUNT(K510:L510)=0),Y510&lt;&gt;EUconst_NA,T495&lt;&gt;TRUE),EUconst_ERR_Incomplete,IF(COUNTIF(AX510:AZ510,TRUE)&gt;0,EUconst_ERR_Inconsistent,""))</f>
        <v/>
      </c>
      <c r="O510" s="1305"/>
      <c r="P510" s="33"/>
      <c r="Q510" s="33"/>
      <c r="R510" s="33"/>
      <c r="S510" s="30"/>
      <c r="T510" s="543" t="str">
        <f>EUconst_CNTR_CarbonContent&amp;E495</f>
        <v>CarbC_</v>
      </c>
      <c r="U510" s="488"/>
      <c r="V510" s="544" t="str">
        <f t="shared" si="118"/>
        <v/>
      </c>
      <c r="W510" s="30"/>
      <c r="X510" s="488"/>
      <c r="Y510" s="545" t="str">
        <f>IF(OR(T495=TRUE,E495=""),"",INDEX(EUwideConstants!$N:$N,MATCH(T510,EUwideConstants!$Q:$Q,0)))</f>
        <v/>
      </c>
      <c r="Z510" s="546" t="str">
        <f>IF(ISBLANK(F510),"",IF(F510=EUconst_NA,"",INDEX(EUwideConstants!$H:$M,MATCH(T510,EUwideConstants!$Q:$Q,0),MATCH(F510,CNTR_TierList,0))))</f>
        <v/>
      </c>
      <c r="AA510" s="580" t="str">
        <f>IF(COUNTIF(EUconst_DefaultValues,Z510)&gt;0,MATCH(Z510,EUconst_DefaultValues,0),"")</f>
        <v/>
      </c>
      <c r="AB510" s="30"/>
      <c r="AC510" s="548" t="b">
        <f>AND(AC504,Y510&lt;&gt;EUconst_NA)</f>
        <v>0</v>
      </c>
      <c r="AD510" s="30"/>
      <c r="AE510" s="549" t="str">
        <f>EUconst_CNTR_CarbonContent&amp;EUconst_Unit</f>
        <v>CarbC_Vienetas</v>
      </c>
      <c r="AF510" s="550" t="str">
        <f>IF(AC510=TRUE, IF(COUNTIF(MSPara_SourceStreamCategory,V510)=0,"",INDEX(MSPara_CalcFactorsMatrix,MATCH(V510,MSPara_SourceStreamCategory,0),MATCH(AE510&amp;"_"&amp;2,MSPara_CalcFactors,0))),"")</f>
        <v/>
      </c>
      <c r="AG510" s="551" t="str">
        <f>IF(AC510=TRUE, IF(COUNTIF(MSPara_SourceStreamCategory,V510)=0,"",INDEX(MSPara_CalcFactorsMatrix,MATCH(V510,MSPara_SourceStreamCategory,0),MATCH(AE510&amp;"_"&amp;1,MSPara_CalcFactors,0))),"")</f>
        <v/>
      </c>
      <c r="AH510" s="581" t="str">
        <f>IF(AA510="","",INDEX(AF510:AG510,3-AA510))</f>
        <v/>
      </c>
      <c r="AI510" s="565"/>
      <c r="AJ510" s="582" t="str">
        <f>IF(AC510=TRUE,IF(AJ504="","",IF(AJ504=EUconst_kNm3,EUconst_tCpkNm3,EUconst_tCpt)),"")</f>
        <v/>
      </c>
      <c r="AK510" s="566"/>
      <c r="AL510" s="333"/>
      <c r="AM510" s="549" t="str">
        <f>EUconst_CNTR_CarbonContent&amp;EUconst_Value</f>
        <v>CarbC_Vertė</v>
      </c>
      <c r="AN510" s="555" t="str">
        <f>IF(AC510=TRUE,IF(COUNTIF(MSPara_SourceStreamCategory,V510)=0,"",INDEX(MSPara_CalcFactorsMatrix,MATCH(V510,MSPara_SourceStreamCategory,0),MATCH(AM510&amp;"_"&amp;2,MSPara_CalcFactors,0))),"")</f>
        <v/>
      </c>
      <c r="AO510" s="583" t="str">
        <f>IF(AC510=TRUE,IF(COUNTIF(MSPara_SourceStreamCategory,V510)=0,"",INDEX(MSPara_CalcFactorsMatrix,MATCH(V510,MSPara_SourceStreamCategory,0),MATCH(AM510&amp;"_"&amp;1,MSPara_CalcFactors,0))),"")</f>
        <v/>
      </c>
      <c r="AP510" s="548" t="b">
        <f>AND(AND(AH510&lt;&gt;"",AJ510&lt;&gt;""),AJ510=AH510)</f>
        <v>0</v>
      </c>
      <c r="AQ510" s="584" t="str">
        <f>IF(AND(AA510&lt;&gt;"",AP510=TRUE),IF(OR(INDEX(AN510:AO510,3-AA510)=EUconst_NA,INDEX(AN510:AO510,3-AA510)=0),"",INDEX(AN510:AO510,3-AA510)),"")</f>
        <v/>
      </c>
      <c r="AR510" s="548">
        <f>IF(AC510=TRUE,IF(COUNT(K510:L510)=0,0,IF(L510="",K510,L510)),0)</f>
        <v>0</v>
      </c>
      <c r="AS510" s="544" t="b">
        <f>AND(AC510=TRUE,OR(AND(F510&lt;&gt;"",NOT(ISNUMBER(AA510))),L510&lt;&gt;"",F510="",AQ510=""))</f>
        <v>0</v>
      </c>
      <c r="AT510" s="544" t="b">
        <f t="shared" si="114"/>
        <v>0</v>
      </c>
      <c r="AU510" s="30"/>
      <c r="AV510" s="558" t="b">
        <f t="shared" si="115"/>
        <v>0</v>
      </c>
      <c r="AW510" s="559" t="b">
        <f t="shared" si="116"/>
        <v>0</v>
      </c>
      <c r="AX510" s="537" t="b">
        <f>OR(AND(AJ504=EUconst_kNm3,AJ510=EUconst_tCpt),AND(AJ504=EUconst_t,AJ510=EUconst_tCpkNm3))</f>
        <v>0</v>
      </c>
      <c r="AY510" s="544" t="b">
        <f t="shared" si="117"/>
        <v>0</v>
      </c>
      <c r="AZ510" s="30"/>
      <c r="BA510" s="30"/>
      <c r="BB510" s="569" t="s">
        <v>482</v>
      </c>
      <c r="BC510" s="570">
        <f>AR504*AR507/1000*AR511</f>
        <v>0</v>
      </c>
      <c r="BD510" s="571">
        <f>BC510</f>
        <v>0</v>
      </c>
      <c r="BE510" s="572">
        <f>BC510</f>
        <v>0</v>
      </c>
      <c r="BF510" s="30"/>
      <c r="BG510" s="30"/>
      <c r="BH510" s="30"/>
      <c r="BI510" s="30"/>
      <c r="BJ510" s="30"/>
      <c r="BK510" s="30"/>
      <c r="BL510" s="30"/>
      <c r="BM510" s="30"/>
      <c r="BN510" s="30"/>
      <c r="BO510" s="30"/>
      <c r="BP510" s="30"/>
      <c r="BQ510" s="30"/>
      <c r="BR510" s="30"/>
      <c r="BS510" s="30"/>
      <c r="BT510" s="30"/>
      <c r="BU510" s="30"/>
      <c r="BV510" s="30"/>
      <c r="BW510" s="30"/>
      <c r="BX510" s="30"/>
      <c r="BY510" s="30"/>
      <c r="BZ510" s="544" t="b">
        <f>OR(BZ504,Y510=EUconst_NA)</f>
        <v>1</v>
      </c>
    </row>
    <row r="511" spans="1:78" s="140" customFormat="1" ht="12.75" customHeight="1" x14ac:dyDescent="0.2">
      <c r="A511" s="777"/>
      <c r="B511" s="1248"/>
      <c r="C511" s="753" t="s">
        <v>325</v>
      </c>
      <c r="D511" s="503" t="str">
        <f>Translations!$B$641</f>
        <v>Biomasės dalis (BioC):</v>
      </c>
      <c r="E511" s="504"/>
      <c r="F511" s="539"/>
      <c r="G511" s="1603" t="str">
        <f t="shared" si="112"/>
        <v/>
      </c>
      <c r="H511" s="1604"/>
      <c r="I511" s="1113" t="str">
        <f>IF(OR(AC511=FALSE,Y511=EUconst_NA),"","-")</f>
        <v/>
      </c>
      <c r="J511" s="560"/>
      <c r="K511" s="561" t="str">
        <f t="shared" si="113"/>
        <v/>
      </c>
      <c r="L511" s="694"/>
      <c r="M511" s="700" t="str">
        <f>IF(AND(E495&lt;&gt;"",OR(F511="",COUNT(K511:L511)=0),Y511&lt;&gt;EUconst_NA,T495&lt;&gt;TRUE),EUconst_ERR_Incomplete,IF(COUNTIF(AX511:AZ511,TRUE)&gt;0,EUconst_ERR_Inconsistent,""))</f>
        <v/>
      </c>
      <c r="O511" s="1305"/>
      <c r="P511" s="635"/>
      <c r="Q511" s="635"/>
      <c r="R511" s="635"/>
      <c r="S511" s="30"/>
      <c r="T511" s="543" t="str">
        <f>EUconst_CNTR_BiomassContent&amp;E495</f>
        <v>BioC_</v>
      </c>
      <c r="U511" s="488"/>
      <c r="V511" s="585" t="str">
        <f t="shared" si="118"/>
        <v/>
      </c>
      <c r="W511" s="522" t="str">
        <f>IF(COUNTIF(MSPara_SourceStreamCategory,V511)=0,"",INDEX(MSPara_IsFossil,MATCH(V511,MSPara_SourceStreamCategory,0)))</f>
        <v/>
      </c>
      <c r="X511" s="488"/>
      <c r="Y511" s="545" t="str">
        <f>IF(OR(T495=TRUE,E495=""),"",IF(OR(W511=TRUE,F511=EUconst_NA),EUconst_NA,INDEX(EUwideConstants!$N:$N,MATCH(T511,EUwideConstants!$Q:$Q,0))))</f>
        <v/>
      </c>
      <c r="Z511" s="546" t="str">
        <f>IF(ISBLANK(F511),"",IF(F511=EUconst_NA,"",INDEX(EUwideConstants!$H:$M,MATCH(T511,EUwideConstants!$Q:$Q,0),MATCH(F511,CNTR_TierList,0))))</f>
        <v/>
      </c>
      <c r="AA511" s="586" t="str">
        <f>IF(F511=1,1,"")</f>
        <v/>
      </c>
      <c r="AB511" s="30"/>
      <c r="AC511" s="548" t="b">
        <f>AND(AC504,Y511&lt;&gt;EUconst_NA)</f>
        <v>0</v>
      </c>
      <c r="AD511" s="30"/>
      <c r="AE511" s="563"/>
      <c r="AG511" s="564"/>
      <c r="AH511" s="553"/>
      <c r="AI511" s="565"/>
      <c r="AJ511" s="553"/>
      <c r="AK511" s="566"/>
      <c r="AL511" s="333"/>
      <c r="AM511" s="549" t="str">
        <f>EUconst_CNTR_BiomassContent&amp;EUconst_Value</f>
        <v>BioC_Vertė</v>
      </c>
      <c r="AO511" s="587" t="str">
        <f>IF(AC511=TRUE,IF(COUNTIF(MSPara_SourceStreamCategory,V511)=0,"",INDEX(MSPara_CalcFactorsMatrix,MATCH(V511,MSPara_SourceStreamCategory,0),MATCH(AM511&amp;"_"&amp;2,MSPara_CalcFactors,0))),"")</f>
        <v/>
      </c>
      <c r="AP511" s="553"/>
      <c r="AQ511" s="568" t="str">
        <f>IF(OR(AA511="",AO511=EUconst_NA),"",AO511)</f>
        <v/>
      </c>
      <c r="AR511" s="548">
        <f>IF(AC511=TRUE,IF(COUNT(K511:L511)=0,0,IF(L511="",K511,L511)),0)</f>
        <v>0</v>
      </c>
      <c r="AS511" s="544" t="b">
        <f>AND(AC511=TRUE,OR(AND(F511&lt;&gt;"",NOT(ISNUMBER(AA511))),L511&lt;&gt;"",F511="",AQ511=""))</f>
        <v>0</v>
      </c>
      <c r="AT511" s="544" t="b">
        <f t="shared" si="114"/>
        <v>0</v>
      </c>
      <c r="AU511" s="30"/>
      <c r="AV511" s="558" t="b">
        <f t="shared" si="115"/>
        <v>0</v>
      </c>
      <c r="AW511" s="559" t="b">
        <f t="shared" si="116"/>
        <v>0</v>
      </c>
      <c r="AX511" s="30"/>
      <c r="AY511" s="585" t="b">
        <f t="shared" si="117"/>
        <v>0</v>
      </c>
      <c r="AZ511" s="522" t="b">
        <f>OR(AR511&gt;100%,(AR511+AR512)&gt;100%)</f>
        <v>0</v>
      </c>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544" t="b">
        <f>OR(BZ504,Y511=EUconst_NA)</f>
        <v>1</v>
      </c>
    </row>
    <row r="512" spans="1:78" s="140" customFormat="1" ht="12.75" customHeight="1" thickBot="1" x14ac:dyDescent="0.25">
      <c r="A512" s="777"/>
      <c r="B512" s="1248"/>
      <c r="C512" s="753" t="s">
        <v>448</v>
      </c>
      <c r="D512" s="503" t="str">
        <f>Translations!$B$647</f>
        <v>Netvarios BioC dalis:</v>
      </c>
      <c r="E512" s="504"/>
      <c r="F512" s="588"/>
      <c r="G512" s="1603" t="str">
        <f t="shared" si="112"/>
        <v/>
      </c>
      <c r="H512" s="1604"/>
      <c r="I512" s="1114" t="str">
        <f>IF(OR(AC512=FALSE,Y512=EUconst_NA),"","-")</f>
        <v/>
      </c>
      <c r="J512" s="560"/>
      <c r="K512" s="589" t="str">
        <f t="shared" si="113"/>
        <v/>
      </c>
      <c r="L512" s="1100"/>
      <c r="M512" s="700" t="str">
        <f>IF(AND(E495&lt;&gt;"",OR(F512="",COUNT(K512:L512)=0),Y512&lt;&gt;EUconst_NA,T495&lt;&gt;TRUE),EUconst_ERR_Incomplete,IF(COUNTIF(AX512:AZ512,TRUE)&gt;0,EUconst_ERR_Inconsistent,""))</f>
        <v/>
      </c>
      <c r="O512" s="1305"/>
      <c r="P512" s="635"/>
      <c r="Q512" s="635"/>
      <c r="R512" s="635"/>
      <c r="S512" s="30"/>
      <c r="T512" s="590" t="str">
        <f>EUconst_CNTR_BiomassContent&amp;E495</f>
        <v>BioC_</v>
      </c>
      <c r="U512" s="488"/>
      <c r="V512" s="570" t="str">
        <f t="shared" si="118"/>
        <v/>
      </c>
      <c r="W512" s="571" t="str">
        <f>IF(COUNTIF(MSPara_SourceStreamCategory,V512)=0,"",INDEX(MSPara_IsFossil,MATCH(V512,MSPara_SourceStreamCategory,0)))</f>
        <v/>
      </c>
      <c r="X512" s="488"/>
      <c r="Y512" s="591" t="str">
        <f>IF(OR(T495=TRUE,E495=""),"",IF(OR(W512=TRUE,F512=EUconst_NA),EUconst_NA,INDEX(EUwideConstants!$N:$N,MATCH(T512,EUwideConstants!$Q:$Q,0))))</f>
        <v/>
      </c>
      <c r="Z512" s="592" t="str">
        <f>IF(ISBLANK(F512),"",IF(F512=EUconst_NA,"",INDEX(EUwideConstants!$H:$M,MATCH(T512,EUwideConstants!$Q:$Q,0),MATCH(F512,CNTR_TierList,0))))</f>
        <v/>
      </c>
      <c r="AA512" s="593" t="str">
        <f>IF(F512=1,1,"")</f>
        <v/>
      </c>
      <c r="AB512" s="30"/>
      <c r="AC512" s="594" t="b">
        <f>AND(AC504,Y512&lt;&gt;EUconst_NA)</f>
        <v>0</v>
      </c>
      <c r="AD512" s="30"/>
      <c r="AE512" s="595"/>
      <c r="AF512" s="596"/>
      <c r="AG512" s="597"/>
      <c r="AH512" s="598"/>
      <c r="AI512" s="598"/>
      <c r="AJ512" s="598"/>
      <c r="AK512" s="599"/>
      <c r="AL512" s="333"/>
      <c r="AM512" s="600" t="str">
        <f>EUconst_CNTR_BiomassContent&amp;EUconst_Value</f>
        <v>BioC_Vertė</v>
      </c>
      <c r="AN512" s="596"/>
      <c r="AO512" s="601" t="str">
        <f>IF(AC512=TRUE,IF(COUNTIF(MSPara_SourceStreamCategory,V512)=0,"",INDEX(MSPara_CalcFactorsMatrix,MATCH(V512,MSPara_SourceStreamCategory,0),MATCH(AM512&amp;"_"&amp;2,MSPara_CalcFactors,0))),"")</f>
        <v/>
      </c>
      <c r="AP512" s="598"/>
      <c r="AQ512" s="602" t="str">
        <f>IF(OR(AA512="",AO512=EUconst_NA),"",AO512)</f>
        <v/>
      </c>
      <c r="AR512" s="594">
        <f>IF(AC512=TRUE,IF(COUNT(K512:L512)=0,0,IF(L512="",K512,L512)),0)</f>
        <v>0</v>
      </c>
      <c r="AS512" s="603" t="b">
        <f>AND(AC512=TRUE,OR(AND(F512&lt;&gt;"",NOT(ISNUMBER(AA512))),L512&lt;&gt;"",F512="",AQ512=""))</f>
        <v>0</v>
      </c>
      <c r="AT512" s="603" t="b">
        <f t="shared" si="114"/>
        <v>0</v>
      </c>
      <c r="AU512" s="30"/>
      <c r="AV512" s="604" t="b">
        <f t="shared" si="115"/>
        <v>0</v>
      </c>
      <c r="AW512" s="605" t="b">
        <f t="shared" si="116"/>
        <v>0</v>
      </c>
      <c r="AX512" s="30"/>
      <c r="AY512" s="570" t="b">
        <f t="shared" si="117"/>
        <v>0</v>
      </c>
      <c r="AZ512" s="571" t="b">
        <f>OR(AR511&gt;100%,(AR511+AR512)&gt;100%)</f>
        <v>0</v>
      </c>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571" t="b">
        <f>OR(BZ504,Y512=EUconst_NA)</f>
        <v>1</v>
      </c>
    </row>
    <row r="513" spans="1:78" s="140" customFormat="1" ht="5.0999999999999996" customHeight="1" x14ac:dyDescent="0.2">
      <c r="A513" s="777"/>
      <c r="B513" s="1248"/>
      <c r="C513" s="164"/>
      <c r="D513" s="178"/>
      <c r="O513" s="1305"/>
      <c r="P513" s="33"/>
      <c r="Q513" s="33"/>
      <c r="R513" s="33"/>
      <c r="S513" s="172"/>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row>
    <row r="514" spans="1:78" s="140" customFormat="1" ht="12.75" customHeight="1" x14ac:dyDescent="0.2">
      <c r="A514" s="777"/>
      <c r="B514" s="1248"/>
      <c r="C514" s="164"/>
      <c r="D514" s="1629" t="str">
        <f>Translations!$B$674</f>
        <v>Pakopos galioja nuo:</v>
      </c>
      <c r="E514" s="1629"/>
      <c r="F514" s="1630"/>
      <c r="G514" s="1014"/>
      <c r="H514" s="606" t="str">
        <f>Translations!$B$675</f>
        <v>iki:</v>
      </c>
      <c r="I514" s="1014"/>
      <c r="J514" s="1620" t="str">
        <f>Translations!$B$676</f>
        <v>Atliekų katalogo numeris (jeigu taikytina):</v>
      </c>
      <c r="K514" s="1621"/>
      <c r="L514" s="1621"/>
      <c r="M514" s="1622"/>
      <c r="N514" s="1232"/>
      <c r="O514" s="1305"/>
      <c r="P514" s="33"/>
      <c r="Q514" s="33"/>
      <c r="R514" s="33"/>
      <c r="S514" s="1233"/>
      <c r="T514" s="483"/>
      <c r="U514" s="483"/>
      <c r="V514" s="48" t="b">
        <f>IF(V504="",FALSE,INDEX(CNTR_IsWaste,MATCH(V504,MSParameters!$A$218:$A$376,0)))</f>
        <v>0</v>
      </c>
      <c r="W514" s="1233" t="s">
        <v>1689</v>
      </c>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2" t="b">
        <f>BZ504</f>
        <v>1</v>
      </c>
    </row>
    <row r="515" spans="1:78" s="140" customFormat="1" ht="5.0999999999999996" customHeight="1" x14ac:dyDescent="0.2">
      <c r="A515" s="777"/>
      <c r="B515" s="1248"/>
      <c r="C515" s="164"/>
      <c r="D515" s="606"/>
      <c r="E515" s="486"/>
      <c r="F515" s="486"/>
      <c r="G515" s="486"/>
      <c r="H515" s="486"/>
      <c r="I515" s="486"/>
      <c r="J515" s="486"/>
      <c r="K515" s="486"/>
      <c r="L515" s="486"/>
      <c r="M515" s="486"/>
      <c r="N515" s="486"/>
      <c r="O515" s="1305"/>
      <c r="P515" s="33"/>
      <c r="Q515" s="33"/>
      <c r="R515" s="33"/>
      <c r="S515" s="172"/>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row>
    <row r="516" spans="1:78" s="140" customFormat="1" ht="12.75" customHeight="1" x14ac:dyDescent="0.2">
      <c r="A516" s="777"/>
      <c r="B516" s="1248"/>
      <c r="C516" s="164"/>
      <c r="D516" s="486"/>
      <c r="E516" s="486"/>
      <c r="F516" s="486"/>
      <c r="G516" s="486"/>
      <c r="H516" s="486"/>
      <c r="I516" s="486"/>
      <c r="J516" s="486"/>
      <c r="K516" s="486"/>
      <c r="L516" s="486"/>
      <c r="M516" s="606" t="str">
        <f>Translations!$B$677</f>
        <v>Stebėsenos plane šiam sukėlikliui suteiktas identifikatorius:</v>
      </c>
      <c r="N516" s="705"/>
      <c r="O516" s="1305"/>
      <c r="P516" s="33"/>
      <c r="Q516" s="33"/>
      <c r="R516" s="33"/>
      <c r="S516" s="172"/>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2" t="b">
        <f>BZ514</f>
        <v>1</v>
      </c>
    </row>
    <row r="517" spans="1:78" s="140" customFormat="1" ht="5.0999999999999996" customHeight="1" x14ac:dyDescent="0.2">
      <c r="A517" s="784"/>
      <c r="B517" s="1316"/>
      <c r="D517" s="178"/>
      <c r="O517" s="1317"/>
      <c r="P517" s="488"/>
      <c r="Q517" s="488"/>
      <c r="R517" s="488"/>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row>
    <row r="518" spans="1:78" s="140" customFormat="1" x14ac:dyDescent="0.2">
      <c r="A518" s="784"/>
      <c r="B518" s="1316"/>
      <c r="D518" s="1618" t="str">
        <f>Translations!$B$160</f>
        <v>Pastabos:</v>
      </c>
      <c r="E518" s="1619"/>
      <c r="F518" s="1605"/>
      <c r="G518" s="1606"/>
      <c r="H518" s="1606"/>
      <c r="I518" s="1606"/>
      <c r="J518" s="1606"/>
      <c r="K518" s="1606"/>
      <c r="L518" s="1606"/>
      <c r="M518" s="1606"/>
      <c r="N518" s="1607"/>
      <c r="O518" s="1317"/>
      <c r="P518" s="488"/>
      <c r="Q518" s="488"/>
      <c r="R518" s="488"/>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2" t="b">
        <f>BZ514</f>
        <v>1</v>
      </c>
    </row>
    <row r="519" spans="1:78" s="28" customFormat="1" ht="12.75" customHeight="1" thickBot="1" x14ac:dyDescent="0.25">
      <c r="A519" s="777"/>
      <c r="B519" s="1312"/>
      <c r="C519" s="490"/>
      <c r="D519" s="491"/>
      <c r="E519" s="492"/>
      <c r="F519" s="490"/>
      <c r="G519" s="493"/>
      <c r="H519" s="493"/>
      <c r="I519" s="493"/>
      <c r="J519" s="493"/>
      <c r="K519" s="493"/>
      <c r="L519" s="493"/>
      <c r="M519" s="493"/>
      <c r="N519" s="493"/>
      <c r="O519" s="1313"/>
      <c r="P519" s="485"/>
      <c r="Q519" s="485"/>
      <c r="R519" s="485"/>
      <c r="S519" s="58"/>
      <c r="T519" s="58"/>
      <c r="U519" s="489"/>
      <c r="V519" s="58"/>
      <c r="W519" s="58"/>
      <c r="X519" s="489"/>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30"/>
      <c r="BJ519" s="30"/>
      <c r="BK519" s="30"/>
      <c r="BL519" s="58"/>
      <c r="BM519" s="58"/>
      <c r="BN519" s="58"/>
      <c r="BO519" s="58"/>
      <c r="BP519" s="58"/>
      <c r="BQ519" s="58"/>
      <c r="BR519" s="58"/>
      <c r="BS519" s="58"/>
      <c r="BT519" s="58"/>
      <c r="BU519" s="58"/>
      <c r="BV519" s="58"/>
      <c r="BW519" s="58"/>
      <c r="BX519" s="58"/>
      <c r="BY519" s="58"/>
      <c r="BZ519" s="58"/>
    </row>
    <row r="520" spans="1:78" s="28" customFormat="1" ht="12.75" customHeight="1" thickBot="1" x14ac:dyDescent="0.25">
      <c r="A520" s="782"/>
      <c r="B520" s="1312"/>
      <c r="C520" s="486"/>
      <c r="D520" s="178"/>
      <c r="E520" s="487"/>
      <c r="F520" s="486"/>
      <c r="G520" s="478"/>
      <c r="H520" s="478"/>
      <c r="I520" s="478"/>
      <c r="J520" s="478"/>
      <c r="K520" s="486"/>
      <c r="L520" s="478"/>
      <c r="M520" s="478"/>
      <c r="N520" s="478"/>
      <c r="O520" s="1313"/>
      <c r="P520" s="485"/>
      <c r="Q520" s="485"/>
      <c r="R520" s="485"/>
      <c r="S520" s="23"/>
      <c r="T520" s="27" t="str">
        <f>IF(ISBLANK(E521),"",MATCH(E521,CNTR_SourceStreamNames,0))</f>
        <v/>
      </c>
      <c r="U520" s="609" t="str">
        <f>IF(ISBLANK(E521),"",INDEX(B_InstallationDescription!$D$71:$D$145,MATCH(E521,CNTR_SourceStreamNames,0)))</f>
        <v/>
      </c>
      <c r="V520" s="76"/>
      <c r="W520" s="56"/>
      <c r="X520" s="56"/>
      <c r="Y520" s="56"/>
      <c r="Z520" s="58"/>
      <c r="AA520" s="58"/>
      <c r="AB520" s="58"/>
      <c r="AC520" s="58"/>
      <c r="AD520" s="58"/>
      <c r="AE520" s="58"/>
      <c r="AF520" s="58"/>
      <c r="AG520" s="58"/>
      <c r="AH520" s="58"/>
      <c r="AI520" s="58"/>
      <c r="AJ520" s="58"/>
      <c r="AK520" s="482"/>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6"/>
      <c r="BI520" s="56"/>
      <c r="BJ520" s="56"/>
      <c r="BK520" s="56"/>
      <c r="BL520" s="56"/>
      <c r="BM520" s="56"/>
      <c r="BN520" s="56"/>
      <c r="BO520" s="56"/>
      <c r="BP520" s="56"/>
      <c r="BQ520" s="56"/>
      <c r="BR520" s="56"/>
      <c r="BS520" s="56"/>
      <c r="BT520" s="56"/>
      <c r="BU520" s="56"/>
      <c r="BV520" s="56"/>
      <c r="BW520" s="56"/>
      <c r="BX520" s="56"/>
      <c r="BY520" s="56"/>
      <c r="BZ520" s="484" t="s">
        <v>259</v>
      </c>
    </row>
    <row r="521" spans="1:78" s="140" customFormat="1" ht="15" customHeight="1" thickBot="1" x14ac:dyDescent="0.25">
      <c r="A521" s="1302" t="str">
        <f>IF(E521="","","PRINT")</f>
        <v/>
      </c>
      <c r="B521" s="1248"/>
      <c r="C521" s="608">
        <f>C494+1</f>
        <v>18</v>
      </c>
      <c r="D521" s="164"/>
      <c r="E521" s="1610"/>
      <c r="F521" s="1611"/>
      <c r="G521" s="1611"/>
      <c r="H521" s="1611"/>
      <c r="I521" s="1611"/>
      <c r="J521" s="1612"/>
      <c r="K521" s="1623" t="str">
        <f>IF(E522="","",INDEX(EUwideConstants!$F$353:$F$394,MATCH(E522,EUConst_TierActivityListNames,0)))</f>
        <v/>
      </c>
      <c r="L521" s="1624"/>
      <c r="M521" s="494" t="str">
        <f>Translations!$B$665</f>
        <v>CO2, iškastinio kuro kilmės:</v>
      </c>
      <c r="N521" s="1012" t="str">
        <f>IF(OR(K521="",T522=TRUE),"",INDEX(BC535:BE535,MATCH(K521,BC531:BE531,0)))</f>
        <v/>
      </c>
      <c r="O521" s="1314" t="s">
        <v>257</v>
      </c>
      <c r="P521" s="1303" t="str">
        <f>IF(AND(E521&lt;&gt;"",COUNTIF(P522:$P$2089,"PRINT")=0),"PRINT","")</f>
        <v/>
      </c>
      <c r="Q521" s="343" t="str">
        <f>EUconst_SumCO2 &amp; "_" &amp; K521</f>
        <v>SUM_CO2_</v>
      </c>
      <c r="R521" s="485"/>
      <c r="S521" s="23"/>
      <c r="T521" s="500" t="s">
        <v>387</v>
      </c>
      <c r="U521" s="23"/>
      <c r="V521" s="76"/>
      <c r="W521" s="56"/>
      <c r="X521" s="58"/>
      <c r="Y521" s="58"/>
      <c r="Z521" s="58"/>
      <c r="AA521" s="58"/>
      <c r="AB521" s="58"/>
      <c r="AC521" s="58"/>
      <c r="AD521" s="58"/>
      <c r="AE521" s="58"/>
      <c r="AF521" s="58"/>
      <c r="AG521" s="58"/>
      <c r="AH521" s="58"/>
      <c r="AI521" s="333"/>
      <c r="AJ521" s="333"/>
      <c r="AK521" s="333"/>
      <c r="AL521" s="333"/>
      <c r="AM521" s="333"/>
      <c r="AN521" s="333"/>
      <c r="AO521" s="333"/>
      <c r="AP521" s="333"/>
      <c r="AQ521" s="333"/>
      <c r="AR521" s="333"/>
      <c r="AS521" s="333"/>
      <c r="AT521" s="333"/>
      <c r="AU521" s="333"/>
      <c r="AV521" s="333"/>
      <c r="AW521" s="333"/>
      <c r="AX521" s="333"/>
      <c r="AY521" s="333"/>
      <c r="AZ521" s="333"/>
      <c r="BA521" s="333"/>
      <c r="BB521" s="333"/>
      <c r="BC521" s="333"/>
      <c r="BD521" s="333"/>
      <c r="BE521" s="333"/>
      <c r="BF521" s="333"/>
      <c r="BG521" s="333"/>
      <c r="BH521" s="834">
        <f>AR531</f>
        <v>0</v>
      </c>
      <c r="BI521" s="834" t="str">
        <f>AJ531</f>
        <v/>
      </c>
      <c r="BJ521" s="834">
        <f>AR533</f>
        <v>0</v>
      </c>
      <c r="BK521" s="834" t="str">
        <f>AJ533</f>
        <v/>
      </c>
      <c r="BL521" s="834">
        <f>AR534</f>
        <v>0</v>
      </c>
      <c r="BM521" s="834" t="str">
        <f>AJ534</f>
        <v/>
      </c>
      <c r="BN521" s="834">
        <f>AR535</f>
        <v>1</v>
      </c>
      <c r="BO521" s="834">
        <f>AR536</f>
        <v>1</v>
      </c>
      <c r="BP521" s="834">
        <f>AR537</f>
        <v>0</v>
      </c>
      <c r="BQ521" s="834" t="str">
        <f>AJ537</f>
        <v/>
      </c>
      <c r="BR521" s="834">
        <f>AR538</f>
        <v>0</v>
      </c>
      <c r="BS521" s="834">
        <f>AR539</f>
        <v>0</v>
      </c>
      <c r="BT521" s="834" t="str">
        <f>N521</f>
        <v/>
      </c>
      <c r="BU521" s="834" t="str">
        <f>N522</f>
        <v/>
      </c>
      <c r="BV521" s="834" t="str">
        <f>R524</f>
        <v/>
      </c>
      <c r="BW521" s="834" t="str">
        <f>R530</f>
        <v/>
      </c>
      <c r="BX521" s="834" t="str">
        <f>R531</f>
        <v/>
      </c>
      <c r="BY521" s="56"/>
      <c r="BZ521" s="610" t="b">
        <f>CNTR_CalcRelevant=EUconst_NotRelevant</f>
        <v>0</v>
      </c>
    </row>
    <row r="522" spans="1:78" s="140" customFormat="1" ht="15" customHeight="1" thickBot="1" x14ac:dyDescent="0.25">
      <c r="A522" s="777"/>
      <c r="B522" s="1248"/>
      <c r="C522" s="164"/>
      <c r="D522" s="164"/>
      <c r="E522" s="1625" t="str">
        <f>IF(ISBLANK(E521),"",IF(INDEX(B_InstallationDescription!$E$71:$E$145,MATCH(U520,B_InstallationDescription!$D$71:$D$145,0))&gt;0,INDEX(B_InstallationDescription!$E$71:$E$145,MATCH(U520,B_InstallationDescription!$D$71:$D$145,0)),""))</f>
        <v/>
      </c>
      <c r="F522" s="1626"/>
      <c r="G522" s="1626"/>
      <c r="H522" s="1626"/>
      <c r="I522" s="1626"/>
      <c r="J522" s="1627"/>
      <c r="M522" s="337" t="str">
        <f>Translations!$B$666</f>
        <v>CO2, biomasės kilmės.:</v>
      </c>
      <c r="N522" s="1013" t="str">
        <f>IF(OR(K521="",T522=TRUE),"",INDEX(BC534:BE534,MATCH(K521,BC531:BE531,0)))</f>
        <v/>
      </c>
      <c r="O522" s="1315" t="s">
        <v>257</v>
      </c>
      <c r="P522" s="485"/>
      <c r="Q522" s="343" t="str">
        <f>EUconst_SumBioCO2 &amp; "_" &amp; K521</f>
        <v>SUM_bioCO2_</v>
      </c>
      <c r="R522" s="485"/>
      <c r="S522" s="23"/>
      <c r="T522" s="48" t="str">
        <f>IF(E522="","",MATCH(E522,EUConst_TierActivityListNames,0)&gt;40)</f>
        <v/>
      </c>
      <c r="U522" s="23"/>
      <c r="V522" s="76"/>
      <c r="W522" s="56"/>
      <c r="X522" s="58"/>
      <c r="Y522" s="27" t="s">
        <v>91</v>
      </c>
      <c r="Z522" s="30"/>
      <c r="AA522" s="30"/>
      <c r="AB522" s="30"/>
      <c r="AC522" s="30"/>
      <c r="AD522" s="30"/>
      <c r="AE522" s="27" t="s">
        <v>297</v>
      </c>
      <c r="AF522" s="58"/>
      <c r="AG522" s="495"/>
      <c r="AH522" s="30"/>
      <c r="AI522" s="30"/>
      <c r="AJ522" s="495"/>
      <c r="AK522" s="495"/>
      <c r="AL522" s="333"/>
      <c r="AM522" s="27" t="s">
        <v>303</v>
      </c>
      <c r="AN522" s="496"/>
      <c r="AO522" s="496"/>
      <c r="AP522" s="30"/>
      <c r="AQ522" s="30"/>
      <c r="AR522" s="30"/>
      <c r="AS522" s="30"/>
      <c r="AT522" s="30"/>
      <c r="AU522" s="30"/>
      <c r="AV522" s="27" t="s">
        <v>310</v>
      </c>
      <c r="AW522" s="30"/>
      <c r="AX522" s="483"/>
      <c r="AY522" s="30"/>
      <c r="AZ522" s="30"/>
      <c r="BA522" s="30"/>
      <c r="BB522" s="27" t="s">
        <v>217</v>
      </c>
      <c r="BC522" s="30"/>
      <c r="BD522" s="30"/>
      <c r="BE522" s="30"/>
      <c r="BF522" s="30"/>
      <c r="BG522" s="27" t="s">
        <v>486</v>
      </c>
      <c r="BH522" s="833" t="s">
        <v>552</v>
      </c>
      <c r="BI522" s="833" t="s">
        <v>487</v>
      </c>
      <c r="BJ522" s="833" t="s">
        <v>211</v>
      </c>
      <c r="BK522" s="833" t="s">
        <v>488</v>
      </c>
      <c r="BL522" s="833" t="s">
        <v>68</v>
      </c>
      <c r="BM522" s="833" t="s">
        <v>489</v>
      </c>
      <c r="BN522" s="833" t="s">
        <v>490</v>
      </c>
      <c r="BO522" s="833" t="s">
        <v>491</v>
      </c>
      <c r="BP522" s="833" t="s">
        <v>214</v>
      </c>
      <c r="BQ522" s="833" t="s">
        <v>492</v>
      </c>
      <c r="BR522" s="833" t="s">
        <v>493</v>
      </c>
      <c r="BS522" s="833" t="s">
        <v>494</v>
      </c>
      <c r="BT522" s="833" t="s">
        <v>287</v>
      </c>
      <c r="BU522" s="833" t="s">
        <v>495</v>
      </c>
      <c r="BV522" s="833" t="s">
        <v>498</v>
      </c>
      <c r="BW522" s="833" t="s">
        <v>496</v>
      </c>
      <c r="BX522" s="833" t="s">
        <v>497</v>
      </c>
      <c r="BY522" s="30"/>
      <c r="BZ522" s="30"/>
    </row>
    <row r="523" spans="1:78" s="140" customFormat="1" ht="5.0999999999999996" customHeight="1" thickBot="1" x14ac:dyDescent="0.25">
      <c r="A523" s="777"/>
      <c r="B523" s="1248"/>
      <c r="C523" s="164"/>
      <c r="D523" s="164"/>
      <c r="E523" s="164"/>
      <c r="F523" s="164"/>
      <c r="G523" s="164"/>
      <c r="M523" s="141"/>
      <c r="N523" s="141"/>
      <c r="O523" s="1305"/>
      <c r="P523" s="33"/>
      <c r="Q523" s="33"/>
      <c r="R523" s="33"/>
      <c r="S523" s="23"/>
      <c r="T523" s="23"/>
      <c r="U523" s="23"/>
      <c r="V523" s="76"/>
      <c r="W523" s="30"/>
      <c r="X523" s="30"/>
      <c r="Y523" s="485"/>
      <c r="Z523" s="30"/>
      <c r="AA523" s="30"/>
      <c r="AB523" s="30"/>
      <c r="AC523" s="30"/>
      <c r="AD523" s="30"/>
      <c r="AE523" s="30"/>
      <c r="AF523" s="58"/>
      <c r="AG523" s="30"/>
      <c r="AH523" s="30"/>
      <c r="AI523" s="30"/>
      <c r="AJ523" s="495"/>
      <c r="AK523" s="495"/>
      <c r="AL523" s="333"/>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row>
    <row r="524" spans="1:78" s="140" customFormat="1" ht="12.75" customHeight="1" thickBot="1" x14ac:dyDescent="0.25">
      <c r="A524" s="777"/>
      <c r="B524" s="1248"/>
      <c r="C524" s="164"/>
      <c r="D524" s="164"/>
      <c r="E524" s="1628" t="str">
        <f>IF(E521="","",IF(T522=TRUE,HYPERLINK("#JUMP_14",EUconst_MsgGoOnPFC),HYPERLINK("#JUMP_E_8",EUconst_FurtherGuidancePoint1)))</f>
        <v/>
      </c>
      <c r="F524" s="1628"/>
      <c r="G524" s="1628"/>
      <c r="H524" s="1628"/>
      <c r="I524" s="1628"/>
      <c r="J524" s="1628"/>
      <c r="K524" s="1628"/>
      <c r="L524" s="1628"/>
      <c r="M524" s="1628"/>
      <c r="N524" s="141"/>
      <c r="O524" s="1305"/>
      <c r="P524" s="33"/>
      <c r="Q524" s="343" t="str">
        <f>EUconst_SumNonSustBioCO2 &amp; "_" &amp; K521</f>
        <v>SUM_bioNonSustCO2_</v>
      </c>
      <c r="R524" s="698" t="str">
        <f>IF(OR(K521="",T522=TRUE),"",ROUND(INDEX(BC533:BE533,MATCH(K521,BC531:BE531,0)),0))</f>
        <v/>
      </c>
      <c r="S524" s="23"/>
      <c r="T524" s="23"/>
      <c r="U524" s="23"/>
      <c r="V524" s="30"/>
      <c r="W524" s="30"/>
      <c r="X524" s="30"/>
      <c r="Y524" s="58"/>
      <c r="Z524" s="30"/>
      <c r="AA524" s="30"/>
      <c r="AB524" s="30"/>
      <c r="AC524" s="30"/>
      <c r="AD524" s="30"/>
      <c r="AE524" s="30"/>
      <c r="AF524" s="58"/>
      <c r="AG524" s="30"/>
      <c r="AH524" s="30"/>
      <c r="AI524" s="30"/>
      <c r="AJ524" s="495"/>
      <c r="AK524" s="495"/>
      <c r="AL524" s="333"/>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row>
    <row r="525" spans="1:78" s="140" customFormat="1" ht="5.0999999999999996" customHeight="1" thickBot="1" x14ac:dyDescent="0.25">
      <c r="A525" s="777"/>
      <c r="B525" s="1248"/>
      <c r="C525" s="164"/>
      <c r="D525" s="164"/>
      <c r="E525" s="164"/>
      <c r="F525" s="164"/>
      <c r="G525" s="164"/>
      <c r="M525" s="141"/>
      <c r="N525" s="141"/>
      <c r="O525" s="1305"/>
      <c r="P525" s="23"/>
      <c r="Q525" s="23"/>
      <c r="R525" s="23"/>
      <c r="S525" s="23"/>
      <c r="T525" s="23"/>
      <c r="U525" s="23"/>
      <c r="V525" s="30"/>
      <c r="W525" s="30"/>
      <c r="X525" s="30"/>
      <c r="Y525" s="485"/>
      <c r="Z525" s="30"/>
      <c r="AA525" s="30"/>
      <c r="AB525" s="30"/>
      <c r="AC525" s="30"/>
      <c r="AD525" s="30"/>
      <c r="AE525" s="30"/>
      <c r="AF525" s="58"/>
      <c r="AG525" s="30"/>
      <c r="AH525" s="30"/>
      <c r="AI525" s="30"/>
      <c r="AJ525" s="495"/>
      <c r="AK525" s="495"/>
      <c r="AL525" s="333"/>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row>
    <row r="526" spans="1:78" s="140" customFormat="1" ht="12.75" customHeight="1" thickBot="1" x14ac:dyDescent="0.25">
      <c r="A526" s="777"/>
      <c r="B526" s="1248"/>
      <c r="C526" s="783" t="s">
        <v>4</v>
      </c>
      <c r="D526" s="503" t="str">
        <f>Translations!$B$622</f>
        <v>VD:</v>
      </c>
      <c r="E526" s="1631" t="str">
        <f>Translations!$B$667</f>
        <v>Ar veiklos duomenys gaunami sudedant išmatuotus kiekius (t. y. ne atliekant nuolatinius matavimus)?</v>
      </c>
      <c r="F526" s="1631"/>
      <c r="G526" s="1631"/>
      <c r="H526" s="1631"/>
      <c r="I526" s="1631"/>
      <c r="J526" s="1631"/>
      <c r="K526" s="1631"/>
      <c r="L526" s="1122"/>
      <c r="M526" s="498"/>
      <c r="O526" s="1305"/>
      <c r="P526" s="23"/>
      <c r="Q526" s="23"/>
      <c r="R526" s="23"/>
      <c r="S526" s="23"/>
      <c r="T526" s="23"/>
      <c r="U526" s="23"/>
      <c r="V526" s="30"/>
      <c r="W526" s="30"/>
      <c r="X526" s="30"/>
      <c r="Y526" s="485"/>
      <c r="Z526" s="30"/>
      <c r="AA526" s="30"/>
      <c r="AB526" s="30"/>
      <c r="AC526" s="1115" t="b">
        <f>AND(E521&lt;&gt;"",T522&lt;&gt;TRUE)</f>
        <v>0</v>
      </c>
      <c r="AD526" s="30"/>
      <c r="AE526" s="30"/>
      <c r="AF526" s="58"/>
      <c r="AG526" s="30"/>
      <c r="AH526" s="30"/>
      <c r="AI526" s="30"/>
      <c r="AJ526" s="495"/>
      <c r="AK526" s="495"/>
      <c r="AL526" s="333"/>
      <c r="AM526" s="30"/>
      <c r="AN526" s="30"/>
      <c r="AO526" s="30"/>
      <c r="AP526" s="30"/>
      <c r="AQ526" s="30"/>
      <c r="AR526" s="30"/>
      <c r="AS526" s="30"/>
      <c r="AT526" s="1115" t="b">
        <f>MSPara_BatchReportingMandatory&lt;&gt;TRUE</f>
        <v>0</v>
      </c>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1115" t="b">
        <f>OR(CNTR_CalcRelevant=EUconst_NotRelevant,AND(COUNTA(CNTR_ListRelevantSections)&gt;0,OR(T522=TRUE,E521="")))</f>
        <v>1</v>
      </c>
    </row>
    <row r="527" spans="1:78" s="140" customFormat="1" ht="5.0999999999999996" customHeight="1" thickBot="1" x14ac:dyDescent="0.25">
      <c r="A527" s="777"/>
      <c r="B527" s="1248"/>
      <c r="C527" s="164"/>
      <c r="D527" s="164"/>
      <c r="E527" s="164"/>
      <c r="F527" s="164"/>
      <c r="G527" s="164"/>
      <c r="H527" s="486"/>
      <c r="I527" s="486"/>
      <c r="J527" s="486"/>
      <c r="K527" s="486"/>
      <c r="L527" s="486"/>
      <c r="M527" s="498"/>
      <c r="O527" s="1305"/>
      <c r="P527" s="23"/>
      <c r="Q527" s="23"/>
      <c r="R527" s="23"/>
      <c r="S527" s="23"/>
      <c r="T527" s="23"/>
      <c r="U527" s="23"/>
      <c r="V527" s="30"/>
      <c r="W527" s="30"/>
      <c r="X527" s="30"/>
      <c r="Y527" s="485"/>
      <c r="Z527" s="30"/>
      <c r="AA527" s="30"/>
      <c r="AB527" s="30"/>
      <c r="AC527" s="483"/>
      <c r="AD527" s="30"/>
      <c r="AE527" s="30"/>
      <c r="AF527" s="58"/>
      <c r="AG527" s="30"/>
      <c r="AH527" s="30"/>
      <c r="AI527" s="30"/>
      <c r="AJ527" s="495"/>
      <c r="AK527" s="495"/>
      <c r="AL527" s="333"/>
      <c r="AM527" s="30"/>
      <c r="AN527" s="30"/>
      <c r="AO527" s="30"/>
      <c r="AP527" s="30"/>
      <c r="AQ527" s="30"/>
      <c r="AR527" s="30"/>
      <c r="AS527" s="30"/>
      <c r="AT527" s="483"/>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483"/>
    </row>
    <row r="528" spans="1:78" s="140" customFormat="1" ht="12.75" customHeight="1" thickBot="1" x14ac:dyDescent="0.25">
      <c r="A528" s="777"/>
      <c r="B528" s="1248"/>
      <c r="C528" s="783" t="s">
        <v>5</v>
      </c>
      <c r="D528" s="503" t="str">
        <f>Translations!$B$622</f>
        <v>VD:</v>
      </c>
      <c r="E528" s="1105" t="str">
        <f>Translations!$B$668</f>
        <v>Pradinis kiekis:</v>
      </c>
      <c r="F528" s="1123"/>
      <c r="G528" s="1106" t="str">
        <f>Translations!$B$669</f>
        <v>Galutinis kiekis:</v>
      </c>
      <c r="H528" s="1123"/>
      <c r="I528" s="1106" t="str">
        <f>Translations!$B$670</f>
        <v>Įsigytas kiekis:</v>
      </c>
      <c r="J528" s="1123"/>
      <c r="K528" s="1106" t="str">
        <f>Translations!$B$671</f>
        <v>Perduotas kiekis:</v>
      </c>
      <c r="L528" s="1123"/>
      <c r="M528" s="1107" t="str">
        <f>IF(AND(L526=TRUE,COUNT(F528,H528,J528,L528)&lt;4),EUconst_ERR_Incomplete,"")</f>
        <v/>
      </c>
      <c r="O528" s="1305"/>
      <c r="P528" s="23"/>
      <c r="Q528" s="23"/>
      <c r="R528" s="23"/>
      <c r="S528" s="23"/>
      <c r="T528" s="23"/>
      <c r="U528" s="23"/>
      <c r="V528" s="30"/>
      <c r="W528" s="30"/>
      <c r="X528" s="30"/>
      <c r="Y528" s="485"/>
      <c r="Z528" s="30"/>
      <c r="AA528" s="30"/>
      <c r="AB528" s="30"/>
      <c r="AC528" s="1115" t="b">
        <f>AC526</f>
        <v>0</v>
      </c>
      <c r="AD528" s="30"/>
      <c r="AE528" s="30"/>
      <c r="AF528" s="58"/>
      <c r="AG528" s="30"/>
      <c r="AH528" s="30"/>
      <c r="AI528" s="30"/>
      <c r="AJ528" s="495"/>
      <c r="AK528" s="495"/>
      <c r="AL528" s="333"/>
      <c r="AM528" s="30"/>
      <c r="AN528" s="30"/>
      <c r="AO528" s="30"/>
      <c r="AP528" s="30"/>
      <c r="AQ528" s="30"/>
      <c r="AR528" s="30"/>
      <c r="AS528" s="30"/>
      <c r="AT528" s="1115" t="b">
        <f>AND(AT526=TRUE,L526="")</f>
        <v>0</v>
      </c>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1115" t="b">
        <f>OR(BZ526,AND(NOT(ISBLANK(L526)),L526=FALSE))</f>
        <v>1</v>
      </c>
    </row>
    <row r="529" spans="1:78" s="140" customFormat="1" ht="5.0999999999999996" customHeight="1" thickBot="1" x14ac:dyDescent="0.25">
      <c r="A529" s="777"/>
      <c r="B529" s="1248"/>
      <c r="C529" s="164"/>
      <c r="D529" s="164"/>
      <c r="E529" s="164"/>
      <c r="F529" s="164"/>
      <c r="G529" s="164"/>
      <c r="M529" s="141"/>
      <c r="N529" s="141"/>
      <c r="O529" s="1305"/>
      <c r="P529" s="23"/>
      <c r="Q529" s="23"/>
      <c r="R529" s="23"/>
      <c r="S529" s="23"/>
      <c r="T529" s="23"/>
      <c r="U529" s="23"/>
      <c r="V529" s="30"/>
      <c r="W529" s="30"/>
      <c r="X529" s="30"/>
      <c r="Y529" s="485"/>
      <c r="Z529" s="30"/>
      <c r="AA529" s="30"/>
      <c r="AB529" s="30"/>
      <c r="AC529" s="30"/>
      <c r="AD529" s="30"/>
      <c r="AE529" s="30"/>
      <c r="AF529" s="58"/>
      <c r="AG529" s="30"/>
      <c r="AH529" s="30"/>
      <c r="AI529" s="30"/>
      <c r="AJ529" s="495"/>
      <c r="AK529" s="495"/>
      <c r="AL529" s="333"/>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row>
    <row r="530" spans="1:78" s="140" customFormat="1" ht="12.75" customHeight="1" thickBot="1" x14ac:dyDescent="0.25">
      <c r="A530" s="777"/>
      <c r="B530" s="1248"/>
      <c r="C530" s="164"/>
      <c r="D530" s="164"/>
      <c r="E530" s="164"/>
      <c r="F530" s="497" t="str">
        <f>Translations!$B$333</f>
        <v>Pakopa</v>
      </c>
      <c r="G530" s="1613" t="str">
        <f>Translations!$B$672</f>
        <v>pakopos aprašas</v>
      </c>
      <c r="H530" s="1613"/>
      <c r="I530" s="1608" t="str">
        <f>Translations!$B$158</f>
        <v>Vienetas</v>
      </c>
      <c r="J530" s="1608"/>
      <c r="K530" s="1608" t="str">
        <f>Translations!$B$673</f>
        <v>Vertė</v>
      </c>
      <c r="L530" s="1608"/>
      <c r="M530" s="498" t="str">
        <f>Translations!$B$610</f>
        <v>klaida</v>
      </c>
      <c r="O530" s="1305"/>
      <c r="P530" s="499"/>
      <c r="Q530" s="343" t="str">
        <f>EUconst_SumEnergyIN &amp; "_" &amp; K521</f>
        <v>SUM_EnergyIN_</v>
      </c>
      <c r="R530" s="390" t="str">
        <f>IF(OR(K521="",T522)=TRUE,"",INDEX(BC536:BE536,MATCH(K521,BC531:BE531,0)))</f>
        <v/>
      </c>
      <c r="S530" s="30"/>
      <c r="T530" s="480"/>
      <c r="U530" s="30"/>
      <c r="V530" s="500" t="s">
        <v>298</v>
      </c>
      <c r="W530" s="30"/>
      <c r="X530" s="30"/>
      <c r="Y530" s="485" t="s">
        <v>560</v>
      </c>
      <c r="Z530" s="485" t="s">
        <v>313</v>
      </c>
      <c r="AA530" s="30"/>
      <c r="AB530" s="30"/>
      <c r="AC530" s="496" t="s">
        <v>304</v>
      </c>
      <c r="AD530" s="30"/>
      <c r="AE530" s="30"/>
      <c r="AF530" s="483" t="s">
        <v>300</v>
      </c>
      <c r="AG530" s="483" t="s">
        <v>301</v>
      </c>
      <c r="AH530" s="485" t="s">
        <v>299</v>
      </c>
      <c r="AI530" s="495" t="s">
        <v>302</v>
      </c>
      <c r="AJ530" s="495" t="s">
        <v>561</v>
      </c>
      <c r="AK530" s="501" t="s">
        <v>306</v>
      </c>
      <c r="AL530" s="333"/>
      <c r="AM530" s="30"/>
      <c r="AN530" s="483" t="s">
        <v>300</v>
      </c>
      <c r="AO530" s="483" t="s">
        <v>301</v>
      </c>
      <c r="AP530" s="502" t="s">
        <v>305</v>
      </c>
      <c r="AQ530" s="495" t="s">
        <v>563</v>
      </c>
      <c r="AR530" s="495" t="s">
        <v>562</v>
      </c>
      <c r="AS530" s="501" t="s">
        <v>306</v>
      </c>
      <c r="AT530" s="501" t="s">
        <v>306</v>
      </c>
      <c r="AU530" s="30"/>
      <c r="AV530" s="483"/>
      <c r="AW530" s="483"/>
      <c r="AX530" s="483" t="s">
        <v>316</v>
      </c>
      <c r="AY530" s="483"/>
      <c r="AZ530" s="483"/>
      <c r="BA530" s="483"/>
      <c r="BB530" s="483"/>
      <c r="BC530" s="483"/>
      <c r="BD530" s="483"/>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484" t="s">
        <v>259</v>
      </c>
    </row>
    <row r="531" spans="1:78" s="140" customFormat="1" ht="12.75" customHeight="1" thickBot="1" x14ac:dyDescent="0.25">
      <c r="A531" s="777"/>
      <c r="B531" s="1248"/>
      <c r="C531" s="753" t="s">
        <v>194</v>
      </c>
      <c r="D531" s="503" t="str">
        <f>Translations!$B$622</f>
        <v>VD:</v>
      </c>
      <c r="E531" s="504"/>
      <c r="F531" s="393"/>
      <c r="G531" s="1603" t="str">
        <f>IF(OR(ISBLANK(F531),F531=EUconst_NoTier),"",IF(Z531=0,EUconst_NA,IF(ISERROR(Z531),"",Z531)))</f>
        <v/>
      </c>
      <c r="H531" s="1604"/>
      <c r="I531" s="1108" t="str">
        <f>IF(J531&lt;&gt;"","",AI531)</f>
        <v/>
      </c>
      <c r="J531" s="1109"/>
      <c r="K531" s="1116" t="str">
        <f>IF(L531="",AQ531,"")</f>
        <v/>
      </c>
      <c r="L531" s="1199"/>
      <c r="M531" s="700" t="str">
        <f>IF(AND(E522&lt;&gt;"",OR(F531="",COUNT(K531:L531)=0),Y531&lt;&gt;EUconst_NA,T522&lt;&gt;TRUE),EUconst_ERR_Incomplete,IF(COUNTIF(AX531:AZ531,TRUE)&gt;0,EUconst_ERR_Inconsistent,""))</f>
        <v/>
      </c>
      <c r="O531" s="1305"/>
      <c r="P531" s="635"/>
      <c r="Q531" s="343" t="str">
        <f>EUconst_SumBioEnergyIN &amp; "_" &amp; K521</f>
        <v>SUM_BioEnergyIN_</v>
      </c>
      <c r="R531" s="390" t="str">
        <f>IF(OR(K521="",T522)=TRUE,"",INDEX(BC537:BE537,MATCH(K521,BC531:BE531,0)))</f>
        <v/>
      </c>
      <c r="S531" s="30"/>
      <c r="T531" s="505" t="str">
        <f>EUconst_CNTR_ActivityData&amp;E522</f>
        <v>ActivityData_</v>
      </c>
      <c r="U531" s="488"/>
      <c r="V531" s="505" t="str">
        <f>IF(E521="","",INDEX(B_InstallationDescription!$I$71:$I$145,MATCH(U520,B_InstallationDescription!$D$71:$D$145,0)))</f>
        <v/>
      </c>
      <c r="W531" s="495" t="s">
        <v>533</v>
      </c>
      <c r="X531" s="488"/>
      <c r="Y531" s="506" t="str">
        <f>IF(OR(T522=TRUE,E522=""),"",INDEX(EUwideConstants!$N:$N,MATCH(T531,EUwideConstants!$Q:$Q,0)))</f>
        <v/>
      </c>
      <c r="Z531" s="507" t="str">
        <f>IF(ISBLANK(F531),"",IF(F531=EUconst_NA,"",INDEX(EUwideConstants!$H:$M,MATCH(T531,EUwideConstants!$Q:$Q,0),MATCH(F531,CNTR_TierList,0))))</f>
        <v/>
      </c>
      <c r="AA531" s="508" t="s">
        <v>299</v>
      </c>
      <c r="AB531" s="495"/>
      <c r="AC531" s="509" t="b">
        <f>AC526</f>
        <v>0</v>
      </c>
      <c r="AD531" s="30"/>
      <c r="AE531" s="510" t="str">
        <f>EUconst_CNTR_ActivityData&amp;EUconst_Unit</f>
        <v>ActivityData_Vienetas</v>
      </c>
      <c r="AF531" s="511" t="str">
        <f>IF(AC531=TRUE, IF(COUNTIF(MSPara_SourceStreamCategory,V531)=0,"",INDEX(MSPara_CalcFactorsMatrix,MATCH(V531,MSPara_SourceStreamCategory,0),MATCH(AE531&amp;"_"&amp;2,MSPara_CalcFactors,0))),"")</f>
        <v/>
      </c>
      <c r="AG531" s="512" t="str">
        <f>IF(AC531=TRUE, IF(COUNTIF(MSPara_SourceStreamCategory,V531)=0,"",INDEX(MSPara_CalcFactorsMatrix,MATCH(V531,MSPara_SourceStreamCategory,0),MATCH(AE531&amp;"_"&amp;1,MSPara_CalcFactors,0))),"")</f>
        <v/>
      </c>
      <c r="AH531" s="509" t="str">
        <f>IF(OR(AF531="",AF531=EUconst_NA),IF(OR(AG531=EUconst_NA,AG531=""),"",AG531),AF531)</f>
        <v/>
      </c>
      <c r="AI531" s="506" t="str">
        <f>IF(AC531=TRUE,IF(AH531="",EUconst_t,AH531),"")</f>
        <v/>
      </c>
      <c r="AJ531" s="513" t="str">
        <f>IF(J531="",AI531,J531)</f>
        <v/>
      </c>
      <c r="AK531" s="514" t="b">
        <f>IF(K521=EUconst_Fuel,J531&lt;&gt;"",FALSE)</f>
        <v>0</v>
      </c>
      <c r="AL531" s="333"/>
      <c r="AM531" s="505" t="str">
        <f>EUconst_CNTR_ActivityData&amp;EUconst_Value</f>
        <v>ActivityData_Vertė</v>
      </c>
      <c r="AN531" s="496"/>
      <c r="AO531" s="496"/>
      <c r="AP531" s="509" t="b">
        <f>AND(AND(AH531&lt;&gt;"",AJ531&lt;&gt;""),AJ531=AH531)</f>
        <v>0</v>
      </c>
      <c r="AQ531" s="610" t="str">
        <f>IF(L526=TRUE,SUM(F528)-SUM(H528)+SUM(J528)-SUM(L528),"")</f>
        <v/>
      </c>
      <c r="AR531" s="509">
        <f>IF(Y531=EUconst_NA,0,IF(COUNT(K531:L531)=0,0,IF(L531="",K531,L531)))</f>
        <v>0</v>
      </c>
      <c r="AS531" s="1115" t="b">
        <f>AND(AC531=TRUE,OR(L531&lt;&gt;"",AQ531=""))</f>
        <v>0</v>
      </c>
      <c r="AT531" s="1115" t="b">
        <f>AND(AC531=TRUE,NOT(AS531))</f>
        <v>0</v>
      </c>
      <c r="AU531" s="30"/>
      <c r="AV531" s="483" t="s">
        <v>309</v>
      </c>
      <c r="AW531" s="483" t="s">
        <v>314</v>
      </c>
      <c r="AX531" s="515"/>
      <c r="AY531" s="30" t="s">
        <v>536</v>
      </c>
      <c r="AZ531" s="30"/>
      <c r="BA531" s="30"/>
      <c r="BB531" s="495"/>
      <c r="BC531" s="484" t="str">
        <f>EUconst_Fuel</f>
        <v>Degimas</v>
      </c>
      <c r="BD531" s="484" t="str">
        <f>EUconst_ProcessCarbonate</f>
        <v>Proceso metu išsiskiriančios ŠESD</v>
      </c>
      <c r="BE531" s="484" t="str">
        <f>EUconst_MassBalance</f>
        <v>Masės balansas</v>
      </c>
      <c r="BF531" s="30"/>
      <c r="BG531" s="30"/>
      <c r="BH531" s="30"/>
      <c r="BI531" s="30"/>
      <c r="BJ531" s="30"/>
      <c r="BK531" s="30"/>
      <c r="BL531" s="30"/>
      <c r="BM531" s="30"/>
      <c r="BN531" s="30"/>
      <c r="BO531" s="30"/>
      <c r="BP531" s="30"/>
      <c r="BQ531" s="30"/>
      <c r="BR531" s="30"/>
      <c r="BS531" s="30"/>
      <c r="BT531" s="30"/>
      <c r="BU531" s="30"/>
      <c r="BV531" s="30"/>
      <c r="BW531" s="30"/>
      <c r="BX531" s="30"/>
      <c r="BY531" s="30"/>
      <c r="BZ531" s="515" t="b">
        <f>BZ526</f>
        <v>1</v>
      </c>
    </row>
    <row r="532" spans="1:78" s="140" customFormat="1" ht="5.0999999999999996" customHeight="1" thickBot="1" x14ac:dyDescent="0.25">
      <c r="A532" s="777"/>
      <c r="B532" s="1248"/>
      <c r="C532" s="783"/>
      <c r="D532" s="298"/>
      <c r="F532" s="141"/>
      <c r="G532" s="141"/>
      <c r="H532" s="141" t="s">
        <v>233</v>
      </c>
      <c r="I532" s="516"/>
      <c r="J532" s="516"/>
      <c r="K532" s="141"/>
      <c r="L532" s="141"/>
      <c r="M532" s="701"/>
      <c r="O532" s="1305"/>
      <c r="P532" s="33"/>
      <c r="Q532" s="33"/>
      <c r="R532" s="33"/>
      <c r="S532" s="30"/>
      <c r="T532" s="153"/>
      <c r="U532" s="488"/>
      <c r="V532" s="30"/>
      <c r="W532" s="30"/>
      <c r="X532" s="488"/>
      <c r="Y532" s="517"/>
      <c r="Z532" s="30"/>
      <c r="AA532" s="30"/>
      <c r="AB532" s="30"/>
      <c r="AC532" s="30"/>
      <c r="AD532" s="30"/>
      <c r="AE532" s="30"/>
      <c r="AF532" s="30"/>
      <c r="AG532" s="30"/>
      <c r="AH532" s="30"/>
      <c r="AI532" s="30"/>
      <c r="AJ532" s="30"/>
      <c r="AK532" s="30"/>
      <c r="AL532" s="333"/>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484"/>
    </row>
    <row r="533" spans="1:78" s="140" customFormat="1" ht="12.75" customHeight="1" thickBot="1" x14ac:dyDescent="0.25">
      <c r="A533" s="777"/>
      <c r="B533" s="1248"/>
      <c r="C533" s="783" t="s">
        <v>195</v>
      </c>
      <c r="D533" s="503" t="str">
        <f>Translations!$B$634</f>
        <v>(prelim.) ITF:</v>
      </c>
      <c r="E533" s="504"/>
      <c r="F533" s="518"/>
      <c r="G533" s="1603" t="str">
        <f t="shared" ref="G533:G539" si="119">IF(OR(ISBLANK(F533),F533=EUconst_NoTier),"",IF(Z533=0,EUconst_NotApplicable,IF(ISERROR(Z533),"",Z533)))</f>
        <v/>
      </c>
      <c r="H533" s="1609"/>
      <c r="I533" s="1110" t="str">
        <f>IF(J533&lt;&gt;"","",AI533)</f>
        <v/>
      </c>
      <c r="J533" s="1111"/>
      <c r="K533" s="519" t="str">
        <f t="shared" ref="K533:K539" si="120">IF(L533="",AQ533,"")</f>
        <v/>
      </c>
      <c r="L533" s="520"/>
      <c r="M533" s="700" t="str">
        <f>IF(AND(E522&lt;&gt;"",OR(F533="",COUNT(K533:L533)=0),Y533&lt;&gt;EUconst_NA,T522&lt;&gt;TRUE),EUconst_ERR_Incomplete,IF(COUNTIF(AX533:AZ533,TRUE)&gt;0,EUconst_ERR_Inconsistent,""))</f>
        <v/>
      </c>
      <c r="N533" s="486"/>
      <c r="O533" s="1305"/>
      <c r="P533" s="33"/>
      <c r="Q533" s="33"/>
      <c r="R533" s="33"/>
      <c r="S533" s="30"/>
      <c r="T533" s="521" t="str">
        <f>EUconst_CNTR_EF&amp;E522</f>
        <v>EF_</v>
      </c>
      <c r="U533" s="488"/>
      <c r="V533" s="522" t="str">
        <f>V531</f>
        <v/>
      </c>
      <c r="W533" s="30"/>
      <c r="X533" s="488"/>
      <c r="Y533" s="523" t="str">
        <f>IF(OR(T522=TRUE,E522=""),"",IF(F533=EUconst_NA,EUconst_NA,INDEX(EUwideConstants!$N:$N,MATCH(T533,EUwideConstants!$Q:$Q,0))))</f>
        <v/>
      </c>
      <c r="Z533" s="524" t="str">
        <f>IF(ISBLANK(F533),"",IF(F533=EUconst_NA,"",INDEX(EUwideConstants!$H:$M,MATCH(T533,EUwideConstants!$Q:$Q,0),MATCH(F533,CNTR_TierList,0))))</f>
        <v/>
      </c>
      <c r="AA533" s="525" t="str">
        <f>IF(COUNTIF(EUconst_DefaultValues,Z533)&gt;0,MATCH(Z533,EUconst_DefaultValues,0),"")</f>
        <v/>
      </c>
      <c r="AB533" s="30"/>
      <c r="AC533" s="526" t="b">
        <f>AND(AC531,Y533&lt;&gt;EUconst_NA)</f>
        <v>0</v>
      </c>
      <c r="AD533" s="30"/>
      <c r="AE533" s="510" t="str">
        <f>EUconst_CNTR_EF&amp;EUconst_Unit</f>
        <v>EF_Vienetas</v>
      </c>
      <c r="AF533" s="527" t="str">
        <f>IF(AC533=TRUE, IF(COUNTIF(MSPara_SourceStreamCategory,V533)=0,"",INDEX(MSPara_CalcFactorsMatrix,MATCH(V533,MSPara_SourceStreamCategory,0),MATCH(AE533&amp;"_"&amp;2,MSPara_CalcFactors,0))),"")</f>
        <v/>
      </c>
      <c r="AG533" s="528" t="str">
        <f>IF(AC533=TRUE, IF(COUNTIF(MSPara_SourceStreamCategory,V533)=0,"",INDEX(MSPara_CalcFactorsMatrix,MATCH(V533,MSPara_SourceStreamCategory,0),MATCH(AE533&amp;"_"&amp;1,MSPara_CalcFactors,0))),"")</f>
        <v/>
      </c>
      <c r="AH533" s="529" t="str">
        <f>IF(AA533="","",INDEX(AF533:AG533,3-AA533))</f>
        <v/>
      </c>
      <c r="AI533" s="530" t="str">
        <f>IF(AC533=TRUE,IF(OR(AH533="",AH533=EUconst_NA),IF(K521=EUconst_Fuel,EUconst_tCO2pTJ,EUconst_tCO2pt),AH533),"")</f>
        <v/>
      </c>
      <c r="AJ533" s="526" t="str">
        <f>IF(J533="",AI533,J533)</f>
        <v/>
      </c>
      <c r="AK533" s="531" t="b">
        <f>IF(K521=EUconst_Fuel,J533&lt;&gt;"",FALSE)</f>
        <v>0</v>
      </c>
      <c r="AL533" s="333"/>
      <c r="AM533" s="510" t="str">
        <f>EUconst_CNTR_EF&amp;EUconst_Value</f>
        <v>EF_Vertė</v>
      </c>
      <c r="AN533" s="532" t="str">
        <f>IF(AC533=TRUE,IF(COUNTIF(MSPara_SourceStreamCategory,V533)=0,"",INDEX(MSPara_CalcFactorsMatrix,MATCH(V533,MSPara_SourceStreamCategory,0),MATCH(AM533&amp;"_"&amp;2,MSPara_CalcFactors,0))),"")</f>
        <v/>
      </c>
      <c r="AO533" s="533" t="str">
        <f>IF(AC533=TRUE,IF(COUNTIF(MSPara_SourceStreamCategory,V533)=0,"",INDEX(MSPara_CalcFactorsMatrix,MATCH(V533,MSPara_SourceStreamCategory,0),MATCH(AM533&amp;"_"&amp;1,MSPara_CalcFactors,0))),"")</f>
        <v/>
      </c>
      <c r="AP533" s="526" t="b">
        <f>AND(AND(AH533&lt;&gt;"",AJ533&lt;&gt;""),AJ533=AH533)</f>
        <v>0</v>
      </c>
      <c r="AQ533" s="534" t="str">
        <f>IF(AND(AA533&lt;&gt;"",AP533=TRUE),IF(OR(INDEX(AN533:AO533,3-AA533)=EUconst_NA,INDEX(AN533:AO533,3-AA533)=0),"",INDEX(AN533:AO533,3-AA533)),"")</f>
        <v/>
      </c>
      <c r="AR533" s="526">
        <f>IF(AC533=TRUE,IF(COUNT(K533:L533)=0,0,IF(L533="",K533,L533)),0)</f>
        <v>0</v>
      </c>
      <c r="AS533" s="522" t="b">
        <f>AND(AC533=TRUE,OR(AND(F533&lt;&gt;"",NOT(ISNUMBER(AA533))),L533&lt;&gt;"",F533="",AQ533=""))</f>
        <v>0</v>
      </c>
      <c r="AT533" s="522" t="b">
        <f t="shared" ref="AT533:AT539" si="121">AND(AC533=TRUE,NOT(AS533))</f>
        <v>0</v>
      </c>
      <c r="AU533" s="30"/>
      <c r="AV533" s="535" t="b">
        <f t="shared" ref="AV533:AV539" si="122">AND(ISNUMBER(AA533),AQ533="")</f>
        <v>0</v>
      </c>
      <c r="AW533" s="536" t="b">
        <f t="shared" ref="AW533:AW539" si="123">AND(ISNUMBER(AA533),AQ533&lt;&gt;AR533)</f>
        <v>0</v>
      </c>
      <c r="AX533" s="537" t="b">
        <f>OR(AND(AJ531=EUconst_kNm3,AJ533=EUconst_tCO2pt),AND(AJ531=EUconst_t,AJ533=EUconst_tCO2pkNm3))</f>
        <v>0</v>
      </c>
      <c r="AY533" s="522" t="b">
        <f t="shared" ref="AY533:AY539" si="124">AND(L533&lt;&gt;"",Y533=EUconst_NA)</f>
        <v>0</v>
      </c>
      <c r="AZ533" s="30"/>
      <c r="BA533" s="30"/>
      <c r="BB533" s="538" t="s">
        <v>588</v>
      </c>
      <c r="BC533" s="537" t="str">
        <f>IF(K521=BC531,AR531*IF(AJ533=EUconst_tCO2pTJ,(AR534/1000),1)*AR533*AR535*AR539,"")</f>
        <v/>
      </c>
      <c r="BD533" s="515" t="str">
        <f>IF(K521=BD531,AR531*AR533*AR536*AR539,"")</f>
        <v/>
      </c>
      <c r="BE533" s="514" t="str">
        <f>IF(K521=BE531,3.664*AR531*AR537*AR539,"")</f>
        <v/>
      </c>
      <c r="BF533" s="30"/>
      <c r="BG533" s="30"/>
      <c r="BH533" s="30"/>
      <c r="BI533" s="30"/>
      <c r="BJ533" s="30"/>
      <c r="BK533" s="30"/>
      <c r="BL533" s="30"/>
      <c r="BM533" s="30"/>
      <c r="BN533" s="30"/>
      <c r="BO533" s="30"/>
      <c r="BP533" s="30"/>
      <c r="BQ533" s="30"/>
      <c r="BR533" s="30"/>
      <c r="BS533" s="30"/>
      <c r="BT533" s="30"/>
      <c r="BU533" s="30"/>
      <c r="BV533" s="30"/>
      <c r="BW533" s="30"/>
      <c r="BX533" s="30"/>
      <c r="BY533" s="30"/>
      <c r="BZ533" s="522" t="b">
        <f>OR(BZ531,Y533=EUconst_NA)</f>
        <v>1</v>
      </c>
    </row>
    <row r="534" spans="1:78" s="140" customFormat="1" ht="12.75" customHeight="1" thickBot="1" x14ac:dyDescent="0.25">
      <c r="A534" s="777"/>
      <c r="B534" s="1248"/>
      <c r="C534" s="783" t="s">
        <v>196</v>
      </c>
      <c r="D534" s="503" t="str">
        <f>Translations!$B$636</f>
        <v>GŠV:</v>
      </c>
      <c r="E534" s="504"/>
      <c r="F534" s="539"/>
      <c r="G534" s="1603" t="str">
        <f t="shared" si="119"/>
        <v/>
      </c>
      <c r="H534" s="1604"/>
      <c r="I534" s="1112" t="str">
        <f>AJ534</f>
        <v/>
      </c>
      <c r="J534" s="540"/>
      <c r="K534" s="541" t="str">
        <f t="shared" si="120"/>
        <v/>
      </c>
      <c r="L534" s="542"/>
      <c r="M534" s="700" t="str">
        <f>IF(AND(E522&lt;&gt;"",OR(F534="",COUNT(K534:L534)=0),Y534&lt;&gt;EUconst_NA,T522&lt;&gt;TRUE),EUconst_ERR_Incomplete,IF(COUNTIF(AX534:AZ534,TRUE)&gt;0,EUconst_ERR_Inconsistent,""))</f>
        <v/>
      </c>
      <c r="O534" s="1305"/>
      <c r="P534" s="33"/>
      <c r="Q534" s="33"/>
      <c r="R534" s="33"/>
      <c r="S534" s="30"/>
      <c r="T534" s="543" t="str">
        <f>EUconst_CNTR_NCV&amp;E522</f>
        <v>NCV_</v>
      </c>
      <c r="U534" s="488"/>
      <c r="V534" s="544" t="str">
        <f t="shared" ref="V534:V539" si="125">V533</f>
        <v/>
      </c>
      <c r="W534" s="30"/>
      <c r="X534" s="488"/>
      <c r="Y534" s="545" t="str">
        <f>IF(OR(T522=TRUE,E522=""),"",IF(F534=EUconst_NA,EUconst_NA,INDEX(EUwideConstants!$N:$N,MATCH(T534,EUwideConstants!$Q:$Q,0))))</f>
        <v/>
      </c>
      <c r="Z534" s="546" t="str">
        <f>IF(ISBLANK(F534),"",IF(F534=EUconst_NA,"",INDEX(EUwideConstants!$H:$M,MATCH(T534,EUwideConstants!$Q:$Q,0),MATCH(F534,CNTR_TierList,0))))</f>
        <v/>
      </c>
      <c r="AA534" s="547" t="str">
        <f>IF(COUNTIF(EUconst_DefaultValues,Z534)&gt;0,MATCH(Z534,EUconst_DefaultValues,0),"")</f>
        <v/>
      </c>
      <c r="AB534" s="30"/>
      <c r="AC534" s="548" t="b">
        <f>AND(AC531,Y534&lt;&gt;EUconst_NA)</f>
        <v>0</v>
      </c>
      <c r="AD534" s="30"/>
      <c r="AE534" s="549" t="str">
        <f>EUconst_CNTR_NCV&amp;EUconst_Unit</f>
        <v>NCV_Vienetas</v>
      </c>
      <c r="AF534" s="550" t="str">
        <f>IF(AC534=TRUE, IF(COUNTIF(MSPara_SourceStreamCategory,V534)=0,"",INDEX(MSPara_CalcFactorsMatrix,MATCH(V534,MSPara_SourceStreamCategory,0),MATCH(AE534&amp;"_"&amp;2,MSPara_CalcFactors,0))),"")</f>
        <v/>
      </c>
      <c r="AG534" s="551" t="str">
        <f>IF(AC534=TRUE, IF(COUNTIF(MSPara_SourceStreamCategory,V534)=0,"",INDEX(MSPara_CalcFactorsMatrix,MATCH(V534,MSPara_SourceStreamCategory,0),MATCH(AE534&amp;"_"&amp;1,MSPara_CalcFactors,0))),"")</f>
        <v/>
      </c>
      <c r="AH534" s="552" t="str">
        <f>IF(AA534="","",INDEX(AF534:AG534,3-AA534))</f>
        <v/>
      </c>
      <c r="AI534" s="553"/>
      <c r="AJ534" s="548" t="str">
        <f>IF(AC534=TRUE,IF(AJ531="","",IF(AJ531=EUconst_kNm3,EUconst_GJpkNm3,EUconst_GJpt)),"")</f>
        <v/>
      </c>
      <c r="AK534" s="554"/>
      <c r="AL534" s="333"/>
      <c r="AM534" s="549" t="str">
        <f>EUconst_CNTR_NCV&amp;EUconst_Value</f>
        <v>NCV_Vertė</v>
      </c>
      <c r="AN534" s="555" t="str">
        <f>IF(AC534=TRUE,IF(COUNTIF(MSPara_SourceStreamCategory,V534)=0,"",INDEX(MSPara_CalcFactorsMatrix,MATCH(V534,MSPara_SourceStreamCategory,0),MATCH(AM534&amp;"_"&amp;2,MSPara_CalcFactors,0))),"")</f>
        <v/>
      </c>
      <c r="AO534" s="556" t="str">
        <f>IF(AC534=TRUE,IF(COUNTIF(MSPara_SourceStreamCategory,V534)=0,"",INDEX(MSPara_CalcFactorsMatrix,MATCH(V534,MSPara_SourceStreamCategory,0),MATCH(AM534&amp;"_"&amp;1,MSPara_CalcFactors,0))),"")</f>
        <v/>
      </c>
      <c r="AP534" s="548" t="b">
        <f>AND(AND(AH534&lt;&gt;"",AJ534&lt;&gt;""),AJ534=AH534)</f>
        <v>0</v>
      </c>
      <c r="AQ534" s="557" t="str">
        <f>IF(AND(AA534&lt;&gt;"",AP534=TRUE),IF(OR(INDEX(AN534:AO534,3-AA534)=EUconst_NA,INDEX(AN534:AO534,3-AA534)=0),"",INDEX(AN534:AO534,3-AA534)),"")</f>
        <v/>
      </c>
      <c r="AR534" s="548">
        <f>IF(AC534=TRUE,IF(COUNT(K534:L534)=0,0,IF(L534="",K534,L534)),0)</f>
        <v>0</v>
      </c>
      <c r="AS534" s="544" t="b">
        <f>AND(AC534=TRUE,OR(AND(F534&lt;&gt;"",NOT(ISNUMBER(AA534))),L534&lt;&gt;"",F534="",AQ534=""))</f>
        <v>0</v>
      </c>
      <c r="AT534" s="544" t="b">
        <f t="shared" si="121"/>
        <v>0</v>
      </c>
      <c r="AU534" s="30"/>
      <c r="AV534" s="558" t="b">
        <f t="shared" si="122"/>
        <v>0</v>
      </c>
      <c r="AW534" s="559" t="b">
        <f t="shared" si="123"/>
        <v>0</v>
      </c>
      <c r="AX534" s="30"/>
      <c r="AY534" s="544" t="b">
        <f t="shared" si="124"/>
        <v>0</v>
      </c>
      <c r="AZ534" s="30"/>
      <c r="BA534" s="30"/>
      <c r="BB534" s="538" t="s">
        <v>589</v>
      </c>
      <c r="BC534" s="537" t="str">
        <f>IF(K521=BC531,AR531*IF(AJ533=EUconst_tCO2pTJ,(AR534/1000),1)*AR533*AR535*AR538,"")</f>
        <v/>
      </c>
      <c r="BD534" s="515" t="str">
        <f>IF(K521=BD531,AR531*AR533*AR536*AR538,"")</f>
        <v/>
      </c>
      <c r="BE534" s="514" t="str">
        <f>IF(K521=BE531,3.664*AR531*AR537*AR538,"")</f>
        <v/>
      </c>
      <c r="BF534" s="30"/>
      <c r="BG534" s="30"/>
      <c r="BH534" s="30"/>
      <c r="BI534" s="30"/>
      <c r="BJ534" s="30"/>
      <c r="BK534" s="30"/>
      <c r="BL534" s="30"/>
      <c r="BM534" s="30"/>
      <c r="BN534" s="30"/>
      <c r="BO534" s="30"/>
      <c r="BP534" s="30"/>
      <c r="BQ534" s="30"/>
      <c r="BR534" s="30"/>
      <c r="BS534" s="30"/>
      <c r="BT534" s="30"/>
      <c r="BU534" s="30"/>
      <c r="BV534" s="30"/>
      <c r="BW534" s="30"/>
      <c r="BX534" s="30"/>
      <c r="BY534" s="30"/>
      <c r="BZ534" s="544" t="b">
        <f>OR(BZ531,Y534=EUconst_NA)</f>
        <v>1</v>
      </c>
    </row>
    <row r="535" spans="1:78" s="140" customFormat="1" ht="12.75" customHeight="1" thickBot="1" x14ac:dyDescent="0.25">
      <c r="A535" s="777"/>
      <c r="B535" s="1248"/>
      <c r="C535" s="783" t="s">
        <v>197</v>
      </c>
      <c r="D535" s="503" t="str">
        <f>Translations!$B$638</f>
        <v>Oksidacijos koef.:</v>
      </c>
      <c r="E535" s="504"/>
      <c r="F535" s="539"/>
      <c r="G535" s="1603" t="str">
        <f t="shared" si="119"/>
        <v/>
      </c>
      <c r="H535" s="1604"/>
      <c r="I535" s="1113" t="str">
        <f>IF(OR(AC535=FALSE,Y535=EUconst_NA),"","-")</f>
        <v/>
      </c>
      <c r="J535" s="560"/>
      <c r="K535" s="561" t="str">
        <f t="shared" si="120"/>
        <v/>
      </c>
      <c r="L535" s="694"/>
      <c r="M535" s="700" t="str">
        <f>IF(AND(E522&lt;&gt;"",OR(F535="",COUNT(K535:L535)=0),Y535&lt;&gt;EUconst_NA,T522&lt;&gt;TRUE),EUconst_ERR_Incomplete,IF(COUNTIF(AX535:AZ535,TRUE)&gt;0,EUconst_ERR_Inconsistent,""))</f>
        <v/>
      </c>
      <c r="O535" s="1305"/>
      <c r="P535" s="33"/>
      <c r="Q535" s="33"/>
      <c r="R535" s="33"/>
      <c r="S535" s="30"/>
      <c r="T535" s="543" t="str">
        <f>EUconst_CNTR_OxidationFactor&amp;E522</f>
        <v>OxF_</v>
      </c>
      <c r="U535" s="488"/>
      <c r="V535" s="544" t="str">
        <f t="shared" si="125"/>
        <v/>
      </c>
      <c r="W535" s="30"/>
      <c r="X535" s="488"/>
      <c r="Y535" s="545" t="str">
        <f>IF(OR(T522=TRUE,E522=""),"",INDEX(EUwideConstants!$N:$N,MATCH(T535,EUwideConstants!$Q:$Q,0)))</f>
        <v/>
      </c>
      <c r="Z535" s="546" t="str">
        <f>IF(ISBLANK(F535),"",IF(F535=EUconst_NA,"",INDEX(EUwideConstants!$H:$M,MATCH(T535,EUwideConstants!$Q:$Q,0),MATCH(F535,CNTR_TierList,0))))</f>
        <v/>
      </c>
      <c r="AA535" s="525" t="str">
        <f>IF(F535=1,1,"")</f>
        <v/>
      </c>
      <c r="AB535" s="30"/>
      <c r="AC535" s="548" t="b">
        <f>AND(AC531,Y535&lt;&gt;EUconst_NA)</f>
        <v>0</v>
      </c>
      <c r="AD535" s="30"/>
      <c r="AE535" s="563"/>
      <c r="AG535" s="564"/>
      <c r="AH535" s="553"/>
      <c r="AI535" s="565"/>
      <c r="AJ535" s="553"/>
      <c r="AK535" s="566"/>
      <c r="AL535" s="333"/>
      <c r="AM535" s="549" t="str">
        <f>EUconst_CNTR_OxidationFactor&amp;EUconst_Value</f>
        <v>OxF_Vertė</v>
      </c>
      <c r="AN535" s="567"/>
      <c r="AO535" s="525">
        <v>1</v>
      </c>
      <c r="AP535" s="553"/>
      <c r="AQ535" s="568" t="str">
        <f>IF(AA535="","",AO535)</f>
        <v/>
      </c>
      <c r="AR535" s="548">
        <f>IF(AC535=TRUE,IF(COUNT(K535:L535)=0,0,IF(L535="",K535,L535)),1)</f>
        <v>1</v>
      </c>
      <c r="AS535" s="544" t="b">
        <f>AND(AC535=TRUE,OR(ISNUMBER(L535),NOT(ISNUMBER(AA535))))</f>
        <v>0</v>
      </c>
      <c r="AT535" s="544" t="b">
        <f t="shared" si="121"/>
        <v>0</v>
      </c>
      <c r="AU535" s="30"/>
      <c r="AV535" s="558" t="b">
        <f t="shared" si="122"/>
        <v>0</v>
      </c>
      <c r="AW535" s="559" t="b">
        <f t="shared" si="123"/>
        <v>0</v>
      </c>
      <c r="AX535" s="30"/>
      <c r="AY535" s="585" t="b">
        <f t="shared" si="124"/>
        <v>0</v>
      </c>
      <c r="AZ535" s="522" t="b">
        <f>AR535&gt;100%</f>
        <v>0</v>
      </c>
      <c r="BA535" s="30"/>
      <c r="BB535" s="538" t="s">
        <v>287</v>
      </c>
      <c r="BC535" s="537" t="str">
        <f>IF(K521=BC531,AR531*IF(AJ533=EUconst_tCO2pTJ,(AR534/1000),1)*AR533*AR535*(1-AR538),"")</f>
        <v/>
      </c>
      <c r="BD535" s="515" t="str">
        <f>IF(K521=BD531,AR531*AR533*AR536*(1-AR538),"")</f>
        <v/>
      </c>
      <c r="BE535" s="514" t="str">
        <f>IF(K521=BE531,3.664*AR531*AR537*(1-AR538),"")</f>
        <v/>
      </c>
      <c r="BF535" s="30"/>
      <c r="BG535" s="30"/>
      <c r="BH535" s="30"/>
      <c r="BI535" s="30"/>
      <c r="BJ535" s="30"/>
      <c r="BK535" s="30"/>
      <c r="BL535" s="30"/>
      <c r="BM535" s="30"/>
      <c r="BN535" s="30"/>
      <c r="BO535" s="30"/>
      <c r="BP535" s="30"/>
      <c r="BQ535" s="30"/>
      <c r="BR535" s="30"/>
      <c r="BS535" s="30"/>
      <c r="BT535" s="30"/>
      <c r="BU535" s="30"/>
      <c r="BV535" s="30"/>
      <c r="BW535" s="30"/>
      <c r="BX535" s="30"/>
      <c r="BY535" s="30"/>
      <c r="BZ535" s="544" t="b">
        <f>OR(BZ531,Y535=EUconst_NA)</f>
        <v>1</v>
      </c>
    </row>
    <row r="536" spans="1:78" s="140" customFormat="1" ht="12.75" customHeight="1" thickBot="1" x14ac:dyDescent="0.25">
      <c r="A536" s="777"/>
      <c r="B536" s="1248"/>
      <c r="C536" s="783" t="s">
        <v>198</v>
      </c>
      <c r="D536" s="503" t="str">
        <f>Translations!$B$639</f>
        <v>Konversijos koef.:</v>
      </c>
      <c r="E536" s="504"/>
      <c r="F536" s="539"/>
      <c r="G536" s="1603" t="str">
        <f t="shared" si="119"/>
        <v/>
      </c>
      <c r="H536" s="1604"/>
      <c r="I536" s="1113" t="str">
        <f>IF(OR(AC536=FALSE,Y536=EUconst_NA),"","-")</f>
        <v/>
      </c>
      <c r="J536" s="560"/>
      <c r="K536" s="561" t="str">
        <f t="shared" si="120"/>
        <v/>
      </c>
      <c r="L536" s="694"/>
      <c r="M536" s="700" t="str">
        <f>IF(AND(E522&lt;&gt;"",OR(F536="",COUNT(K536:L536)=0),Y536&lt;&gt;EUconst_NA,T522&lt;&gt;TRUE),EUconst_ERR_Incomplete,IF(COUNTIF(AX536:AZ536,TRUE)&gt;0,EUconst_ERR_Inconsistent,""))</f>
        <v/>
      </c>
      <c r="O536" s="1305"/>
      <c r="P536" s="33"/>
      <c r="Q536" s="33"/>
      <c r="R536" s="33"/>
      <c r="S536" s="30"/>
      <c r="T536" s="543" t="str">
        <f>EUconst_CNTR_ConversionFactor&amp;E522</f>
        <v>ConvF_</v>
      </c>
      <c r="U536" s="488"/>
      <c r="V536" s="544" t="str">
        <f t="shared" si="125"/>
        <v/>
      </c>
      <c r="W536" s="30"/>
      <c r="X536" s="488"/>
      <c r="Y536" s="545" t="str">
        <f>IF(OR(T522=TRUE,E522=""),"",INDEX(EUwideConstants!$N:$N,MATCH(T536,EUwideConstants!$Q:$Q,0)))</f>
        <v/>
      </c>
      <c r="Z536" s="546" t="str">
        <f>IF(ISBLANK(F536),"",IF(F536=EUconst_NA,"",INDEX(EUwideConstants!$H:$M,MATCH(T536,EUwideConstants!$Q:$Q,0),MATCH(F536,CNTR_TierList,0))))</f>
        <v/>
      </c>
      <c r="AA536" s="573" t="str">
        <f>IF(F536=1,1,"")</f>
        <v/>
      </c>
      <c r="AB536" s="30"/>
      <c r="AC536" s="548" t="b">
        <f>AND(AC531,Y536&lt;&gt;EUconst_NA)</f>
        <v>0</v>
      </c>
      <c r="AD536" s="30"/>
      <c r="AE536" s="563"/>
      <c r="AG536" s="564"/>
      <c r="AH536" s="574"/>
      <c r="AI536" s="565"/>
      <c r="AJ536" s="574"/>
      <c r="AK536" s="566"/>
      <c r="AL536" s="333"/>
      <c r="AM536" s="549" t="str">
        <f>EUconst_CNTR_ConversionFactor&amp;EUconst_Value</f>
        <v>ConvF_Vertė</v>
      </c>
      <c r="AN536" s="575"/>
      <c r="AO536" s="573">
        <v>1</v>
      </c>
      <c r="AP536" s="574"/>
      <c r="AQ536" s="576" t="str">
        <f>IF(AA536="","",AO536)</f>
        <v/>
      </c>
      <c r="AR536" s="548">
        <f>IF(AC536=TRUE,IF(COUNT(K536:L536)=0,0,IF(L536="",K536,L536)),1)</f>
        <v>1</v>
      </c>
      <c r="AS536" s="544" t="b">
        <f>AND(AC536=TRUE,OR(ISNUMBER(L536),NOT(ISNUMBER(AA536))))</f>
        <v>0</v>
      </c>
      <c r="AT536" s="544" t="b">
        <f t="shared" si="121"/>
        <v>0</v>
      </c>
      <c r="AU536" s="30"/>
      <c r="AV536" s="558" t="b">
        <f t="shared" si="122"/>
        <v>0</v>
      </c>
      <c r="AW536" s="559" t="b">
        <f t="shared" si="123"/>
        <v>0</v>
      </c>
      <c r="AX536" s="30"/>
      <c r="AY536" s="585" t="b">
        <f t="shared" si="124"/>
        <v>0</v>
      </c>
      <c r="AZ536" s="571" t="b">
        <f>AR536&gt;100%</f>
        <v>0</v>
      </c>
      <c r="BA536" s="30"/>
      <c r="BB536" s="569" t="s">
        <v>481</v>
      </c>
      <c r="BC536" s="570">
        <f>AR531*AR534/1000*(1-AR538)</f>
        <v>0</v>
      </c>
      <c r="BD536" s="571">
        <f>BC536</f>
        <v>0</v>
      </c>
      <c r="BE536" s="572">
        <f>BC536</f>
        <v>0</v>
      </c>
      <c r="BF536" s="30"/>
      <c r="BG536" s="30"/>
      <c r="BH536" s="30"/>
      <c r="BI536" s="30"/>
      <c r="BJ536" s="30"/>
      <c r="BK536" s="30"/>
      <c r="BL536" s="30"/>
      <c r="BM536" s="30"/>
      <c r="BN536" s="30"/>
      <c r="BO536" s="30"/>
      <c r="BP536" s="30"/>
      <c r="BQ536" s="30"/>
      <c r="BR536" s="30"/>
      <c r="BS536" s="30"/>
      <c r="BT536" s="30"/>
      <c r="BU536" s="30"/>
      <c r="BV536" s="30"/>
      <c r="BW536" s="30"/>
      <c r="BX536" s="30"/>
      <c r="BY536" s="30"/>
      <c r="BZ536" s="544" t="b">
        <f>OR(BZ531,Y536=EUconst_NA)</f>
        <v>1</v>
      </c>
    </row>
    <row r="537" spans="1:78" s="140" customFormat="1" ht="12.75" customHeight="1" thickBot="1" x14ac:dyDescent="0.25">
      <c r="A537" s="777"/>
      <c r="B537" s="1248"/>
      <c r="C537" s="783" t="s">
        <v>324</v>
      </c>
      <c r="D537" s="503" t="str">
        <f>Translations!$B$640</f>
        <v>Anglies kiekis (C):</v>
      </c>
      <c r="E537" s="504"/>
      <c r="F537" s="539"/>
      <c r="G537" s="1603" t="str">
        <f t="shared" si="119"/>
        <v/>
      </c>
      <c r="H537" s="1604"/>
      <c r="I537" s="1113" t="str">
        <f>AJ537</f>
        <v/>
      </c>
      <c r="J537" s="577"/>
      <c r="K537" s="578" t="str">
        <f t="shared" si="120"/>
        <v/>
      </c>
      <c r="L537" s="579"/>
      <c r="M537" s="700" t="str">
        <f>IF(AND(E522&lt;&gt;"",OR(F537="",COUNT(K537:L537)=0),Y537&lt;&gt;EUconst_NA,T522&lt;&gt;TRUE),EUconst_ERR_Incomplete,IF(COUNTIF(AX537:AZ537,TRUE)&gt;0,EUconst_ERR_Inconsistent,""))</f>
        <v/>
      </c>
      <c r="O537" s="1305"/>
      <c r="P537" s="33"/>
      <c r="Q537" s="33"/>
      <c r="R537" s="33"/>
      <c r="S537" s="30"/>
      <c r="T537" s="543" t="str">
        <f>EUconst_CNTR_CarbonContent&amp;E522</f>
        <v>CarbC_</v>
      </c>
      <c r="U537" s="488"/>
      <c r="V537" s="544" t="str">
        <f t="shared" si="125"/>
        <v/>
      </c>
      <c r="W537" s="30"/>
      <c r="X537" s="488"/>
      <c r="Y537" s="545" t="str">
        <f>IF(OR(T522=TRUE,E522=""),"",INDEX(EUwideConstants!$N:$N,MATCH(T537,EUwideConstants!$Q:$Q,0)))</f>
        <v/>
      </c>
      <c r="Z537" s="546" t="str">
        <f>IF(ISBLANK(F537),"",IF(F537=EUconst_NA,"",INDEX(EUwideConstants!$H:$M,MATCH(T537,EUwideConstants!$Q:$Q,0),MATCH(F537,CNTR_TierList,0))))</f>
        <v/>
      </c>
      <c r="AA537" s="580" t="str">
        <f>IF(COUNTIF(EUconst_DefaultValues,Z537)&gt;0,MATCH(Z537,EUconst_DefaultValues,0),"")</f>
        <v/>
      </c>
      <c r="AB537" s="30"/>
      <c r="AC537" s="548" t="b">
        <f>AND(AC531,Y537&lt;&gt;EUconst_NA)</f>
        <v>0</v>
      </c>
      <c r="AD537" s="30"/>
      <c r="AE537" s="549" t="str">
        <f>EUconst_CNTR_CarbonContent&amp;EUconst_Unit</f>
        <v>CarbC_Vienetas</v>
      </c>
      <c r="AF537" s="550" t="str">
        <f>IF(AC537=TRUE, IF(COUNTIF(MSPara_SourceStreamCategory,V537)=0,"",INDEX(MSPara_CalcFactorsMatrix,MATCH(V537,MSPara_SourceStreamCategory,0),MATCH(AE537&amp;"_"&amp;2,MSPara_CalcFactors,0))),"")</f>
        <v/>
      </c>
      <c r="AG537" s="551" t="str">
        <f>IF(AC537=TRUE, IF(COUNTIF(MSPara_SourceStreamCategory,V537)=0,"",INDEX(MSPara_CalcFactorsMatrix,MATCH(V537,MSPara_SourceStreamCategory,0),MATCH(AE537&amp;"_"&amp;1,MSPara_CalcFactors,0))),"")</f>
        <v/>
      </c>
      <c r="AH537" s="581" t="str">
        <f>IF(AA537="","",INDEX(AF537:AG537,3-AA537))</f>
        <v/>
      </c>
      <c r="AI537" s="565"/>
      <c r="AJ537" s="582" t="str">
        <f>IF(AC537=TRUE,IF(AJ531="","",IF(AJ531=EUconst_kNm3,EUconst_tCpkNm3,EUconst_tCpt)),"")</f>
        <v/>
      </c>
      <c r="AK537" s="566"/>
      <c r="AL537" s="333"/>
      <c r="AM537" s="549" t="str">
        <f>EUconst_CNTR_CarbonContent&amp;EUconst_Value</f>
        <v>CarbC_Vertė</v>
      </c>
      <c r="AN537" s="555" t="str">
        <f>IF(AC537=TRUE,IF(COUNTIF(MSPara_SourceStreamCategory,V537)=0,"",INDEX(MSPara_CalcFactorsMatrix,MATCH(V537,MSPara_SourceStreamCategory,0),MATCH(AM537&amp;"_"&amp;2,MSPara_CalcFactors,0))),"")</f>
        <v/>
      </c>
      <c r="AO537" s="583" t="str">
        <f>IF(AC537=TRUE,IF(COUNTIF(MSPara_SourceStreamCategory,V537)=0,"",INDEX(MSPara_CalcFactorsMatrix,MATCH(V537,MSPara_SourceStreamCategory,0),MATCH(AM537&amp;"_"&amp;1,MSPara_CalcFactors,0))),"")</f>
        <v/>
      </c>
      <c r="AP537" s="548" t="b">
        <f>AND(AND(AH537&lt;&gt;"",AJ537&lt;&gt;""),AJ537=AH537)</f>
        <v>0</v>
      </c>
      <c r="AQ537" s="584" t="str">
        <f>IF(AND(AA537&lt;&gt;"",AP537=TRUE),IF(OR(INDEX(AN537:AO537,3-AA537)=EUconst_NA,INDEX(AN537:AO537,3-AA537)=0),"",INDEX(AN537:AO537,3-AA537)),"")</f>
        <v/>
      </c>
      <c r="AR537" s="548">
        <f>IF(AC537=TRUE,IF(COUNT(K537:L537)=0,0,IF(L537="",K537,L537)),0)</f>
        <v>0</v>
      </c>
      <c r="AS537" s="544" t="b">
        <f>AND(AC537=TRUE,OR(AND(F537&lt;&gt;"",NOT(ISNUMBER(AA537))),L537&lt;&gt;"",F537="",AQ537=""))</f>
        <v>0</v>
      </c>
      <c r="AT537" s="544" t="b">
        <f t="shared" si="121"/>
        <v>0</v>
      </c>
      <c r="AU537" s="30"/>
      <c r="AV537" s="558" t="b">
        <f t="shared" si="122"/>
        <v>0</v>
      </c>
      <c r="AW537" s="559" t="b">
        <f t="shared" si="123"/>
        <v>0</v>
      </c>
      <c r="AX537" s="537" t="b">
        <f>OR(AND(AJ531=EUconst_kNm3,AJ537=EUconst_tCpt),AND(AJ531=EUconst_t,AJ537=EUconst_tCpkNm3))</f>
        <v>0</v>
      </c>
      <c r="AY537" s="544" t="b">
        <f t="shared" si="124"/>
        <v>0</v>
      </c>
      <c r="AZ537" s="30"/>
      <c r="BA537" s="30"/>
      <c r="BB537" s="569" t="s">
        <v>482</v>
      </c>
      <c r="BC537" s="570">
        <f>AR531*AR534/1000*AR538</f>
        <v>0</v>
      </c>
      <c r="BD537" s="571">
        <f>BC537</f>
        <v>0</v>
      </c>
      <c r="BE537" s="572">
        <f>BC537</f>
        <v>0</v>
      </c>
      <c r="BF537" s="30"/>
      <c r="BG537" s="30"/>
      <c r="BH537" s="30"/>
      <c r="BI537" s="30"/>
      <c r="BJ537" s="30"/>
      <c r="BK537" s="30"/>
      <c r="BL537" s="30"/>
      <c r="BM537" s="30"/>
      <c r="BN537" s="30"/>
      <c r="BO537" s="30"/>
      <c r="BP537" s="30"/>
      <c r="BQ537" s="30"/>
      <c r="BR537" s="30"/>
      <c r="BS537" s="30"/>
      <c r="BT537" s="30"/>
      <c r="BU537" s="30"/>
      <c r="BV537" s="30"/>
      <c r="BW537" s="30"/>
      <c r="BX537" s="30"/>
      <c r="BY537" s="30"/>
      <c r="BZ537" s="544" t="b">
        <f>OR(BZ531,Y537=EUconst_NA)</f>
        <v>1</v>
      </c>
    </row>
    <row r="538" spans="1:78" s="140" customFormat="1" ht="12.75" customHeight="1" x14ac:dyDescent="0.2">
      <c r="A538" s="777"/>
      <c r="B538" s="1248"/>
      <c r="C538" s="753" t="s">
        <v>325</v>
      </c>
      <c r="D538" s="503" t="str">
        <f>Translations!$B$641</f>
        <v>Biomasės dalis (BioC):</v>
      </c>
      <c r="E538" s="504"/>
      <c r="F538" s="539"/>
      <c r="G538" s="1603" t="str">
        <f t="shared" si="119"/>
        <v/>
      </c>
      <c r="H538" s="1604"/>
      <c r="I538" s="1113" t="str">
        <f>IF(OR(AC538=FALSE,Y538=EUconst_NA),"","-")</f>
        <v/>
      </c>
      <c r="J538" s="560"/>
      <c r="K538" s="561" t="str">
        <f t="shared" si="120"/>
        <v/>
      </c>
      <c r="L538" s="694"/>
      <c r="M538" s="700" t="str">
        <f>IF(AND(E522&lt;&gt;"",OR(F538="",COUNT(K538:L538)=0),Y538&lt;&gt;EUconst_NA,T522&lt;&gt;TRUE),EUconst_ERR_Incomplete,IF(COUNTIF(AX538:AZ538,TRUE)&gt;0,EUconst_ERR_Inconsistent,""))</f>
        <v/>
      </c>
      <c r="O538" s="1305"/>
      <c r="P538" s="635"/>
      <c r="Q538" s="635"/>
      <c r="R538" s="635"/>
      <c r="S538" s="30"/>
      <c r="T538" s="543" t="str">
        <f>EUconst_CNTR_BiomassContent&amp;E522</f>
        <v>BioC_</v>
      </c>
      <c r="U538" s="488"/>
      <c r="V538" s="585" t="str">
        <f t="shared" si="125"/>
        <v/>
      </c>
      <c r="W538" s="522" t="str">
        <f>IF(COUNTIF(MSPara_SourceStreamCategory,V538)=0,"",INDEX(MSPara_IsFossil,MATCH(V538,MSPara_SourceStreamCategory,0)))</f>
        <v/>
      </c>
      <c r="X538" s="488"/>
      <c r="Y538" s="545" t="str">
        <f>IF(OR(T522=TRUE,E522=""),"",IF(OR(W538=TRUE,F538=EUconst_NA),EUconst_NA,INDEX(EUwideConstants!$N:$N,MATCH(T538,EUwideConstants!$Q:$Q,0))))</f>
        <v/>
      </c>
      <c r="Z538" s="546" t="str">
        <f>IF(ISBLANK(F538),"",IF(F538=EUconst_NA,"",INDEX(EUwideConstants!$H:$M,MATCH(T538,EUwideConstants!$Q:$Q,0),MATCH(F538,CNTR_TierList,0))))</f>
        <v/>
      </c>
      <c r="AA538" s="586" t="str">
        <f>IF(F538=1,1,"")</f>
        <v/>
      </c>
      <c r="AB538" s="30"/>
      <c r="AC538" s="548" t="b">
        <f>AND(AC531,Y538&lt;&gt;EUconst_NA)</f>
        <v>0</v>
      </c>
      <c r="AD538" s="30"/>
      <c r="AE538" s="563"/>
      <c r="AG538" s="564"/>
      <c r="AH538" s="553"/>
      <c r="AI538" s="565"/>
      <c r="AJ538" s="553"/>
      <c r="AK538" s="566"/>
      <c r="AL538" s="333"/>
      <c r="AM538" s="549" t="str">
        <f>EUconst_CNTR_BiomassContent&amp;EUconst_Value</f>
        <v>BioC_Vertė</v>
      </c>
      <c r="AO538" s="587" t="str">
        <f>IF(AC538=TRUE,IF(COUNTIF(MSPara_SourceStreamCategory,V538)=0,"",INDEX(MSPara_CalcFactorsMatrix,MATCH(V538,MSPara_SourceStreamCategory,0),MATCH(AM538&amp;"_"&amp;2,MSPara_CalcFactors,0))),"")</f>
        <v/>
      </c>
      <c r="AP538" s="553"/>
      <c r="AQ538" s="568" t="str">
        <f>IF(OR(AA538="",AO538=EUconst_NA),"",AO538)</f>
        <v/>
      </c>
      <c r="AR538" s="548">
        <f>IF(AC538=TRUE,IF(COUNT(K538:L538)=0,0,IF(L538="",K538,L538)),0)</f>
        <v>0</v>
      </c>
      <c r="AS538" s="544" t="b">
        <f>AND(AC538=TRUE,OR(AND(F538&lt;&gt;"",NOT(ISNUMBER(AA538))),L538&lt;&gt;"",F538="",AQ538=""))</f>
        <v>0</v>
      </c>
      <c r="AT538" s="544" t="b">
        <f t="shared" si="121"/>
        <v>0</v>
      </c>
      <c r="AU538" s="30"/>
      <c r="AV538" s="558" t="b">
        <f t="shared" si="122"/>
        <v>0</v>
      </c>
      <c r="AW538" s="559" t="b">
        <f t="shared" si="123"/>
        <v>0</v>
      </c>
      <c r="AX538" s="30"/>
      <c r="AY538" s="585" t="b">
        <f t="shared" si="124"/>
        <v>0</v>
      </c>
      <c r="AZ538" s="522" t="b">
        <f>OR(AR538&gt;100%,(AR538+AR539)&gt;100%)</f>
        <v>0</v>
      </c>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544" t="b">
        <f>OR(BZ531,Y538=EUconst_NA)</f>
        <v>1</v>
      </c>
    </row>
    <row r="539" spans="1:78" s="140" customFormat="1" ht="12.75" customHeight="1" thickBot="1" x14ac:dyDescent="0.25">
      <c r="A539" s="777"/>
      <c r="B539" s="1248"/>
      <c r="C539" s="753" t="s">
        <v>448</v>
      </c>
      <c r="D539" s="503" t="str">
        <f>Translations!$B$647</f>
        <v>Netvarios BioC dalis:</v>
      </c>
      <c r="E539" s="504"/>
      <c r="F539" s="588"/>
      <c r="G539" s="1603" t="str">
        <f t="shared" si="119"/>
        <v/>
      </c>
      <c r="H539" s="1604"/>
      <c r="I539" s="1114" t="str">
        <f>IF(OR(AC539=FALSE,Y539=EUconst_NA),"","-")</f>
        <v/>
      </c>
      <c r="J539" s="560"/>
      <c r="K539" s="589" t="str">
        <f t="shared" si="120"/>
        <v/>
      </c>
      <c r="L539" s="1100"/>
      <c r="M539" s="700" t="str">
        <f>IF(AND(E522&lt;&gt;"",OR(F539="",COUNT(K539:L539)=0),Y539&lt;&gt;EUconst_NA,T522&lt;&gt;TRUE),EUconst_ERR_Incomplete,IF(COUNTIF(AX539:AZ539,TRUE)&gt;0,EUconst_ERR_Inconsistent,""))</f>
        <v/>
      </c>
      <c r="O539" s="1305"/>
      <c r="P539" s="635"/>
      <c r="Q539" s="635"/>
      <c r="R539" s="635"/>
      <c r="S539" s="30"/>
      <c r="T539" s="590" t="str">
        <f>EUconst_CNTR_BiomassContent&amp;E522</f>
        <v>BioC_</v>
      </c>
      <c r="U539" s="488"/>
      <c r="V539" s="570" t="str">
        <f t="shared" si="125"/>
        <v/>
      </c>
      <c r="W539" s="571" t="str">
        <f>IF(COUNTIF(MSPara_SourceStreamCategory,V539)=0,"",INDEX(MSPara_IsFossil,MATCH(V539,MSPara_SourceStreamCategory,0)))</f>
        <v/>
      </c>
      <c r="X539" s="488"/>
      <c r="Y539" s="591" t="str">
        <f>IF(OR(T522=TRUE,E522=""),"",IF(OR(W539=TRUE,F539=EUconst_NA),EUconst_NA,INDEX(EUwideConstants!$N:$N,MATCH(T539,EUwideConstants!$Q:$Q,0))))</f>
        <v/>
      </c>
      <c r="Z539" s="592" t="str">
        <f>IF(ISBLANK(F539),"",IF(F539=EUconst_NA,"",INDEX(EUwideConstants!$H:$M,MATCH(T539,EUwideConstants!$Q:$Q,0),MATCH(F539,CNTR_TierList,0))))</f>
        <v/>
      </c>
      <c r="AA539" s="593" t="str">
        <f>IF(F539=1,1,"")</f>
        <v/>
      </c>
      <c r="AB539" s="30"/>
      <c r="AC539" s="594" t="b">
        <f>AND(AC531,Y539&lt;&gt;EUconst_NA)</f>
        <v>0</v>
      </c>
      <c r="AD539" s="30"/>
      <c r="AE539" s="595"/>
      <c r="AF539" s="596"/>
      <c r="AG539" s="597"/>
      <c r="AH539" s="598"/>
      <c r="AI539" s="598"/>
      <c r="AJ539" s="598"/>
      <c r="AK539" s="599"/>
      <c r="AL539" s="333"/>
      <c r="AM539" s="600" t="str">
        <f>EUconst_CNTR_BiomassContent&amp;EUconst_Value</f>
        <v>BioC_Vertė</v>
      </c>
      <c r="AN539" s="596"/>
      <c r="AO539" s="601" t="str">
        <f>IF(AC539=TRUE,IF(COUNTIF(MSPara_SourceStreamCategory,V539)=0,"",INDEX(MSPara_CalcFactorsMatrix,MATCH(V539,MSPara_SourceStreamCategory,0),MATCH(AM539&amp;"_"&amp;2,MSPara_CalcFactors,0))),"")</f>
        <v/>
      </c>
      <c r="AP539" s="598"/>
      <c r="AQ539" s="602" t="str">
        <f>IF(OR(AA539="",AO539=EUconst_NA),"",AO539)</f>
        <v/>
      </c>
      <c r="AR539" s="594">
        <f>IF(AC539=TRUE,IF(COUNT(K539:L539)=0,0,IF(L539="",K539,L539)),0)</f>
        <v>0</v>
      </c>
      <c r="AS539" s="603" t="b">
        <f>AND(AC539=TRUE,OR(AND(F539&lt;&gt;"",NOT(ISNUMBER(AA539))),L539&lt;&gt;"",F539="",AQ539=""))</f>
        <v>0</v>
      </c>
      <c r="AT539" s="603" t="b">
        <f t="shared" si="121"/>
        <v>0</v>
      </c>
      <c r="AU539" s="30"/>
      <c r="AV539" s="604" t="b">
        <f t="shared" si="122"/>
        <v>0</v>
      </c>
      <c r="AW539" s="605" t="b">
        <f t="shared" si="123"/>
        <v>0</v>
      </c>
      <c r="AX539" s="30"/>
      <c r="AY539" s="570" t="b">
        <f t="shared" si="124"/>
        <v>0</v>
      </c>
      <c r="AZ539" s="571" t="b">
        <f>OR(AR538&gt;100%,(AR538+AR539)&gt;100%)</f>
        <v>0</v>
      </c>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571" t="b">
        <f>OR(BZ531,Y539=EUconst_NA)</f>
        <v>1</v>
      </c>
    </row>
    <row r="540" spans="1:78" s="140" customFormat="1" ht="5.0999999999999996" customHeight="1" x14ac:dyDescent="0.2">
      <c r="A540" s="777"/>
      <c r="B540" s="1248"/>
      <c r="C540" s="164"/>
      <c r="D540" s="178"/>
      <c r="O540" s="1305"/>
      <c r="P540" s="33"/>
      <c r="Q540" s="33"/>
      <c r="R540" s="33"/>
      <c r="S540" s="172"/>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row>
    <row r="541" spans="1:78" s="140" customFormat="1" ht="12.75" customHeight="1" x14ac:dyDescent="0.2">
      <c r="A541" s="777"/>
      <c r="B541" s="1248"/>
      <c r="C541" s="164"/>
      <c r="D541" s="1629" t="str">
        <f>Translations!$B$674</f>
        <v>Pakopos galioja nuo:</v>
      </c>
      <c r="E541" s="1629"/>
      <c r="F541" s="1630"/>
      <c r="G541" s="1014"/>
      <c r="H541" s="606" t="str">
        <f>Translations!$B$675</f>
        <v>iki:</v>
      </c>
      <c r="I541" s="1014"/>
      <c r="J541" s="1620" t="str">
        <f>Translations!$B$676</f>
        <v>Atliekų katalogo numeris (jeigu taikytina):</v>
      </c>
      <c r="K541" s="1621"/>
      <c r="L541" s="1621"/>
      <c r="M541" s="1622"/>
      <c r="N541" s="1232"/>
      <c r="O541" s="1305"/>
      <c r="P541" s="33"/>
      <c r="Q541" s="33"/>
      <c r="R541" s="33"/>
      <c r="S541" s="1233"/>
      <c r="T541" s="483"/>
      <c r="U541" s="483"/>
      <c r="V541" s="48" t="b">
        <f>IF(V531="",FALSE,INDEX(CNTR_IsWaste,MATCH(V531,MSParameters!$A$218:$A$376,0)))</f>
        <v>0</v>
      </c>
      <c r="W541" s="1233" t="s">
        <v>1689</v>
      </c>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2" t="b">
        <f>BZ531</f>
        <v>1</v>
      </c>
    </row>
    <row r="542" spans="1:78" s="140" customFormat="1" ht="5.0999999999999996" customHeight="1" x14ac:dyDescent="0.2">
      <c r="A542" s="777"/>
      <c r="B542" s="1248"/>
      <c r="C542" s="164"/>
      <c r="D542" s="606"/>
      <c r="E542" s="486"/>
      <c r="F542" s="486"/>
      <c r="G542" s="486"/>
      <c r="H542" s="486"/>
      <c r="I542" s="486"/>
      <c r="J542" s="486"/>
      <c r="K542" s="486"/>
      <c r="L542" s="486"/>
      <c r="M542" s="486"/>
      <c r="N542" s="486"/>
      <c r="O542" s="1305"/>
      <c r="P542" s="33"/>
      <c r="Q542" s="33"/>
      <c r="R542" s="33"/>
      <c r="S542" s="172"/>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row>
    <row r="543" spans="1:78" s="140" customFormat="1" ht="12.75" customHeight="1" x14ac:dyDescent="0.2">
      <c r="A543" s="777"/>
      <c r="B543" s="1248"/>
      <c r="C543" s="164"/>
      <c r="D543" s="486"/>
      <c r="E543" s="486"/>
      <c r="F543" s="486"/>
      <c r="G543" s="486"/>
      <c r="H543" s="486"/>
      <c r="I543" s="486"/>
      <c r="J543" s="486"/>
      <c r="K543" s="486"/>
      <c r="L543" s="486"/>
      <c r="M543" s="606" t="str">
        <f>Translations!$B$677</f>
        <v>Stebėsenos plane šiam sukėlikliui suteiktas identifikatorius:</v>
      </c>
      <c r="N543" s="705"/>
      <c r="O543" s="1305"/>
      <c r="P543" s="33"/>
      <c r="Q543" s="33"/>
      <c r="R543" s="33"/>
      <c r="S543" s="172"/>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2" t="b">
        <f>BZ541</f>
        <v>1</v>
      </c>
    </row>
    <row r="544" spans="1:78" s="140" customFormat="1" ht="5.0999999999999996" customHeight="1" x14ac:dyDescent="0.2">
      <c r="A544" s="784"/>
      <c r="B544" s="1316"/>
      <c r="D544" s="178"/>
      <c r="O544" s="1317"/>
      <c r="P544" s="488"/>
      <c r="Q544" s="488"/>
      <c r="R544" s="488"/>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row>
    <row r="545" spans="1:78" s="140" customFormat="1" x14ac:dyDescent="0.2">
      <c r="A545" s="784"/>
      <c r="B545" s="1316"/>
      <c r="D545" s="1618" t="str">
        <f>Translations!$B$160</f>
        <v>Pastabos:</v>
      </c>
      <c r="E545" s="1619"/>
      <c r="F545" s="1605"/>
      <c r="G545" s="1606"/>
      <c r="H545" s="1606"/>
      <c r="I545" s="1606"/>
      <c r="J545" s="1606"/>
      <c r="K545" s="1606"/>
      <c r="L545" s="1606"/>
      <c r="M545" s="1606"/>
      <c r="N545" s="1607"/>
      <c r="O545" s="1317"/>
      <c r="P545" s="488"/>
      <c r="Q545" s="488"/>
      <c r="R545" s="488"/>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2" t="b">
        <f>BZ541</f>
        <v>1</v>
      </c>
    </row>
    <row r="546" spans="1:78" s="28" customFormat="1" ht="12.75" customHeight="1" thickBot="1" x14ac:dyDescent="0.25">
      <c r="A546" s="777"/>
      <c r="B546" s="1312"/>
      <c r="C546" s="490"/>
      <c r="D546" s="491"/>
      <c r="E546" s="492"/>
      <c r="F546" s="490"/>
      <c r="G546" s="493"/>
      <c r="H546" s="493"/>
      <c r="I546" s="493"/>
      <c r="J546" s="493"/>
      <c r="K546" s="493"/>
      <c r="L546" s="493"/>
      <c r="M546" s="493"/>
      <c r="N546" s="493"/>
      <c r="O546" s="1313"/>
      <c r="P546" s="485"/>
      <c r="Q546" s="485"/>
      <c r="R546" s="485"/>
      <c r="S546" s="58"/>
      <c r="T546" s="58"/>
      <c r="U546" s="489"/>
      <c r="V546" s="58"/>
      <c r="W546" s="58"/>
      <c r="X546" s="489"/>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30"/>
      <c r="BJ546" s="30"/>
      <c r="BK546" s="30"/>
      <c r="BL546" s="58"/>
      <c r="BM546" s="58"/>
      <c r="BN546" s="58"/>
      <c r="BO546" s="58"/>
      <c r="BP546" s="58"/>
      <c r="BQ546" s="58"/>
      <c r="BR546" s="58"/>
      <c r="BS546" s="58"/>
      <c r="BT546" s="58"/>
      <c r="BU546" s="58"/>
      <c r="BV546" s="58"/>
      <c r="BW546" s="58"/>
      <c r="BX546" s="58"/>
      <c r="BY546" s="58"/>
      <c r="BZ546" s="58"/>
    </row>
    <row r="547" spans="1:78" s="28" customFormat="1" ht="12.75" customHeight="1" thickBot="1" x14ac:dyDescent="0.25">
      <c r="A547" s="782"/>
      <c r="B547" s="1312"/>
      <c r="C547" s="486"/>
      <c r="D547" s="178"/>
      <c r="E547" s="487"/>
      <c r="F547" s="486"/>
      <c r="G547" s="478"/>
      <c r="H547" s="478"/>
      <c r="I547" s="478"/>
      <c r="J547" s="478"/>
      <c r="K547" s="486"/>
      <c r="L547" s="478"/>
      <c r="M547" s="478"/>
      <c r="N547" s="478"/>
      <c r="O547" s="1313"/>
      <c r="P547" s="485"/>
      <c r="Q547" s="485"/>
      <c r="R547" s="485"/>
      <c r="S547" s="23"/>
      <c r="T547" s="27" t="str">
        <f>IF(ISBLANK(E548),"",MATCH(E548,CNTR_SourceStreamNames,0))</f>
        <v/>
      </c>
      <c r="U547" s="609" t="str">
        <f>IF(ISBLANK(E548),"",INDEX(B_InstallationDescription!$D$71:$D$145,MATCH(E548,CNTR_SourceStreamNames,0)))</f>
        <v/>
      </c>
      <c r="V547" s="76"/>
      <c r="W547" s="56"/>
      <c r="X547" s="56"/>
      <c r="Y547" s="56"/>
      <c r="Z547" s="58"/>
      <c r="AA547" s="58"/>
      <c r="AB547" s="58"/>
      <c r="AC547" s="58"/>
      <c r="AD547" s="58"/>
      <c r="AE547" s="58"/>
      <c r="AF547" s="58"/>
      <c r="AG547" s="58"/>
      <c r="AH547" s="58"/>
      <c r="AI547" s="58"/>
      <c r="AJ547" s="58"/>
      <c r="AK547" s="482"/>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6"/>
      <c r="BI547" s="56"/>
      <c r="BJ547" s="56"/>
      <c r="BK547" s="56"/>
      <c r="BL547" s="56"/>
      <c r="BM547" s="56"/>
      <c r="BN547" s="56"/>
      <c r="BO547" s="56"/>
      <c r="BP547" s="56"/>
      <c r="BQ547" s="56"/>
      <c r="BR547" s="56"/>
      <c r="BS547" s="56"/>
      <c r="BT547" s="56"/>
      <c r="BU547" s="56"/>
      <c r="BV547" s="56"/>
      <c r="BW547" s="56"/>
      <c r="BX547" s="56"/>
      <c r="BY547" s="56"/>
      <c r="BZ547" s="484" t="s">
        <v>259</v>
      </c>
    </row>
    <row r="548" spans="1:78" s="140" customFormat="1" ht="15" customHeight="1" thickBot="1" x14ac:dyDescent="0.25">
      <c r="A548" s="1302" t="str">
        <f>IF(E548="","","PRINT")</f>
        <v/>
      </c>
      <c r="B548" s="1248"/>
      <c r="C548" s="608">
        <f>C521+1</f>
        <v>19</v>
      </c>
      <c r="D548" s="164"/>
      <c r="E548" s="1610"/>
      <c r="F548" s="1611"/>
      <c r="G548" s="1611"/>
      <c r="H548" s="1611"/>
      <c r="I548" s="1611"/>
      <c r="J548" s="1612"/>
      <c r="K548" s="1623" t="str">
        <f>IF(E549="","",INDEX(EUwideConstants!$F$353:$F$394,MATCH(E549,EUConst_TierActivityListNames,0)))</f>
        <v/>
      </c>
      <c r="L548" s="1624"/>
      <c r="M548" s="494" t="str">
        <f>Translations!$B$665</f>
        <v>CO2, iškastinio kuro kilmės:</v>
      </c>
      <c r="N548" s="1012" t="str">
        <f>IF(OR(K548="",T549=TRUE),"",INDEX(BC562:BE562,MATCH(K548,BC558:BE558,0)))</f>
        <v/>
      </c>
      <c r="O548" s="1314" t="s">
        <v>257</v>
      </c>
      <c r="P548" s="1303" t="str">
        <f>IF(AND(E548&lt;&gt;"",COUNTIF(P549:$P$2089,"PRINT")=0),"PRINT","")</f>
        <v/>
      </c>
      <c r="Q548" s="343" t="str">
        <f>EUconst_SumCO2 &amp; "_" &amp; K548</f>
        <v>SUM_CO2_</v>
      </c>
      <c r="R548" s="485"/>
      <c r="S548" s="23"/>
      <c r="T548" s="500" t="s">
        <v>387</v>
      </c>
      <c r="U548" s="23"/>
      <c r="V548" s="76"/>
      <c r="W548" s="56"/>
      <c r="X548" s="58"/>
      <c r="Y548" s="58"/>
      <c r="Z548" s="58"/>
      <c r="AA548" s="58"/>
      <c r="AB548" s="58"/>
      <c r="AC548" s="58"/>
      <c r="AD548" s="58"/>
      <c r="AE548" s="58"/>
      <c r="AF548" s="58"/>
      <c r="AG548" s="58"/>
      <c r="AH548" s="58"/>
      <c r="AI548" s="333"/>
      <c r="AJ548" s="333"/>
      <c r="AK548" s="333"/>
      <c r="AL548" s="333"/>
      <c r="AM548" s="333"/>
      <c r="AN548" s="333"/>
      <c r="AO548" s="333"/>
      <c r="AP548" s="333"/>
      <c r="AQ548" s="333"/>
      <c r="AR548" s="333"/>
      <c r="AS548" s="333"/>
      <c r="AT548" s="333"/>
      <c r="AU548" s="333"/>
      <c r="AV548" s="333"/>
      <c r="AW548" s="333"/>
      <c r="AX548" s="333"/>
      <c r="AY548" s="333"/>
      <c r="AZ548" s="333"/>
      <c r="BA548" s="333"/>
      <c r="BB548" s="333"/>
      <c r="BC548" s="333"/>
      <c r="BD548" s="333"/>
      <c r="BE548" s="333"/>
      <c r="BF548" s="333"/>
      <c r="BG548" s="333"/>
      <c r="BH548" s="834">
        <f>AR558</f>
        <v>0</v>
      </c>
      <c r="BI548" s="834" t="str">
        <f>AJ558</f>
        <v/>
      </c>
      <c r="BJ548" s="834">
        <f>AR560</f>
        <v>0</v>
      </c>
      <c r="BK548" s="834" t="str">
        <f>AJ560</f>
        <v/>
      </c>
      <c r="BL548" s="834">
        <f>AR561</f>
        <v>0</v>
      </c>
      <c r="BM548" s="834" t="str">
        <f>AJ561</f>
        <v/>
      </c>
      <c r="BN548" s="834">
        <f>AR562</f>
        <v>1</v>
      </c>
      <c r="BO548" s="834">
        <f>AR563</f>
        <v>1</v>
      </c>
      <c r="BP548" s="834">
        <f>AR564</f>
        <v>0</v>
      </c>
      <c r="BQ548" s="834" t="str">
        <f>AJ564</f>
        <v/>
      </c>
      <c r="BR548" s="834">
        <f>AR565</f>
        <v>0</v>
      </c>
      <c r="BS548" s="834">
        <f>AR566</f>
        <v>0</v>
      </c>
      <c r="BT548" s="834" t="str">
        <f>N548</f>
        <v/>
      </c>
      <c r="BU548" s="834" t="str">
        <f>N549</f>
        <v/>
      </c>
      <c r="BV548" s="834" t="str">
        <f>R551</f>
        <v/>
      </c>
      <c r="BW548" s="834" t="str">
        <f>R557</f>
        <v/>
      </c>
      <c r="BX548" s="834" t="str">
        <f>R558</f>
        <v/>
      </c>
      <c r="BY548" s="56"/>
      <c r="BZ548" s="610" t="b">
        <f>CNTR_CalcRelevant=EUconst_NotRelevant</f>
        <v>0</v>
      </c>
    </row>
    <row r="549" spans="1:78" s="140" customFormat="1" ht="15" customHeight="1" thickBot="1" x14ac:dyDescent="0.25">
      <c r="A549" s="777"/>
      <c r="B549" s="1248"/>
      <c r="C549" s="164"/>
      <c r="D549" s="164"/>
      <c r="E549" s="1625" t="str">
        <f>IF(ISBLANK(E548),"",IF(INDEX(B_InstallationDescription!$E$71:$E$145,MATCH(U547,B_InstallationDescription!$D$71:$D$145,0))&gt;0,INDEX(B_InstallationDescription!$E$71:$E$145,MATCH(U547,B_InstallationDescription!$D$71:$D$145,0)),""))</f>
        <v/>
      </c>
      <c r="F549" s="1626"/>
      <c r="G549" s="1626"/>
      <c r="H549" s="1626"/>
      <c r="I549" s="1626"/>
      <c r="J549" s="1627"/>
      <c r="M549" s="337" t="str">
        <f>Translations!$B$666</f>
        <v>CO2, biomasės kilmės.:</v>
      </c>
      <c r="N549" s="1013" t="str">
        <f>IF(OR(K548="",T549=TRUE),"",INDEX(BC561:BE561,MATCH(K548,BC558:BE558,0)))</f>
        <v/>
      </c>
      <c r="O549" s="1315" t="s">
        <v>257</v>
      </c>
      <c r="P549" s="485"/>
      <c r="Q549" s="343" t="str">
        <f>EUconst_SumBioCO2 &amp; "_" &amp; K548</f>
        <v>SUM_bioCO2_</v>
      </c>
      <c r="R549" s="485"/>
      <c r="S549" s="23"/>
      <c r="T549" s="48" t="str">
        <f>IF(E549="","",MATCH(E549,EUConst_TierActivityListNames,0)&gt;40)</f>
        <v/>
      </c>
      <c r="U549" s="23"/>
      <c r="V549" s="76"/>
      <c r="W549" s="56"/>
      <c r="X549" s="58"/>
      <c r="Y549" s="27" t="s">
        <v>91</v>
      </c>
      <c r="Z549" s="30"/>
      <c r="AA549" s="30"/>
      <c r="AB549" s="30"/>
      <c r="AC549" s="30"/>
      <c r="AD549" s="30"/>
      <c r="AE549" s="27" t="s">
        <v>297</v>
      </c>
      <c r="AF549" s="58"/>
      <c r="AG549" s="495"/>
      <c r="AH549" s="30"/>
      <c r="AI549" s="30"/>
      <c r="AJ549" s="495"/>
      <c r="AK549" s="495"/>
      <c r="AL549" s="333"/>
      <c r="AM549" s="27" t="s">
        <v>303</v>
      </c>
      <c r="AN549" s="496"/>
      <c r="AO549" s="496"/>
      <c r="AP549" s="30"/>
      <c r="AQ549" s="30"/>
      <c r="AR549" s="30"/>
      <c r="AS549" s="30"/>
      <c r="AT549" s="30"/>
      <c r="AU549" s="30"/>
      <c r="AV549" s="27" t="s">
        <v>310</v>
      </c>
      <c r="AW549" s="30"/>
      <c r="AX549" s="483"/>
      <c r="AY549" s="30"/>
      <c r="AZ549" s="30"/>
      <c r="BA549" s="30"/>
      <c r="BB549" s="27" t="s">
        <v>217</v>
      </c>
      <c r="BC549" s="30"/>
      <c r="BD549" s="30"/>
      <c r="BE549" s="30"/>
      <c r="BF549" s="30"/>
      <c r="BG549" s="27" t="s">
        <v>486</v>
      </c>
      <c r="BH549" s="833" t="s">
        <v>552</v>
      </c>
      <c r="BI549" s="833" t="s">
        <v>487</v>
      </c>
      <c r="BJ549" s="833" t="s">
        <v>211</v>
      </c>
      <c r="BK549" s="833" t="s">
        <v>488</v>
      </c>
      <c r="BL549" s="833" t="s">
        <v>68</v>
      </c>
      <c r="BM549" s="833" t="s">
        <v>489</v>
      </c>
      <c r="BN549" s="833" t="s">
        <v>490</v>
      </c>
      <c r="BO549" s="833" t="s">
        <v>491</v>
      </c>
      <c r="BP549" s="833" t="s">
        <v>214</v>
      </c>
      <c r="BQ549" s="833" t="s">
        <v>492</v>
      </c>
      <c r="BR549" s="833" t="s">
        <v>493</v>
      </c>
      <c r="BS549" s="833" t="s">
        <v>494</v>
      </c>
      <c r="BT549" s="833" t="s">
        <v>287</v>
      </c>
      <c r="BU549" s="833" t="s">
        <v>495</v>
      </c>
      <c r="BV549" s="833" t="s">
        <v>498</v>
      </c>
      <c r="BW549" s="833" t="s">
        <v>496</v>
      </c>
      <c r="BX549" s="833" t="s">
        <v>497</v>
      </c>
      <c r="BY549" s="30"/>
      <c r="BZ549" s="30"/>
    </row>
    <row r="550" spans="1:78" s="140" customFormat="1" ht="5.0999999999999996" customHeight="1" thickBot="1" x14ac:dyDescent="0.25">
      <c r="A550" s="777"/>
      <c r="B550" s="1248"/>
      <c r="C550" s="164"/>
      <c r="D550" s="164"/>
      <c r="E550" s="164"/>
      <c r="F550" s="164"/>
      <c r="G550" s="164"/>
      <c r="M550" s="141"/>
      <c r="N550" s="141"/>
      <c r="O550" s="1305"/>
      <c r="P550" s="33"/>
      <c r="Q550" s="33"/>
      <c r="R550" s="33"/>
      <c r="S550" s="23"/>
      <c r="T550" s="23"/>
      <c r="U550" s="23"/>
      <c r="V550" s="76"/>
      <c r="W550" s="30"/>
      <c r="X550" s="30"/>
      <c r="Y550" s="485"/>
      <c r="Z550" s="30"/>
      <c r="AA550" s="30"/>
      <c r="AB550" s="30"/>
      <c r="AC550" s="30"/>
      <c r="AD550" s="30"/>
      <c r="AE550" s="30"/>
      <c r="AF550" s="58"/>
      <c r="AG550" s="30"/>
      <c r="AH550" s="30"/>
      <c r="AI550" s="30"/>
      <c r="AJ550" s="495"/>
      <c r="AK550" s="495"/>
      <c r="AL550" s="333"/>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row>
    <row r="551" spans="1:78" s="140" customFormat="1" ht="12.75" customHeight="1" thickBot="1" x14ac:dyDescent="0.25">
      <c r="A551" s="777"/>
      <c r="B551" s="1248"/>
      <c r="C551" s="164"/>
      <c r="D551" s="164"/>
      <c r="E551" s="1628" t="str">
        <f>IF(E548="","",IF(T549=TRUE,HYPERLINK("#JUMP_14",EUconst_MsgGoOnPFC),HYPERLINK("#JUMP_E_8",EUconst_FurtherGuidancePoint1)))</f>
        <v/>
      </c>
      <c r="F551" s="1628"/>
      <c r="G551" s="1628"/>
      <c r="H551" s="1628"/>
      <c r="I551" s="1628"/>
      <c r="J551" s="1628"/>
      <c r="K551" s="1628"/>
      <c r="L551" s="1628"/>
      <c r="M551" s="1628"/>
      <c r="N551" s="141"/>
      <c r="O551" s="1305"/>
      <c r="P551" s="33"/>
      <c r="Q551" s="343" t="str">
        <f>EUconst_SumNonSustBioCO2 &amp; "_" &amp; K548</f>
        <v>SUM_bioNonSustCO2_</v>
      </c>
      <c r="R551" s="698" t="str">
        <f>IF(OR(K548="",T549=TRUE),"",ROUND(INDEX(BC560:BE560,MATCH(K548,BC558:BE558,0)),0))</f>
        <v/>
      </c>
      <c r="S551" s="23"/>
      <c r="T551" s="23"/>
      <c r="U551" s="23"/>
      <c r="V551" s="30"/>
      <c r="W551" s="30"/>
      <c r="X551" s="30"/>
      <c r="Y551" s="58"/>
      <c r="Z551" s="30"/>
      <c r="AA551" s="30"/>
      <c r="AB551" s="30"/>
      <c r="AC551" s="30"/>
      <c r="AD551" s="30"/>
      <c r="AE551" s="30"/>
      <c r="AF551" s="58"/>
      <c r="AG551" s="30"/>
      <c r="AH551" s="30"/>
      <c r="AI551" s="30"/>
      <c r="AJ551" s="495"/>
      <c r="AK551" s="495"/>
      <c r="AL551" s="333"/>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row>
    <row r="552" spans="1:78" s="140" customFormat="1" ht="5.0999999999999996" customHeight="1" thickBot="1" x14ac:dyDescent="0.25">
      <c r="A552" s="777"/>
      <c r="B552" s="1248"/>
      <c r="C552" s="164"/>
      <c r="D552" s="164"/>
      <c r="E552" s="164"/>
      <c r="F552" s="164"/>
      <c r="G552" s="164"/>
      <c r="M552" s="141"/>
      <c r="N552" s="141"/>
      <c r="O552" s="1305"/>
      <c r="P552" s="23"/>
      <c r="Q552" s="23"/>
      <c r="R552" s="23"/>
      <c r="S552" s="23"/>
      <c r="T552" s="23"/>
      <c r="U552" s="23"/>
      <c r="V552" s="30"/>
      <c r="W552" s="30"/>
      <c r="X552" s="30"/>
      <c r="Y552" s="485"/>
      <c r="Z552" s="30"/>
      <c r="AA552" s="30"/>
      <c r="AB552" s="30"/>
      <c r="AC552" s="30"/>
      <c r="AD552" s="30"/>
      <c r="AE552" s="30"/>
      <c r="AF552" s="58"/>
      <c r="AG552" s="30"/>
      <c r="AH552" s="30"/>
      <c r="AI552" s="30"/>
      <c r="AJ552" s="495"/>
      <c r="AK552" s="495"/>
      <c r="AL552" s="333"/>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row>
    <row r="553" spans="1:78" s="140" customFormat="1" ht="12.75" customHeight="1" thickBot="1" x14ac:dyDescent="0.25">
      <c r="A553" s="777"/>
      <c r="B553" s="1248"/>
      <c r="C553" s="783" t="s">
        <v>4</v>
      </c>
      <c r="D553" s="503" t="str">
        <f>Translations!$B$622</f>
        <v>VD:</v>
      </c>
      <c r="E553" s="1631" t="str">
        <f>Translations!$B$667</f>
        <v>Ar veiklos duomenys gaunami sudedant išmatuotus kiekius (t. y. ne atliekant nuolatinius matavimus)?</v>
      </c>
      <c r="F553" s="1631"/>
      <c r="G553" s="1631"/>
      <c r="H553" s="1631"/>
      <c r="I553" s="1631"/>
      <c r="J553" s="1631"/>
      <c r="K553" s="1631"/>
      <c r="L553" s="1122"/>
      <c r="M553" s="498"/>
      <c r="O553" s="1305"/>
      <c r="P553" s="23"/>
      <c r="Q553" s="23"/>
      <c r="R553" s="23"/>
      <c r="S553" s="23"/>
      <c r="T553" s="23"/>
      <c r="U553" s="23"/>
      <c r="V553" s="30"/>
      <c r="W553" s="30"/>
      <c r="X553" s="30"/>
      <c r="Y553" s="485"/>
      <c r="Z553" s="30"/>
      <c r="AA553" s="30"/>
      <c r="AB553" s="30"/>
      <c r="AC553" s="1115" t="b">
        <f>AND(E548&lt;&gt;"",T549&lt;&gt;TRUE)</f>
        <v>0</v>
      </c>
      <c r="AD553" s="30"/>
      <c r="AE553" s="30"/>
      <c r="AF553" s="58"/>
      <c r="AG553" s="30"/>
      <c r="AH553" s="30"/>
      <c r="AI553" s="30"/>
      <c r="AJ553" s="495"/>
      <c r="AK553" s="495"/>
      <c r="AL553" s="333"/>
      <c r="AM553" s="30"/>
      <c r="AN553" s="30"/>
      <c r="AO553" s="30"/>
      <c r="AP553" s="30"/>
      <c r="AQ553" s="30"/>
      <c r="AR553" s="30"/>
      <c r="AS553" s="30"/>
      <c r="AT553" s="1115" t="b">
        <f>MSPara_BatchReportingMandatory&lt;&gt;TRUE</f>
        <v>0</v>
      </c>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1115" t="b">
        <f>OR(CNTR_CalcRelevant=EUconst_NotRelevant,AND(COUNTA(CNTR_ListRelevantSections)&gt;0,OR(T549=TRUE,E548="")))</f>
        <v>1</v>
      </c>
    </row>
    <row r="554" spans="1:78" s="140" customFormat="1" ht="5.0999999999999996" customHeight="1" thickBot="1" x14ac:dyDescent="0.25">
      <c r="A554" s="777"/>
      <c r="B554" s="1248"/>
      <c r="C554" s="164"/>
      <c r="D554" s="164"/>
      <c r="E554" s="164"/>
      <c r="F554" s="164"/>
      <c r="G554" s="164"/>
      <c r="H554" s="486"/>
      <c r="I554" s="486"/>
      <c r="J554" s="486"/>
      <c r="K554" s="486"/>
      <c r="L554" s="486"/>
      <c r="M554" s="498"/>
      <c r="O554" s="1305"/>
      <c r="P554" s="23"/>
      <c r="Q554" s="23"/>
      <c r="R554" s="23"/>
      <c r="S554" s="23"/>
      <c r="T554" s="23"/>
      <c r="U554" s="23"/>
      <c r="V554" s="30"/>
      <c r="W554" s="30"/>
      <c r="X554" s="30"/>
      <c r="Y554" s="485"/>
      <c r="Z554" s="30"/>
      <c r="AA554" s="30"/>
      <c r="AB554" s="30"/>
      <c r="AC554" s="483"/>
      <c r="AD554" s="30"/>
      <c r="AE554" s="30"/>
      <c r="AF554" s="58"/>
      <c r="AG554" s="30"/>
      <c r="AH554" s="30"/>
      <c r="AI554" s="30"/>
      <c r="AJ554" s="495"/>
      <c r="AK554" s="495"/>
      <c r="AL554" s="333"/>
      <c r="AM554" s="30"/>
      <c r="AN554" s="30"/>
      <c r="AO554" s="30"/>
      <c r="AP554" s="30"/>
      <c r="AQ554" s="30"/>
      <c r="AR554" s="30"/>
      <c r="AS554" s="30"/>
      <c r="AT554" s="483"/>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483"/>
    </row>
    <row r="555" spans="1:78" s="140" customFormat="1" ht="12.75" customHeight="1" thickBot="1" x14ac:dyDescent="0.25">
      <c r="A555" s="777"/>
      <c r="B555" s="1248"/>
      <c r="C555" s="783" t="s">
        <v>5</v>
      </c>
      <c r="D555" s="503" t="str">
        <f>Translations!$B$622</f>
        <v>VD:</v>
      </c>
      <c r="E555" s="1105" t="str">
        <f>Translations!$B$668</f>
        <v>Pradinis kiekis:</v>
      </c>
      <c r="F555" s="1123"/>
      <c r="G555" s="1106" t="str">
        <f>Translations!$B$669</f>
        <v>Galutinis kiekis:</v>
      </c>
      <c r="H555" s="1123"/>
      <c r="I555" s="1106" t="str">
        <f>Translations!$B$670</f>
        <v>Įsigytas kiekis:</v>
      </c>
      <c r="J555" s="1123"/>
      <c r="K555" s="1106" t="str">
        <f>Translations!$B$671</f>
        <v>Perduotas kiekis:</v>
      </c>
      <c r="L555" s="1123"/>
      <c r="M555" s="1107" t="str">
        <f>IF(AND(L553=TRUE,COUNT(F555,H555,J555,L555)&lt;4),EUconst_ERR_Incomplete,"")</f>
        <v/>
      </c>
      <c r="O555" s="1305"/>
      <c r="P555" s="23"/>
      <c r="Q555" s="23"/>
      <c r="R555" s="23"/>
      <c r="S555" s="23"/>
      <c r="T555" s="23"/>
      <c r="U555" s="23"/>
      <c r="V555" s="30"/>
      <c r="W555" s="30"/>
      <c r="X555" s="30"/>
      <c r="Y555" s="485"/>
      <c r="Z555" s="30"/>
      <c r="AA555" s="30"/>
      <c r="AB555" s="30"/>
      <c r="AC555" s="1115" t="b">
        <f>AC553</f>
        <v>0</v>
      </c>
      <c r="AD555" s="30"/>
      <c r="AE555" s="30"/>
      <c r="AF555" s="58"/>
      <c r="AG555" s="30"/>
      <c r="AH555" s="30"/>
      <c r="AI555" s="30"/>
      <c r="AJ555" s="495"/>
      <c r="AK555" s="495"/>
      <c r="AL555" s="333"/>
      <c r="AM555" s="30"/>
      <c r="AN555" s="30"/>
      <c r="AO555" s="30"/>
      <c r="AP555" s="30"/>
      <c r="AQ555" s="30"/>
      <c r="AR555" s="30"/>
      <c r="AS555" s="30"/>
      <c r="AT555" s="1115" t="b">
        <f>AND(AT553=TRUE,L553="")</f>
        <v>0</v>
      </c>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1115" t="b">
        <f>OR(BZ553,AND(NOT(ISBLANK(L553)),L553=FALSE))</f>
        <v>1</v>
      </c>
    </row>
    <row r="556" spans="1:78" s="140" customFormat="1" ht="5.0999999999999996" customHeight="1" thickBot="1" x14ac:dyDescent="0.25">
      <c r="A556" s="777"/>
      <c r="B556" s="1248"/>
      <c r="C556" s="164"/>
      <c r="D556" s="164"/>
      <c r="E556" s="164"/>
      <c r="F556" s="164"/>
      <c r="G556" s="164"/>
      <c r="M556" s="141"/>
      <c r="N556" s="141"/>
      <c r="O556" s="1305"/>
      <c r="P556" s="23"/>
      <c r="Q556" s="23"/>
      <c r="R556" s="23"/>
      <c r="S556" s="23"/>
      <c r="T556" s="23"/>
      <c r="U556" s="23"/>
      <c r="V556" s="30"/>
      <c r="W556" s="30"/>
      <c r="X556" s="30"/>
      <c r="Y556" s="485"/>
      <c r="Z556" s="30"/>
      <c r="AA556" s="30"/>
      <c r="AB556" s="30"/>
      <c r="AC556" s="30"/>
      <c r="AD556" s="30"/>
      <c r="AE556" s="30"/>
      <c r="AF556" s="58"/>
      <c r="AG556" s="30"/>
      <c r="AH556" s="30"/>
      <c r="AI556" s="30"/>
      <c r="AJ556" s="495"/>
      <c r="AK556" s="495"/>
      <c r="AL556" s="333"/>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row>
    <row r="557" spans="1:78" s="140" customFormat="1" ht="12.75" customHeight="1" thickBot="1" x14ac:dyDescent="0.25">
      <c r="A557" s="777"/>
      <c r="B557" s="1248"/>
      <c r="C557" s="164"/>
      <c r="D557" s="164"/>
      <c r="E557" s="164"/>
      <c r="F557" s="497" t="str">
        <f>Translations!$B$333</f>
        <v>Pakopa</v>
      </c>
      <c r="G557" s="1613" t="str">
        <f>Translations!$B$672</f>
        <v>pakopos aprašas</v>
      </c>
      <c r="H557" s="1613"/>
      <c r="I557" s="1608" t="str">
        <f>Translations!$B$158</f>
        <v>Vienetas</v>
      </c>
      <c r="J557" s="1608"/>
      <c r="K557" s="1608" t="str">
        <f>Translations!$B$673</f>
        <v>Vertė</v>
      </c>
      <c r="L557" s="1608"/>
      <c r="M557" s="498" t="str">
        <f>Translations!$B$610</f>
        <v>klaida</v>
      </c>
      <c r="O557" s="1305"/>
      <c r="P557" s="499"/>
      <c r="Q557" s="343" t="str">
        <f>EUconst_SumEnergyIN &amp; "_" &amp; K548</f>
        <v>SUM_EnergyIN_</v>
      </c>
      <c r="R557" s="390" t="str">
        <f>IF(OR(K548="",T549)=TRUE,"",INDEX(BC563:BE563,MATCH(K548,BC558:BE558,0)))</f>
        <v/>
      </c>
      <c r="S557" s="30"/>
      <c r="T557" s="480"/>
      <c r="U557" s="30"/>
      <c r="V557" s="500" t="s">
        <v>298</v>
      </c>
      <c r="W557" s="30"/>
      <c r="X557" s="30"/>
      <c r="Y557" s="485" t="s">
        <v>560</v>
      </c>
      <c r="Z557" s="485" t="s">
        <v>313</v>
      </c>
      <c r="AA557" s="30"/>
      <c r="AB557" s="30"/>
      <c r="AC557" s="496" t="s">
        <v>304</v>
      </c>
      <c r="AD557" s="30"/>
      <c r="AE557" s="30"/>
      <c r="AF557" s="483" t="s">
        <v>300</v>
      </c>
      <c r="AG557" s="483" t="s">
        <v>301</v>
      </c>
      <c r="AH557" s="485" t="s">
        <v>299</v>
      </c>
      <c r="AI557" s="495" t="s">
        <v>302</v>
      </c>
      <c r="AJ557" s="495" t="s">
        <v>561</v>
      </c>
      <c r="AK557" s="501" t="s">
        <v>306</v>
      </c>
      <c r="AL557" s="333"/>
      <c r="AM557" s="30"/>
      <c r="AN557" s="483" t="s">
        <v>300</v>
      </c>
      <c r="AO557" s="483" t="s">
        <v>301</v>
      </c>
      <c r="AP557" s="502" t="s">
        <v>305</v>
      </c>
      <c r="AQ557" s="495" t="s">
        <v>563</v>
      </c>
      <c r="AR557" s="495" t="s">
        <v>562</v>
      </c>
      <c r="AS557" s="501" t="s">
        <v>306</v>
      </c>
      <c r="AT557" s="501" t="s">
        <v>306</v>
      </c>
      <c r="AU557" s="30"/>
      <c r="AV557" s="483"/>
      <c r="AW557" s="483"/>
      <c r="AX557" s="483" t="s">
        <v>316</v>
      </c>
      <c r="AY557" s="483"/>
      <c r="AZ557" s="483"/>
      <c r="BA557" s="483"/>
      <c r="BB557" s="483"/>
      <c r="BC557" s="483"/>
      <c r="BD557" s="483"/>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484" t="s">
        <v>259</v>
      </c>
    </row>
    <row r="558" spans="1:78" s="140" customFormat="1" ht="12.75" customHeight="1" thickBot="1" x14ac:dyDescent="0.25">
      <c r="A558" s="777"/>
      <c r="B558" s="1248"/>
      <c r="C558" s="753" t="s">
        <v>194</v>
      </c>
      <c r="D558" s="503" t="str">
        <f>Translations!$B$622</f>
        <v>VD:</v>
      </c>
      <c r="E558" s="504"/>
      <c r="F558" s="393"/>
      <c r="G558" s="1603" t="str">
        <f>IF(OR(ISBLANK(F558),F558=EUconst_NoTier),"",IF(Z558=0,EUconst_NA,IF(ISERROR(Z558),"",Z558)))</f>
        <v/>
      </c>
      <c r="H558" s="1604"/>
      <c r="I558" s="1108" t="str">
        <f>IF(J558&lt;&gt;"","",AI558)</f>
        <v/>
      </c>
      <c r="J558" s="1109"/>
      <c r="K558" s="1116" t="str">
        <f>IF(L558="",AQ558,"")</f>
        <v/>
      </c>
      <c r="L558" s="1199"/>
      <c r="M558" s="700" t="str">
        <f>IF(AND(E549&lt;&gt;"",OR(F558="",COUNT(K558:L558)=0),Y558&lt;&gt;EUconst_NA,T549&lt;&gt;TRUE),EUconst_ERR_Incomplete,IF(COUNTIF(AX558:AZ558,TRUE)&gt;0,EUconst_ERR_Inconsistent,""))</f>
        <v/>
      </c>
      <c r="O558" s="1305"/>
      <c r="P558" s="635"/>
      <c r="Q558" s="343" t="str">
        <f>EUconst_SumBioEnergyIN &amp; "_" &amp; K548</f>
        <v>SUM_BioEnergyIN_</v>
      </c>
      <c r="R558" s="390" t="str">
        <f>IF(OR(K548="",T549)=TRUE,"",INDEX(BC564:BE564,MATCH(K548,BC558:BE558,0)))</f>
        <v/>
      </c>
      <c r="S558" s="30"/>
      <c r="T558" s="505" t="str">
        <f>EUconst_CNTR_ActivityData&amp;E549</f>
        <v>ActivityData_</v>
      </c>
      <c r="U558" s="488"/>
      <c r="V558" s="505" t="str">
        <f>IF(E548="","",INDEX(B_InstallationDescription!$I$71:$I$145,MATCH(U547,B_InstallationDescription!$D$71:$D$145,0)))</f>
        <v/>
      </c>
      <c r="W558" s="495" t="s">
        <v>533</v>
      </c>
      <c r="X558" s="488"/>
      <c r="Y558" s="506" t="str">
        <f>IF(OR(T549=TRUE,E549=""),"",INDEX(EUwideConstants!$N:$N,MATCH(T558,EUwideConstants!$Q:$Q,0)))</f>
        <v/>
      </c>
      <c r="Z558" s="507" t="str">
        <f>IF(ISBLANK(F558),"",IF(F558=EUconst_NA,"",INDEX(EUwideConstants!$H:$M,MATCH(T558,EUwideConstants!$Q:$Q,0),MATCH(F558,CNTR_TierList,0))))</f>
        <v/>
      </c>
      <c r="AA558" s="508" t="s">
        <v>299</v>
      </c>
      <c r="AB558" s="495"/>
      <c r="AC558" s="509" t="b">
        <f>AC553</f>
        <v>0</v>
      </c>
      <c r="AD558" s="30"/>
      <c r="AE558" s="510" t="str">
        <f>EUconst_CNTR_ActivityData&amp;EUconst_Unit</f>
        <v>ActivityData_Vienetas</v>
      </c>
      <c r="AF558" s="511" t="str">
        <f>IF(AC558=TRUE, IF(COUNTIF(MSPara_SourceStreamCategory,V558)=0,"",INDEX(MSPara_CalcFactorsMatrix,MATCH(V558,MSPara_SourceStreamCategory,0),MATCH(AE558&amp;"_"&amp;2,MSPara_CalcFactors,0))),"")</f>
        <v/>
      </c>
      <c r="AG558" s="512" t="str">
        <f>IF(AC558=TRUE, IF(COUNTIF(MSPara_SourceStreamCategory,V558)=0,"",INDEX(MSPara_CalcFactorsMatrix,MATCH(V558,MSPara_SourceStreamCategory,0),MATCH(AE558&amp;"_"&amp;1,MSPara_CalcFactors,0))),"")</f>
        <v/>
      </c>
      <c r="AH558" s="509" t="str">
        <f>IF(OR(AF558="",AF558=EUconst_NA),IF(OR(AG558=EUconst_NA,AG558=""),"",AG558),AF558)</f>
        <v/>
      </c>
      <c r="AI558" s="506" t="str">
        <f>IF(AC558=TRUE,IF(AH558="",EUconst_t,AH558),"")</f>
        <v/>
      </c>
      <c r="AJ558" s="513" t="str">
        <f>IF(J558="",AI558,J558)</f>
        <v/>
      </c>
      <c r="AK558" s="514" t="b">
        <f>IF(K548=EUconst_Fuel,J558&lt;&gt;"",FALSE)</f>
        <v>0</v>
      </c>
      <c r="AL558" s="333"/>
      <c r="AM558" s="505" t="str">
        <f>EUconst_CNTR_ActivityData&amp;EUconst_Value</f>
        <v>ActivityData_Vertė</v>
      </c>
      <c r="AN558" s="496"/>
      <c r="AO558" s="496"/>
      <c r="AP558" s="509" t="b">
        <f>AND(AND(AH558&lt;&gt;"",AJ558&lt;&gt;""),AJ558=AH558)</f>
        <v>0</v>
      </c>
      <c r="AQ558" s="610" t="str">
        <f>IF(L553=TRUE,SUM(F555)-SUM(H555)+SUM(J555)-SUM(L555),"")</f>
        <v/>
      </c>
      <c r="AR558" s="509">
        <f>IF(Y558=EUconst_NA,0,IF(COUNT(K558:L558)=0,0,IF(L558="",K558,L558)))</f>
        <v>0</v>
      </c>
      <c r="AS558" s="1115" t="b">
        <f>AND(AC558=TRUE,OR(L558&lt;&gt;"",AQ558=""))</f>
        <v>0</v>
      </c>
      <c r="AT558" s="1115" t="b">
        <f>AND(AC558=TRUE,NOT(AS558))</f>
        <v>0</v>
      </c>
      <c r="AU558" s="30"/>
      <c r="AV558" s="483" t="s">
        <v>309</v>
      </c>
      <c r="AW558" s="483" t="s">
        <v>314</v>
      </c>
      <c r="AX558" s="515"/>
      <c r="AY558" s="30" t="s">
        <v>536</v>
      </c>
      <c r="AZ558" s="30"/>
      <c r="BA558" s="30"/>
      <c r="BB558" s="495"/>
      <c r="BC558" s="484" t="str">
        <f>EUconst_Fuel</f>
        <v>Degimas</v>
      </c>
      <c r="BD558" s="484" t="str">
        <f>EUconst_ProcessCarbonate</f>
        <v>Proceso metu išsiskiriančios ŠESD</v>
      </c>
      <c r="BE558" s="484" t="str">
        <f>EUconst_MassBalance</f>
        <v>Masės balansas</v>
      </c>
      <c r="BF558" s="30"/>
      <c r="BG558" s="30"/>
      <c r="BH558" s="30"/>
      <c r="BI558" s="30"/>
      <c r="BJ558" s="30"/>
      <c r="BK558" s="30"/>
      <c r="BL558" s="30"/>
      <c r="BM558" s="30"/>
      <c r="BN558" s="30"/>
      <c r="BO558" s="30"/>
      <c r="BP558" s="30"/>
      <c r="BQ558" s="30"/>
      <c r="BR558" s="30"/>
      <c r="BS558" s="30"/>
      <c r="BT558" s="30"/>
      <c r="BU558" s="30"/>
      <c r="BV558" s="30"/>
      <c r="BW558" s="30"/>
      <c r="BX558" s="30"/>
      <c r="BY558" s="30"/>
      <c r="BZ558" s="515" t="b">
        <f>BZ553</f>
        <v>1</v>
      </c>
    </row>
    <row r="559" spans="1:78" s="140" customFormat="1" ht="5.0999999999999996" customHeight="1" thickBot="1" x14ac:dyDescent="0.25">
      <c r="A559" s="777"/>
      <c r="B559" s="1248"/>
      <c r="C559" s="783"/>
      <c r="D559" s="298"/>
      <c r="F559" s="141"/>
      <c r="G559" s="141"/>
      <c r="H559" s="141" t="s">
        <v>233</v>
      </c>
      <c r="I559" s="516"/>
      <c r="J559" s="516"/>
      <c r="K559" s="141"/>
      <c r="L559" s="141"/>
      <c r="M559" s="701"/>
      <c r="O559" s="1305"/>
      <c r="P559" s="33"/>
      <c r="Q559" s="33"/>
      <c r="R559" s="33"/>
      <c r="S559" s="30"/>
      <c r="T559" s="153"/>
      <c r="U559" s="488"/>
      <c r="V559" s="30"/>
      <c r="W559" s="30"/>
      <c r="X559" s="488"/>
      <c r="Y559" s="517"/>
      <c r="Z559" s="30"/>
      <c r="AA559" s="30"/>
      <c r="AB559" s="30"/>
      <c r="AC559" s="30"/>
      <c r="AD559" s="30"/>
      <c r="AE559" s="30"/>
      <c r="AF559" s="30"/>
      <c r="AG559" s="30"/>
      <c r="AH559" s="30"/>
      <c r="AI559" s="30"/>
      <c r="AJ559" s="30"/>
      <c r="AK559" s="30"/>
      <c r="AL559" s="333"/>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484"/>
    </row>
    <row r="560" spans="1:78" s="140" customFormat="1" ht="12.75" customHeight="1" thickBot="1" x14ac:dyDescent="0.25">
      <c r="A560" s="777"/>
      <c r="B560" s="1248"/>
      <c r="C560" s="783" t="s">
        <v>195</v>
      </c>
      <c r="D560" s="503" t="str">
        <f>Translations!$B$634</f>
        <v>(prelim.) ITF:</v>
      </c>
      <c r="E560" s="504"/>
      <c r="F560" s="518"/>
      <c r="G560" s="1603" t="str">
        <f t="shared" ref="G560:G566" si="126">IF(OR(ISBLANK(F560),F560=EUconst_NoTier),"",IF(Z560=0,EUconst_NotApplicable,IF(ISERROR(Z560),"",Z560)))</f>
        <v/>
      </c>
      <c r="H560" s="1609"/>
      <c r="I560" s="1110" t="str">
        <f>IF(J560&lt;&gt;"","",AI560)</f>
        <v/>
      </c>
      <c r="J560" s="1111"/>
      <c r="K560" s="519" t="str">
        <f t="shared" ref="K560:K566" si="127">IF(L560="",AQ560,"")</f>
        <v/>
      </c>
      <c r="L560" s="520"/>
      <c r="M560" s="700" t="str">
        <f>IF(AND(E549&lt;&gt;"",OR(F560="",COUNT(K560:L560)=0),Y560&lt;&gt;EUconst_NA,T549&lt;&gt;TRUE),EUconst_ERR_Incomplete,IF(COUNTIF(AX560:AZ560,TRUE)&gt;0,EUconst_ERR_Inconsistent,""))</f>
        <v/>
      </c>
      <c r="N560" s="486"/>
      <c r="O560" s="1305"/>
      <c r="P560" s="33"/>
      <c r="Q560" s="33"/>
      <c r="R560" s="33"/>
      <c r="S560" s="30"/>
      <c r="T560" s="521" t="str">
        <f>EUconst_CNTR_EF&amp;E549</f>
        <v>EF_</v>
      </c>
      <c r="U560" s="488"/>
      <c r="V560" s="522" t="str">
        <f>V558</f>
        <v/>
      </c>
      <c r="W560" s="30"/>
      <c r="X560" s="488"/>
      <c r="Y560" s="523" t="str">
        <f>IF(OR(T549=TRUE,E549=""),"",IF(F560=EUconst_NA,EUconst_NA,INDEX(EUwideConstants!$N:$N,MATCH(T560,EUwideConstants!$Q:$Q,0))))</f>
        <v/>
      </c>
      <c r="Z560" s="524" t="str">
        <f>IF(ISBLANK(F560),"",IF(F560=EUconst_NA,"",INDEX(EUwideConstants!$H:$M,MATCH(T560,EUwideConstants!$Q:$Q,0),MATCH(F560,CNTR_TierList,0))))</f>
        <v/>
      </c>
      <c r="AA560" s="525" t="str">
        <f>IF(COUNTIF(EUconst_DefaultValues,Z560)&gt;0,MATCH(Z560,EUconst_DefaultValues,0),"")</f>
        <v/>
      </c>
      <c r="AB560" s="30"/>
      <c r="AC560" s="526" t="b">
        <f>AND(AC558,Y560&lt;&gt;EUconst_NA)</f>
        <v>0</v>
      </c>
      <c r="AD560" s="30"/>
      <c r="AE560" s="510" t="str">
        <f>EUconst_CNTR_EF&amp;EUconst_Unit</f>
        <v>EF_Vienetas</v>
      </c>
      <c r="AF560" s="527" t="str">
        <f>IF(AC560=TRUE, IF(COUNTIF(MSPara_SourceStreamCategory,V560)=0,"",INDEX(MSPara_CalcFactorsMatrix,MATCH(V560,MSPara_SourceStreamCategory,0),MATCH(AE560&amp;"_"&amp;2,MSPara_CalcFactors,0))),"")</f>
        <v/>
      </c>
      <c r="AG560" s="528" t="str">
        <f>IF(AC560=TRUE, IF(COUNTIF(MSPara_SourceStreamCategory,V560)=0,"",INDEX(MSPara_CalcFactorsMatrix,MATCH(V560,MSPara_SourceStreamCategory,0),MATCH(AE560&amp;"_"&amp;1,MSPara_CalcFactors,0))),"")</f>
        <v/>
      </c>
      <c r="AH560" s="529" t="str">
        <f>IF(AA560="","",INDEX(AF560:AG560,3-AA560))</f>
        <v/>
      </c>
      <c r="AI560" s="530" t="str">
        <f>IF(AC560=TRUE,IF(OR(AH560="",AH560=EUconst_NA),IF(K548=EUconst_Fuel,EUconst_tCO2pTJ,EUconst_tCO2pt),AH560),"")</f>
        <v/>
      </c>
      <c r="AJ560" s="526" t="str">
        <f>IF(J560="",AI560,J560)</f>
        <v/>
      </c>
      <c r="AK560" s="531" t="b">
        <f>IF(K548=EUconst_Fuel,J560&lt;&gt;"",FALSE)</f>
        <v>0</v>
      </c>
      <c r="AL560" s="333"/>
      <c r="AM560" s="510" t="str">
        <f>EUconst_CNTR_EF&amp;EUconst_Value</f>
        <v>EF_Vertė</v>
      </c>
      <c r="AN560" s="532" t="str">
        <f>IF(AC560=TRUE,IF(COUNTIF(MSPara_SourceStreamCategory,V560)=0,"",INDEX(MSPara_CalcFactorsMatrix,MATCH(V560,MSPara_SourceStreamCategory,0),MATCH(AM560&amp;"_"&amp;2,MSPara_CalcFactors,0))),"")</f>
        <v/>
      </c>
      <c r="AO560" s="533" t="str">
        <f>IF(AC560=TRUE,IF(COUNTIF(MSPara_SourceStreamCategory,V560)=0,"",INDEX(MSPara_CalcFactorsMatrix,MATCH(V560,MSPara_SourceStreamCategory,0),MATCH(AM560&amp;"_"&amp;1,MSPara_CalcFactors,0))),"")</f>
        <v/>
      </c>
      <c r="AP560" s="526" t="b">
        <f>AND(AND(AH560&lt;&gt;"",AJ560&lt;&gt;""),AJ560=AH560)</f>
        <v>0</v>
      </c>
      <c r="AQ560" s="534" t="str">
        <f>IF(AND(AA560&lt;&gt;"",AP560=TRUE),IF(OR(INDEX(AN560:AO560,3-AA560)=EUconst_NA,INDEX(AN560:AO560,3-AA560)=0),"",INDEX(AN560:AO560,3-AA560)),"")</f>
        <v/>
      </c>
      <c r="AR560" s="526">
        <f>IF(AC560=TRUE,IF(COUNT(K560:L560)=0,0,IF(L560="",K560,L560)),0)</f>
        <v>0</v>
      </c>
      <c r="AS560" s="522" t="b">
        <f>AND(AC560=TRUE,OR(AND(F560&lt;&gt;"",NOT(ISNUMBER(AA560))),L560&lt;&gt;"",F560="",AQ560=""))</f>
        <v>0</v>
      </c>
      <c r="AT560" s="522" t="b">
        <f t="shared" ref="AT560:AT566" si="128">AND(AC560=TRUE,NOT(AS560))</f>
        <v>0</v>
      </c>
      <c r="AU560" s="30"/>
      <c r="AV560" s="535" t="b">
        <f t="shared" ref="AV560:AV566" si="129">AND(ISNUMBER(AA560),AQ560="")</f>
        <v>0</v>
      </c>
      <c r="AW560" s="536" t="b">
        <f t="shared" ref="AW560:AW566" si="130">AND(ISNUMBER(AA560),AQ560&lt;&gt;AR560)</f>
        <v>0</v>
      </c>
      <c r="AX560" s="537" t="b">
        <f>OR(AND(AJ558=EUconst_kNm3,AJ560=EUconst_tCO2pt),AND(AJ558=EUconst_t,AJ560=EUconst_tCO2pkNm3))</f>
        <v>0</v>
      </c>
      <c r="AY560" s="522" t="b">
        <f t="shared" ref="AY560:AY566" si="131">AND(L560&lt;&gt;"",Y560=EUconst_NA)</f>
        <v>0</v>
      </c>
      <c r="AZ560" s="30"/>
      <c r="BA560" s="30"/>
      <c r="BB560" s="538" t="s">
        <v>588</v>
      </c>
      <c r="BC560" s="537" t="str">
        <f>IF(K548=BC558,AR558*IF(AJ560=EUconst_tCO2pTJ,(AR561/1000),1)*AR560*AR562*AR566,"")</f>
        <v/>
      </c>
      <c r="BD560" s="515" t="str">
        <f>IF(K548=BD558,AR558*AR560*AR563*AR566,"")</f>
        <v/>
      </c>
      <c r="BE560" s="514" t="str">
        <f>IF(K548=BE558,3.664*AR558*AR564*AR566,"")</f>
        <v/>
      </c>
      <c r="BF560" s="30"/>
      <c r="BG560" s="30"/>
      <c r="BH560" s="30"/>
      <c r="BI560" s="30"/>
      <c r="BJ560" s="30"/>
      <c r="BK560" s="30"/>
      <c r="BL560" s="30"/>
      <c r="BM560" s="30"/>
      <c r="BN560" s="30"/>
      <c r="BO560" s="30"/>
      <c r="BP560" s="30"/>
      <c r="BQ560" s="30"/>
      <c r="BR560" s="30"/>
      <c r="BS560" s="30"/>
      <c r="BT560" s="30"/>
      <c r="BU560" s="30"/>
      <c r="BV560" s="30"/>
      <c r="BW560" s="30"/>
      <c r="BX560" s="30"/>
      <c r="BY560" s="30"/>
      <c r="BZ560" s="522" t="b">
        <f>OR(BZ558,Y560=EUconst_NA)</f>
        <v>1</v>
      </c>
    </row>
    <row r="561" spans="1:78" s="140" customFormat="1" ht="12.75" customHeight="1" thickBot="1" x14ac:dyDescent="0.25">
      <c r="A561" s="777"/>
      <c r="B561" s="1248"/>
      <c r="C561" s="783" t="s">
        <v>196</v>
      </c>
      <c r="D561" s="503" t="str">
        <f>Translations!$B$636</f>
        <v>GŠV:</v>
      </c>
      <c r="E561" s="504"/>
      <c r="F561" s="539"/>
      <c r="G561" s="1603" t="str">
        <f t="shared" si="126"/>
        <v/>
      </c>
      <c r="H561" s="1604"/>
      <c r="I561" s="1112" t="str">
        <f>AJ561</f>
        <v/>
      </c>
      <c r="J561" s="540"/>
      <c r="K561" s="541" t="str">
        <f t="shared" si="127"/>
        <v/>
      </c>
      <c r="L561" s="542"/>
      <c r="M561" s="700" t="str">
        <f>IF(AND(E549&lt;&gt;"",OR(F561="",COUNT(K561:L561)=0),Y561&lt;&gt;EUconst_NA,T549&lt;&gt;TRUE),EUconst_ERR_Incomplete,IF(COUNTIF(AX561:AZ561,TRUE)&gt;0,EUconst_ERR_Inconsistent,""))</f>
        <v/>
      </c>
      <c r="O561" s="1305"/>
      <c r="P561" s="33"/>
      <c r="Q561" s="33"/>
      <c r="R561" s="33"/>
      <c r="S561" s="30"/>
      <c r="T561" s="543" t="str">
        <f>EUconst_CNTR_NCV&amp;E549</f>
        <v>NCV_</v>
      </c>
      <c r="U561" s="488"/>
      <c r="V561" s="544" t="str">
        <f t="shared" ref="V561:V566" si="132">V560</f>
        <v/>
      </c>
      <c r="W561" s="30"/>
      <c r="X561" s="488"/>
      <c r="Y561" s="545" t="str">
        <f>IF(OR(T549=TRUE,E549=""),"",IF(F561=EUconst_NA,EUconst_NA,INDEX(EUwideConstants!$N:$N,MATCH(T561,EUwideConstants!$Q:$Q,0))))</f>
        <v/>
      </c>
      <c r="Z561" s="546" t="str">
        <f>IF(ISBLANK(F561),"",IF(F561=EUconst_NA,"",INDEX(EUwideConstants!$H:$M,MATCH(T561,EUwideConstants!$Q:$Q,0),MATCH(F561,CNTR_TierList,0))))</f>
        <v/>
      </c>
      <c r="AA561" s="547" t="str">
        <f>IF(COUNTIF(EUconst_DefaultValues,Z561)&gt;0,MATCH(Z561,EUconst_DefaultValues,0),"")</f>
        <v/>
      </c>
      <c r="AB561" s="30"/>
      <c r="AC561" s="548" t="b">
        <f>AND(AC558,Y561&lt;&gt;EUconst_NA)</f>
        <v>0</v>
      </c>
      <c r="AD561" s="30"/>
      <c r="AE561" s="549" t="str">
        <f>EUconst_CNTR_NCV&amp;EUconst_Unit</f>
        <v>NCV_Vienetas</v>
      </c>
      <c r="AF561" s="550" t="str">
        <f>IF(AC561=TRUE, IF(COUNTIF(MSPara_SourceStreamCategory,V561)=0,"",INDEX(MSPara_CalcFactorsMatrix,MATCH(V561,MSPara_SourceStreamCategory,0),MATCH(AE561&amp;"_"&amp;2,MSPara_CalcFactors,0))),"")</f>
        <v/>
      </c>
      <c r="AG561" s="551" t="str">
        <f>IF(AC561=TRUE, IF(COUNTIF(MSPara_SourceStreamCategory,V561)=0,"",INDEX(MSPara_CalcFactorsMatrix,MATCH(V561,MSPara_SourceStreamCategory,0),MATCH(AE561&amp;"_"&amp;1,MSPara_CalcFactors,0))),"")</f>
        <v/>
      </c>
      <c r="AH561" s="552" t="str">
        <f>IF(AA561="","",INDEX(AF561:AG561,3-AA561))</f>
        <v/>
      </c>
      <c r="AI561" s="553"/>
      <c r="AJ561" s="548" t="str">
        <f>IF(AC561=TRUE,IF(AJ558="","",IF(AJ558=EUconst_kNm3,EUconst_GJpkNm3,EUconst_GJpt)),"")</f>
        <v/>
      </c>
      <c r="AK561" s="554"/>
      <c r="AL561" s="333"/>
      <c r="AM561" s="549" t="str">
        <f>EUconst_CNTR_NCV&amp;EUconst_Value</f>
        <v>NCV_Vertė</v>
      </c>
      <c r="AN561" s="555" t="str">
        <f>IF(AC561=TRUE,IF(COUNTIF(MSPara_SourceStreamCategory,V561)=0,"",INDEX(MSPara_CalcFactorsMatrix,MATCH(V561,MSPara_SourceStreamCategory,0),MATCH(AM561&amp;"_"&amp;2,MSPara_CalcFactors,0))),"")</f>
        <v/>
      </c>
      <c r="AO561" s="556" t="str">
        <f>IF(AC561=TRUE,IF(COUNTIF(MSPara_SourceStreamCategory,V561)=0,"",INDEX(MSPara_CalcFactorsMatrix,MATCH(V561,MSPara_SourceStreamCategory,0),MATCH(AM561&amp;"_"&amp;1,MSPara_CalcFactors,0))),"")</f>
        <v/>
      </c>
      <c r="AP561" s="548" t="b">
        <f>AND(AND(AH561&lt;&gt;"",AJ561&lt;&gt;""),AJ561=AH561)</f>
        <v>0</v>
      </c>
      <c r="AQ561" s="557" t="str">
        <f>IF(AND(AA561&lt;&gt;"",AP561=TRUE),IF(OR(INDEX(AN561:AO561,3-AA561)=EUconst_NA,INDEX(AN561:AO561,3-AA561)=0),"",INDEX(AN561:AO561,3-AA561)),"")</f>
        <v/>
      </c>
      <c r="AR561" s="548">
        <f>IF(AC561=TRUE,IF(COUNT(K561:L561)=0,0,IF(L561="",K561,L561)),0)</f>
        <v>0</v>
      </c>
      <c r="AS561" s="544" t="b">
        <f>AND(AC561=TRUE,OR(AND(F561&lt;&gt;"",NOT(ISNUMBER(AA561))),L561&lt;&gt;"",F561="",AQ561=""))</f>
        <v>0</v>
      </c>
      <c r="AT561" s="544" t="b">
        <f t="shared" si="128"/>
        <v>0</v>
      </c>
      <c r="AU561" s="30"/>
      <c r="AV561" s="558" t="b">
        <f t="shared" si="129"/>
        <v>0</v>
      </c>
      <c r="AW561" s="559" t="b">
        <f t="shared" si="130"/>
        <v>0</v>
      </c>
      <c r="AX561" s="30"/>
      <c r="AY561" s="544" t="b">
        <f t="shared" si="131"/>
        <v>0</v>
      </c>
      <c r="AZ561" s="30"/>
      <c r="BA561" s="30"/>
      <c r="BB561" s="538" t="s">
        <v>589</v>
      </c>
      <c r="BC561" s="537" t="str">
        <f>IF(K548=BC558,AR558*IF(AJ560=EUconst_tCO2pTJ,(AR561/1000),1)*AR560*AR562*AR565,"")</f>
        <v/>
      </c>
      <c r="BD561" s="515" t="str">
        <f>IF(K548=BD558,AR558*AR560*AR563*AR565,"")</f>
        <v/>
      </c>
      <c r="BE561" s="514" t="str">
        <f>IF(K548=BE558,3.664*AR558*AR564*AR565,"")</f>
        <v/>
      </c>
      <c r="BF561" s="30"/>
      <c r="BG561" s="30"/>
      <c r="BH561" s="30"/>
      <c r="BI561" s="30"/>
      <c r="BJ561" s="30"/>
      <c r="BK561" s="30"/>
      <c r="BL561" s="30"/>
      <c r="BM561" s="30"/>
      <c r="BN561" s="30"/>
      <c r="BO561" s="30"/>
      <c r="BP561" s="30"/>
      <c r="BQ561" s="30"/>
      <c r="BR561" s="30"/>
      <c r="BS561" s="30"/>
      <c r="BT561" s="30"/>
      <c r="BU561" s="30"/>
      <c r="BV561" s="30"/>
      <c r="BW561" s="30"/>
      <c r="BX561" s="30"/>
      <c r="BY561" s="30"/>
      <c r="BZ561" s="544" t="b">
        <f>OR(BZ558,Y561=EUconst_NA)</f>
        <v>1</v>
      </c>
    </row>
    <row r="562" spans="1:78" s="140" customFormat="1" ht="12.75" customHeight="1" thickBot="1" x14ac:dyDescent="0.25">
      <c r="A562" s="777"/>
      <c r="B562" s="1248"/>
      <c r="C562" s="783" t="s">
        <v>197</v>
      </c>
      <c r="D562" s="503" t="str">
        <f>Translations!$B$638</f>
        <v>Oksidacijos koef.:</v>
      </c>
      <c r="E562" s="504"/>
      <c r="F562" s="539"/>
      <c r="G562" s="1603" t="str">
        <f t="shared" si="126"/>
        <v/>
      </c>
      <c r="H562" s="1604"/>
      <c r="I562" s="1113" t="str">
        <f>IF(OR(AC562=FALSE,Y562=EUconst_NA),"","-")</f>
        <v/>
      </c>
      <c r="J562" s="560"/>
      <c r="K562" s="561" t="str">
        <f t="shared" si="127"/>
        <v/>
      </c>
      <c r="L562" s="694"/>
      <c r="M562" s="700" t="str">
        <f>IF(AND(E549&lt;&gt;"",OR(F562="",COUNT(K562:L562)=0),Y562&lt;&gt;EUconst_NA,T549&lt;&gt;TRUE),EUconst_ERR_Incomplete,IF(COUNTIF(AX562:AZ562,TRUE)&gt;0,EUconst_ERR_Inconsistent,""))</f>
        <v/>
      </c>
      <c r="O562" s="1305"/>
      <c r="P562" s="33"/>
      <c r="Q562" s="33"/>
      <c r="R562" s="33"/>
      <c r="S562" s="30"/>
      <c r="T562" s="543" t="str">
        <f>EUconst_CNTR_OxidationFactor&amp;E549</f>
        <v>OxF_</v>
      </c>
      <c r="U562" s="488"/>
      <c r="V562" s="544" t="str">
        <f t="shared" si="132"/>
        <v/>
      </c>
      <c r="W562" s="30"/>
      <c r="X562" s="488"/>
      <c r="Y562" s="545" t="str">
        <f>IF(OR(T549=TRUE,E549=""),"",INDEX(EUwideConstants!$N:$N,MATCH(T562,EUwideConstants!$Q:$Q,0)))</f>
        <v/>
      </c>
      <c r="Z562" s="546" t="str">
        <f>IF(ISBLANK(F562),"",IF(F562=EUconst_NA,"",INDEX(EUwideConstants!$H:$M,MATCH(T562,EUwideConstants!$Q:$Q,0),MATCH(F562,CNTR_TierList,0))))</f>
        <v/>
      </c>
      <c r="AA562" s="525" t="str">
        <f>IF(F562=1,1,"")</f>
        <v/>
      </c>
      <c r="AB562" s="30"/>
      <c r="AC562" s="548" t="b">
        <f>AND(AC558,Y562&lt;&gt;EUconst_NA)</f>
        <v>0</v>
      </c>
      <c r="AD562" s="30"/>
      <c r="AE562" s="563"/>
      <c r="AG562" s="564"/>
      <c r="AH562" s="553"/>
      <c r="AI562" s="565"/>
      <c r="AJ562" s="553"/>
      <c r="AK562" s="566"/>
      <c r="AL562" s="333"/>
      <c r="AM562" s="549" t="str">
        <f>EUconst_CNTR_OxidationFactor&amp;EUconst_Value</f>
        <v>OxF_Vertė</v>
      </c>
      <c r="AN562" s="567"/>
      <c r="AO562" s="525">
        <v>1</v>
      </c>
      <c r="AP562" s="553"/>
      <c r="AQ562" s="568" t="str">
        <f>IF(AA562="","",AO562)</f>
        <v/>
      </c>
      <c r="AR562" s="548">
        <f>IF(AC562=TRUE,IF(COUNT(K562:L562)=0,0,IF(L562="",K562,L562)),1)</f>
        <v>1</v>
      </c>
      <c r="AS562" s="544" t="b">
        <f>AND(AC562=TRUE,OR(ISNUMBER(L562),NOT(ISNUMBER(AA562))))</f>
        <v>0</v>
      </c>
      <c r="AT562" s="544" t="b">
        <f t="shared" si="128"/>
        <v>0</v>
      </c>
      <c r="AU562" s="30"/>
      <c r="AV562" s="558" t="b">
        <f t="shared" si="129"/>
        <v>0</v>
      </c>
      <c r="AW562" s="559" t="b">
        <f t="shared" si="130"/>
        <v>0</v>
      </c>
      <c r="AX562" s="30"/>
      <c r="AY562" s="585" t="b">
        <f t="shared" si="131"/>
        <v>0</v>
      </c>
      <c r="AZ562" s="522" t="b">
        <f>AR562&gt;100%</f>
        <v>0</v>
      </c>
      <c r="BA562" s="30"/>
      <c r="BB562" s="538" t="s">
        <v>287</v>
      </c>
      <c r="BC562" s="537" t="str">
        <f>IF(K548=BC558,AR558*IF(AJ560=EUconst_tCO2pTJ,(AR561/1000),1)*AR560*AR562*(1-AR565),"")</f>
        <v/>
      </c>
      <c r="BD562" s="515" t="str">
        <f>IF(K548=BD558,AR558*AR560*AR563*(1-AR565),"")</f>
        <v/>
      </c>
      <c r="BE562" s="514" t="str">
        <f>IF(K548=BE558,3.664*AR558*AR564*(1-AR565),"")</f>
        <v/>
      </c>
      <c r="BF562" s="30"/>
      <c r="BG562" s="30"/>
      <c r="BH562" s="30"/>
      <c r="BI562" s="30"/>
      <c r="BJ562" s="30"/>
      <c r="BK562" s="30"/>
      <c r="BL562" s="30"/>
      <c r="BM562" s="30"/>
      <c r="BN562" s="30"/>
      <c r="BO562" s="30"/>
      <c r="BP562" s="30"/>
      <c r="BQ562" s="30"/>
      <c r="BR562" s="30"/>
      <c r="BS562" s="30"/>
      <c r="BT562" s="30"/>
      <c r="BU562" s="30"/>
      <c r="BV562" s="30"/>
      <c r="BW562" s="30"/>
      <c r="BX562" s="30"/>
      <c r="BY562" s="30"/>
      <c r="BZ562" s="544" t="b">
        <f>OR(BZ558,Y562=EUconst_NA)</f>
        <v>1</v>
      </c>
    </row>
    <row r="563" spans="1:78" s="140" customFormat="1" ht="12.75" customHeight="1" thickBot="1" x14ac:dyDescent="0.25">
      <c r="A563" s="777"/>
      <c r="B563" s="1248"/>
      <c r="C563" s="783" t="s">
        <v>198</v>
      </c>
      <c r="D563" s="503" t="str">
        <f>Translations!$B$639</f>
        <v>Konversijos koef.:</v>
      </c>
      <c r="E563" s="504"/>
      <c r="F563" s="539"/>
      <c r="G563" s="1603" t="str">
        <f t="shared" si="126"/>
        <v/>
      </c>
      <c r="H563" s="1604"/>
      <c r="I563" s="1113" t="str">
        <f>IF(OR(AC563=FALSE,Y563=EUconst_NA),"","-")</f>
        <v/>
      </c>
      <c r="J563" s="560"/>
      <c r="K563" s="561" t="str">
        <f t="shared" si="127"/>
        <v/>
      </c>
      <c r="L563" s="694"/>
      <c r="M563" s="700" t="str">
        <f>IF(AND(E549&lt;&gt;"",OR(F563="",COUNT(K563:L563)=0),Y563&lt;&gt;EUconst_NA,T549&lt;&gt;TRUE),EUconst_ERR_Incomplete,IF(COUNTIF(AX563:AZ563,TRUE)&gt;0,EUconst_ERR_Inconsistent,""))</f>
        <v/>
      </c>
      <c r="O563" s="1305"/>
      <c r="P563" s="33"/>
      <c r="Q563" s="33"/>
      <c r="R563" s="33"/>
      <c r="S563" s="30"/>
      <c r="T563" s="543" t="str">
        <f>EUconst_CNTR_ConversionFactor&amp;E549</f>
        <v>ConvF_</v>
      </c>
      <c r="U563" s="488"/>
      <c r="V563" s="544" t="str">
        <f t="shared" si="132"/>
        <v/>
      </c>
      <c r="W563" s="30"/>
      <c r="X563" s="488"/>
      <c r="Y563" s="545" t="str">
        <f>IF(OR(T549=TRUE,E549=""),"",INDEX(EUwideConstants!$N:$N,MATCH(T563,EUwideConstants!$Q:$Q,0)))</f>
        <v/>
      </c>
      <c r="Z563" s="546" t="str">
        <f>IF(ISBLANK(F563),"",IF(F563=EUconst_NA,"",INDEX(EUwideConstants!$H:$M,MATCH(T563,EUwideConstants!$Q:$Q,0),MATCH(F563,CNTR_TierList,0))))</f>
        <v/>
      </c>
      <c r="AA563" s="573" t="str">
        <f>IF(F563=1,1,"")</f>
        <v/>
      </c>
      <c r="AB563" s="30"/>
      <c r="AC563" s="548" t="b">
        <f>AND(AC558,Y563&lt;&gt;EUconst_NA)</f>
        <v>0</v>
      </c>
      <c r="AD563" s="30"/>
      <c r="AE563" s="563"/>
      <c r="AG563" s="564"/>
      <c r="AH563" s="574"/>
      <c r="AI563" s="565"/>
      <c r="AJ563" s="574"/>
      <c r="AK563" s="566"/>
      <c r="AL563" s="333"/>
      <c r="AM563" s="549" t="str">
        <f>EUconst_CNTR_ConversionFactor&amp;EUconst_Value</f>
        <v>ConvF_Vertė</v>
      </c>
      <c r="AN563" s="575"/>
      <c r="AO563" s="573">
        <v>1</v>
      </c>
      <c r="AP563" s="574"/>
      <c r="AQ563" s="576" t="str">
        <f>IF(AA563="","",AO563)</f>
        <v/>
      </c>
      <c r="AR563" s="548">
        <f>IF(AC563=TRUE,IF(COUNT(K563:L563)=0,0,IF(L563="",K563,L563)),1)</f>
        <v>1</v>
      </c>
      <c r="AS563" s="544" t="b">
        <f>AND(AC563=TRUE,OR(ISNUMBER(L563),NOT(ISNUMBER(AA563))))</f>
        <v>0</v>
      </c>
      <c r="AT563" s="544" t="b">
        <f t="shared" si="128"/>
        <v>0</v>
      </c>
      <c r="AU563" s="30"/>
      <c r="AV563" s="558" t="b">
        <f t="shared" si="129"/>
        <v>0</v>
      </c>
      <c r="AW563" s="559" t="b">
        <f t="shared" si="130"/>
        <v>0</v>
      </c>
      <c r="AX563" s="30"/>
      <c r="AY563" s="585" t="b">
        <f t="shared" si="131"/>
        <v>0</v>
      </c>
      <c r="AZ563" s="571" t="b">
        <f>AR563&gt;100%</f>
        <v>0</v>
      </c>
      <c r="BA563" s="30"/>
      <c r="BB563" s="569" t="s">
        <v>481</v>
      </c>
      <c r="BC563" s="570">
        <f>AR558*AR561/1000*(1-AR565)</f>
        <v>0</v>
      </c>
      <c r="BD563" s="571">
        <f>BC563</f>
        <v>0</v>
      </c>
      <c r="BE563" s="572">
        <f>BC563</f>
        <v>0</v>
      </c>
      <c r="BF563" s="30"/>
      <c r="BG563" s="30"/>
      <c r="BH563" s="30"/>
      <c r="BI563" s="30"/>
      <c r="BJ563" s="30"/>
      <c r="BK563" s="30"/>
      <c r="BL563" s="30"/>
      <c r="BM563" s="30"/>
      <c r="BN563" s="30"/>
      <c r="BO563" s="30"/>
      <c r="BP563" s="30"/>
      <c r="BQ563" s="30"/>
      <c r="BR563" s="30"/>
      <c r="BS563" s="30"/>
      <c r="BT563" s="30"/>
      <c r="BU563" s="30"/>
      <c r="BV563" s="30"/>
      <c r="BW563" s="30"/>
      <c r="BX563" s="30"/>
      <c r="BY563" s="30"/>
      <c r="BZ563" s="544" t="b">
        <f>OR(BZ558,Y563=EUconst_NA)</f>
        <v>1</v>
      </c>
    </row>
    <row r="564" spans="1:78" s="140" customFormat="1" ht="12.75" customHeight="1" thickBot="1" x14ac:dyDescent="0.25">
      <c r="A564" s="777"/>
      <c r="B564" s="1248"/>
      <c r="C564" s="783" t="s">
        <v>324</v>
      </c>
      <c r="D564" s="503" t="str">
        <f>Translations!$B$640</f>
        <v>Anglies kiekis (C):</v>
      </c>
      <c r="E564" s="504"/>
      <c r="F564" s="539"/>
      <c r="G564" s="1603" t="str">
        <f t="shared" si="126"/>
        <v/>
      </c>
      <c r="H564" s="1604"/>
      <c r="I564" s="1113" t="str">
        <f>AJ564</f>
        <v/>
      </c>
      <c r="J564" s="577"/>
      <c r="K564" s="578" t="str">
        <f t="shared" si="127"/>
        <v/>
      </c>
      <c r="L564" s="579"/>
      <c r="M564" s="700" t="str">
        <f>IF(AND(E549&lt;&gt;"",OR(F564="",COUNT(K564:L564)=0),Y564&lt;&gt;EUconst_NA,T549&lt;&gt;TRUE),EUconst_ERR_Incomplete,IF(COUNTIF(AX564:AZ564,TRUE)&gt;0,EUconst_ERR_Inconsistent,""))</f>
        <v/>
      </c>
      <c r="O564" s="1305"/>
      <c r="P564" s="33"/>
      <c r="Q564" s="33"/>
      <c r="R564" s="33"/>
      <c r="S564" s="30"/>
      <c r="T564" s="543" t="str">
        <f>EUconst_CNTR_CarbonContent&amp;E549</f>
        <v>CarbC_</v>
      </c>
      <c r="U564" s="488"/>
      <c r="V564" s="544" t="str">
        <f t="shared" si="132"/>
        <v/>
      </c>
      <c r="W564" s="30"/>
      <c r="X564" s="488"/>
      <c r="Y564" s="545" t="str">
        <f>IF(OR(T549=TRUE,E549=""),"",INDEX(EUwideConstants!$N:$N,MATCH(T564,EUwideConstants!$Q:$Q,0)))</f>
        <v/>
      </c>
      <c r="Z564" s="546" t="str">
        <f>IF(ISBLANK(F564),"",IF(F564=EUconst_NA,"",INDEX(EUwideConstants!$H:$M,MATCH(T564,EUwideConstants!$Q:$Q,0),MATCH(F564,CNTR_TierList,0))))</f>
        <v/>
      </c>
      <c r="AA564" s="580" t="str">
        <f>IF(COUNTIF(EUconst_DefaultValues,Z564)&gt;0,MATCH(Z564,EUconst_DefaultValues,0),"")</f>
        <v/>
      </c>
      <c r="AB564" s="30"/>
      <c r="AC564" s="548" t="b">
        <f>AND(AC558,Y564&lt;&gt;EUconst_NA)</f>
        <v>0</v>
      </c>
      <c r="AD564" s="30"/>
      <c r="AE564" s="549" t="str">
        <f>EUconst_CNTR_CarbonContent&amp;EUconst_Unit</f>
        <v>CarbC_Vienetas</v>
      </c>
      <c r="AF564" s="550" t="str">
        <f>IF(AC564=TRUE, IF(COUNTIF(MSPara_SourceStreamCategory,V564)=0,"",INDEX(MSPara_CalcFactorsMatrix,MATCH(V564,MSPara_SourceStreamCategory,0),MATCH(AE564&amp;"_"&amp;2,MSPara_CalcFactors,0))),"")</f>
        <v/>
      </c>
      <c r="AG564" s="551" t="str">
        <f>IF(AC564=TRUE, IF(COUNTIF(MSPara_SourceStreamCategory,V564)=0,"",INDEX(MSPara_CalcFactorsMatrix,MATCH(V564,MSPara_SourceStreamCategory,0),MATCH(AE564&amp;"_"&amp;1,MSPara_CalcFactors,0))),"")</f>
        <v/>
      </c>
      <c r="AH564" s="581" t="str">
        <f>IF(AA564="","",INDEX(AF564:AG564,3-AA564))</f>
        <v/>
      </c>
      <c r="AI564" s="565"/>
      <c r="AJ564" s="582" t="str">
        <f>IF(AC564=TRUE,IF(AJ558="","",IF(AJ558=EUconst_kNm3,EUconst_tCpkNm3,EUconst_tCpt)),"")</f>
        <v/>
      </c>
      <c r="AK564" s="566"/>
      <c r="AL564" s="333"/>
      <c r="AM564" s="549" t="str">
        <f>EUconst_CNTR_CarbonContent&amp;EUconst_Value</f>
        <v>CarbC_Vertė</v>
      </c>
      <c r="AN564" s="555" t="str">
        <f>IF(AC564=TRUE,IF(COUNTIF(MSPara_SourceStreamCategory,V564)=0,"",INDEX(MSPara_CalcFactorsMatrix,MATCH(V564,MSPara_SourceStreamCategory,0),MATCH(AM564&amp;"_"&amp;2,MSPara_CalcFactors,0))),"")</f>
        <v/>
      </c>
      <c r="AO564" s="583" t="str">
        <f>IF(AC564=TRUE,IF(COUNTIF(MSPara_SourceStreamCategory,V564)=0,"",INDEX(MSPara_CalcFactorsMatrix,MATCH(V564,MSPara_SourceStreamCategory,0),MATCH(AM564&amp;"_"&amp;1,MSPara_CalcFactors,0))),"")</f>
        <v/>
      </c>
      <c r="AP564" s="548" t="b">
        <f>AND(AND(AH564&lt;&gt;"",AJ564&lt;&gt;""),AJ564=AH564)</f>
        <v>0</v>
      </c>
      <c r="AQ564" s="584" t="str">
        <f>IF(AND(AA564&lt;&gt;"",AP564=TRUE),IF(OR(INDEX(AN564:AO564,3-AA564)=EUconst_NA,INDEX(AN564:AO564,3-AA564)=0),"",INDEX(AN564:AO564,3-AA564)),"")</f>
        <v/>
      </c>
      <c r="AR564" s="548">
        <f>IF(AC564=TRUE,IF(COUNT(K564:L564)=0,0,IF(L564="",K564,L564)),0)</f>
        <v>0</v>
      </c>
      <c r="AS564" s="544" t="b">
        <f>AND(AC564=TRUE,OR(AND(F564&lt;&gt;"",NOT(ISNUMBER(AA564))),L564&lt;&gt;"",F564="",AQ564=""))</f>
        <v>0</v>
      </c>
      <c r="AT564" s="544" t="b">
        <f t="shared" si="128"/>
        <v>0</v>
      </c>
      <c r="AU564" s="30"/>
      <c r="AV564" s="558" t="b">
        <f t="shared" si="129"/>
        <v>0</v>
      </c>
      <c r="AW564" s="559" t="b">
        <f t="shared" si="130"/>
        <v>0</v>
      </c>
      <c r="AX564" s="537" t="b">
        <f>OR(AND(AJ558=EUconst_kNm3,AJ564=EUconst_tCpt),AND(AJ558=EUconst_t,AJ564=EUconst_tCpkNm3))</f>
        <v>0</v>
      </c>
      <c r="AY564" s="544" t="b">
        <f t="shared" si="131"/>
        <v>0</v>
      </c>
      <c r="AZ564" s="30"/>
      <c r="BA564" s="30"/>
      <c r="BB564" s="569" t="s">
        <v>482</v>
      </c>
      <c r="BC564" s="570">
        <f>AR558*AR561/1000*AR565</f>
        <v>0</v>
      </c>
      <c r="BD564" s="571">
        <f>BC564</f>
        <v>0</v>
      </c>
      <c r="BE564" s="572">
        <f>BC564</f>
        <v>0</v>
      </c>
      <c r="BF564" s="30"/>
      <c r="BG564" s="30"/>
      <c r="BH564" s="30"/>
      <c r="BI564" s="30"/>
      <c r="BJ564" s="30"/>
      <c r="BK564" s="30"/>
      <c r="BL564" s="30"/>
      <c r="BM564" s="30"/>
      <c r="BN564" s="30"/>
      <c r="BO564" s="30"/>
      <c r="BP564" s="30"/>
      <c r="BQ564" s="30"/>
      <c r="BR564" s="30"/>
      <c r="BS564" s="30"/>
      <c r="BT564" s="30"/>
      <c r="BU564" s="30"/>
      <c r="BV564" s="30"/>
      <c r="BW564" s="30"/>
      <c r="BX564" s="30"/>
      <c r="BY564" s="30"/>
      <c r="BZ564" s="544" t="b">
        <f>OR(BZ558,Y564=EUconst_NA)</f>
        <v>1</v>
      </c>
    </row>
    <row r="565" spans="1:78" s="140" customFormat="1" ht="12.75" customHeight="1" x14ac:dyDescent="0.2">
      <c r="A565" s="777"/>
      <c r="B565" s="1248"/>
      <c r="C565" s="753" t="s">
        <v>325</v>
      </c>
      <c r="D565" s="503" t="str">
        <f>Translations!$B$641</f>
        <v>Biomasės dalis (BioC):</v>
      </c>
      <c r="E565" s="504"/>
      <c r="F565" s="539"/>
      <c r="G565" s="1603" t="str">
        <f t="shared" si="126"/>
        <v/>
      </c>
      <c r="H565" s="1604"/>
      <c r="I565" s="1113" t="str">
        <f>IF(OR(AC565=FALSE,Y565=EUconst_NA),"","-")</f>
        <v/>
      </c>
      <c r="J565" s="560"/>
      <c r="K565" s="561" t="str">
        <f t="shared" si="127"/>
        <v/>
      </c>
      <c r="L565" s="694"/>
      <c r="M565" s="700" t="str">
        <f>IF(AND(E549&lt;&gt;"",OR(F565="",COUNT(K565:L565)=0),Y565&lt;&gt;EUconst_NA,T549&lt;&gt;TRUE),EUconst_ERR_Incomplete,IF(COUNTIF(AX565:AZ565,TRUE)&gt;0,EUconst_ERR_Inconsistent,""))</f>
        <v/>
      </c>
      <c r="O565" s="1305"/>
      <c r="P565" s="635"/>
      <c r="Q565" s="635"/>
      <c r="R565" s="635"/>
      <c r="S565" s="30"/>
      <c r="T565" s="543" t="str">
        <f>EUconst_CNTR_BiomassContent&amp;E549</f>
        <v>BioC_</v>
      </c>
      <c r="U565" s="488"/>
      <c r="V565" s="585" t="str">
        <f t="shared" si="132"/>
        <v/>
      </c>
      <c r="W565" s="522" t="str">
        <f>IF(COUNTIF(MSPara_SourceStreamCategory,V565)=0,"",INDEX(MSPara_IsFossil,MATCH(V565,MSPara_SourceStreamCategory,0)))</f>
        <v/>
      </c>
      <c r="X565" s="488"/>
      <c r="Y565" s="545" t="str">
        <f>IF(OR(T549=TRUE,E549=""),"",IF(OR(W565=TRUE,F565=EUconst_NA),EUconst_NA,INDEX(EUwideConstants!$N:$N,MATCH(T565,EUwideConstants!$Q:$Q,0))))</f>
        <v/>
      </c>
      <c r="Z565" s="546" t="str">
        <f>IF(ISBLANK(F565),"",IF(F565=EUconst_NA,"",INDEX(EUwideConstants!$H:$M,MATCH(T565,EUwideConstants!$Q:$Q,0),MATCH(F565,CNTR_TierList,0))))</f>
        <v/>
      </c>
      <c r="AA565" s="586" t="str">
        <f>IF(F565=1,1,"")</f>
        <v/>
      </c>
      <c r="AB565" s="30"/>
      <c r="AC565" s="548" t="b">
        <f>AND(AC558,Y565&lt;&gt;EUconst_NA)</f>
        <v>0</v>
      </c>
      <c r="AD565" s="30"/>
      <c r="AE565" s="563"/>
      <c r="AG565" s="564"/>
      <c r="AH565" s="553"/>
      <c r="AI565" s="565"/>
      <c r="AJ565" s="553"/>
      <c r="AK565" s="566"/>
      <c r="AL565" s="333"/>
      <c r="AM565" s="549" t="str">
        <f>EUconst_CNTR_BiomassContent&amp;EUconst_Value</f>
        <v>BioC_Vertė</v>
      </c>
      <c r="AO565" s="587" t="str">
        <f>IF(AC565=TRUE,IF(COUNTIF(MSPara_SourceStreamCategory,V565)=0,"",INDEX(MSPara_CalcFactorsMatrix,MATCH(V565,MSPara_SourceStreamCategory,0),MATCH(AM565&amp;"_"&amp;2,MSPara_CalcFactors,0))),"")</f>
        <v/>
      </c>
      <c r="AP565" s="553"/>
      <c r="AQ565" s="568" t="str">
        <f>IF(OR(AA565="",AO565=EUconst_NA),"",AO565)</f>
        <v/>
      </c>
      <c r="AR565" s="548">
        <f>IF(AC565=TRUE,IF(COUNT(K565:L565)=0,0,IF(L565="",K565,L565)),0)</f>
        <v>0</v>
      </c>
      <c r="AS565" s="544" t="b">
        <f>AND(AC565=TRUE,OR(AND(F565&lt;&gt;"",NOT(ISNUMBER(AA565))),L565&lt;&gt;"",F565="",AQ565=""))</f>
        <v>0</v>
      </c>
      <c r="AT565" s="544" t="b">
        <f t="shared" si="128"/>
        <v>0</v>
      </c>
      <c r="AU565" s="30"/>
      <c r="AV565" s="558" t="b">
        <f t="shared" si="129"/>
        <v>0</v>
      </c>
      <c r="AW565" s="559" t="b">
        <f t="shared" si="130"/>
        <v>0</v>
      </c>
      <c r="AX565" s="30"/>
      <c r="AY565" s="585" t="b">
        <f t="shared" si="131"/>
        <v>0</v>
      </c>
      <c r="AZ565" s="522" t="b">
        <f>OR(AR565&gt;100%,(AR565+AR566)&gt;100%)</f>
        <v>0</v>
      </c>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544" t="b">
        <f>OR(BZ558,Y565=EUconst_NA)</f>
        <v>1</v>
      </c>
    </row>
    <row r="566" spans="1:78" s="140" customFormat="1" ht="12.75" customHeight="1" thickBot="1" x14ac:dyDescent="0.25">
      <c r="A566" s="777"/>
      <c r="B566" s="1248"/>
      <c r="C566" s="753" t="s">
        <v>448</v>
      </c>
      <c r="D566" s="503" t="str">
        <f>Translations!$B$647</f>
        <v>Netvarios BioC dalis:</v>
      </c>
      <c r="E566" s="504"/>
      <c r="F566" s="588"/>
      <c r="G566" s="1603" t="str">
        <f t="shared" si="126"/>
        <v/>
      </c>
      <c r="H566" s="1604"/>
      <c r="I566" s="1114" t="str">
        <f>IF(OR(AC566=FALSE,Y566=EUconst_NA),"","-")</f>
        <v/>
      </c>
      <c r="J566" s="560"/>
      <c r="K566" s="589" t="str">
        <f t="shared" si="127"/>
        <v/>
      </c>
      <c r="L566" s="1100"/>
      <c r="M566" s="700" t="str">
        <f>IF(AND(E549&lt;&gt;"",OR(F566="",COUNT(K566:L566)=0),Y566&lt;&gt;EUconst_NA,T549&lt;&gt;TRUE),EUconst_ERR_Incomplete,IF(COUNTIF(AX566:AZ566,TRUE)&gt;0,EUconst_ERR_Inconsistent,""))</f>
        <v/>
      </c>
      <c r="O566" s="1305"/>
      <c r="P566" s="635"/>
      <c r="Q566" s="635"/>
      <c r="R566" s="635"/>
      <c r="S566" s="30"/>
      <c r="T566" s="590" t="str">
        <f>EUconst_CNTR_BiomassContent&amp;E549</f>
        <v>BioC_</v>
      </c>
      <c r="U566" s="488"/>
      <c r="V566" s="570" t="str">
        <f t="shared" si="132"/>
        <v/>
      </c>
      <c r="W566" s="571" t="str">
        <f>IF(COUNTIF(MSPara_SourceStreamCategory,V566)=0,"",INDEX(MSPara_IsFossil,MATCH(V566,MSPara_SourceStreamCategory,0)))</f>
        <v/>
      </c>
      <c r="X566" s="488"/>
      <c r="Y566" s="591" t="str">
        <f>IF(OR(T549=TRUE,E549=""),"",IF(OR(W566=TRUE,F566=EUconst_NA),EUconst_NA,INDEX(EUwideConstants!$N:$N,MATCH(T566,EUwideConstants!$Q:$Q,0))))</f>
        <v/>
      </c>
      <c r="Z566" s="592" t="str">
        <f>IF(ISBLANK(F566),"",IF(F566=EUconst_NA,"",INDEX(EUwideConstants!$H:$M,MATCH(T566,EUwideConstants!$Q:$Q,0),MATCH(F566,CNTR_TierList,0))))</f>
        <v/>
      </c>
      <c r="AA566" s="593" t="str">
        <f>IF(F566=1,1,"")</f>
        <v/>
      </c>
      <c r="AB566" s="30"/>
      <c r="AC566" s="594" t="b">
        <f>AND(AC558,Y566&lt;&gt;EUconst_NA)</f>
        <v>0</v>
      </c>
      <c r="AD566" s="30"/>
      <c r="AE566" s="595"/>
      <c r="AF566" s="596"/>
      <c r="AG566" s="597"/>
      <c r="AH566" s="598"/>
      <c r="AI566" s="598"/>
      <c r="AJ566" s="598"/>
      <c r="AK566" s="599"/>
      <c r="AL566" s="333"/>
      <c r="AM566" s="600" t="str">
        <f>EUconst_CNTR_BiomassContent&amp;EUconst_Value</f>
        <v>BioC_Vertė</v>
      </c>
      <c r="AN566" s="596"/>
      <c r="AO566" s="601" t="str">
        <f>IF(AC566=TRUE,IF(COUNTIF(MSPara_SourceStreamCategory,V566)=0,"",INDEX(MSPara_CalcFactorsMatrix,MATCH(V566,MSPara_SourceStreamCategory,0),MATCH(AM566&amp;"_"&amp;2,MSPara_CalcFactors,0))),"")</f>
        <v/>
      </c>
      <c r="AP566" s="598"/>
      <c r="AQ566" s="602" t="str">
        <f>IF(OR(AA566="",AO566=EUconst_NA),"",AO566)</f>
        <v/>
      </c>
      <c r="AR566" s="594">
        <f>IF(AC566=TRUE,IF(COUNT(K566:L566)=0,0,IF(L566="",K566,L566)),0)</f>
        <v>0</v>
      </c>
      <c r="AS566" s="603" t="b">
        <f>AND(AC566=TRUE,OR(AND(F566&lt;&gt;"",NOT(ISNUMBER(AA566))),L566&lt;&gt;"",F566="",AQ566=""))</f>
        <v>0</v>
      </c>
      <c r="AT566" s="603" t="b">
        <f t="shared" si="128"/>
        <v>0</v>
      </c>
      <c r="AU566" s="30"/>
      <c r="AV566" s="604" t="b">
        <f t="shared" si="129"/>
        <v>0</v>
      </c>
      <c r="AW566" s="605" t="b">
        <f t="shared" si="130"/>
        <v>0</v>
      </c>
      <c r="AX566" s="30"/>
      <c r="AY566" s="570" t="b">
        <f t="shared" si="131"/>
        <v>0</v>
      </c>
      <c r="AZ566" s="571" t="b">
        <f>OR(AR565&gt;100%,(AR565+AR566)&gt;100%)</f>
        <v>0</v>
      </c>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571" t="b">
        <f>OR(BZ558,Y566=EUconst_NA)</f>
        <v>1</v>
      </c>
    </row>
    <row r="567" spans="1:78" s="140" customFormat="1" ht="5.0999999999999996" customHeight="1" x14ac:dyDescent="0.2">
      <c r="A567" s="777"/>
      <c r="B567" s="1248"/>
      <c r="C567" s="164"/>
      <c r="D567" s="178"/>
      <c r="O567" s="1305"/>
      <c r="P567" s="33"/>
      <c r="Q567" s="33"/>
      <c r="R567" s="33"/>
      <c r="S567" s="172"/>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row>
    <row r="568" spans="1:78" s="140" customFormat="1" ht="12.75" customHeight="1" x14ac:dyDescent="0.2">
      <c r="A568" s="777"/>
      <c r="B568" s="1248"/>
      <c r="C568" s="164"/>
      <c r="D568" s="1629" t="str">
        <f>Translations!$B$674</f>
        <v>Pakopos galioja nuo:</v>
      </c>
      <c r="E568" s="1629"/>
      <c r="F568" s="1630"/>
      <c r="G568" s="1014"/>
      <c r="H568" s="606" t="str">
        <f>Translations!$B$675</f>
        <v>iki:</v>
      </c>
      <c r="I568" s="1014"/>
      <c r="J568" s="1620" t="str">
        <f>Translations!$B$676</f>
        <v>Atliekų katalogo numeris (jeigu taikytina):</v>
      </c>
      <c r="K568" s="1621"/>
      <c r="L568" s="1621"/>
      <c r="M568" s="1622"/>
      <c r="N568" s="1232"/>
      <c r="O568" s="1305"/>
      <c r="P568" s="33"/>
      <c r="Q568" s="33"/>
      <c r="R568" s="33"/>
      <c r="S568" s="1233"/>
      <c r="T568" s="483"/>
      <c r="U568" s="483"/>
      <c r="V568" s="48" t="b">
        <f>IF(V558="",FALSE,INDEX(CNTR_IsWaste,MATCH(V558,MSParameters!$A$218:$A$376,0)))</f>
        <v>0</v>
      </c>
      <c r="W568" s="1233" t="s">
        <v>1689</v>
      </c>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2" t="b">
        <f>BZ558</f>
        <v>1</v>
      </c>
    </row>
    <row r="569" spans="1:78" s="140" customFormat="1" ht="5.0999999999999996" customHeight="1" x14ac:dyDescent="0.2">
      <c r="A569" s="777"/>
      <c r="B569" s="1248"/>
      <c r="C569" s="164"/>
      <c r="D569" s="606"/>
      <c r="E569" s="486"/>
      <c r="F569" s="486"/>
      <c r="G569" s="486"/>
      <c r="H569" s="486"/>
      <c r="I569" s="486"/>
      <c r="J569" s="486"/>
      <c r="K569" s="486"/>
      <c r="L569" s="486"/>
      <c r="M569" s="486"/>
      <c r="N569" s="486"/>
      <c r="O569" s="1305"/>
      <c r="P569" s="33"/>
      <c r="Q569" s="33"/>
      <c r="R569" s="33"/>
      <c r="S569" s="172"/>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row>
    <row r="570" spans="1:78" s="140" customFormat="1" ht="12.75" customHeight="1" x14ac:dyDescent="0.2">
      <c r="A570" s="777"/>
      <c r="B570" s="1248"/>
      <c r="C570" s="164"/>
      <c r="D570" s="486"/>
      <c r="E570" s="486"/>
      <c r="F570" s="486"/>
      <c r="G570" s="486"/>
      <c r="H570" s="486"/>
      <c r="I570" s="486"/>
      <c r="J570" s="486"/>
      <c r="K570" s="486"/>
      <c r="L570" s="486"/>
      <c r="M570" s="606" t="str">
        <f>Translations!$B$677</f>
        <v>Stebėsenos plane šiam sukėlikliui suteiktas identifikatorius:</v>
      </c>
      <c r="N570" s="705"/>
      <c r="O570" s="1305"/>
      <c r="P570" s="33"/>
      <c r="Q570" s="33"/>
      <c r="R570" s="33"/>
      <c r="S570" s="172"/>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2" t="b">
        <f>BZ568</f>
        <v>1</v>
      </c>
    </row>
    <row r="571" spans="1:78" s="140" customFormat="1" ht="5.0999999999999996" customHeight="1" x14ac:dyDescent="0.2">
      <c r="A571" s="784"/>
      <c r="B571" s="1316"/>
      <c r="D571" s="178"/>
      <c r="O571" s="1317"/>
      <c r="P571" s="488"/>
      <c r="Q571" s="488"/>
      <c r="R571" s="488"/>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row>
    <row r="572" spans="1:78" s="140" customFormat="1" x14ac:dyDescent="0.2">
      <c r="A572" s="784"/>
      <c r="B572" s="1316"/>
      <c r="D572" s="1618" t="str">
        <f>Translations!$B$160</f>
        <v>Pastabos:</v>
      </c>
      <c r="E572" s="1619"/>
      <c r="F572" s="1605"/>
      <c r="G572" s="1606"/>
      <c r="H572" s="1606"/>
      <c r="I572" s="1606"/>
      <c r="J572" s="1606"/>
      <c r="K572" s="1606"/>
      <c r="L572" s="1606"/>
      <c r="M572" s="1606"/>
      <c r="N572" s="1607"/>
      <c r="O572" s="1317"/>
      <c r="P572" s="488"/>
      <c r="Q572" s="488"/>
      <c r="R572" s="488"/>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2" t="b">
        <f>BZ568</f>
        <v>1</v>
      </c>
    </row>
    <row r="573" spans="1:78" s="28" customFormat="1" ht="12.75" customHeight="1" thickBot="1" x14ac:dyDescent="0.25">
      <c r="A573" s="777"/>
      <c r="B573" s="1312"/>
      <c r="C573" s="490"/>
      <c r="D573" s="491"/>
      <c r="E573" s="492"/>
      <c r="F573" s="490"/>
      <c r="G573" s="493"/>
      <c r="H573" s="493"/>
      <c r="I573" s="493"/>
      <c r="J573" s="493"/>
      <c r="K573" s="493"/>
      <c r="L573" s="493"/>
      <c r="M573" s="493"/>
      <c r="N573" s="493"/>
      <c r="O573" s="1313"/>
      <c r="P573" s="485"/>
      <c r="Q573" s="485"/>
      <c r="R573" s="485"/>
      <c r="S573" s="58"/>
      <c r="T573" s="58"/>
      <c r="U573" s="489"/>
      <c r="V573" s="58"/>
      <c r="W573" s="58"/>
      <c r="X573" s="489"/>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30"/>
      <c r="BJ573" s="30"/>
      <c r="BK573" s="30"/>
      <c r="BL573" s="58"/>
      <c r="BM573" s="58"/>
      <c r="BN573" s="58"/>
      <c r="BO573" s="58"/>
      <c r="BP573" s="58"/>
      <c r="BQ573" s="58"/>
      <c r="BR573" s="58"/>
      <c r="BS573" s="58"/>
      <c r="BT573" s="58"/>
      <c r="BU573" s="58"/>
      <c r="BV573" s="58"/>
      <c r="BW573" s="58"/>
      <c r="BX573" s="58"/>
      <c r="BY573" s="58"/>
      <c r="BZ573" s="58"/>
    </row>
    <row r="574" spans="1:78" s="28" customFormat="1" ht="12.75" customHeight="1" thickBot="1" x14ac:dyDescent="0.25">
      <c r="A574" s="782"/>
      <c r="B574" s="1312"/>
      <c r="C574" s="486"/>
      <c r="D574" s="178"/>
      <c r="E574" s="487"/>
      <c r="F574" s="486"/>
      <c r="G574" s="478"/>
      <c r="H574" s="478"/>
      <c r="I574" s="478"/>
      <c r="J574" s="478"/>
      <c r="K574" s="486"/>
      <c r="L574" s="478"/>
      <c r="M574" s="478"/>
      <c r="N574" s="478"/>
      <c r="O574" s="1313"/>
      <c r="P574" s="485"/>
      <c r="Q574" s="485"/>
      <c r="R574" s="485"/>
      <c r="S574" s="23"/>
      <c r="T574" s="27" t="str">
        <f>IF(ISBLANK(E575),"",MATCH(E575,CNTR_SourceStreamNames,0))</f>
        <v/>
      </c>
      <c r="U574" s="609" t="str">
        <f>IF(ISBLANK(E575),"",INDEX(B_InstallationDescription!$D$71:$D$145,MATCH(E575,CNTR_SourceStreamNames,0)))</f>
        <v/>
      </c>
      <c r="V574" s="76"/>
      <c r="W574" s="56"/>
      <c r="X574" s="56"/>
      <c r="Y574" s="56"/>
      <c r="Z574" s="58"/>
      <c r="AA574" s="58"/>
      <c r="AB574" s="58"/>
      <c r="AC574" s="58"/>
      <c r="AD574" s="58"/>
      <c r="AE574" s="58"/>
      <c r="AF574" s="58"/>
      <c r="AG574" s="58"/>
      <c r="AH574" s="58"/>
      <c r="AI574" s="58"/>
      <c r="AJ574" s="58"/>
      <c r="AK574" s="482"/>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6"/>
      <c r="BI574" s="56"/>
      <c r="BJ574" s="56"/>
      <c r="BK574" s="56"/>
      <c r="BL574" s="56"/>
      <c r="BM574" s="56"/>
      <c r="BN574" s="56"/>
      <c r="BO574" s="56"/>
      <c r="BP574" s="56"/>
      <c r="BQ574" s="56"/>
      <c r="BR574" s="56"/>
      <c r="BS574" s="56"/>
      <c r="BT574" s="56"/>
      <c r="BU574" s="56"/>
      <c r="BV574" s="56"/>
      <c r="BW574" s="56"/>
      <c r="BX574" s="56"/>
      <c r="BY574" s="56"/>
      <c r="BZ574" s="484" t="s">
        <v>259</v>
      </c>
    </row>
    <row r="575" spans="1:78" s="140" customFormat="1" ht="15" customHeight="1" thickBot="1" x14ac:dyDescent="0.25">
      <c r="A575" s="1302" t="str">
        <f>IF(E575="","","PRINT")</f>
        <v/>
      </c>
      <c r="B575" s="1248"/>
      <c r="C575" s="608">
        <f>C548+1</f>
        <v>20</v>
      </c>
      <c r="D575" s="164"/>
      <c r="E575" s="1610"/>
      <c r="F575" s="1611"/>
      <c r="G575" s="1611"/>
      <c r="H575" s="1611"/>
      <c r="I575" s="1611"/>
      <c r="J575" s="1612"/>
      <c r="K575" s="1623" t="str">
        <f>IF(E576="","",INDEX(EUwideConstants!$F$353:$F$394,MATCH(E576,EUConst_TierActivityListNames,0)))</f>
        <v/>
      </c>
      <c r="L575" s="1624"/>
      <c r="M575" s="494" t="str">
        <f>Translations!$B$665</f>
        <v>CO2, iškastinio kuro kilmės:</v>
      </c>
      <c r="N575" s="1012" t="str">
        <f>IF(OR(K575="",T576=TRUE),"",INDEX(BC589:BE589,MATCH(K575,BC585:BE585,0)))</f>
        <v/>
      </c>
      <c r="O575" s="1314" t="s">
        <v>257</v>
      </c>
      <c r="P575" s="1303" t="str">
        <f>IF(AND(E575&lt;&gt;"",COUNTIF(P576:$P$2089,"PRINT")=0),"PRINT","")</f>
        <v/>
      </c>
      <c r="Q575" s="343" t="str">
        <f>EUconst_SumCO2 &amp; "_" &amp; K575</f>
        <v>SUM_CO2_</v>
      </c>
      <c r="R575" s="485"/>
      <c r="S575" s="23"/>
      <c r="T575" s="500" t="s">
        <v>387</v>
      </c>
      <c r="U575" s="23"/>
      <c r="V575" s="76"/>
      <c r="W575" s="56"/>
      <c r="X575" s="58"/>
      <c r="Y575" s="58"/>
      <c r="Z575" s="58"/>
      <c r="AA575" s="58"/>
      <c r="AB575" s="58"/>
      <c r="AC575" s="58"/>
      <c r="AD575" s="58"/>
      <c r="AE575" s="58"/>
      <c r="AF575" s="58"/>
      <c r="AG575" s="58"/>
      <c r="AH575" s="58"/>
      <c r="AI575" s="333"/>
      <c r="AJ575" s="333"/>
      <c r="AK575" s="333"/>
      <c r="AL575" s="333"/>
      <c r="AM575" s="333"/>
      <c r="AN575" s="333"/>
      <c r="AO575" s="333"/>
      <c r="AP575" s="333"/>
      <c r="AQ575" s="333"/>
      <c r="AR575" s="333"/>
      <c r="AS575" s="333"/>
      <c r="AT575" s="333"/>
      <c r="AU575" s="333"/>
      <c r="AV575" s="333"/>
      <c r="AW575" s="333"/>
      <c r="AX575" s="333"/>
      <c r="AY575" s="333"/>
      <c r="AZ575" s="333"/>
      <c r="BA575" s="333"/>
      <c r="BB575" s="333"/>
      <c r="BC575" s="333"/>
      <c r="BD575" s="333"/>
      <c r="BE575" s="333"/>
      <c r="BF575" s="333"/>
      <c r="BG575" s="333"/>
      <c r="BH575" s="834">
        <f>AR585</f>
        <v>0</v>
      </c>
      <c r="BI575" s="834" t="str">
        <f>AJ585</f>
        <v/>
      </c>
      <c r="BJ575" s="834">
        <f>AR587</f>
        <v>0</v>
      </c>
      <c r="BK575" s="834" t="str">
        <f>AJ587</f>
        <v/>
      </c>
      <c r="BL575" s="834">
        <f>AR588</f>
        <v>0</v>
      </c>
      <c r="BM575" s="834" t="str">
        <f>AJ588</f>
        <v/>
      </c>
      <c r="BN575" s="834">
        <f>AR589</f>
        <v>1</v>
      </c>
      <c r="BO575" s="834">
        <f>AR590</f>
        <v>1</v>
      </c>
      <c r="BP575" s="834">
        <f>AR591</f>
        <v>0</v>
      </c>
      <c r="BQ575" s="834" t="str">
        <f>AJ591</f>
        <v/>
      </c>
      <c r="BR575" s="834">
        <f>AR592</f>
        <v>0</v>
      </c>
      <c r="BS575" s="834">
        <f>AR593</f>
        <v>0</v>
      </c>
      <c r="BT575" s="834" t="str">
        <f>N575</f>
        <v/>
      </c>
      <c r="BU575" s="834" t="str">
        <f>N576</f>
        <v/>
      </c>
      <c r="BV575" s="834" t="str">
        <f>R578</f>
        <v/>
      </c>
      <c r="BW575" s="834" t="str">
        <f>R584</f>
        <v/>
      </c>
      <c r="BX575" s="834" t="str">
        <f>R585</f>
        <v/>
      </c>
      <c r="BY575" s="56"/>
      <c r="BZ575" s="610" t="b">
        <f>CNTR_CalcRelevant=EUconst_NotRelevant</f>
        <v>0</v>
      </c>
    </row>
    <row r="576" spans="1:78" s="140" customFormat="1" ht="15" customHeight="1" thickBot="1" x14ac:dyDescent="0.25">
      <c r="A576" s="777"/>
      <c r="B576" s="1248"/>
      <c r="C576" s="164"/>
      <c r="D576" s="164"/>
      <c r="E576" s="1625" t="str">
        <f>IF(ISBLANK(E575),"",IF(INDEX(B_InstallationDescription!$E$71:$E$145,MATCH(U574,B_InstallationDescription!$D$71:$D$145,0))&gt;0,INDEX(B_InstallationDescription!$E$71:$E$145,MATCH(U574,B_InstallationDescription!$D$71:$D$145,0)),""))</f>
        <v/>
      </c>
      <c r="F576" s="1626"/>
      <c r="G576" s="1626"/>
      <c r="H576" s="1626"/>
      <c r="I576" s="1626"/>
      <c r="J576" s="1627"/>
      <c r="M576" s="337" t="str">
        <f>Translations!$B$666</f>
        <v>CO2, biomasės kilmės.:</v>
      </c>
      <c r="N576" s="1013" t="str">
        <f>IF(OR(K575="",T576=TRUE),"",INDEX(BC588:BE588,MATCH(K575,BC585:BE585,0)))</f>
        <v/>
      </c>
      <c r="O576" s="1315" t="s">
        <v>257</v>
      </c>
      <c r="P576" s="485"/>
      <c r="Q576" s="343" t="str">
        <f>EUconst_SumBioCO2 &amp; "_" &amp; K575</f>
        <v>SUM_bioCO2_</v>
      </c>
      <c r="R576" s="485"/>
      <c r="S576" s="23"/>
      <c r="T576" s="48" t="str">
        <f>IF(E576="","",MATCH(E576,EUConst_TierActivityListNames,0)&gt;40)</f>
        <v/>
      </c>
      <c r="U576" s="23"/>
      <c r="V576" s="76"/>
      <c r="W576" s="56"/>
      <c r="X576" s="58"/>
      <c r="Y576" s="27" t="s">
        <v>91</v>
      </c>
      <c r="Z576" s="30"/>
      <c r="AA576" s="30"/>
      <c r="AB576" s="30"/>
      <c r="AC576" s="30"/>
      <c r="AD576" s="30"/>
      <c r="AE576" s="27" t="s">
        <v>297</v>
      </c>
      <c r="AF576" s="58"/>
      <c r="AG576" s="495"/>
      <c r="AH576" s="30"/>
      <c r="AI576" s="30"/>
      <c r="AJ576" s="495"/>
      <c r="AK576" s="495"/>
      <c r="AL576" s="333"/>
      <c r="AM576" s="27" t="s">
        <v>303</v>
      </c>
      <c r="AN576" s="496"/>
      <c r="AO576" s="496"/>
      <c r="AP576" s="30"/>
      <c r="AQ576" s="30"/>
      <c r="AR576" s="30"/>
      <c r="AS576" s="30"/>
      <c r="AT576" s="30"/>
      <c r="AU576" s="30"/>
      <c r="AV576" s="27" t="s">
        <v>310</v>
      </c>
      <c r="AW576" s="30"/>
      <c r="AX576" s="483"/>
      <c r="AY576" s="30"/>
      <c r="AZ576" s="30"/>
      <c r="BA576" s="30"/>
      <c r="BB576" s="27" t="s">
        <v>217</v>
      </c>
      <c r="BC576" s="30"/>
      <c r="BD576" s="30"/>
      <c r="BE576" s="30"/>
      <c r="BF576" s="30"/>
      <c r="BG576" s="27" t="s">
        <v>486</v>
      </c>
      <c r="BH576" s="833" t="s">
        <v>552</v>
      </c>
      <c r="BI576" s="833" t="s">
        <v>487</v>
      </c>
      <c r="BJ576" s="833" t="s">
        <v>211</v>
      </c>
      <c r="BK576" s="833" t="s">
        <v>488</v>
      </c>
      <c r="BL576" s="833" t="s">
        <v>68</v>
      </c>
      <c r="BM576" s="833" t="s">
        <v>489</v>
      </c>
      <c r="BN576" s="833" t="s">
        <v>490</v>
      </c>
      <c r="BO576" s="833" t="s">
        <v>491</v>
      </c>
      <c r="BP576" s="833" t="s">
        <v>214</v>
      </c>
      <c r="BQ576" s="833" t="s">
        <v>492</v>
      </c>
      <c r="BR576" s="833" t="s">
        <v>493</v>
      </c>
      <c r="BS576" s="833" t="s">
        <v>494</v>
      </c>
      <c r="BT576" s="833" t="s">
        <v>287</v>
      </c>
      <c r="BU576" s="833" t="s">
        <v>495</v>
      </c>
      <c r="BV576" s="833" t="s">
        <v>498</v>
      </c>
      <c r="BW576" s="833" t="s">
        <v>496</v>
      </c>
      <c r="BX576" s="833" t="s">
        <v>497</v>
      </c>
      <c r="BY576" s="30"/>
      <c r="BZ576" s="30"/>
    </row>
    <row r="577" spans="1:78" s="140" customFormat="1" ht="5.0999999999999996" customHeight="1" thickBot="1" x14ac:dyDescent="0.25">
      <c r="A577" s="777"/>
      <c r="B577" s="1248"/>
      <c r="C577" s="164"/>
      <c r="D577" s="164"/>
      <c r="E577" s="164"/>
      <c r="F577" s="164"/>
      <c r="G577" s="164"/>
      <c r="M577" s="141"/>
      <c r="N577" s="141"/>
      <c r="O577" s="1305"/>
      <c r="P577" s="33"/>
      <c r="Q577" s="33"/>
      <c r="R577" s="33"/>
      <c r="S577" s="23"/>
      <c r="T577" s="23"/>
      <c r="U577" s="23"/>
      <c r="V577" s="76"/>
      <c r="W577" s="30"/>
      <c r="X577" s="30"/>
      <c r="Y577" s="485"/>
      <c r="Z577" s="30"/>
      <c r="AA577" s="30"/>
      <c r="AB577" s="30"/>
      <c r="AC577" s="30"/>
      <c r="AD577" s="30"/>
      <c r="AE577" s="30"/>
      <c r="AF577" s="58"/>
      <c r="AG577" s="30"/>
      <c r="AH577" s="30"/>
      <c r="AI577" s="30"/>
      <c r="AJ577" s="495"/>
      <c r="AK577" s="495"/>
      <c r="AL577" s="333"/>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row>
    <row r="578" spans="1:78" s="140" customFormat="1" ht="12.75" customHeight="1" thickBot="1" x14ac:dyDescent="0.25">
      <c r="A578" s="777"/>
      <c r="B578" s="1248"/>
      <c r="C578" s="164"/>
      <c r="D578" s="164"/>
      <c r="E578" s="1628" t="str">
        <f>IF(E575="","",IF(T576=TRUE,HYPERLINK("#JUMP_14",EUconst_MsgGoOnPFC),HYPERLINK("#JUMP_E_8",EUconst_FurtherGuidancePoint1)))</f>
        <v/>
      </c>
      <c r="F578" s="1628"/>
      <c r="G578" s="1628"/>
      <c r="H578" s="1628"/>
      <c r="I578" s="1628"/>
      <c r="J578" s="1628"/>
      <c r="K578" s="1628"/>
      <c r="L578" s="1628"/>
      <c r="M578" s="1628"/>
      <c r="N578" s="141"/>
      <c r="O578" s="1305"/>
      <c r="P578" s="33"/>
      <c r="Q578" s="343" t="str">
        <f>EUconst_SumNonSustBioCO2 &amp; "_" &amp; K575</f>
        <v>SUM_bioNonSustCO2_</v>
      </c>
      <c r="R578" s="698" t="str">
        <f>IF(OR(K575="",T576=TRUE),"",ROUND(INDEX(BC587:BE587,MATCH(K575,BC585:BE585,0)),0))</f>
        <v/>
      </c>
      <c r="S578" s="23"/>
      <c r="T578" s="23"/>
      <c r="U578" s="23"/>
      <c r="V578" s="30"/>
      <c r="W578" s="30"/>
      <c r="X578" s="30"/>
      <c r="Y578" s="58"/>
      <c r="Z578" s="30"/>
      <c r="AA578" s="30"/>
      <c r="AB578" s="30"/>
      <c r="AC578" s="30"/>
      <c r="AD578" s="30"/>
      <c r="AE578" s="30"/>
      <c r="AF578" s="58"/>
      <c r="AG578" s="30"/>
      <c r="AH578" s="30"/>
      <c r="AI578" s="30"/>
      <c r="AJ578" s="495"/>
      <c r="AK578" s="495"/>
      <c r="AL578" s="333"/>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row>
    <row r="579" spans="1:78" s="140" customFormat="1" ht="5.0999999999999996" customHeight="1" thickBot="1" x14ac:dyDescent="0.25">
      <c r="A579" s="777"/>
      <c r="B579" s="1248"/>
      <c r="C579" s="164"/>
      <c r="D579" s="164"/>
      <c r="E579" s="164"/>
      <c r="F579" s="164"/>
      <c r="G579" s="164"/>
      <c r="M579" s="141"/>
      <c r="N579" s="141"/>
      <c r="O579" s="1305"/>
      <c r="P579" s="23"/>
      <c r="Q579" s="23"/>
      <c r="R579" s="23"/>
      <c r="S579" s="23"/>
      <c r="T579" s="23"/>
      <c r="U579" s="23"/>
      <c r="V579" s="30"/>
      <c r="W579" s="30"/>
      <c r="X579" s="30"/>
      <c r="Y579" s="485"/>
      <c r="Z579" s="30"/>
      <c r="AA579" s="30"/>
      <c r="AB579" s="30"/>
      <c r="AC579" s="30"/>
      <c r="AD579" s="30"/>
      <c r="AE579" s="30"/>
      <c r="AF579" s="58"/>
      <c r="AG579" s="30"/>
      <c r="AH579" s="30"/>
      <c r="AI579" s="30"/>
      <c r="AJ579" s="495"/>
      <c r="AK579" s="495"/>
      <c r="AL579" s="333"/>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row>
    <row r="580" spans="1:78" s="140" customFormat="1" ht="12.75" customHeight="1" thickBot="1" x14ac:dyDescent="0.25">
      <c r="A580" s="777"/>
      <c r="B580" s="1248"/>
      <c r="C580" s="783" t="s">
        <v>4</v>
      </c>
      <c r="D580" s="503" t="str">
        <f>Translations!$B$622</f>
        <v>VD:</v>
      </c>
      <c r="E580" s="1631" t="str">
        <f>Translations!$B$667</f>
        <v>Ar veiklos duomenys gaunami sudedant išmatuotus kiekius (t. y. ne atliekant nuolatinius matavimus)?</v>
      </c>
      <c r="F580" s="1631"/>
      <c r="G580" s="1631"/>
      <c r="H580" s="1631"/>
      <c r="I580" s="1631"/>
      <c r="J580" s="1631"/>
      <c r="K580" s="1631"/>
      <c r="L580" s="1122"/>
      <c r="M580" s="498"/>
      <c r="O580" s="1305"/>
      <c r="P580" s="23"/>
      <c r="Q580" s="23"/>
      <c r="R580" s="23"/>
      <c r="S580" s="23"/>
      <c r="T580" s="23"/>
      <c r="U580" s="23"/>
      <c r="V580" s="30"/>
      <c r="W580" s="30"/>
      <c r="X580" s="30"/>
      <c r="Y580" s="485"/>
      <c r="Z580" s="30"/>
      <c r="AA580" s="30"/>
      <c r="AB580" s="30"/>
      <c r="AC580" s="1115" t="b">
        <f>AND(E575&lt;&gt;"",T576&lt;&gt;TRUE)</f>
        <v>0</v>
      </c>
      <c r="AD580" s="30"/>
      <c r="AE580" s="30"/>
      <c r="AF580" s="58"/>
      <c r="AG580" s="30"/>
      <c r="AH580" s="30"/>
      <c r="AI580" s="30"/>
      <c r="AJ580" s="495"/>
      <c r="AK580" s="495"/>
      <c r="AL580" s="333"/>
      <c r="AM580" s="30"/>
      <c r="AN580" s="30"/>
      <c r="AO580" s="30"/>
      <c r="AP580" s="30"/>
      <c r="AQ580" s="30"/>
      <c r="AR580" s="30"/>
      <c r="AS580" s="30"/>
      <c r="AT580" s="1115" t="b">
        <f>MSPara_BatchReportingMandatory&lt;&gt;TRUE</f>
        <v>0</v>
      </c>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1115" t="b">
        <f>OR(CNTR_CalcRelevant=EUconst_NotRelevant,AND(COUNTA(CNTR_ListRelevantSections)&gt;0,OR(T576=TRUE,E575="")))</f>
        <v>1</v>
      </c>
    </row>
    <row r="581" spans="1:78" s="140" customFormat="1" ht="5.0999999999999996" customHeight="1" thickBot="1" x14ac:dyDescent="0.25">
      <c r="A581" s="777"/>
      <c r="B581" s="1248"/>
      <c r="C581" s="164"/>
      <c r="D581" s="164"/>
      <c r="E581" s="164"/>
      <c r="F581" s="164"/>
      <c r="G581" s="164"/>
      <c r="H581" s="486"/>
      <c r="I581" s="486"/>
      <c r="J581" s="486"/>
      <c r="K581" s="486"/>
      <c r="L581" s="486"/>
      <c r="M581" s="498"/>
      <c r="O581" s="1305"/>
      <c r="P581" s="23"/>
      <c r="Q581" s="23"/>
      <c r="R581" s="23"/>
      <c r="S581" s="23"/>
      <c r="T581" s="23"/>
      <c r="U581" s="23"/>
      <c r="V581" s="30"/>
      <c r="W581" s="30"/>
      <c r="X581" s="30"/>
      <c r="Y581" s="485"/>
      <c r="Z581" s="30"/>
      <c r="AA581" s="30"/>
      <c r="AB581" s="30"/>
      <c r="AC581" s="483"/>
      <c r="AD581" s="30"/>
      <c r="AE581" s="30"/>
      <c r="AF581" s="58"/>
      <c r="AG581" s="30"/>
      <c r="AH581" s="30"/>
      <c r="AI581" s="30"/>
      <c r="AJ581" s="495"/>
      <c r="AK581" s="495"/>
      <c r="AL581" s="333"/>
      <c r="AM581" s="30"/>
      <c r="AN581" s="30"/>
      <c r="AO581" s="30"/>
      <c r="AP581" s="30"/>
      <c r="AQ581" s="30"/>
      <c r="AR581" s="30"/>
      <c r="AS581" s="30"/>
      <c r="AT581" s="483"/>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483"/>
    </row>
    <row r="582" spans="1:78" s="140" customFormat="1" ht="12.75" customHeight="1" thickBot="1" x14ac:dyDescent="0.25">
      <c r="A582" s="777"/>
      <c r="B582" s="1248"/>
      <c r="C582" s="783" t="s">
        <v>5</v>
      </c>
      <c r="D582" s="503" t="str">
        <f>Translations!$B$622</f>
        <v>VD:</v>
      </c>
      <c r="E582" s="1105" t="str">
        <f>Translations!$B$668</f>
        <v>Pradinis kiekis:</v>
      </c>
      <c r="F582" s="1123"/>
      <c r="G582" s="1106" t="str">
        <f>Translations!$B$669</f>
        <v>Galutinis kiekis:</v>
      </c>
      <c r="H582" s="1123"/>
      <c r="I582" s="1106" t="str">
        <f>Translations!$B$670</f>
        <v>Įsigytas kiekis:</v>
      </c>
      <c r="J582" s="1123"/>
      <c r="K582" s="1106" t="str">
        <f>Translations!$B$671</f>
        <v>Perduotas kiekis:</v>
      </c>
      <c r="L582" s="1123"/>
      <c r="M582" s="1107" t="str">
        <f>IF(AND(L580=TRUE,COUNT(F582,H582,J582,L582)&lt;4),EUconst_ERR_Incomplete,"")</f>
        <v/>
      </c>
      <c r="O582" s="1305"/>
      <c r="P582" s="23"/>
      <c r="Q582" s="23"/>
      <c r="R582" s="23"/>
      <c r="S582" s="23"/>
      <c r="T582" s="23"/>
      <c r="U582" s="23"/>
      <c r="V582" s="30"/>
      <c r="W582" s="30"/>
      <c r="X582" s="30"/>
      <c r="Y582" s="485"/>
      <c r="Z582" s="30"/>
      <c r="AA582" s="30"/>
      <c r="AB582" s="30"/>
      <c r="AC582" s="1115" t="b">
        <f>AC580</f>
        <v>0</v>
      </c>
      <c r="AD582" s="30"/>
      <c r="AE582" s="30"/>
      <c r="AF582" s="58"/>
      <c r="AG582" s="30"/>
      <c r="AH582" s="30"/>
      <c r="AI582" s="30"/>
      <c r="AJ582" s="495"/>
      <c r="AK582" s="495"/>
      <c r="AL582" s="333"/>
      <c r="AM582" s="30"/>
      <c r="AN582" s="30"/>
      <c r="AO582" s="30"/>
      <c r="AP582" s="30"/>
      <c r="AQ582" s="30"/>
      <c r="AR582" s="30"/>
      <c r="AS582" s="30"/>
      <c r="AT582" s="1115" t="b">
        <f>AND(AT580=TRUE,L580="")</f>
        <v>0</v>
      </c>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1115" t="b">
        <f>OR(BZ580,AND(NOT(ISBLANK(L580)),L580=FALSE))</f>
        <v>1</v>
      </c>
    </row>
    <row r="583" spans="1:78" s="140" customFormat="1" ht="5.0999999999999996" customHeight="1" thickBot="1" x14ac:dyDescent="0.25">
      <c r="A583" s="777"/>
      <c r="B583" s="1248"/>
      <c r="C583" s="164"/>
      <c r="D583" s="164"/>
      <c r="E583" s="164"/>
      <c r="F583" s="164"/>
      <c r="G583" s="164"/>
      <c r="M583" s="141"/>
      <c r="N583" s="141"/>
      <c r="O583" s="1305"/>
      <c r="P583" s="23"/>
      <c r="Q583" s="23"/>
      <c r="R583" s="23"/>
      <c r="S583" s="23"/>
      <c r="T583" s="23"/>
      <c r="U583" s="23"/>
      <c r="V583" s="30"/>
      <c r="W583" s="30"/>
      <c r="X583" s="30"/>
      <c r="Y583" s="485"/>
      <c r="Z583" s="30"/>
      <c r="AA583" s="30"/>
      <c r="AB583" s="30"/>
      <c r="AC583" s="30"/>
      <c r="AD583" s="30"/>
      <c r="AE583" s="30"/>
      <c r="AF583" s="58"/>
      <c r="AG583" s="30"/>
      <c r="AH583" s="30"/>
      <c r="AI583" s="30"/>
      <c r="AJ583" s="495"/>
      <c r="AK583" s="495"/>
      <c r="AL583" s="333"/>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row>
    <row r="584" spans="1:78" s="140" customFormat="1" ht="12.75" customHeight="1" thickBot="1" x14ac:dyDescent="0.25">
      <c r="A584" s="777"/>
      <c r="B584" s="1248"/>
      <c r="C584" s="164"/>
      <c r="D584" s="164"/>
      <c r="E584" s="164"/>
      <c r="F584" s="497" t="str">
        <f>Translations!$B$333</f>
        <v>Pakopa</v>
      </c>
      <c r="G584" s="1613" t="str">
        <f>Translations!$B$672</f>
        <v>pakopos aprašas</v>
      </c>
      <c r="H584" s="1613"/>
      <c r="I584" s="1608" t="str">
        <f>Translations!$B$158</f>
        <v>Vienetas</v>
      </c>
      <c r="J584" s="1608"/>
      <c r="K584" s="1608" t="str">
        <f>Translations!$B$673</f>
        <v>Vertė</v>
      </c>
      <c r="L584" s="1608"/>
      <c r="M584" s="498" t="str">
        <f>Translations!$B$610</f>
        <v>klaida</v>
      </c>
      <c r="O584" s="1305"/>
      <c r="P584" s="499"/>
      <c r="Q584" s="343" t="str">
        <f>EUconst_SumEnergyIN &amp; "_" &amp; K575</f>
        <v>SUM_EnergyIN_</v>
      </c>
      <c r="R584" s="390" t="str">
        <f>IF(OR(K575="",T576)=TRUE,"",INDEX(BC590:BE590,MATCH(K575,BC585:BE585,0)))</f>
        <v/>
      </c>
      <c r="S584" s="30"/>
      <c r="T584" s="480"/>
      <c r="U584" s="30"/>
      <c r="V584" s="500" t="s">
        <v>298</v>
      </c>
      <c r="W584" s="30"/>
      <c r="X584" s="30"/>
      <c r="Y584" s="485" t="s">
        <v>560</v>
      </c>
      <c r="Z584" s="485" t="s">
        <v>313</v>
      </c>
      <c r="AA584" s="30"/>
      <c r="AB584" s="30"/>
      <c r="AC584" s="496" t="s">
        <v>304</v>
      </c>
      <c r="AD584" s="30"/>
      <c r="AE584" s="30"/>
      <c r="AF584" s="483" t="s">
        <v>300</v>
      </c>
      <c r="AG584" s="483" t="s">
        <v>301</v>
      </c>
      <c r="AH584" s="485" t="s">
        <v>299</v>
      </c>
      <c r="AI584" s="495" t="s">
        <v>302</v>
      </c>
      <c r="AJ584" s="495" t="s">
        <v>561</v>
      </c>
      <c r="AK584" s="501" t="s">
        <v>306</v>
      </c>
      <c r="AL584" s="333"/>
      <c r="AM584" s="30"/>
      <c r="AN584" s="483" t="s">
        <v>300</v>
      </c>
      <c r="AO584" s="483" t="s">
        <v>301</v>
      </c>
      <c r="AP584" s="502" t="s">
        <v>305</v>
      </c>
      <c r="AQ584" s="495" t="s">
        <v>563</v>
      </c>
      <c r="AR584" s="495" t="s">
        <v>562</v>
      </c>
      <c r="AS584" s="501" t="s">
        <v>306</v>
      </c>
      <c r="AT584" s="501" t="s">
        <v>306</v>
      </c>
      <c r="AU584" s="30"/>
      <c r="AV584" s="483"/>
      <c r="AW584" s="483"/>
      <c r="AX584" s="483" t="s">
        <v>316</v>
      </c>
      <c r="AY584" s="483"/>
      <c r="AZ584" s="483"/>
      <c r="BA584" s="483"/>
      <c r="BB584" s="483"/>
      <c r="BC584" s="483"/>
      <c r="BD584" s="483"/>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484" t="s">
        <v>259</v>
      </c>
    </row>
    <row r="585" spans="1:78" s="140" customFormat="1" ht="12.75" customHeight="1" thickBot="1" x14ac:dyDescent="0.25">
      <c r="A585" s="777"/>
      <c r="B585" s="1248"/>
      <c r="C585" s="753" t="s">
        <v>194</v>
      </c>
      <c r="D585" s="503" t="str">
        <f>Translations!$B$622</f>
        <v>VD:</v>
      </c>
      <c r="E585" s="504"/>
      <c r="F585" s="393"/>
      <c r="G585" s="1603" t="str">
        <f>IF(OR(ISBLANK(F585),F585=EUconst_NoTier),"",IF(Z585=0,EUconst_NA,IF(ISERROR(Z585),"",Z585)))</f>
        <v/>
      </c>
      <c r="H585" s="1604"/>
      <c r="I585" s="1108" t="str">
        <f>IF(J585&lt;&gt;"","",AI585)</f>
        <v/>
      </c>
      <c r="J585" s="1109"/>
      <c r="K585" s="1116" t="str">
        <f>IF(L585="",AQ585,"")</f>
        <v/>
      </c>
      <c r="L585" s="1199"/>
      <c r="M585" s="700" t="str">
        <f>IF(AND(E576&lt;&gt;"",OR(F585="",COUNT(K585:L585)=0),Y585&lt;&gt;EUconst_NA,T576&lt;&gt;TRUE),EUconst_ERR_Incomplete,IF(COUNTIF(AX585:AZ585,TRUE)&gt;0,EUconst_ERR_Inconsistent,""))</f>
        <v/>
      </c>
      <c r="O585" s="1305"/>
      <c r="P585" s="635"/>
      <c r="Q585" s="343" t="str">
        <f>EUconst_SumBioEnergyIN &amp; "_" &amp; K575</f>
        <v>SUM_BioEnergyIN_</v>
      </c>
      <c r="R585" s="390" t="str">
        <f>IF(OR(K575="",T576)=TRUE,"",INDEX(BC591:BE591,MATCH(K575,BC585:BE585,0)))</f>
        <v/>
      </c>
      <c r="S585" s="30"/>
      <c r="T585" s="505" t="str">
        <f>EUconst_CNTR_ActivityData&amp;E576</f>
        <v>ActivityData_</v>
      </c>
      <c r="U585" s="488"/>
      <c r="V585" s="505" t="str">
        <f>IF(E575="","",INDEX(B_InstallationDescription!$I$71:$I$145,MATCH(U574,B_InstallationDescription!$D$71:$D$145,0)))</f>
        <v/>
      </c>
      <c r="W585" s="495" t="s">
        <v>533</v>
      </c>
      <c r="X585" s="488"/>
      <c r="Y585" s="506" t="str">
        <f>IF(OR(T576=TRUE,E576=""),"",INDEX(EUwideConstants!$N:$N,MATCH(T585,EUwideConstants!$Q:$Q,0)))</f>
        <v/>
      </c>
      <c r="Z585" s="507" t="str">
        <f>IF(ISBLANK(F585),"",IF(F585=EUconst_NA,"",INDEX(EUwideConstants!$H:$M,MATCH(T585,EUwideConstants!$Q:$Q,0),MATCH(F585,CNTR_TierList,0))))</f>
        <v/>
      </c>
      <c r="AA585" s="508" t="s">
        <v>299</v>
      </c>
      <c r="AB585" s="495"/>
      <c r="AC585" s="509" t="b">
        <f>AC580</f>
        <v>0</v>
      </c>
      <c r="AD585" s="30"/>
      <c r="AE585" s="510" t="str">
        <f>EUconst_CNTR_ActivityData&amp;EUconst_Unit</f>
        <v>ActivityData_Vienetas</v>
      </c>
      <c r="AF585" s="511" t="str">
        <f>IF(AC585=TRUE, IF(COUNTIF(MSPara_SourceStreamCategory,V585)=0,"",INDEX(MSPara_CalcFactorsMatrix,MATCH(V585,MSPara_SourceStreamCategory,0),MATCH(AE585&amp;"_"&amp;2,MSPara_CalcFactors,0))),"")</f>
        <v/>
      </c>
      <c r="AG585" s="512" t="str">
        <f>IF(AC585=TRUE, IF(COUNTIF(MSPara_SourceStreamCategory,V585)=0,"",INDEX(MSPara_CalcFactorsMatrix,MATCH(V585,MSPara_SourceStreamCategory,0),MATCH(AE585&amp;"_"&amp;1,MSPara_CalcFactors,0))),"")</f>
        <v/>
      </c>
      <c r="AH585" s="509" t="str">
        <f>IF(OR(AF585="",AF585=EUconst_NA),IF(OR(AG585=EUconst_NA,AG585=""),"",AG585),AF585)</f>
        <v/>
      </c>
      <c r="AI585" s="506" t="str">
        <f>IF(AC585=TRUE,IF(AH585="",EUconst_t,AH585),"")</f>
        <v/>
      </c>
      <c r="AJ585" s="513" t="str">
        <f>IF(J585="",AI585,J585)</f>
        <v/>
      </c>
      <c r="AK585" s="514" t="b">
        <f>IF(K575=EUconst_Fuel,J585&lt;&gt;"",FALSE)</f>
        <v>0</v>
      </c>
      <c r="AL585" s="333"/>
      <c r="AM585" s="505" t="str">
        <f>EUconst_CNTR_ActivityData&amp;EUconst_Value</f>
        <v>ActivityData_Vertė</v>
      </c>
      <c r="AN585" s="496"/>
      <c r="AO585" s="496"/>
      <c r="AP585" s="509" t="b">
        <f>AND(AND(AH585&lt;&gt;"",AJ585&lt;&gt;""),AJ585=AH585)</f>
        <v>0</v>
      </c>
      <c r="AQ585" s="610" t="str">
        <f>IF(L580=TRUE,SUM(F582)-SUM(H582)+SUM(J582)-SUM(L582),"")</f>
        <v/>
      </c>
      <c r="AR585" s="509">
        <f>IF(Y585=EUconst_NA,0,IF(COUNT(K585:L585)=0,0,IF(L585="",K585,L585)))</f>
        <v>0</v>
      </c>
      <c r="AS585" s="1115" t="b">
        <f>AND(AC585=TRUE,OR(L585&lt;&gt;"",AQ585=""))</f>
        <v>0</v>
      </c>
      <c r="AT585" s="1115" t="b">
        <f>AND(AC585=TRUE,NOT(AS585))</f>
        <v>0</v>
      </c>
      <c r="AU585" s="30"/>
      <c r="AV585" s="483" t="s">
        <v>309</v>
      </c>
      <c r="AW585" s="483" t="s">
        <v>314</v>
      </c>
      <c r="AX585" s="515"/>
      <c r="AY585" s="30" t="s">
        <v>536</v>
      </c>
      <c r="AZ585" s="30"/>
      <c r="BA585" s="30"/>
      <c r="BB585" s="495"/>
      <c r="BC585" s="484" t="str">
        <f>EUconst_Fuel</f>
        <v>Degimas</v>
      </c>
      <c r="BD585" s="484" t="str">
        <f>EUconst_ProcessCarbonate</f>
        <v>Proceso metu išsiskiriančios ŠESD</v>
      </c>
      <c r="BE585" s="484" t="str">
        <f>EUconst_MassBalance</f>
        <v>Masės balansas</v>
      </c>
      <c r="BF585" s="30"/>
      <c r="BG585" s="30"/>
      <c r="BH585" s="30"/>
      <c r="BI585" s="30"/>
      <c r="BJ585" s="30"/>
      <c r="BK585" s="30"/>
      <c r="BL585" s="30"/>
      <c r="BM585" s="30"/>
      <c r="BN585" s="30"/>
      <c r="BO585" s="30"/>
      <c r="BP585" s="30"/>
      <c r="BQ585" s="30"/>
      <c r="BR585" s="30"/>
      <c r="BS585" s="30"/>
      <c r="BT585" s="30"/>
      <c r="BU585" s="30"/>
      <c r="BV585" s="30"/>
      <c r="BW585" s="30"/>
      <c r="BX585" s="30"/>
      <c r="BY585" s="30"/>
      <c r="BZ585" s="515" t="b">
        <f>BZ580</f>
        <v>1</v>
      </c>
    </row>
    <row r="586" spans="1:78" s="140" customFormat="1" ht="5.0999999999999996" customHeight="1" thickBot="1" x14ac:dyDescent="0.25">
      <c r="A586" s="777"/>
      <c r="B586" s="1248"/>
      <c r="C586" s="783"/>
      <c r="D586" s="298"/>
      <c r="F586" s="141"/>
      <c r="G586" s="141"/>
      <c r="H586" s="141" t="s">
        <v>233</v>
      </c>
      <c r="I586" s="516"/>
      <c r="J586" s="516"/>
      <c r="K586" s="141"/>
      <c r="L586" s="141"/>
      <c r="M586" s="701"/>
      <c r="O586" s="1305"/>
      <c r="P586" s="33"/>
      <c r="Q586" s="33"/>
      <c r="R586" s="33"/>
      <c r="S586" s="30"/>
      <c r="T586" s="153"/>
      <c r="U586" s="488"/>
      <c r="V586" s="30"/>
      <c r="W586" s="30"/>
      <c r="X586" s="488"/>
      <c r="Y586" s="517"/>
      <c r="Z586" s="30"/>
      <c r="AA586" s="30"/>
      <c r="AB586" s="30"/>
      <c r="AC586" s="30"/>
      <c r="AD586" s="30"/>
      <c r="AE586" s="30"/>
      <c r="AF586" s="30"/>
      <c r="AG586" s="30"/>
      <c r="AH586" s="30"/>
      <c r="AI586" s="30"/>
      <c r="AJ586" s="30"/>
      <c r="AK586" s="30"/>
      <c r="AL586" s="333"/>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484"/>
    </row>
    <row r="587" spans="1:78" s="140" customFormat="1" ht="12.75" customHeight="1" thickBot="1" x14ac:dyDescent="0.25">
      <c r="A587" s="777"/>
      <c r="B587" s="1248"/>
      <c r="C587" s="783" t="s">
        <v>195</v>
      </c>
      <c r="D587" s="503" t="str">
        <f>Translations!$B$634</f>
        <v>(prelim.) ITF:</v>
      </c>
      <c r="E587" s="504"/>
      <c r="F587" s="518"/>
      <c r="G587" s="1603" t="str">
        <f t="shared" ref="G587:G593" si="133">IF(OR(ISBLANK(F587),F587=EUconst_NoTier),"",IF(Z587=0,EUconst_NotApplicable,IF(ISERROR(Z587),"",Z587)))</f>
        <v/>
      </c>
      <c r="H587" s="1609"/>
      <c r="I587" s="1110" t="str">
        <f>IF(J587&lt;&gt;"","",AI587)</f>
        <v/>
      </c>
      <c r="J587" s="1111"/>
      <c r="K587" s="519" t="str">
        <f t="shared" ref="K587:K593" si="134">IF(L587="",AQ587,"")</f>
        <v/>
      </c>
      <c r="L587" s="520"/>
      <c r="M587" s="700" t="str">
        <f>IF(AND(E576&lt;&gt;"",OR(F587="",COUNT(K587:L587)=0),Y587&lt;&gt;EUconst_NA,T576&lt;&gt;TRUE),EUconst_ERR_Incomplete,IF(COUNTIF(AX587:AZ587,TRUE)&gt;0,EUconst_ERR_Inconsistent,""))</f>
        <v/>
      </c>
      <c r="N587" s="486"/>
      <c r="O587" s="1305"/>
      <c r="P587" s="33"/>
      <c r="Q587" s="33"/>
      <c r="R587" s="33"/>
      <c r="S587" s="30"/>
      <c r="T587" s="521" t="str">
        <f>EUconst_CNTR_EF&amp;E576</f>
        <v>EF_</v>
      </c>
      <c r="U587" s="488"/>
      <c r="V587" s="522" t="str">
        <f>V585</f>
        <v/>
      </c>
      <c r="W587" s="30"/>
      <c r="X587" s="488"/>
      <c r="Y587" s="523" t="str">
        <f>IF(OR(T576=TRUE,E576=""),"",IF(F587=EUconst_NA,EUconst_NA,INDEX(EUwideConstants!$N:$N,MATCH(T587,EUwideConstants!$Q:$Q,0))))</f>
        <v/>
      </c>
      <c r="Z587" s="524" t="str">
        <f>IF(ISBLANK(F587),"",IF(F587=EUconst_NA,"",INDEX(EUwideConstants!$H:$M,MATCH(T587,EUwideConstants!$Q:$Q,0),MATCH(F587,CNTR_TierList,0))))</f>
        <v/>
      </c>
      <c r="AA587" s="525" t="str">
        <f>IF(COUNTIF(EUconst_DefaultValues,Z587)&gt;0,MATCH(Z587,EUconst_DefaultValues,0),"")</f>
        <v/>
      </c>
      <c r="AB587" s="30"/>
      <c r="AC587" s="526" t="b">
        <f>AND(AC585,Y587&lt;&gt;EUconst_NA)</f>
        <v>0</v>
      </c>
      <c r="AD587" s="30"/>
      <c r="AE587" s="510" t="str">
        <f>EUconst_CNTR_EF&amp;EUconst_Unit</f>
        <v>EF_Vienetas</v>
      </c>
      <c r="AF587" s="527" t="str">
        <f>IF(AC587=TRUE, IF(COUNTIF(MSPara_SourceStreamCategory,V587)=0,"",INDEX(MSPara_CalcFactorsMatrix,MATCH(V587,MSPara_SourceStreamCategory,0),MATCH(AE587&amp;"_"&amp;2,MSPara_CalcFactors,0))),"")</f>
        <v/>
      </c>
      <c r="AG587" s="528" t="str">
        <f>IF(AC587=TRUE, IF(COUNTIF(MSPara_SourceStreamCategory,V587)=0,"",INDEX(MSPara_CalcFactorsMatrix,MATCH(V587,MSPara_SourceStreamCategory,0),MATCH(AE587&amp;"_"&amp;1,MSPara_CalcFactors,0))),"")</f>
        <v/>
      </c>
      <c r="AH587" s="529" t="str">
        <f>IF(AA587="","",INDEX(AF587:AG587,3-AA587))</f>
        <v/>
      </c>
      <c r="AI587" s="530" t="str">
        <f>IF(AC587=TRUE,IF(OR(AH587="",AH587=EUconst_NA),IF(K575=EUconst_Fuel,EUconst_tCO2pTJ,EUconst_tCO2pt),AH587),"")</f>
        <v/>
      </c>
      <c r="AJ587" s="526" t="str">
        <f>IF(J587="",AI587,J587)</f>
        <v/>
      </c>
      <c r="AK587" s="531" t="b">
        <f>IF(K575=EUconst_Fuel,J587&lt;&gt;"",FALSE)</f>
        <v>0</v>
      </c>
      <c r="AL587" s="333"/>
      <c r="AM587" s="510" t="str">
        <f>EUconst_CNTR_EF&amp;EUconst_Value</f>
        <v>EF_Vertė</v>
      </c>
      <c r="AN587" s="532" t="str">
        <f>IF(AC587=TRUE,IF(COUNTIF(MSPara_SourceStreamCategory,V587)=0,"",INDEX(MSPara_CalcFactorsMatrix,MATCH(V587,MSPara_SourceStreamCategory,0),MATCH(AM587&amp;"_"&amp;2,MSPara_CalcFactors,0))),"")</f>
        <v/>
      </c>
      <c r="AO587" s="533" t="str">
        <f>IF(AC587=TRUE,IF(COUNTIF(MSPara_SourceStreamCategory,V587)=0,"",INDEX(MSPara_CalcFactorsMatrix,MATCH(V587,MSPara_SourceStreamCategory,0),MATCH(AM587&amp;"_"&amp;1,MSPara_CalcFactors,0))),"")</f>
        <v/>
      </c>
      <c r="AP587" s="526" t="b">
        <f>AND(AND(AH587&lt;&gt;"",AJ587&lt;&gt;""),AJ587=AH587)</f>
        <v>0</v>
      </c>
      <c r="AQ587" s="534" t="str">
        <f>IF(AND(AA587&lt;&gt;"",AP587=TRUE),IF(OR(INDEX(AN587:AO587,3-AA587)=EUconst_NA,INDEX(AN587:AO587,3-AA587)=0),"",INDEX(AN587:AO587,3-AA587)),"")</f>
        <v/>
      </c>
      <c r="AR587" s="526">
        <f>IF(AC587=TRUE,IF(COUNT(K587:L587)=0,0,IF(L587="",K587,L587)),0)</f>
        <v>0</v>
      </c>
      <c r="AS587" s="522" t="b">
        <f>AND(AC587=TRUE,OR(AND(F587&lt;&gt;"",NOT(ISNUMBER(AA587))),L587&lt;&gt;"",F587="",AQ587=""))</f>
        <v>0</v>
      </c>
      <c r="AT587" s="522" t="b">
        <f t="shared" ref="AT587:AT593" si="135">AND(AC587=TRUE,NOT(AS587))</f>
        <v>0</v>
      </c>
      <c r="AU587" s="30"/>
      <c r="AV587" s="535" t="b">
        <f t="shared" ref="AV587:AV593" si="136">AND(ISNUMBER(AA587),AQ587="")</f>
        <v>0</v>
      </c>
      <c r="AW587" s="536" t="b">
        <f t="shared" ref="AW587:AW593" si="137">AND(ISNUMBER(AA587),AQ587&lt;&gt;AR587)</f>
        <v>0</v>
      </c>
      <c r="AX587" s="537" t="b">
        <f>OR(AND(AJ585=EUconst_kNm3,AJ587=EUconst_tCO2pt),AND(AJ585=EUconst_t,AJ587=EUconst_tCO2pkNm3))</f>
        <v>0</v>
      </c>
      <c r="AY587" s="522" t="b">
        <f t="shared" ref="AY587:AY593" si="138">AND(L587&lt;&gt;"",Y587=EUconst_NA)</f>
        <v>0</v>
      </c>
      <c r="AZ587" s="30"/>
      <c r="BA587" s="30"/>
      <c r="BB587" s="538" t="s">
        <v>588</v>
      </c>
      <c r="BC587" s="537" t="str">
        <f>IF(K575=BC585,AR585*IF(AJ587=EUconst_tCO2pTJ,(AR588/1000),1)*AR587*AR589*AR593,"")</f>
        <v/>
      </c>
      <c r="BD587" s="515" t="str">
        <f>IF(K575=BD585,AR585*AR587*AR590*AR593,"")</f>
        <v/>
      </c>
      <c r="BE587" s="514" t="str">
        <f>IF(K575=BE585,3.664*AR585*AR591*AR593,"")</f>
        <v/>
      </c>
      <c r="BF587" s="30"/>
      <c r="BG587" s="30"/>
      <c r="BH587" s="30"/>
      <c r="BI587" s="30"/>
      <c r="BJ587" s="30"/>
      <c r="BK587" s="30"/>
      <c r="BL587" s="30"/>
      <c r="BM587" s="30"/>
      <c r="BN587" s="30"/>
      <c r="BO587" s="30"/>
      <c r="BP587" s="30"/>
      <c r="BQ587" s="30"/>
      <c r="BR587" s="30"/>
      <c r="BS587" s="30"/>
      <c r="BT587" s="30"/>
      <c r="BU587" s="30"/>
      <c r="BV587" s="30"/>
      <c r="BW587" s="30"/>
      <c r="BX587" s="30"/>
      <c r="BY587" s="30"/>
      <c r="BZ587" s="522" t="b">
        <f>OR(BZ585,Y587=EUconst_NA)</f>
        <v>1</v>
      </c>
    </row>
    <row r="588" spans="1:78" s="140" customFormat="1" ht="12.75" customHeight="1" thickBot="1" x14ac:dyDescent="0.25">
      <c r="A588" s="777"/>
      <c r="B588" s="1248"/>
      <c r="C588" s="783" t="s">
        <v>196</v>
      </c>
      <c r="D588" s="503" t="str">
        <f>Translations!$B$636</f>
        <v>GŠV:</v>
      </c>
      <c r="E588" s="504"/>
      <c r="F588" s="539"/>
      <c r="G588" s="1603" t="str">
        <f t="shared" si="133"/>
        <v/>
      </c>
      <c r="H588" s="1604"/>
      <c r="I588" s="1112" t="str">
        <f>AJ588</f>
        <v/>
      </c>
      <c r="J588" s="540"/>
      <c r="K588" s="541" t="str">
        <f t="shared" si="134"/>
        <v/>
      </c>
      <c r="L588" s="542"/>
      <c r="M588" s="700" t="str">
        <f>IF(AND(E576&lt;&gt;"",OR(F588="",COUNT(K588:L588)=0),Y588&lt;&gt;EUconst_NA,T576&lt;&gt;TRUE),EUconst_ERR_Incomplete,IF(COUNTIF(AX588:AZ588,TRUE)&gt;0,EUconst_ERR_Inconsistent,""))</f>
        <v/>
      </c>
      <c r="O588" s="1305"/>
      <c r="P588" s="33"/>
      <c r="Q588" s="33"/>
      <c r="R588" s="33"/>
      <c r="S588" s="30"/>
      <c r="T588" s="543" t="str">
        <f>EUconst_CNTR_NCV&amp;E576</f>
        <v>NCV_</v>
      </c>
      <c r="U588" s="488"/>
      <c r="V588" s="544" t="str">
        <f t="shared" ref="V588:V593" si="139">V587</f>
        <v/>
      </c>
      <c r="W588" s="30"/>
      <c r="X588" s="488"/>
      <c r="Y588" s="545" t="str">
        <f>IF(OR(T576=TRUE,E576=""),"",IF(F588=EUconst_NA,EUconst_NA,INDEX(EUwideConstants!$N:$N,MATCH(T588,EUwideConstants!$Q:$Q,0))))</f>
        <v/>
      </c>
      <c r="Z588" s="546" t="str">
        <f>IF(ISBLANK(F588),"",IF(F588=EUconst_NA,"",INDEX(EUwideConstants!$H:$M,MATCH(T588,EUwideConstants!$Q:$Q,0),MATCH(F588,CNTR_TierList,0))))</f>
        <v/>
      </c>
      <c r="AA588" s="547" t="str">
        <f>IF(COUNTIF(EUconst_DefaultValues,Z588)&gt;0,MATCH(Z588,EUconst_DefaultValues,0),"")</f>
        <v/>
      </c>
      <c r="AB588" s="30"/>
      <c r="AC588" s="548" t="b">
        <f>AND(AC585,Y588&lt;&gt;EUconst_NA)</f>
        <v>0</v>
      </c>
      <c r="AD588" s="30"/>
      <c r="AE588" s="549" t="str">
        <f>EUconst_CNTR_NCV&amp;EUconst_Unit</f>
        <v>NCV_Vienetas</v>
      </c>
      <c r="AF588" s="550" t="str">
        <f>IF(AC588=TRUE, IF(COUNTIF(MSPara_SourceStreamCategory,V588)=0,"",INDEX(MSPara_CalcFactorsMatrix,MATCH(V588,MSPara_SourceStreamCategory,0),MATCH(AE588&amp;"_"&amp;2,MSPara_CalcFactors,0))),"")</f>
        <v/>
      </c>
      <c r="AG588" s="551" t="str">
        <f>IF(AC588=TRUE, IF(COUNTIF(MSPara_SourceStreamCategory,V588)=0,"",INDEX(MSPara_CalcFactorsMatrix,MATCH(V588,MSPara_SourceStreamCategory,0),MATCH(AE588&amp;"_"&amp;1,MSPara_CalcFactors,0))),"")</f>
        <v/>
      </c>
      <c r="AH588" s="552" t="str">
        <f>IF(AA588="","",INDEX(AF588:AG588,3-AA588))</f>
        <v/>
      </c>
      <c r="AI588" s="553"/>
      <c r="AJ588" s="548" t="str">
        <f>IF(AC588=TRUE,IF(AJ585="","",IF(AJ585=EUconst_kNm3,EUconst_GJpkNm3,EUconst_GJpt)),"")</f>
        <v/>
      </c>
      <c r="AK588" s="554"/>
      <c r="AL588" s="333"/>
      <c r="AM588" s="549" t="str">
        <f>EUconst_CNTR_NCV&amp;EUconst_Value</f>
        <v>NCV_Vertė</v>
      </c>
      <c r="AN588" s="555" t="str">
        <f>IF(AC588=TRUE,IF(COUNTIF(MSPara_SourceStreamCategory,V588)=0,"",INDEX(MSPara_CalcFactorsMatrix,MATCH(V588,MSPara_SourceStreamCategory,0),MATCH(AM588&amp;"_"&amp;2,MSPara_CalcFactors,0))),"")</f>
        <v/>
      </c>
      <c r="AO588" s="556" t="str">
        <f>IF(AC588=TRUE,IF(COUNTIF(MSPara_SourceStreamCategory,V588)=0,"",INDEX(MSPara_CalcFactorsMatrix,MATCH(V588,MSPara_SourceStreamCategory,0),MATCH(AM588&amp;"_"&amp;1,MSPara_CalcFactors,0))),"")</f>
        <v/>
      </c>
      <c r="AP588" s="548" t="b">
        <f>AND(AND(AH588&lt;&gt;"",AJ588&lt;&gt;""),AJ588=AH588)</f>
        <v>0</v>
      </c>
      <c r="AQ588" s="557" t="str">
        <f>IF(AND(AA588&lt;&gt;"",AP588=TRUE),IF(OR(INDEX(AN588:AO588,3-AA588)=EUconst_NA,INDEX(AN588:AO588,3-AA588)=0),"",INDEX(AN588:AO588,3-AA588)),"")</f>
        <v/>
      </c>
      <c r="AR588" s="548">
        <f>IF(AC588=TRUE,IF(COUNT(K588:L588)=0,0,IF(L588="",K588,L588)),0)</f>
        <v>0</v>
      </c>
      <c r="AS588" s="544" t="b">
        <f>AND(AC588=TRUE,OR(AND(F588&lt;&gt;"",NOT(ISNUMBER(AA588))),L588&lt;&gt;"",F588="",AQ588=""))</f>
        <v>0</v>
      </c>
      <c r="AT588" s="544" t="b">
        <f t="shared" si="135"/>
        <v>0</v>
      </c>
      <c r="AU588" s="30"/>
      <c r="AV588" s="558" t="b">
        <f t="shared" si="136"/>
        <v>0</v>
      </c>
      <c r="AW588" s="559" t="b">
        <f t="shared" si="137"/>
        <v>0</v>
      </c>
      <c r="AX588" s="30"/>
      <c r="AY588" s="544" t="b">
        <f t="shared" si="138"/>
        <v>0</v>
      </c>
      <c r="AZ588" s="30"/>
      <c r="BA588" s="30"/>
      <c r="BB588" s="538" t="s">
        <v>589</v>
      </c>
      <c r="BC588" s="537" t="str">
        <f>IF(K575=BC585,AR585*IF(AJ587=EUconst_tCO2pTJ,(AR588/1000),1)*AR587*AR589*AR592,"")</f>
        <v/>
      </c>
      <c r="BD588" s="515" t="str">
        <f>IF(K575=BD585,AR585*AR587*AR590*AR592,"")</f>
        <v/>
      </c>
      <c r="BE588" s="514" t="str">
        <f>IF(K575=BE585,3.664*AR585*AR591*AR592,"")</f>
        <v/>
      </c>
      <c r="BF588" s="30"/>
      <c r="BG588" s="30"/>
      <c r="BH588" s="30"/>
      <c r="BI588" s="30"/>
      <c r="BJ588" s="30"/>
      <c r="BK588" s="30"/>
      <c r="BL588" s="30"/>
      <c r="BM588" s="30"/>
      <c r="BN588" s="30"/>
      <c r="BO588" s="30"/>
      <c r="BP588" s="30"/>
      <c r="BQ588" s="30"/>
      <c r="BR588" s="30"/>
      <c r="BS588" s="30"/>
      <c r="BT588" s="30"/>
      <c r="BU588" s="30"/>
      <c r="BV588" s="30"/>
      <c r="BW588" s="30"/>
      <c r="BX588" s="30"/>
      <c r="BY588" s="30"/>
      <c r="BZ588" s="544" t="b">
        <f>OR(BZ585,Y588=EUconst_NA)</f>
        <v>1</v>
      </c>
    </row>
    <row r="589" spans="1:78" s="140" customFormat="1" ht="12.75" customHeight="1" thickBot="1" x14ac:dyDescent="0.25">
      <c r="A589" s="777"/>
      <c r="B589" s="1248"/>
      <c r="C589" s="783" t="s">
        <v>197</v>
      </c>
      <c r="D589" s="503" t="str">
        <f>Translations!$B$638</f>
        <v>Oksidacijos koef.:</v>
      </c>
      <c r="E589" s="504"/>
      <c r="F589" s="539"/>
      <c r="G589" s="1603" t="str">
        <f t="shared" si="133"/>
        <v/>
      </c>
      <c r="H589" s="1604"/>
      <c r="I589" s="1113" t="str">
        <f>IF(OR(AC589=FALSE,Y589=EUconst_NA),"","-")</f>
        <v/>
      </c>
      <c r="J589" s="560"/>
      <c r="K589" s="561" t="str">
        <f t="shared" si="134"/>
        <v/>
      </c>
      <c r="L589" s="694"/>
      <c r="M589" s="700" t="str">
        <f>IF(AND(E576&lt;&gt;"",OR(F589="",COUNT(K589:L589)=0),Y589&lt;&gt;EUconst_NA,T576&lt;&gt;TRUE),EUconst_ERR_Incomplete,IF(COUNTIF(AX589:AZ589,TRUE)&gt;0,EUconst_ERR_Inconsistent,""))</f>
        <v/>
      </c>
      <c r="O589" s="1305"/>
      <c r="P589" s="33"/>
      <c r="Q589" s="33"/>
      <c r="R589" s="33"/>
      <c r="S589" s="30"/>
      <c r="T589" s="543" t="str">
        <f>EUconst_CNTR_OxidationFactor&amp;E576</f>
        <v>OxF_</v>
      </c>
      <c r="U589" s="488"/>
      <c r="V589" s="544" t="str">
        <f t="shared" si="139"/>
        <v/>
      </c>
      <c r="W589" s="30"/>
      <c r="X589" s="488"/>
      <c r="Y589" s="545" t="str">
        <f>IF(OR(T576=TRUE,E576=""),"",INDEX(EUwideConstants!$N:$N,MATCH(T589,EUwideConstants!$Q:$Q,0)))</f>
        <v/>
      </c>
      <c r="Z589" s="546" t="str">
        <f>IF(ISBLANK(F589),"",IF(F589=EUconst_NA,"",INDEX(EUwideConstants!$H:$M,MATCH(T589,EUwideConstants!$Q:$Q,0),MATCH(F589,CNTR_TierList,0))))</f>
        <v/>
      </c>
      <c r="AA589" s="525" t="str">
        <f>IF(F589=1,1,"")</f>
        <v/>
      </c>
      <c r="AB589" s="30"/>
      <c r="AC589" s="548" t="b">
        <f>AND(AC585,Y589&lt;&gt;EUconst_NA)</f>
        <v>0</v>
      </c>
      <c r="AD589" s="30"/>
      <c r="AE589" s="563"/>
      <c r="AG589" s="564"/>
      <c r="AH589" s="553"/>
      <c r="AI589" s="565"/>
      <c r="AJ589" s="553"/>
      <c r="AK589" s="566"/>
      <c r="AL589" s="333"/>
      <c r="AM589" s="549" t="str">
        <f>EUconst_CNTR_OxidationFactor&amp;EUconst_Value</f>
        <v>OxF_Vertė</v>
      </c>
      <c r="AN589" s="567"/>
      <c r="AO589" s="525">
        <v>1</v>
      </c>
      <c r="AP589" s="553"/>
      <c r="AQ589" s="568" t="str">
        <f>IF(AA589="","",AO589)</f>
        <v/>
      </c>
      <c r="AR589" s="548">
        <f>IF(AC589=TRUE,IF(COUNT(K589:L589)=0,0,IF(L589="",K589,L589)),1)</f>
        <v>1</v>
      </c>
      <c r="AS589" s="544" t="b">
        <f>AND(AC589=TRUE,OR(ISNUMBER(L589),NOT(ISNUMBER(AA589))))</f>
        <v>0</v>
      </c>
      <c r="AT589" s="544" t="b">
        <f t="shared" si="135"/>
        <v>0</v>
      </c>
      <c r="AU589" s="30"/>
      <c r="AV589" s="558" t="b">
        <f t="shared" si="136"/>
        <v>0</v>
      </c>
      <c r="AW589" s="559" t="b">
        <f t="shared" si="137"/>
        <v>0</v>
      </c>
      <c r="AX589" s="30"/>
      <c r="AY589" s="585" t="b">
        <f t="shared" si="138"/>
        <v>0</v>
      </c>
      <c r="AZ589" s="522" t="b">
        <f>AR589&gt;100%</f>
        <v>0</v>
      </c>
      <c r="BA589" s="30"/>
      <c r="BB589" s="538" t="s">
        <v>287</v>
      </c>
      <c r="BC589" s="537" t="str">
        <f>IF(K575=BC585,AR585*IF(AJ587=EUconst_tCO2pTJ,(AR588/1000),1)*AR587*AR589*(1-AR592),"")</f>
        <v/>
      </c>
      <c r="BD589" s="515" t="str">
        <f>IF(K575=BD585,AR585*AR587*AR590*(1-AR592),"")</f>
        <v/>
      </c>
      <c r="BE589" s="514" t="str">
        <f>IF(K575=BE585,3.664*AR585*AR591*(1-AR592),"")</f>
        <v/>
      </c>
      <c r="BF589" s="30"/>
      <c r="BG589" s="30"/>
      <c r="BH589" s="30"/>
      <c r="BI589" s="30"/>
      <c r="BJ589" s="30"/>
      <c r="BK589" s="30"/>
      <c r="BL589" s="30"/>
      <c r="BM589" s="30"/>
      <c r="BN589" s="30"/>
      <c r="BO589" s="30"/>
      <c r="BP589" s="30"/>
      <c r="BQ589" s="30"/>
      <c r="BR589" s="30"/>
      <c r="BS589" s="30"/>
      <c r="BT589" s="30"/>
      <c r="BU589" s="30"/>
      <c r="BV589" s="30"/>
      <c r="BW589" s="30"/>
      <c r="BX589" s="30"/>
      <c r="BY589" s="30"/>
      <c r="BZ589" s="544" t="b">
        <f>OR(BZ585,Y589=EUconst_NA)</f>
        <v>1</v>
      </c>
    </row>
    <row r="590" spans="1:78" s="140" customFormat="1" ht="12.75" customHeight="1" thickBot="1" x14ac:dyDescent="0.25">
      <c r="A590" s="777"/>
      <c r="B590" s="1248"/>
      <c r="C590" s="783" t="s">
        <v>198</v>
      </c>
      <c r="D590" s="503" t="str">
        <f>Translations!$B$639</f>
        <v>Konversijos koef.:</v>
      </c>
      <c r="E590" s="504"/>
      <c r="F590" s="539"/>
      <c r="G590" s="1603" t="str">
        <f t="shared" si="133"/>
        <v/>
      </c>
      <c r="H590" s="1604"/>
      <c r="I590" s="1113" t="str">
        <f>IF(OR(AC590=FALSE,Y590=EUconst_NA),"","-")</f>
        <v/>
      </c>
      <c r="J590" s="560"/>
      <c r="K590" s="561" t="str">
        <f t="shared" si="134"/>
        <v/>
      </c>
      <c r="L590" s="694"/>
      <c r="M590" s="700" t="str">
        <f>IF(AND(E576&lt;&gt;"",OR(F590="",COUNT(K590:L590)=0),Y590&lt;&gt;EUconst_NA,T576&lt;&gt;TRUE),EUconst_ERR_Incomplete,IF(COUNTIF(AX590:AZ590,TRUE)&gt;0,EUconst_ERR_Inconsistent,""))</f>
        <v/>
      </c>
      <c r="O590" s="1305"/>
      <c r="P590" s="33"/>
      <c r="Q590" s="33"/>
      <c r="R590" s="33"/>
      <c r="S590" s="30"/>
      <c r="T590" s="543" t="str">
        <f>EUconst_CNTR_ConversionFactor&amp;E576</f>
        <v>ConvF_</v>
      </c>
      <c r="U590" s="488"/>
      <c r="V590" s="544" t="str">
        <f t="shared" si="139"/>
        <v/>
      </c>
      <c r="W590" s="30"/>
      <c r="X590" s="488"/>
      <c r="Y590" s="545" t="str">
        <f>IF(OR(T576=TRUE,E576=""),"",INDEX(EUwideConstants!$N:$N,MATCH(T590,EUwideConstants!$Q:$Q,0)))</f>
        <v/>
      </c>
      <c r="Z590" s="546" t="str">
        <f>IF(ISBLANK(F590),"",IF(F590=EUconst_NA,"",INDEX(EUwideConstants!$H:$M,MATCH(T590,EUwideConstants!$Q:$Q,0),MATCH(F590,CNTR_TierList,0))))</f>
        <v/>
      </c>
      <c r="AA590" s="573" t="str">
        <f>IF(F590=1,1,"")</f>
        <v/>
      </c>
      <c r="AB590" s="30"/>
      <c r="AC590" s="548" t="b">
        <f>AND(AC585,Y590&lt;&gt;EUconst_NA)</f>
        <v>0</v>
      </c>
      <c r="AD590" s="30"/>
      <c r="AE590" s="563"/>
      <c r="AG590" s="564"/>
      <c r="AH590" s="574"/>
      <c r="AI590" s="565"/>
      <c r="AJ590" s="574"/>
      <c r="AK590" s="566"/>
      <c r="AL590" s="333"/>
      <c r="AM590" s="549" t="str">
        <f>EUconst_CNTR_ConversionFactor&amp;EUconst_Value</f>
        <v>ConvF_Vertė</v>
      </c>
      <c r="AN590" s="575"/>
      <c r="AO590" s="573">
        <v>1</v>
      </c>
      <c r="AP590" s="574"/>
      <c r="AQ590" s="576" t="str">
        <f>IF(AA590="","",AO590)</f>
        <v/>
      </c>
      <c r="AR590" s="548">
        <f>IF(AC590=TRUE,IF(COUNT(K590:L590)=0,0,IF(L590="",K590,L590)),1)</f>
        <v>1</v>
      </c>
      <c r="AS590" s="544" t="b">
        <f>AND(AC590=TRUE,OR(ISNUMBER(L590),NOT(ISNUMBER(AA590))))</f>
        <v>0</v>
      </c>
      <c r="AT590" s="544" t="b">
        <f t="shared" si="135"/>
        <v>0</v>
      </c>
      <c r="AU590" s="30"/>
      <c r="AV590" s="558" t="b">
        <f t="shared" si="136"/>
        <v>0</v>
      </c>
      <c r="AW590" s="559" t="b">
        <f t="shared" si="137"/>
        <v>0</v>
      </c>
      <c r="AX590" s="30"/>
      <c r="AY590" s="585" t="b">
        <f t="shared" si="138"/>
        <v>0</v>
      </c>
      <c r="AZ590" s="571" t="b">
        <f>AR590&gt;100%</f>
        <v>0</v>
      </c>
      <c r="BA590" s="30"/>
      <c r="BB590" s="569" t="s">
        <v>481</v>
      </c>
      <c r="BC590" s="570">
        <f>AR585*AR588/1000*(1-AR592)</f>
        <v>0</v>
      </c>
      <c r="BD590" s="571">
        <f>BC590</f>
        <v>0</v>
      </c>
      <c r="BE590" s="572">
        <f>BC590</f>
        <v>0</v>
      </c>
      <c r="BF590" s="30"/>
      <c r="BG590" s="30"/>
      <c r="BH590" s="30"/>
      <c r="BI590" s="30"/>
      <c r="BJ590" s="30"/>
      <c r="BK590" s="30"/>
      <c r="BL590" s="30"/>
      <c r="BM590" s="30"/>
      <c r="BN590" s="30"/>
      <c r="BO590" s="30"/>
      <c r="BP590" s="30"/>
      <c r="BQ590" s="30"/>
      <c r="BR590" s="30"/>
      <c r="BS590" s="30"/>
      <c r="BT590" s="30"/>
      <c r="BU590" s="30"/>
      <c r="BV590" s="30"/>
      <c r="BW590" s="30"/>
      <c r="BX590" s="30"/>
      <c r="BY590" s="30"/>
      <c r="BZ590" s="544" t="b">
        <f>OR(BZ585,Y590=EUconst_NA)</f>
        <v>1</v>
      </c>
    </row>
    <row r="591" spans="1:78" s="140" customFormat="1" ht="12.75" customHeight="1" thickBot="1" x14ac:dyDescent="0.25">
      <c r="A591" s="777"/>
      <c r="B591" s="1248"/>
      <c r="C591" s="783" t="s">
        <v>324</v>
      </c>
      <c r="D591" s="503" t="str">
        <f>Translations!$B$640</f>
        <v>Anglies kiekis (C):</v>
      </c>
      <c r="E591" s="504"/>
      <c r="F591" s="539"/>
      <c r="G591" s="1603" t="str">
        <f t="shared" si="133"/>
        <v/>
      </c>
      <c r="H591" s="1604"/>
      <c r="I591" s="1113" t="str">
        <f>AJ591</f>
        <v/>
      </c>
      <c r="J591" s="577"/>
      <c r="K591" s="578" t="str">
        <f t="shared" si="134"/>
        <v/>
      </c>
      <c r="L591" s="579"/>
      <c r="M591" s="700" t="str">
        <f>IF(AND(E576&lt;&gt;"",OR(F591="",COUNT(K591:L591)=0),Y591&lt;&gt;EUconst_NA,T576&lt;&gt;TRUE),EUconst_ERR_Incomplete,IF(COUNTIF(AX591:AZ591,TRUE)&gt;0,EUconst_ERR_Inconsistent,""))</f>
        <v/>
      </c>
      <c r="O591" s="1305"/>
      <c r="P591" s="33"/>
      <c r="Q591" s="33"/>
      <c r="R591" s="33"/>
      <c r="S591" s="30"/>
      <c r="T591" s="543" t="str">
        <f>EUconst_CNTR_CarbonContent&amp;E576</f>
        <v>CarbC_</v>
      </c>
      <c r="U591" s="488"/>
      <c r="V591" s="544" t="str">
        <f t="shared" si="139"/>
        <v/>
      </c>
      <c r="W591" s="30"/>
      <c r="X591" s="488"/>
      <c r="Y591" s="545" t="str">
        <f>IF(OR(T576=TRUE,E576=""),"",INDEX(EUwideConstants!$N:$N,MATCH(T591,EUwideConstants!$Q:$Q,0)))</f>
        <v/>
      </c>
      <c r="Z591" s="546" t="str">
        <f>IF(ISBLANK(F591),"",IF(F591=EUconst_NA,"",INDEX(EUwideConstants!$H:$M,MATCH(T591,EUwideConstants!$Q:$Q,0),MATCH(F591,CNTR_TierList,0))))</f>
        <v/>
      </c>
      <c r="AA591" s="580" t="str">
        <f>IF(COUNTIF(EUconst_DefaultValues,Z591)&gt;0,MATCH(Z591,EUconst_DefaultValues,0),"")</f>
        <v/>
      </c>
      <c r="AB591" s="30"/>
      <c r="AC591" s="548" t="b">
        <f>AND(AC585,Y591&lt;&gt;EUconst_NA)</f>
        <v>0</v>
      </c>
      <c r="AD591" s="30"/>
      <c r="AE591" s="549" t="str">
        <f>EUconst_CNTR_CarbonContent&amp;EUconst_Unit</f>
        <v>CarbC_Vienetas</v>
      </c>
      <c r="AF591" s="550" t="str">
        <f>IF(AC591=TRUE, IF(COUNTIF(MSPara_SourceStreamCategory,V591)=0,"",INDEX(MSPara_CalcFactorsMatrix,MATCH(V591,MSPara_SourceStreamCategory,0),MATCH(AE591&amp;"_"&amp;2,MSPara_CalcFactors,0))),"")</f>
        <v/>
      </c>
      <c r="AG591" s="551" t="str">
        <f>IF(AC591=TRUE, IF(COUNTIF(MSPara_SourceStreamCategory,V591)=0,"",INDEX(MSPara_CalcFactorsMatrix,MATCH(V591,MSPara_SourceStreamCategory,0),MATCH(AE591&amp;"_"&amp;1,MSPara_CalcFactors,0))),"")</f>
        <v/>
      </c>
      <c r="AH591" s="581" t="str">
        <f>IF(AA591="","",INDEX(AF591:AG591,3-AA591))</f>
        <v/>
      </c>
      <c r="AI591" s="565"/>
      <c r="AJ591" s="582" t="str">
        <f>IF(AC591=TRUE,IF(AJ585="","",IF(AJ585=EUconst_kNm3,EUconst_tCpkNm3,EUconst_tCpt)),"")</f>
        <v/>
      </c>
      <c r="AK591" s="566"/>
      <c r="AL591" s="333"/>
      <c r="AM591" s="549" t="str">
        <f>EUconst_CNTR_CarbonContent&amp;EUconst_Value</f>
        <v>CarbC_Vertė</v>
      </c>
      <c r="AN591" s="555" t="str">
        <f>IF(AC591=TRUE,IF(COUNTIF(MSPara_SourceStreamCategory,V591)=0,"",INDEX(MSPara_CalcFactorsMatrix,MATCH(V591,MSPara_SourceStreamCategory,0),MATCH(AM591&amp;"_"&amp;2,MSPara_CalcFactors,0))),"")</f>
        <v/>
      </c>
      <c r="AO591" s="583" t="str">
        <f>IF(AC591=TRUE,IF(COUNTIF(MSPara_SourceStreamCategory,V591)=0,"",INDEX(MSPara_CalcFactorsMatrix,MATCH(V591,MSPara_SourceStreamCategory,0),MATCH(AM591&amp;"_"&amp;1,MSPara_CalcFactors,0))),"")</f>
        <v/>
      </c>
      <c r="AP591" s="548" t="b">
        <f>AND(AND(AH591&lt;&gt;"",AJ591&lt;&gt;""),AJ591=AH591)</f>
        <v>0</v>
      </c>
      <c r="AQ591" s="584" t="str">
        <f>IF(AND(AA591&lt;&gt;"",AP591=TRUE),IF(OR(INDEX(AN591:AO591,3-AA591)=EUconst_NA,INDEX(AN591:AO591,3-AA591)=0),"",INDEX(AN591:AO591,3-AA591)),"")</f>
        <v/>
      </c>
      <c r="AR591" s="548">
        <f>IF(AC591=TRUE,IF(COUNT(K591:L591)=0,0,IF(L591="",K591,L591)),0)</f>
        <v>0</v>
      </c>
      <c r="AS591" s="544" t="b">
        <f>AND(AC591=TRUE,OR(AND(F591&lt;&gt;"",NOT(ISNUMBER(AA591))),L591&lt;&gt;"",F591="",AQ591=""))</f>
        <v>0</v>
      </c>
      <c r="AT591" s="544" t="b">
        <f t="shared" si="135"/>
        <v>0</v>
      </c>
      <c r="AU591" s="30"/>
      <c r="AV591" s="558" t="b">
        <f t="shared" si="136"/>
        <v>0</v>
      </c>
      <c r="AW591" s="559" t="b">
        <f t="shared" si="137"/>
        <v>0</v>
      </c>
      <c r="AX591" s="537" t="b">
        <f>OR(AND(AJ585=EUconst_kNm3,AJ591=EUconst_tCpt),AND(AJ585=EUconst_t,AJ591=EUconst_tCpkNm3))</f>
        <v>0</v>
      </c>
      <c r="AY591" s="544" t="b">
        <f t="shared" si="138"/>
        <v>0</v>
      </c>
      <c r="AZ591" s="30"/>
      <c r="BA591" s="30"/>
      <c r="BB591" s="569" t="s">
        <v>482</v>
      </c>
      <c r="BC591" s="570">
        <f>AR585*AR588/1000*AR592</f>
        <v>0</v>
      </c>
      <c r="BD591" s="571">
        <f>BC591</f>
        <v>0</v>
      </c>
      <c r="BE591" s="572">
        <f>BC591</f>
        <v>0</v>
      </c>
      <c r="BF591" s="30"/>
      <c r="BG591" s="30"/>
      <c r="BH591" s="30"/>
      <c r="BI591" s="30"/>
      <c r="BJ591" s="30"/>
      <c r="BK591" s="30"/>
      <c r="BL591" s="30"/>
      <c r="BM591" s="30"/>
      <c r="BN591" s="30"/>
      <c r="BO591" s="30"/>
      <c r="BP591" s="30"/>
      <c r="BQ591" s="30"/>
      <c r="BR591" s="30"/>
      <c r="BS591" s="30"/>
      <c r="BT591" s="30"/>
      <c r="BU591" s="30"/>
      <c r="BV591" s="30"/>
      <c r="BW591" s="30"/>
      <c r="BX591" s="30"/>
      <c r="BY591" s="30"/>
      <c r="BZ591" s="544" t="b">
        <f>OR(BZ585,Y591=EUconst_NA)</f>
        <v>1</v>
      </c>
    </row>
    <row r="592" spans="1:78" s="140" customFormat="1" ht="12.75" customHeight="1" x14ac:dyDescent="0.2">
      <c r="A592" s="777"/>
      <c r="B592" s="1248"/>
      <c r="C592" s="753" t="s">
        <v>325</v>
      </c>
      <c r="D592" s="503" t="str">
        <f>Translations!$B$641</f>
        <v>Biomasės dalis (BioC):</v>
      </c>
      <c r="E592" s="504"/>
      <c r="F592" s="539"/>
      <c r="G592" s="1603" t="str">
        <f t="shared" si="133"/>
        <v/>
      </c>
      <c r="H592" s="1604"/>
      <c r="I592" s="1113" t="str">
        <f>IF(OR(AC592=FALSE,Y592=EUconst_NA),"","-")</f>
        <v/>
      </c>
      <c r="J592" s="560"/>
      <c r="K592" s="561" t="str">
        <f t="shared" si="134"/>
        <v/>
      </c>
      <c r="L592" s="694"/>
      <c r="M592" s="700" t="str">
        <f>IF(AND(E576&lt;&gt;"",OR(F592="",COUNT(K592:L592)=0),Y592&lt;&gt;EUconst_NA,T576&lt;&gt;TRUE),EUconst_ERR_Incomplete,IF(COUNTIF(AX592:AZ592,TRUE)&gt;0,EUconst_ERR_Inconsistent,""))</f>
        <v/>
      </c>
      <c r="O592" s="1305"/>
      <c r="P592" s="635"/>
      <c r="Q592" s="635"/>
      <c r="R592" s="635"/>
      <c r="S592" s="30"/>
      <c r="T592" s="543" t="str">
        <f>EUconst_CNTR_BiomassContent&amp;E576</f>
        <v>BioC_</v>
      </c>
      <c r="U592" s="488"/>
      <c r="V592" s="585" t="str">
        <f t="shared" si="139"/>
        <v/>
      </c>
      <c r="W592" s="522" t="str">
        <f>IF(COUNTIF(MSPara_SourceStreamCategory,V592)=0,"",INDEX(MSPara_IsFossil,MATCH(V592,MSPara_SourceStreamCategory,0)))</f>
        <v/>
      </c>
      <c r="X592" s="488"/>
      <c r="Y592" s="545" t="str">
        <f>IF(OR(T576=TRUE,E576=""),"",IF(OR(W592=TRUE,F592=EUconst_NA),EUconst_NA,INDEX(EUwideConstants!$N:$N,MATCH(T592,EUwideConstants!$Q:$Q,0))))</f>
        <v/>
      </c>
      <c r="Z592" s="546" t="str">
        <f>IF(ISBLANK(F592),"",IF(F592=EUconst_NA,"",INDEX(EUwideConstants!$H:$M,MATCH(T592,EUwideConstants!$Q:$Q,0),MATCH(F592,CNTR_TierList,0))))</f>
        <v/>
      </c>
      <c r="AA592" s="586" t="str">
        <f>IF(F592=1,1,"")</f>
        <v/>
      </c>
      <c r="AB592" s="30"/>
      <c r="AC592" s="548" t="b">
        <f>AND(AC585,Y592&lt;&gt;EUconst_NA)</f>
        <v>0</v>
      </c>
      <c r="AD592" s="30"/>
      <c r="AE592" s="563"/>
      <c r="AG592" s="564"/>
      <c r="AH592" s="553"/>
      <c r="AI592" s="565"/>
      <c r="AJ592" s="553"/>
      <c r="AK592" s="566"/>
      <c r="AL592" s="333"/>
      <c r="AM592" s="549" t="str">
        <f>EUconst_CNTR_BiomassContent&amp;EUconst_Value</f>
        <v>BioC_Vertė</v>
      </c>
      <c r="AO592" s="587" t="str">
        <f>IF(AC592=TRUE,IF(COUNTIF(MSPara_SourceStreamCategory,V592)=0,"",INDEX(MSPara_CalcFactorsMatrix,MATCH(V592,MSPara_SourceStreamCategory,0),MATCH(AM592&amp;"_"&amp;2,MSPara_CalcFactors,0))),"")</f>
        <v/>
      </c>
      <c r="AP592" s="553"/>
      <c r="AQ592" s="568" t="str">
        <f>IF(OR(AA592="",AO592=EUconst_NA),"",AO592)</f>
        <v/>
      </c>
      <c r="AR592" s="548">
        <f>IF(AC592=TRUE,IF(COUNT(K592:L592)=0,0,IF(L592="",K592,L592)),0)</f>
        <v>0</v>
      </c>
      <c r="AS592" s="544" t="b">
        <f>AND(AC592=TRUE,OR(AND(F592&lt;&gt;"",NOT(ISNUMBER(AA592))),L592&lt;&gt;"",F592="",AQ592=""))</f>
        <v>0</v>
      </c>
      <c r="AT592" s="544" t="b">
        <f t="shared" si="135"/>
        <v>0</v>
      </c>
      <c r="AU592" s="30"/>
      <c r="AV592" s="558" t="b">
        <f t="shared" si="136"/>
        <v>0</v>
      </c>
      <c r="AW592" s="559" t="b">
        <f t="shared" si="137"/>
        <v>0</v>
      </c>
      <c r="AX592" s="30"/>
      <c r="AY592" s="585" t="b">
        <f t="shared" si="138"/>
        <v>0</v>
      </c>
      <c r="AZ592" s="522" t="b">
        <f>OR(AR592&gt;100%,(AR592+AR593)&gt;100%)</f>
        <v>0</v>
      </c>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544" t="b">
        <f>OR(BZ585,Y592=EUconst_NA)</f>
        <v>1</v>
      </c>
    </row>
    <row r="593" spans="1:78" s="140" customFormat="1" ht="12.75" customHeight="1" thickBot="1" x14ac:dyDescent="0.25">
      <c r="A593" s="777"/>
      <c r="B593" s="1248"/>
      <c r="C593" s="753" t="s">
        <v>448</v>
      </c>
      <c r="D593" s="503" t="str">
        <f>Translations!$B$647</f>
        <v>Netvarios BioC dalis:</v>
      </c>
      <c r="E593" s="504"/>
      <c r="F593" s="588"/>
      <c r="G593" s="1603" t="str">
        <f t="shared" si="133"/>
        <v/>
      </c>
      <c r="H593" s="1604"/>
      <c r="I593" s="1114" t="str">
        <f>IF(OR(AC593=FALSE,Y593=EUconst_NA),"","-")</f>
        <v/>
      </c>
      <c r="J593" s="560"/>
      <c r="K593" s="589" t="str">
        <f t="shared" si="134"/>
        <v/>
      </c>
      <c r="L593" s="1100"/>
      <c r="M593" s="700" t="str">
        <f>IF(AND(E576&lt;&gt;"",OR(F593="",COUNT(K593:L593)=0),Y593&lt;&gt;EUconst_NA,T576&lt;&gt;TRUE),EUconst_ERR_Incomplete,IF(COUNTIF(AX593:AZ593,TRUE)&gt;0,EUconst_ERR_Inconsistent,""))</f>
        <v/>
      </c>
      <c r="O593" s="1305"/>
      <c r="P593" s="635"/>
      <c r="Q593" s="635"/>
      <c r="R593" s="635"/>
      <c r="S593" s="30"/>
      <c r="T593" s="590" t="str">
        <f>EUconst_CNTR_BiomassContent&amp;E576</f>
        <v>BioC_</v>
      </c>
      <c r="U593" s="488"/>
      <c r="V593" s="570" t="str">
        <f t="shared" si="139"/>
        <v/>
      </c>
      <c r="W593" s="571" t="str">
        <f>IF(COUNTIF(MSPara_SourceStreamCategory,V593)=0,"",INDEX(MSPara_IsFossil,MATCH(V593,MSPara_SourceStreamCategory,0)))</f>
        <v/>
      </c>
      <c r="X593" s="488"/>
      <c r="Y593" s="591" t="str">
        <f>IF(OR(T576=TRUE,E576=""),"",IF(OR(W593=TRUE,F593=EUconst_NA),EUconst_NA,INDEX(EUwideConstants!$N:$N,MATCH(T593,EUwideConstants!$Q:$Q,0))))</f>
        <v/>
      </c>
      <c r="Z593" s="592" t="str">
        <f>IF(ISBLANK(F593),"",IF(F593=EUconst_NA,"",INDEX(EUwideConstants!$H:$M,MATCH(T593,EUwideConstants!$Q:$Q,0),MATCH(F593,CNTR_TierList,0))))</f>
        <v/>
      </c>
      <c r="AA593" s="593" t="str">
        <f>IF(F593=1,1,"")</f>
        <v/>
      </c>
      <c r="AB593" s="30"/>
      <c r="AC593" s="594" t="b">
        <f>AND(AC585,Y593&lt;&gt;EUconst_NA)</f>
        <v>0</v>
      </c>
      <c r="AD593" s="30"/>
      <c r="AE593" s="595"/>
      <c r="AF593" s="596"/>
      <c r="AG593" s="597"/>
      <c r="AH593" s="598"/>
      <c r="AI593" s="598"/>
      <c r="AJ593" s="598"/>
      <c r="AK593" s="599"/>
      <c r="AL593" s="333"/>
      <c r="AM593" s="600" t="str">
        <f>EUconst_CNTR_BiomassContent&amp;EUconst_Value</f>
        <v>BioC_Vertė</v>
      </c>
      <c r="AN593" s="596"/>
      <c r="AO593" s="601" t="str">
        <f>IF(AC593=TRUE,IF(COUNTIF(MSPara_SourceStreamCategory,V593)=0,"",INDEX(MSPara_CalcFactorsMatrix,MATCH(V593,MSPara_SourceStreamCategory,0),MATCH(AM593&amp;"_"&amp;2,MSPara_CalcFactors,0))),"")</f>
        <v/>
      </c>
      <c r="AP593" s="598"/>
      <c r="AQ593" s="602" t="str">
        <f>IF(OR(AA593="",AO593=EUconst_NA),"",AO593)</f>
        <v/>
      </c>
      <c r="AR593" s="594">
        <f>IF(AC593=TRUE,IF(COUNT(K593:L593)=0,0,IF(L593="",K593,L593)),0)</f>
        <v>0</v>
      </c>
      <c r="AS593" s="603" t="b">
        <f>AND(AC593=TRUE,OR(AND(F593&lt;&gt;"",NOT(ISNUMBER(AA593))),L593&lt;&gt;"",F593="",AQ593=""))</f>
        <v>0</v>
      </c>
      <c r="AT593" s="603" t="b">
        <f t="shared" si="135"/>
        <v>0</v>
      </c>
      <c r="AU593" s="30"/>
      <c r="AV593" s="604" t="b">
        <f t="shared" si="136"/>
        <v>0</v>
      </c>
      <c r="AW593" s="605" t="b">
        <f t="shared" si="137"/>
        <v>0</v>
      </c>
      <c r="AX593" s="30"/>
      <c r="AY593" s="570" t="b">
        <f t="shared" si="138"/>
        <v>0</v>
      </c>
      <c r="AZ593" s="571" t="b">
        <f>OR(AR592&gt;100%,(AR592+AR593)&gt;100%)</f>
        <v>0</v>
      </c>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571" t="b">
        <f>OR(BZ585,Y593=EUconst_NA)</f>
        <v>1</v>
      </c>
    </row>
    <row r="594" spans="1:78" s="140" customFormat="1" ht="5.0999999999999996" customHeight="1" x14ac:dyDescent="0.2">
      <c r="A594" s="777"/>
      <c r="B594" s="1248"/>
      <c r="C594" s="164"/>
      <c r="D594" s="178"/>
      <c r="O594" s="1305"/>
      <c r="P594" s="33"/>
      <c r="Q594" s="33"/>
      <c r="R594" s="33"/>
      <c r="S594" s="172"/>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row>
    <row r="595" spans="1:78" s="140" customFormat="1" ht="12.75" customHeight="1" x14ac:dyDescent="0.2">
      <c r="A595" s="777"/>
      <c r="B595" s="1248"/>
      <c r="C595" s="164"/>
      <c r="D595" s="1629" t="str">
        <f>Translations!$B$674</f>
        <v>Pakopos galioja nuo:</v>
      </c>
      <c r="E595" s="1629"/>
      <c r="F595" s="1630"/>
      <c r="G595" s="1014"/>
      <c r="H595" s="606" t="str">
        <f>Translations!$B$675</f>
        <v>iki:</v>
      </c>
      <c r="I595" s="1014"/>
      <c r="J595" s="1620" t="str">
        <f>Translations!$B$676</f>
        <v>Atliekų katalogo numeris (jeigu taikytina):</v>
      </c>
      <c r="K595" s="1621"/>
      <c r="L595" s="1621"/>
      <c r="M595" s="1622"/>
      <c r="N595" s="1232"/>
      <c r="O595" s="1305"/>
      <c r="P595" s="33"/>
      <c r="Q595" s="33"/>
      <c r="R595" s="33"/>
      <c r="S595" s="1233"/>
      <c r="T595" s="483"/>
      <c r="U595" s="483"/>
      <c r="V595" s="48" t="b">
        <f>IF(V585="",FALSE,INDEX(CNTR_IsWaste,MATCH(V585,MSParameters!$A$218:$A$376,0)))</f>
        <v>0</v>
      </c>
      <c r="W595" s="1233" t="s">
        <v>1689</v>
      </c>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2" t="b">
        <f>BZ585</f>
        <v>1</v>
      </c>
    </row>
    <row r="596" spans="1:78" s="140" customFormat="1" ht="5.0999999999999996" customHeight="1" x14ac:dyDescent="0.2">
      <c r="A596" s="777"/>
      <c r="B596" s="1248"/>
      <c r="C596" s="164"/>
      <c r="D596" s="606"/>
      <c r="E596" s="486"/>
      <c r="F596" s="486"/>
      <c r="G596" s="486"/>
      <c r="H596" s="486"/>
      <c r="I596" s="486"/>
      <c r="J596" s="486"/>
      <c r="K596" s="486"/>
      <c r="L596" s="486"/>
      <c r="M596" s="486"/>
      <c r="N596" s="486"/>
      <c r="O596" s="1305"/>
      <c r="P596" s="33"/>
      <c r="Q596" s="33"/>
      <c r="R596" s="33"/>
      <c r="S596" s="172"/>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row>
    <row r="597" spans="1:78" s="140" customFormat="1" ht="12.75" customHeight="1" x14ac:dyDescent="0.2">
      <c r="A597" s="777"/>
      <c r="B597" s="1248"/>
      <c r="C597" s="164"/>
      <c r="D597" s="486"/>
      <c r="E597" s="486"/>
      <c r="F597" s="486"/>
      <c r="G597" s="486"/>
      <c r="H597" s="486"/>
      <c r="I597" s="486"/>
      <c r="J597" s="486"/>
      <c r="K597" s="486"/>
      <c r="L597" s="486"/>
      <c r="M597" s="606" t="str">
        <f>Translations!$B$677</f>
        <v>Stebėsenos plane šiam sukėlikliui suteiktas identifikatorius:</v>
      </c>
      <c r="N597" s="705"/>
      <c r="O597" s="1305"/>
      <c r="P597" s="33"/>
      <c r="Q597" s="33"/>
      <c r="R597" s="33"/>
      <c r="S597" s="172"/>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2" t="b">
        <f>BZ595</f>
        <v>1</v>
      </c>
    </row>
    <row r="598" spans="1:78" s="140" customFormat="1" ht="5.0999999999999996" customHeight="1" x14ac:dyDescent="0.2">
      <c r="A598" s="784"/>
      <c r="B598" s="1316"/>
      <c r="D598" s="178"/>
      <c r="O598" s="1317"/>
      <c r="P598" s="488"/>
      <c r="Q598" s="488"/>
      <c r="R598" s="488"/>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row>
    <row r="599" spans="1:78" s="140" customFormat="1" x14ac:dyDescent="0.2">
      <c r="A599" s="784"/>
      <c r="B599" s="1316"/>
      <c r="D599" s="1618" t="str">
        <f>Translations!$B$160</f>
        <v>Pastabos:</v>
      </c>
      <c r="E599" s="1619"/>
      <c r="F599" s="1605"/>
      <c r="G599" s="1606"/>
      <c r="H599" s="1606"/>
      <c r="I599" s="1606"/>
      <c r="J599" s="1606"/>
      <c r="K599" s="1606"/>
      <c r="L599" s="1606"/>
      <c r="M599" s="1606"/>
      <c r="N599" s="1607"/>
      <c r="O599" s="1317"/>
      <c r="P599" s="488"/>
      <c r="Q599" s="488"/>
      <c r="R599" s="488"/>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2" t="b">
        <f>BZ595</f>
        <v>1</v>
      </c>
    </row>
    <row r="600" spans="1:78" s="28" customFormat="1" ht="12.75" customHeight="1" thickBot="1" x14ac:dyDescent="0.25">
      <c r="A600" s="777"/>
      <c r="B600" s="1312"/>
      <c r="C600" s="490"/>
      <c r="D600" s="491"/>
      <c r="E600" s="492"/>
      <c r="F600" s="490"/>
      <c r="G600" s="493"/>
      <c r="H600" s="493"/>
      <c r="I600" s="493"/>
      <c r="J600" s="493"/>
      <c r="K600" s="493"/>
      <c r="L600" s="493"/>
      <c r="M600" s="493"/>
      <c r="N600" s="493"/>
      <c r="O600" s="1313"/>
      <c r="P600" s="485"/>
      <c r="Q600" s="485"/>
      <c r="R600" s="485"/>
      <c r="S600" s="58"/>
      <c r="T600" s="58"/>
      <c r="U600" s="489"/>
      <c r="V600" s="58"/>
      <c r="W600" s="58"/>
      <c r="X600" s="489"/>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30"/>
      <c r="BJ600" s="30"/>
      <c r="BK600" s="30"/>
      <c r="BL600" s="58"/>
      <c r="BM600" s="58"/>
      <c r="BN600" s="58"/>
      <c r="BO600" s="58"/>
      <c r="BP600" s="58"/>
      <c r="BQ600" s="58"/>
      <c r="BR600" s="58"/>
      <c r="BS600" s="58"/>
      <c r="BT600" s="58"/>
      <c r="BU600" s="58"/>
      <c r="BV600" s="58"/>
      <c r="BW600" s="58"/>
      <c r="BX600" s="58"/>
      <c r="BY600" s="58"/>
      <c r="BZ600" s="58"/>
    </row>
    <row r="601" spans="1:78" s="28" customFormat="1" ht="12.75" customHeight="1" thickBot="1" x14ac:dyDescent="0.25">
      <c r="A601" s="782"/>
      <c r="B601" s="1312"/>
      <c r="C601" s="486"/>
      <c r="D601" s="178"/>
      <c r="E601" s="487"/>
      <c r="F601" s="486"/>
      <c r="G601" s="478"/>
      <c r="H601" s="478"/>
      <c r="I601" s="478"/>
      <c r="J601" s="478"/>
      <c r="K601" s="486"/>
      <c r="L601" s="478"/>
      <c r="M601" s="478"/>
      <c r="N601" s="478"/>
      <c r="O601" s="1313"/>
      <c r="P601" s="485"/>
      <c r="Q601" s="485"/>
      <c r="R601" s="485"/>
      <c r="S601" s="23"/>
      <c r="T601" s="27" t="str">
        <f>IF(ISBLANK(E602),"",MATCH(E602,CNTR_SourceStreamNames,0))</f>
        <v/>
      </c>
      <c r="U601" s="609" t="str">
        <f>IF(ISBLANK(E602),"",INDEX(B_InstallationDescription!$D$71:$D$145,MATCH(E602,CNTR_SourceStreamNames,0)))</f>
        <v/>
      </c>
      <c r="V601" s="76"/>
      <c r="W601" s="56"/>
      <c r="X601" s="56"/>
      <c r="Y601" s="56"/>
      <c r="Z601" s="58"/>
      <c r="AA601" s="58"/>
      <c r="AB601" s="58"/>
      <c r="AC601" s="58"/>
      <c r="AD601" s="58"/>
      <c r="AE601" s="58"/>
      <c r="AF601" s="58"/>
      <c r="AG601" s="58"/>
      <c r="AH601" s="58"/>
      <c r="AI601" s="58"/>
      <c r="AJ601" s="58"/>
      <c r="AK601" s="482"/>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6"/>
      <c r="BI601" s="56"/>
      <c r="BJ601" s="56"/>
      <c r="BK601" s="56"/>
      <c r="BL601" s="56"/>
      <c r="BM601" s="56"/>
      <c r="BN601" s="56"/>
      <c r="BO601" s="56"/>
      <c r="BP601" s="56"/>
      <c r="BQ601" s="56"/>
      <c r="BR601" s="56"/>
      <c r="BS601" s="56"/>
      <c r="BT601" s="56"/>
      <c r="BU601" s="56"/>
      <c r="BV601" s="56"/>
      <c r="BW601" s="56"/>
      <c r="BX601" s="56"/>
      <c r="BY601" s="56"/>
      <c r="BZ601" s="484" t="s">
        <v>259</v>
      </c>
    </row>
    <row r="602" spans="1:78" s="140" customFormat="1" ht="15" customHeight="1" thickBot="1" x14ac:dyDescent="0.25">
      <c r="A602" s="1302" t="str">
        <f>IF(E602="","","PRINT")</f>
        <v/>
      </c>
      <c r="B602" s="1248"/>
      <c r="C602" s="608">
        <f>C575+1</f>
        <v>21</v>
      </c>
      <c r="D602" s="164"/>
      <c r="E602" s="1610"/>
      <c r="F602" s="1611"/>
      <c r="G602" s="1611"/>
      <c r="H602" s="1611"/>
      <c r="I602" s="1611"/>
      <c r="J602" s="1612"/>
      <c r="K602" s="1623" t="str">
        <f>IF(E603="","",INDEX(EUwideConstants!$F$353:$F$394,MATCH(E603,EUConst_TierActivityListNames,0)))</f>
        <v/>
      </c>
      <c r="L602" s="1624"/>
      <c r="M602" s="494" t="str">
        <f>Translations!$B$665</f>
        <v>CO2, iškastinio kuro kilmės:</v>
      </c>
      <c r="N602" s="1012" t="str">
        <f>IF(OR(K602="",T603=TRUE),"",INDEX(BC616:BE616,MATCH(K602,BC612:BE612,0)))</f>
        <v/>
      </c>
      <c r="O602" s="1314" t="s">
        <v>257</v>
      </c>
      <c r="P602" s="1303" t="str">
        <f>IF(AND(E602&lt;&gt;"",COUNTIF(P603:$P$2089,"PRINT")=0),"PRINT","")</f>
        <v/>
      </c>
      <c r="Q602" s="343" t="str">
        <f>EUconst_SumCO2 &amp; "_" &amp; K602</f>
        <v>SUM_CO2_</v>
      </c>
      <c r="R602" s="485"/>
      <c r="S602" s="23"/>
      <c r="T602" s="500" t="s">
        <v>387</v>
      </c>
      <c r="U602" s="23"/>
      <c r="V602" s="76"/>
      <c r="W602" s="56"/>
      <c r="X602" s="58"/>
      <c r="Y602" s="58"/>
      <c r="Z602" s="58"/>
      <c r="AA602" s="58"/>
      <c r="AB602" s="58"/>
      <c r="AC602" s="58"/>
      <c r="AD602" s="58"/>
      <c r="AE602" s="58"/>
      <c r="AF602" s="58"/>
      <c r="AG602" s="58"/>
      <c r="AH602" s="58"/>
      <c r="AI602" s="333"/>
      <c r="AJ602" s="333"/>
      <c r="AK602" s="333"/>
      <c r="AL602" s="333"/>
      <c r="AM602" s="333"/>
      <c r="AN602" s="333"/>
      <c r="AO602" s="333"/>
      <c r="AP602" s="333"/>
      <c r="AQ602" s="333"/>
      <c r="AR602" s="333"/>
      <c r="AS602" s="333"/>
      <c r="AT602" s="333"/>
      <c r="AU602" s="333"/>
      <c r="AV602" s="333"/>
      <c r="AW602" s="333"/>
      <c r="AX602" s="333"/>
      <c r="AY602" s="333"/>
      <c r="AZ602" s="333"/>
      <c r="BA602" s="333"/>
      <c r="BB602" s="333"/>
      <c r="BC602" s="333"/>
      <c r="BD602" s="333"/>
      <c r="BE602" s="333"/>
      <c r="BF602" s="333"/>
      <c r="BG602" s="333"/>
      <c r="BH602" s="834">
        <f>AR612</f>
        <v>0</v>
      </c>
      <c r="BI602" s="834" t="str">
        <f>AJ612</f>
        <v/>
      </c>
      <c r="BJ602" s="834">
        <f>AR614</f>
        <v>0</v>
      </c>
      <c r="BK602" s="834" t="str">
        <f>AJ614</f>
        <v/>
      </c>
      <c r="BL602" s="834">
        <f>AR615</f>
        <v>0</v>
      </c>
      <c r="BM602" s="834" t="str">
        <f>AJ615</f>
        <v/>
      </c>
      <c r="BN602" s="834">
        <f>AR616</f>
        <v>1</v>
      </c>
      <c r="BO602" s="834">
        <f>AR617</f>
        <v>1</v>
      </c>
      <c r="BP602" s="834">
        <f>AR618</f>
        <v>0</v>
      </c>
      <c r="BQ602" s="834" t="str">
        <f>AJ618</f>
        <v/>
      </c>
      <c r="BR602" s="834">
        <f>AR619</f>
        <v>0</v>
      </c>
      <c r="BS602" s="834">
        <f>AR620</f>
        <v>0</v>
      </c>
      <c r="BT602" s="834" t="str">
        <f>N602</f>
        <v/>
      </c>
      <c r="BU602" s="834" t="str">
        <f>N603</f>
        <v/>
      </c>
      <c r="BV602" s="834" t="str">
        <f>R605</f>
        <v/>
      </c>
      <c r="BW602" s="834" t="str">
        <f>R611</f>
        <v/>
      </c>
      <c r="BX602" s="834" t="str">
        <f>R612</f>
        <v/>
      </c>
      <c r="BY602" s="56"/>
      <c r="BZ602" s="610" t="b">
        <f>CNTR_CalcRelevant=EUconst_NotRelevant</f>
        <v>0</v>
      </c>
    </row>
    <row r="603" spans="1:78" s="140" customFormat="1" ht="15" customHeight="1" thickBot="1" x14ac:dyDescent="0.25">
      <c r="A603" s="777"/>
      <c r="B603" s="1248"/>
      <c r="C603" s="164"/>
      <c r="D603" s="164"/>
      <c r="E603" s="1625" t="str">
        <f>IF(ISBLANK(E602),"",IF(INDEX(B_InstallationDescription!$E$71:$E$145,MATCH(U601,B_InstallationDescription!$D$71:$D$145,0))&gt;0,INDEX(B_InstallationDescription!$E$71:$E$145,MATCH(U601,B_InstallationDescription!$D$71:$D$145,0)),""))</f>
        <v/>
      </c>
      <c r="F603" s="1626"/>
      <c r="G603" s="1626"/>
      <c r="H603" s="1626"/>
      <c r="I603" s="1626"/>
      <c r="J603" s="1627"/>
      <c r="M603" s="337" t="str">
        <f>Translations!$B$666</f>
        <v>CO2, biomasės kilmės.:</v>
      </c>
      <c r="N603" s="1013" t="str">
        <f>IF(OR(K602="",T603=TRUE),"",INDEX(BC615:BE615,MATCH(K602,BC612:BE612,0)))</f>
        <v/>
      </c>
      <c r="O603" s="1315" t="s">
        <v>257</v>
      </c>
      <c r="P603" s="485"/>
      <c r="Q603" s="343" t="str">
        <f>EUconst_SumBioCO2 &amp; "_" &amp; K602</f>
        <v>SUM_bioCO2_</v>
      </c>
      <c r="R603" s="485"/>
      <c r="S603" s="23"/>
      <c r="T603" s="48" t="str">
        <f>IF(E603="","",MATCH(E603,EUConst_TierActivityListNames,0)&gt;40)</f>
        <v/>
      </c>
      <c r="U603" s="23"/>
      <c r="V603" s="76"/>
      <c r="W603" s="56"/>
      <c r="X603" s="58"/>
      <c r="Y603" s="27" t="s">
        <v>91</v>
      </c>
      <c r="Z603" s="30"/>
      <c r="AA603" s="30"/>
      <c r="AB603" s="30"/>
      <c r="AC603" s="30"/>
      <c r="AD603" s="30"/>
      <c r="AE603" s="27" t="s">
        <v>297</v>
      </c>
      <c r="AF603" s="58"/>
      <c r="AG603" s="495"/>
      <c r="AH603" s="30"/>
      <c r="AI603" s="30"/>
      <c r="AJ603" s="495"/>
      <c r="AK603" s="495"/>
      <c r="AL603" s="333"/>
      <c r="AM603" s="27" t="s">
        <v>303</v>
      </c>
      <c r="AN603" s="496"/>
      <c r="AO603" s="496"/>
      <c r="AP603" s="30"/>
      <c r="AQ603" s="30"/>
      <c r="AR603" s="30"/>
      <c r="AS603" s="30"/>
      <c r="AT603" s="30"/>
      <c r="AU603" s="30"/>
      <c r="AV603" s="27" t="s">
        <v>310</v>
      </c>
      <c r="AW603" s="30"/>
      <c r="AX603" s="483"/>
      <c r="AY603" s="30"/>
      <c r="AZ603" s="30"/>
      <c r="BA603" s="30"/>
      <c r="BB603" s="27" t="s">
        <v>217</v>
      </c>
      <c r="BC603" s="30"/>
      <c r="BD603" s="30"/>
      <c r="BE603" s="30"/>
      <c r="BF603" s="30"/>
      <c r="BG603" s="27" t="s">
        <v>486</v>
      </c>
      <c r="BH603" s="833" t="s">
        <v>552</v>
      </c>
      <c r="BI603" s="833" t="s">
        <v>487</v>
      </c>
      <c r="BJ603" s="833" t="s">
        <v>211</v>
      </c>
      <c r="BK603" s="833" t="s">
        <v>488</v>
      </c>
      <c r="BL603" s="833" t="s">
        <v>68</v>
      </c>
      <c r="BM603" s="833" t="s">
        <v>489</v>
      </c>
      <c r="BN603" s="833" t="s">
        <v>490</v>
      </c>
      <c r="BO603" s="833" t="s">
        <v>491</v>
      </c>
      <c r="BP603" s="833" t="s">
        <v>214</v>
      </c>
      <c r="BQ603" s="833" t="s">
        <v>492</v>
      </c>
      <c r="BR603" s="833" t="s">
        <v>493</v>
      </c>
      <c r="BS603" s="833" t="s">
        <v>494</v>
      </c>
      <c r="BT603" s="833" t="s">
        <v>287</v>
      </c>
      <c r="BU603" s="833" t="s">
        <v>495</v>
      </c>
      <c r="BV603" s="833" t="s">
        <v>498</v>
      </c>
      <c r="BW603" s="833" t="s">
        <v>496</v>
      </c>
      <c r="BX603" s="833" t="s">
        <v>497</v>
      </c>
      <c r="BY603" s="30"/>
      <c r="BZ603" s="30"/>
    </row>
    <row r="604" spans="1:78" s="140" customFormat="1" ht="5.0999999999999996" customHeight="1" thickBot="1" x14ac:dyDescent="0.25">
      <c r="A604" s="777"/>
      <c r="B604" s="1248"/>
      <c r="C604" s="164"/>
      <c r="D604" s="164"/>
      <c r="E604" s="164"/>
      <c r="F604" s="164"/>
      <c r="G604" s="164"/>
      <c r="M604" s="141"/>
      <c r="N604" s="141"/>
      <c r="O604" s="1305"/>
      <c r="P604" s="33"/>
      <c r="Q604" s="33"/>
      <c r="R604" s="33"/>
      <c r="S604" s="23"/>
      <c r="T604" s="23"/>
      <c r="U604" s="23"/>
      <c r="V604" s="76"/>
      <c r="W604" s="30"/>
      <c r="X604" s="30"/>
      <c r="Y604" s="485"/>
      <c r="Z604" s="30"/>
      <c r="AA604" s="30"/>
      <c r="AB604" s="30"/>
      <c r="AC604" s="30"/>
      <c r="AD604" s="30"/>
      <c r="AE604" s="30"/>
      <c r="AF604" s="58"/>
      <c r="AG604" s="30"/>
      <c r="AH604" s="30"/>
      <c r="AI604" s="30"/>
      <c r="AJ604" s="495"/>
      <c r="AK604" s="495"/>
      <c r="AL604" s="333"/>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row>
    <row r="605" spans="1:78" s="140" customFormat="1" ht="12.75" customHeight="1" thickBot="1" x14ac:dyDescent="0.25">
      <c r="A605" s="777"/>
      <c r="B605" s="1248"/>
      <c r="C605" s="164"/>
      <c r="D605" s="164"/>
      <c r="E605" s="1628" t="str">
        <f>IF(E602="","",IF(T603=TRUE,HYPERLINK("#JUMP_14",EUconst_MsgGoOnPFC),HYPERLINK("#JUMP_E_8",EUconst_FurtherGuidancePoint1)))</f>
        <v/>
      </c>
      <c r="F605" s="1628"/>
      <c r="G605" s="1628"/>
      <c r="H605" s="1628"/>
      <c r="I605" s="1628"/>
      <c r="J605" s="1628"/>
      <c r="K605" s="1628"/>
      <c r="L605" s="1628"/>
      <c r="M605" s="1628"/>
      <c r="N605" s="141"/>
      <c r="O605" s="1305"/>
      <c r="P605" s="33"/>
      <c r="Q605" s="343" t="str">
        <f>EUconst_SumNonSustBioCO2 &amp; "_" &amp; K602</f>
        <v>SUM_bioNonSustCO2_</v>
      </c>
      <c r="R605" s="698" t="str">
        <f>IF(OR(K602="",T603=TRUE),"",ROUND(INDEX(BC614:BE614,MATCH(K602,BC612:BE612,0)),0))</f>
        <v/>
      </c>
      <c r="S605" s="23"/>
      <c r="T605" s="23"/>
      <c r="U605" s="23"/>
      <c r="V605" s="30"/>
      <c r="W605" s="30"/>
      <c r="X605" s="30"/>
      <c r="Y605" s="58"/>
      <c r="Z605" s="30"/>
      <c r="AA605" s="30"/>
      <c r="AB605" s="30"/>
      <c r="AC605" s="30"/>
      <c r="AD605" s="30"/>
      <c r="AE605" s="30"/>
      <c r="AF605" s="58"/>
      <c r="AG605" s="30"/>
      <c r="AH605" s="30"/>
      <c r="AI605" s="30"/>
      <c r="AJ605" s="495"/>
      <c r="AK605" s="495"/>
      <c r="AL605" s="333"/>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row>
    <row r="606" spans="1:78" s="140" customFormat="1" ht="5.0999999999999996" customHeight="1" thickBot="1" x14ac:dyDescent="0.25">
      <c r="A606" s="777"/>
      <c r="B606" s="1248"/>
      <c r="C606" s="164"/>
      <c r="D606" s="164"/>
      <c r="E606" s="164"/>
      <c r="F606" s="164"/>
      <c r="G606" s="164"/>
      <c r="M606" s="141"/>
      <c r="N606" s="141"/>
      <c r="O606" s="1305"/>
      <c r="P606" s="23"/>
      <c r="Q606" s="23"/>
      <c r="R606" s="23"/>
      <c r="S606" s="23"/>
      <c r="T606" s="23"/>
      <c r="U606" s="23"/>
      <c r="V606" s="30"/>
      <c r="W606" s="30"/>
      <c r="X606" s="30"/>
      <c r="Y606" s="485"/>
      <c r="Z606" s="30"/>
      <c r="AA606" s="30"/>
      <c r="AB606" s="30"/>
      <c r="AC606" s="30"/>
      <c r="AD606" s="30"/>
      <c r="AE606" s="30"/>
      <c r="AF606" s="58"/>
      <c r="AG606" s="30"/>
      <c r="AH606" s="30"/>
      <c r="AI606" s="30"/>
      <c r="AJ606" s="495"/>
      <c r="AK606" s="495"/>
      <c r="AL606" s="333"/>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row>
    <row r="607" spans="1:78" s="140" customFormat="1" ht="12.75" customHeight="1" thickBot="1" x14ac:dyDescent="0.25">
      <c r="A607" s="777"/>
      <c r="B607" s="1248"/>
      <c r="C607" s="783" t="s">
        <v>4</v>
      </c>
      <c r="D607" s="503" t="str">
        <f>Translations!$B$622</f>
        <v>VD:</v>
      </c>
      <c r="E607" s="1631" t="str">
        <f>Translations!$B$667</f>
        <v>Ar veiklos duomenys gaunami sudedant išmatuotus kiekius (t. y. ne atliekant nuolatinius matavimus)?</v>
      </c>
      <c r="F607" s="1631"/>
      <c r="G607" s="1631"/>
      <c r="H607" s="1631"/>
      <c r="I607" s="1631"/>
      <c r="J607" s="1631"/>
      <c r="K607" s="1631"/>
      <c r="L607" s="1122"/>
      <c r="M607" s="498"/>
      <c r="O607" s="1305"/>
      <c r="P607" s="23"/>
      <c r="Q607" s="23"/>
      <c r="R607" s="23"/>
      <c r="S607" s="23"/>
      <c r="T607" s="23"/>
      <c r="U607" s="23"/>
      <c r="V607" s="30"/>
      <c r="W607" s="30"/>
      <c r="X607" s="30"/>
      <c r="Y607" s="485"/>
      <c r="Z607" s="30"/>
      <c r="AA607" s="30"/>
      <c r="AB607" s="30"/>
      <c r="AC607" s="1115" t="b">
        <f>AND(E602&lt;&gt;"",T603&lt;&gt;TRUE)</f>
        <v>0</v>
      </c>
      <c r="AD607" s="30"/>
      <c r="AE607" s="30"/>
      <c r="AF607" s="58"/>
      <c r="AG607" s="30"/>
      <c r="AH607" s="30"/>
      <c r="AI607" s="30"/>
      <c r="AJ607" s="495"/>
      <c r="AK607" s="495"/>
      <c r="AL607" s="333"/>
      <c r="AM607" s="30"/>
      <c r="AN607" s="30"/>
      <c r="AO607" s="30"/>
      <c r="AP607" s="30"/>
      <c r="AQ607" s="30"/>
      <c r="AR607" s="30"/>
      <c r="AS607" s="30"/>
      <c r="AT607" s="1115" t="b">
        <f>MSPara_BatchReportingMandatory&lt;&gt;TRUE</f>
        <v>0</v>
      </c>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1115" t="b">
        <f>OR(CNTR_CalcRelevant=EUconst_NotRelevant,AND(COUNTA(CNTR_ListRelevantSections)&gt;0,OR(T603=TRUE,E602="")))</f>
        <v>1</v>
      </c>
    </row>
    <row r="608" spans="1:78" s="140" customFormat="1" ht="5.0999999999999996" customHeight="1" thickBot="1" x14ac:dyDescent="0.25">
      <c r="A608" s="777"/>
      <c r="B608" s="1248"/>
      <c r="C608" s="164"/>
      <c r="D608" s="164"/>
      <c r="E608" s="164"/>
      <c r="F608" s="164"/>
      <c r="G608" s="164"/>
      <c r="H608" s="486"/>
      <c r="I608" s="486"/>
      <c r="J608" s="486"/>
      <c r="K608" s="486"/>
      <c r="L608" s="486"/>
      <c r="M608" s="498"/>
      <c r="O608" s="1305"/>
      <c r="P608" s="23"/>
      <c r="Q608" s="23"/>
      <c r="R608" s="23"/>
      <c r="S608" s="23"/>
      <c r="T608" s="23"/>
      <c r="U608" s="23"/>
      <c r="V608" s="30"/>
      <c r="W608" s="30"/>
      <c r="X608" s="30"/>
      <c r="Y608" s="485"/>
      <c r="Z608" s="30"/>
      <c r="AA608" s="30"/>
      <c r="AB608" s="30"/>
      <c r="AC608" s="483"/>
      <c r="AD608" s="30"/>
      <c r="AE608" s="30"/>
      <c r="AF608" s="58"/>
      <c r="AG608" s="30"/>
      <c r="AH608" s="30"/>
      <c r="AI608" s="30"/>
      <c r="AJ608" s="495"/>
      <c r="AK608" s="495"/>
      <c r="AL608" s="333"/>
      <c r="AM608" s="30"/>
      <c r="AN608" s="30"/>
      <c r="AO608" s="30"/>
      <c r="AP608" s="30"/>
      <c r="AQ608" s="30"/>
      <c r="AR608" s="30"/>
      <c r="AS608" s="30"/>
      <c r="AT608" s="483"/>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483"/>
    </row>
    <row r="609" spans="1:78" s="140" customFormat="1" ht="12.75" customHeight="1" thickBot="1" x14ac:dyDescent="0.25">
      <c r="A609" s="777"/>
      <c r="B609" s="1248"/>
      <c r="C609" s="783" t="s">
        <v>5</v>
      </c>
      <c r="D609" s="503" t="str">
        <f>Translations!$B$622</f>
        <v>VD:</v>
      </c>
      <c r="E609" s="1105" t="str">
        <f>Translations!$B$668</f>
        <v>Pradinis kiekis:</v>
      </c>
      <c r="F609" s="1123"/>
      <c r="G609" s="1106" t="str">
        <f>Translations!$B$669</f>
        <v>Galutinis kiekis:</v>
      </c>
      <c r="H609" s="1123"/>
      <c r="I609" s="1106" t="str">
        <f>Translations!$B$670</f>
        <v>Įsigytas kiekis:</v>
      </c>
      <c r="J609" s="1123"/>
      <c r="K609" s="1106" t="str">
        <f>Translations!$B$671</f>
        <v>Perduotas kiekis:</v>
      </c>
      <c r="L609" s="1123"/>
      <c r="M609" s="1107" t="str">
        <f>IF(AND(L607=TRUE,COUNT(F609,H609,J609,L609)&lt;4),EUconst_ERR_Incomplete,"")</f>
        <v/>
      </c>
      <c r="O609" s="1305"/>
      <c r="P609" s="23"/>
      <c r="Q609" s="23"/>
      <c r="R609" s="23"/>
      <c r="S609" s="23"/>
      <c r="T609" s="23"/>
      <c r="U609" s="23"/>
      <c r="V609" s="30"/>
      <c r="W609" s="30"/>
      <c r="X609" s="30"/>
      <c r="Y609" s="485"/>
      <c r="Z609" s="30"/>
      <c r="AA609" s="30"/>
      <c r="AB609" s="30"/>
      <c r="AC609" s="1115" t="b">
        <f>AC607</f>
        <v>0</v>
      </c>
      <c r="AD609" s="30"/>
      <c r="AE609" s="30"/>
      <c r="AF609" s="58"/>
      <c r="AG609" s="30"/>
      <c r="AH609" s="30"/>
      <c r="AI609" s="30"/>
      <c r="AJ609" s="495"/>
      <c r="AK609" s="495"/>
      <c r="AL609" s="333"/>
      <c r="AM609" s="30"/>
      <c r="AN609" s="30"/>
      <c r="AO609" s="30"/>
      <c r="AP609" s="30"/>
      <c r="AQ609" s="30"/>
      <c r="AR609" s="30"/>
      <c r="AS609" s="30"/>
      <c r="AT609" s="1115" t="b">
        <f>AND(AT607=TRUE,L607="")</f>
        <v>0</v>
      </c>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1115" t="b">
        <f>OR(BZ607,AND(NOT(ISBLANK(L607)),L607=FALSE))</f>
        <v>1</v>
      </c>
    </row>
    <row r="610" spans="1:78" s="140" customFormat="1" ht="5.0999999999999996" customHeight="1" thickBot="1" x14ac:dyDescent="0.25">
      <c r="A610" s="777"/>
      <c r="B610" s="1248"/>
      <c r="C610" s="164"/>
      <c r="D610" s="164"/>
      <c r="E610" s="164"/>
      <c r="F610" s="164"/>
      <c r="G610" s="164"/>
      <c r="M610" s="141"/>
      <c r="N610" s="141"/>
      <c r="O610" s="1305"/>
      <c r="P610" s="23"/>
      <c r="Q610" s="23"/>
      <c r="R610" s="23"/>
      <c r="S610" s="23"/>
      <c r="T610" s="23"/>
      <c r="U610" s="23"/>
      <c r="V610" s="30"/>
      <c r="W610" s="30"/>
      <c r="X610" s="30"/>
      <c r="Y610" s="485"/>
      <c r="Z610" s="30"/>
      <c r="AA610" s="30"/>
      <c r="AB610" s="30"/>
      <c r="AC610" s="30"/>
      <c r="AD610" s="30"/>
      <c r="AE610" s="30"/>
      <c r="AF610" s="58"/>
      <c r="AG610" s="30"/>
      <c r="AH610" s="30"/>
      <c r="AI610" s="30"/>
      <c r="AJ610" s="495"/>
      <c r="AK610" s="495"/>
      <c r="AL610" s="333"/>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row>
    <row r="611" spans="1:78" s="140" customFormat="1" ht="12.75" customHeight="1" thickBot="1" x14ac:dyDescent="0.25">
      <c r="A611" s="777"/>
      <c r="B611" s="1248"/>
      <c r="C611" s="164"/>
      <c r="D611" s="164"/>
      <c r="E611" s="164"/>
      <c r="F611" s="497" t="str">
        <f>Translations!$B$333</f>
        <v>Pakopa</v>
      </c>
      <c r="G611" s="1613" t="str">
        <f>Translations!$B$672</f>
        <v>pakopos aprašas</v>
      </c>
      <c r="H611" s="1613"/>
      <c r="I611" s="1608" t="str">
        <f>Translations!$B$158</f>
        <v>Vienetas</v>
      </c>
      <c r="J611" s="1608"/>
      <c r="K611" s="1608" t="str">
        <f>Translations!$B$673</f>
        <v>Vertė</v>
      </c>
      <c r="L611" s="1608"/>
      <c r="M611" s="498" t="str">
        <f>Translations!$B$610</f>
        <v>klaida</v>
      </c>
      <c r="O611" s="1305"/>
      <c r="P611" s="499"/>
      <c r="Q611" s="343" t="str">
        <f>EUconst_SumEnergyIN &amp; "_" &amp; K602</f>
        <v>SUM_EnergyIN_</v>
      </c>
      <c r="R611" s="390" t="str">
        <f>IF(OR(K602="",T603)=TRUE,"",INDEX(BC617:BE617,MATCH(K602,BC612:BE612,0)))</f>
        <v/>
      </c>
      <c r="S611" s="30"/>
      <c r="T611" s="480"/>
      <c r="U611" s="30"/>
      <c r="V611" s="500" t="s">
        <v>298</v>
      </c>
      <c r="W611" s="30"/>
      <c r="X611" s="30"/>
      <c r="Y611" s="485" t="s">
        <v>560</v>
      </c>
      <c r="Z611" s="485" t="s">
        <v>313</v>
      </c>
      <c r="AA611" s="30"/>
      <c r="AB611" s="30"/>
      <c r="AC611" s="496" t="s">
        <v>304</v>
      </c>
      <c r="AD611" s="30"/>
      <c r="AE611" s="30"/>
      <c r="AF611" s="483" t="s">
        <v>300</v>
      </c>
      <c r="AG611" s="483" t="s">
        <v>301</v>
      </c>
      <c r="AH611" s="485" t="s">
        <v>299</v>
      </c>
      <c r="AI611" s="495" t="s">
        <v>302</v>
      </c>
      <c r="AJ611" s="495" t="s">
        <v>561</v>
      </c>
      <c r="AK611" s="501" t="s">
        <v>306</v>
      </c>
      <c r="AL611" s="333"/>
      <c r="AM611" s="30"/>
      <c r="AN611" s="483" t="s">
        <v>300</v>
      </c>
      <c r="AO611" s="483" t="s">
        <v>301</v>
      </c>
      <c r="AP611" s="502" t="s">
        <v>305</v>
      </c>
      <c r="AQ611" s="495" t="s">
        <v>563</v>
      </c>
      <c r="AR611" s="495" t="s">
        <v>562</v>
      </c>
      <c r="AS611" s="501" t="s">
        <v>306</v>
      </c>
      <c r="AT611" s="501" t="s">
        <v>306</v>
      </c>
      <c r="AU611" s="30"/>
      <c r="AV611" s="483"/>
      <c r="AW611" s="483"/>
      <c r="AX611" s="483" t="s">
        <v>316</v>
      </c>
      <c r="AY611" s="483"/>
      <c r="AZ611" s="483"/>
      <c r="BA611" s="483"/>
      <c r="BB611" s="483"/>
      <c r="BC611" s="483"/>
      <c r="BD611" s="483"/>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484" t="s">
        <v>259</v>
      </c>
    </row>
    <row r="612" spans="1:78" s="140" customFormat="1" ht="12.75" customHeight="1" thickBot="1" x14ac:dyDescent="0.25">
      <c r="A612" s="777"/>
      <c r="B612" s="1248"/>
      <c r="C612" s="753" t="s">
        <v>194</v>
      </c>
      <c r="D612" s="503" t="str">
        <f>Translations!$B$622</f>
        <v>VD:</v>
      </c>
      <c r="E612" s="504"/>
      <c r="F612" s="393"/>
      <c r="G612" s="1603" t="str">
        <f>IF(OR(ISBLANK(F612),F612=EUconst_NoTier),"",IF(Z612=0,EUconst_NA,IF(ISERROR(Z612),"",Z612)))</f>
        <v/>
      </c>
      <c r="H612" s="1604"/>
      <c r="I612" s="1108" t="str">
        <f>IF(J612&lt;&gt;"","",AI612)</f>
        <v/>
      </c>
      <c r="J612" s="1109"/>
      <c r="K612" s="1116" t="str">
        <f>IF(L612="",AQ612,"")</f>
        <v/>
      </c>
      <c r="L612" s="1199"/>
      <c r="M612" s="700" t="str">
        <f>IF(AND(E603&lt;&gt;"",OR(F612="",COUNT(K612:L612)=0),Y612&lt;&gt;EUconst_NA,T603&lt;&gt;TRUE),EUconst_ERR_Incomplete,IF(COUNTIF(AX612:AZ612,TRUE)&gt;0,EUconst_ERR_Inconsistent,""))</f>
        <v/>
      </c>
      <c r="O612" s="1305"/>
      <c r="P612" s="635"/>
      <c r="Q612" s="343" t="str">
        <f>EUconst_SumBioEnergyIN &amp; "_" &amp; K602</f>
        <v>SUM_BioEnergyIN_</v>
      </c>
      <c r="R612" s="390" t="str">
        <f>IF(OR(K602="",T603)=TRUE,"",INDEX(BC618:BE618,MATCH(K602,BC612:BE612,0)))</f>
        <v/>
      </c>
      <c r="S612" s="30"/>
      <c r="T612" s="505" t="str">
        <f>EUconst_CNTR_ActivityData&amp;E603</f>
        <v>ActivityData_</v>
      </c>
      <c r="U612" s="488"/>
      <c r="V612" s="505" t="str">
        <f>IF(E602="","",INDEX(B_InstallationDescription!$I$71:$I$145,MATCH(U601,B_InstallationDescription!$D$71:$D$145,0)))</f>
        <v/>
      </c>
      <c r="W612" s="495" t="s">
        <v>533</v>
      </c>
      <c r="X612" s="488"/>
      <c r="Y612" s="506" t="str">
        <f>IF(OR(T603=TRUE,E603=""),"",INDEX(EUwideConstants!$N:$N,MATCH(T612,EUwideConstants!$Q:$Q,0)))</f>
        <v/>
      </c>
      <c r="Z612" s="507" t="str">
        <f>IF(ISBLANK(F612),"",IF(F612=EUconst_NA,"",INDEX(EUwideConstants!$H:$M,MATCH(T612,EUwideConstants!$Q:$Q,0),MATCH(F612,CNTR_TierList,0))))</f>
        <v/>
      </c>
      <c r="AA612" s="508" t="s">
        <v>299</v>
      </c>
      <c r="AB612" s="495"/>
      <c r="AC612" s="509" t="b">
        <f>AC607</f>
        <v>0</v>
      </c>
      <c r="AD612" s="30"/>
      <c r="AE612" s="510" t="str">
        <f>EUconst_CNTR_ActivityData&amp;EUconst_Unit</f>
        <v>ActivityData_Vienetas</v>
      </c>
      <c r="AF612" s="511" t="str">
        <f>IF(AC612=TRUE, IF(COUNTIF(MSPara_SourceStreamCategory,V612)=0,"",INDEX(MSPara_CalcFactorsMatrix,MATCH(V612,MSPara_SourceStreamCategory,0),MATCH(AE612&amp;"_"&amp;2,MSPara_CalcFactors,0))),"")</f>
        <v/>
      </c>
      <c r="AG612" s="512" t="str">
        <f>IF(AC612=TRUE, IF(COUNTIF(MSPara_SourceStreamCategory,V612)=0,"",INDEX(MSPara_CalcFactorsMatrix,MATCH(V612,MSPara_SourceStreamCategory,0),MATCH(AE612&amp;"_"&amp;1,MSPara_CalcFactors,0))),"")</f>
        <v/>
      </c>
      <c r="AH612" s="509" t="str">
        <f>IF(OR(AF612="",AF612=EUconst_NA),IF(OR(AG612=EUconst_NA,AG612=""),"",AG612),AF612)</f>
        <v/>
      </c>
      <c r="AI612" s="506" t="str">
        <f>IF(AC612=TRUE,IF(AH612="",EUconst_t,AH612),"")</f>
        <v/>
      </c>
      <c r="AJ612" s="513" t="str">
        <f>IF(J612="",AI612,J612)</f>
        <v/>
      </c>
      <c r="AK612" s="514" t="b">
        <f>IF(K602=EUconst_Fuel,J612&lt;&gt;"",FALSE)</f>
        <v>0</v>
      </c>
      <c r="AL612" s="333"/>
      <c r="AM612" s="505" t="str">
        <f>EUconst_CNTR_ActivityData&amp;EUconst_Value</f>
        <v>ActivityData_Vertė</v>
      </c>
      <c r="AN612" s="496"/>
      <c r="AO612" s="496"/>
      <c r="AP612" s="509" t="b">
        <f>AND(AND(AH612&lt;&gt;"",AJ612&lt;&gt;""),AJ612=AH612)</f>
        <v>0</v>
      </c>
      <c r="AQ612" s="610" t="str">
        <f>IF(L607=TRUE,SUM(F609)-SUM(H609)+SUM(J609)-SUM(L609),"")</f>
        <v/>
      </c>
      <c r="AR612" s="509">
        <f>IF(Y612=EUconst_NA,0,IF(COUNT(K612:L612)=0,0,IF(L612="",K612,L612)))</f>
        <v>0</v>
      </c>
      <c r="AS612" s="1115" t="b">
        <f>AND(AC612=TRUE,OR(L612&lt;&gt;"",AQ612=""))</f>
        <v>0</v>
      </c>
      <c r="AT612" s="1115" t="b">
        <f>AND(AC612=TRUE,NOT(AS612))</f>
        <v>0</v>
      </c>
      <c r="AU612" s="30"/>
      <c r="AV612" s="483" t="s">
        <v>309</v>
      </c>
      <c r="AW612" s="483" t="s">
        <v>314</v>
      </c>
      <c r="AX612" s="515"/>
      <c r="AY612" s="30" t="s">
        <v>536</v>
      </c>
      <c r="AZ612" s="30"/>
      <c r="BA612" s="30"/>
      <c r="BB612" s="495"/>
      <c r="BC612" s="484" t="str">
        <f>EUconst_Fuel</f>
        <v>Degimas</v>
      </c>
      <c r="BD612" s="484" t="str">
        <f>EUconst_ProcessCarbonate</f>
        <v>Proceso metu išsiskiriančios ŠESD</v>
      </c>
      <c r="BE612" s="484" t="str">
        <f>EUconst_MassBalance</f>
        <v>Masės balansas</v>
      </c>
      <c r="BF612" s="30"/>
      <c r="BG612" s="30"/>
      <c r="BH612" s="30"/>
      <c r="BI612" s="30"/>
      <c r="BJ612" s="30"/>
      <c r="BK612" s="30"/>
      <c r="BL612" s="30"/>
      <c r="BM612" s="30"/>
      <c r="BN612" s="30"/>
      <c r="BO612" s="30"/>
      <c r="BP612" s="30"/>
      <c r="BQ612" s="30"/>
      <c r="BR612" s="30"/>
      <c r="BS612" s="30"/>
      <c r="BT612" s="30"/>
      <c r="BU612" s="30"/>
      <c r="BV612" s="30"/>
      <c r="BW612" s="30"/>
      <c r="BX612" s="30"/>
      <c r="BY612" s="30"/>
      <c r="BZ612" s="515" t="b">
        <f>BZ607</f>
        <v>1</v>
      </c>
    </row>
    <row r="613" spans="1:78" s="140" customFormat="1" ht="5.0999999999999996" customHeight="1" thickBot="1" x14ac:dyDescent="0.25">
      <c r="A613" s="777"/>
      <c r="B613" s="1248"/>
      <c r="C613" s="783"/>
      <c r="D613" s="298"/>
      <c r="F613" s="141"/>
      <c r="G613" s="141"/>
      <c r="H613" s="141" t="s">
        <v>233</v>
      </c>
      <c r="I613" s="516"/>
      <c r="J613" s="516"/>
      <c r="K613" s="141"/>
      <c r="L613" s="141"/>
      <c r="M613" s="701"/>
      <c r="O613" s="1305"/>
      <c r="P613" s="33"/>
      <c r="Q613" s="33"/>
      <c r="R613" s="33"/>
      <c r="S613" s="30"/>
      <c r="T613" s="153"/>
      <c r="U613" s="488"/>
      <c r="V613" s="30"/>
      <c r="W613" s="30"/>
      <c r="X613" s="488"/>
      <c r="Y613" s="517"/>
      <c r="Z613" s="30"/>
      <c r="AA613" s="30"/>
      <c r="AB613" s="30"/>
      <c r="AC613" s="30"/>
      <c r="AD613" s="30"/>
      <c r="AE613" s="30"/>
      <c r="AF613" s="30"/>
      <c r="AG613" s="30"/>
      <c r="AH613" s="30"/>
      <c r="AI613" s="30"/>
      <c r="AJ613" s="30"/>
      <c r="AK613" s="30"/>
      <c r="AL613" s="333"/>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484"/>
    </row>
    <row r="614" spans="1:78" s="140" customFormat="1" ht="12.75" customHeight="1" thickBot="1" x14ac:dyDescent="0.25">
      <c r="A614" s="777"/>
      <c r="B614" s="1248"/>
      <c r="C614" s="783" t="s">
        <v>195</v>
      </c>
      <c r="D614" s="503" t="str">
        <f>Translations!$B$634</f>
        <v>(prelim.) ITF:</v>
      </c>
      <c r="E614" s="504"/>
      <c r="F614" s="518"/>
      <c r="G614" s="1603" t="str">
        <f t="shared" ref="G614:G620" si="140">IF(OR(ISBLANK(F614),F614=EUconst_NoTier),"",IF(Z614=0,EUconst_NotApplicable,IF(ISERROR(Z614),"",Z614)))</f>
        <v/>
      </c>
      <c r="H614" s="1609"/>
      <c r="I614" s="1110" t="str">
        <f>IF(J614&lt;&gt;"","",AI614)</f>
        <v/>
      </c>
      <c r="J614" s="1111"/>
      <c r="K614" s="519" t="str">
        <f t="shared" ref="K614:K620" si="141">IF(L614="",AQ614,"")</f>
        <v/>
      </c>
      <c r="L614" s="520"/>
      <c r="M614" s="700" t="str">
        <f>IF(AND(E603&lt;&gt;"",OR(F614="",COUNT(K614:L614)=0),Y614&lt;&gt;EUconst_NA,T603&lt;&gt;TRUE),EUconst_ERR_Incomplete,IF(COUNTIF(AX614:AZ614,TRUE)&gt;0,EUconst_ERR_Inconsistent,""))</f>
        <v/>
      </c>
      <c r="N614" s="486"/>
      <c r="O614" s="1305"/>
      <c r="P614" s="33"/>
      <c r="Q614" s="33"/>
      <c r="R614" s="33"/>
      <c r="S614" s="30"/>
      <c r="T614" s="521" t="str">
        <f>EUconst_CNTR_EF&amp;E603</f>
        <v>EF_</v>
      </c>
      <c r="U614" s="488"/>
      <c r="V614" s="522" t="str">
        <f>V612</f>
        <v/>
      </c>
      <c r="W614" s="30"/>
      <c r="X614" s="488"/>
      <c r="Y614" s="523" t="str">
        <f>IF(OR(T603=TRUE,E603=""),"",IF(F614=EUconst_NA,EUconst_NA,INDEX(EUwideConstants!$N:$N,MATCH(T614,EUwideConstants!$Q:$Q,0))))</f>
        <v/>
      </c>
      <c r="Z614" s="524" t="str">
        <f>IF(ISBLANK(F614),"",IF(F614=EUconst_NA,"",INDEX(EUwideConstants!$H:$M,MATCH(T614,EUwideConstants!$Q:$Q,0),MATCH(F614,CNTR_TierList,0))))</f>
        <v/>
      </c>
      <c r="AA614" s="525" t="str">
        <f>IF(COUNTIF(EUconst_DefaultValues,Z614)&gt;0,MATCH(Z614,EUconst_DefaultValues,0),"")</f>
        <v/>
      </c>
      <c r="AB614" s="30"/>
      <c r="AC614" s="526" t="b">
        <f>AND(AC612,Y614&lt;&gt;EUconst_NA)</f>
        <v>0</v>
      </c>
      <c r="AD614" s="30"/>
      <c r="AE614" s="510" t="str">
        <f>EUconst_CNTR_EF&amp;EUconst_Unit</f>
        <v>EF_Vienetas</v>
      </c>
      <c r="AF614" s="527" t="str">
        <f>IF(AC614=TRUE, IF(COUNTIF(MSPara_SourceStreamCategory,V614)=0,"",INDEX(MSPara_CalcFactorsMatrix,MATCH(V614,MSPara_SourceStreamCategory,0),MATCH(AE614&amp;"_"&amp;2,MSPara_CalcFactors,0))),"")</f>
        <v/>
      </c>
      <c r="AG614" s="528" t="str">
        <f>IF(AC614=TRUE, IF(COUNTIF(MSPara_SourceStreamCategory,V614)=0,"",INDEX(MSPara_CalcFactorsMatrix,MATCH(V614,MSPara_SourceStreamCategory,0),MATCH(AE614&amp;"_"&amp;1,MSPara_CalcFactors,0))),"")</f>
        <v/>
      </c>
      <c r="AH614" s="529" t="str">
        <f>IF(AA614="","",INDEX(AF614:AG614,3-AA614))</f>
        <v/>
      </c>
      <c r="AI614" s="530" t="str">
        <f>IF(AC614=TRUE,IF(OR(AH614="",AH614=EUconst_NA),IF(K602=EUconst_Fuel,EUconst_tCO2pTJ,EUconst_tCO2pt),AH614),"")</f>
        <v/>
      </c>
      <c r="AJ614" s="526" t="str">
        <f>IF(J614="",AI614,J614)</f>
        <v/>
      </c>
      <c r="AK614" s="531" t="b">
        <f>IF(K602=EUconst_Fuel,J614&lt;&gt;"",FALSE)</f>
        <v>0</v>
      </c>
      <c r="AL614" s="333"/>
      <c r="AM614" s="510" t="str">
        <f>EUconst_CNTR_EF&amp;EUconst_Value</f>
        <v>EF_Vertė</v>
      </c>
      <c r="AN614" s="532" t="str">
        <f>IF(AC614=TRUE,IF(COUNTIF(MSPara_SourceStreamCategory,V614)=0,"",INDEX(MSPara_CalcFactorsMatrix,MATCH(V614,MSPara_SourceStreamCategory,0),MATCH(AM614&amp;"_"&amp;2,MSPara_CalcFactors,0))),"")</f>
        <v/>
      </c>
      <c r="AO614" s="533" t="str">
        <f>IF(AC614=TRUE,IF(COUNTIF(MSPara_SourceStreamCategory,V614)=0,"",INDEX(MSPara_CalcFactorsMatrix,MATCH(V614,MSPara_SourceStreamCategory,0),MATCH(AM614&amp;"_"&amp;1,MSPara_CalcFactors,0))),"")</f>
        <v/>
      </c>
      <c r="AP614" s="526" t="b">
        <f>AND(AND(AH614&lt;&gt;"",AJ614&lt;&gt;""),AJ614=AH614)</f>
        <v>0</v>
      </c>
      <c r="AQ614" s="534" t="str">
        <f>IF(AND(AA614&lt;&gt;"",AP614=TRUE),IF(OR(INDEX(AN614:AO614,3-AA614)=EUconst_NA,INDEX(AN614:AO614,3-AA614)=0),"",INDEX(AN614:AO614,3-AA614)),"")</f>
        <v/>
      </c>
      <c r="AR614" s="526">
        <f>IF(AC614=TRUE,IF(COUNT(K614:L614)=0,0,IF(L614="",K614,L614)),0)</f>
        <v>0</v>
      </c>
      <c r="AS614" s="522" t="b">
        <f>AND(AC614=TRUE,OR(AND(F614&lt;&gt;"",NOT(ISNUMBER(AA614))),L614&lt;&gt;"",F614="",AQ614=""))</f>
        <v>0</v>
      </c>
      <c r="AT614" s="522" t="b">
        <f t="shared" ref="AT614:AT620" si="142">AND(AC614=TRUE,NOT(AS614))</f>
        <v>0</v>
      </c>
      <c r="AU614" s="30"/>
      <c r="AV614" s="535" t="b">
        <f t="shared" ref="AV614:AV620" si="143">AND(ISNUMBER(AA614),AQ614="")</f>
        <v>0</v>
      </c>
      <c r="AW614" s="536" t="b">
        <f t="shared" ref="AW614:AW620" si="144">AND(ISNUMBER(AA614),AQ614&lt;&gt;AR614)</f>
        <v>0</v>
      </c>
      <c r="AX614" s="537" t="b">
        <f>OR(AND(AJ612=EUconst_kNm3,AJ614=EUconst_tCO2pt),AND(AJ612=EUconst_t,AJ614=EUconst_tCO2pkNm3))</f>
        <v>0</v>
      </c>
      <c r="AY614" s="522" t="b">
        <f t="shared" ref="AY614:AY620" si="145">AND(L614&lt;&gt;"",Y614=EUconst_NA)</f>
        <v>0</v>
      </c>
      <c r="AZ614" s="30"/>
      <c r="BA614" s="30"/>
      <c r="BB614" s="538" t="s">
        <v>588</v>
      </c>
      <c r="BC614" s="537" t="str">
        <f>IF(K602=BC612,AR612*IF(AJ614=EUconst_tCO2pTJ,(AR615/1000),1)*AR614*AR616*AR620,"")</f>
        <v/>
      </c>
      <c r="BD614" s="515" t="str">
        <f>IF(K602=BD612,AR612*AR614*AR617*AR620,"")</f>
        <v/>
      </c>
      <c r="BE614" s="514" t="str">
        <f>IF(K602=BE612,3.664*AR612*AR618*AR620,"")</f>
        <v/>
      </c>
      <c r="BF614" s="30"/>
      <c r="BG614" s="30"/>
      <c r="BH614" s="30"/>
      <c r="BI614" s="30"/>
      <c r="BJ614" s="30"/>
      <c r="BK614" s="30"/>
      <c r="BL614" s="30"/>
      <c r="BM614" s="30"/>
      <c r="BN614" s="30"/>
      <c r="BO614" s="30"/>
      <c r="BP614" s="30"/>
      <c r="BQ614" s="30"/>
      <c r="BR614" s="30"/>
      <c r="BS614" s="30"/>
      <c r="BT614" s="30"/>
      <c r="BU614" s="30"/>
      <c r="BV614" s="30"/>
      <c r="BW614" s="30"/>
      <c r="BX614" s="30"/>
      <c r="BY614" s="30"/>
      <c r="BZ614" s="522" t="b">
        <f>OR(BZ612,Y614=EUconst_NA)</f>
        <v>1</v>
      </c>
    </row>
    <row r="615" spans="1:78" s="140" customFormat="1" ht="12.75" customHeight="1" thickBot="1" x14ac:dyDescent="0.25">
      <c r="A615" s="777"/>
      <c r="B615" s="1248"/>
      <c r="C615" s="783" t="s">
        <v>196</v>
      </c>
      <c r="D615" s="503" t="str">
        <f>Translations!$B$636</f>
        <v>GŠV:</v>
      </c>
      <c r="E615" s="504"/>
      <c r="F615" s="539"/>
      <c r="G615" s="1603" t="str">
        <f t="shared" si="140"/>
        <v/>
      </c>
      <c r="H615" s="1604"/>
      <c r="I615" s="1112" t="str">
        <f>AJ615</f>
        <v/>
      </c>
      <c r="J615" s="540"/>
      <c r="K615" s="541" t="str">
        <f t="shared" si="141"/>
        <v/>
      </c>
      <c r="L615" s="542"/>
      <c r="M615" s="700" t="str">
        <f>IF(AND(E603&lt;&gt;"",OR(F615="",COUNT(K615:L615)=0),Y615&lt;&gt;EUconst_NA,T603&lt;&gt;TRUE),EUconst_ERR_Incomplete,IF(COUNTIF(AX615:AZ615,TRUE)&gt;0,EUconst_ERR_Inconsistent,""))</f>
        <v/>
      </c>
      <c r="O615" s="1305"/>
      <c r="P615" s="33"/>
      <c r="Q615" s="33"/>
      <c r="R615" s="33"/>
      <c r="S615" s="30"/>
      <c r="T615" s="543" t="str">
        <f>EUconst_CNTR_NCV&amp;E603</f>
        <v>NCV_</v>
      </c>
      <c r="U615" s="488"/>
      <c r="V615" s="544" t="str">
        <f t="shared" ref="V615:V620" si="146">V614</f>
        <v/>
      </c>
      <c r="W615" s="30"/>
      <c r="X615" s="488"/>
      <c r="Y615" s="545" t="str">
        <f>IF(OR(T603=TRUE,E603=""),"",IF(F615=EUconst_NA,EUconst_NA,INDEX(EUwideConstants!$N:$N,MATCH(T615,EUwideConstants!$Q:$Q,0))))</f>
        <v/>
      </c>
      <c r="Z615" s="546" t="str">
        <f>IF(ISBLANK(F615),"",IF(F615=EUconst_NA,"",INDEX(EUwideConstants!$H:$M,MATCH(T615,EUwideConstants!$Q:$Q,0),MATCH(F615,CNTR_TierList,0))))</f>
        <v/>
      </c>
      <c r="AA615" s="547" t="str">
        <f>IF(COUNTIF(EUconst_DefaultValues,Z615)&gt;0,MATCH(Z615,EUconst_DefaultValues,0),"")</f>
        <v/>
      </c>
      <c r="AB615" s="30"/>
      <c r="AC615" s="548" t="b">
        <f>AND(AC612,Y615&lt;&gt;EUconst_NA)</f>
        <v>0</v>
      </c>
      <c r="AD615" s="30"/>
      <c r="AE615" s="549" t="str">
        <f>EUconst_CNTR_NCV&amp;EUconst_Unit</f>
        <v>NCV_Vienetas</v>
      </c>
      <c r="AF615" s="550" t="str">
        <f>IF(AC615=TRUE, IF(COUNTIF(MSPara_SourceStreamCategory,V615)=0,"",INDEX(MSPara_CalcFactorsMatrix,MATCH(V615,MSPara_SourceStreamCategory,0),MATCH(AE615&amp;"_"&amp;2,MSPara_CalcFactors,0))),"")</f>
        <v/>
      </c>
      <c r="AG615" s="551" t="str">
        <f>IF(AC615=TRUE, IF(COUNTIF(MSPara_SourceStreamCategory,V615)=0,"",INDEX(MSPara_CalcFactorsMatrix,MATCH(V615,MSPara_SourceStreamCategory,0),MATCH(AE615&amp;"_"&amp;1,MSPara_CalcFactors,0))),"")</f>
        <v/>
      </c>
      <c r="AH615" s="552" t="str">
        <f>IF(AA615="","",INDEX(AF615:AG615,3-AA615))</f>
        <v/>
      </c>
      <c r="AI615" s="553"/>
      <c r="AJ615" s="548" t="str">
        <f>IF(AC615=TRUE,IF(AJ612="","",IF(AJ612=EUconst_kNm3,EUconst_GJpkNm3,EUconst_GJpt)),"")</f>
        <v/>
      </c>
      <c r="AK615" s="554"/>
      <c r="AL615" s="333"/>
      <c r="AM615" s="549" t="str">
        <f>EUconst_CNTR_NCV&amp;EUconst_Value</f>
        <v>NCV_Vertė</v>
      </c>
      <c r="AN615" s="555" t="str">
        <f>IF(AC615=TRUE,IF(COUNTIF(MSPara_SourceStreamCategory,V615)=0,"",INDEX(MSPara_CalcFactorsMatrix,MATCH(V615,MSPara_SourceStreamCategory,0),MATCH(AM615&amp;"_"&amp;2,MSPara_CalcFactors,0))),"")</f>
        <v/>
      </c>
      <c r="AO615" s="556" t="str">
        <f>IF(AC615=TRUE,IF(COUNTIF(MSPara_SourceStreamCategory,V615)=0,"",INDEX(MSPara_CalcFactorsMatrix,MATCH(V615,MSPara_SourceStreamCategory,0),MATCH(AM615&amp;"_"&amp;1,MSPara_CalcFactors,0))),"")</f>
        <v/>
      </c>
      <c r="AP615" s="548" t="b">
        <f>AND(AND(AH615&lt;&gt;"",AJ615&lt;&gt;""),AJ615=AH615)</f>
        <v>0</v>
      </c>
      <c r="AQ615" s="557" t="str">
        <f>IF(AND(AA615&lt;&gt;"",AP615=TRUE),IF(OR(INDEX(AN615:AO615,3-AA615)=EUconst_NA,INDEX(AN615:AO615,3-AA615)=0),"",INDEX(AN615:AO615,3-AA615)),"")</f>
        <v/>
      </c>
      <c r="AR615" s="548">
        <f>IF(AC615=TRUE,IF(COUNT(K615:L615)=0,0,IF(L615="",K615,L615)),0)</f>
        <v>0</v>
      </c>
      <c r="AS615" s="544" t="b">
        <f>AND(AC615=TRUE,OR(AND(F615&lt;&gt;"",NOT(ISNUMBER(AA615))),L615&lt;&gt;"",F615="",AQ615=""))</f>
        <v>0</v>
      </c>
      <c r="AT615" s="544" t="b">
        <f t="shared" si="142"/>
        <v>0</v>
      </c>
      <c r="AU615" s="30"/>
      <c r="AV615" s="558" t="b">
        <f t="shared" si="143"/>
        <v>0</v>
      </c>
      <c r="AW615" s="559" t="b">
        <f t="shared" si="144"/>
        <v>0</v>
      </c>
      <c r="AX615" s="30"/>
      <c r="AY615" s="544" t="b">
        <f t="shared" si="145"/>
        <v>0</v>
      </c>
      <c r="AZ615" s="30"/>
      <c r="BA615" s="30"/>
      <c r="BB615" s="538" t="s">
        <v>589</v>
      </c>
      <c r="BC615" s="537" t="str">
        <f>IF(K602=BC612,AR612*IF(AJ614=EUconst_tCO2pTJ,(AR615/1000),1)*AR614*AR616*AR619,"")</f>
        <v/>
      </c>
      <c r="BD615" s="515" t="str">
        <f>IF(K602=BD612,AR612*AR614*AR617*AR619,"")</f>
        <v/>
      </c>
      <c r="BE615" s="514" t="str">
        <f>IF(K602=BE612,3.664*AR612*AR618*AR619,"")</f>
        <v/>
      </c>
      <c r="BF615" s="30"/>
      <c r="BG615" s="30"/>
      <c r="BH615" s="30"/>
      <c r="BI615" s="30"/>
      <c r="BJ615" s="30"/>
      <c r="BK615" s="30"/>
      <c r="BL615" s="30"/>
      <c r="BM615" s="30"/>
      <c r="BN615" s="30"/>
      <c r="BO615" s="30"/>
      <c r="BP615" s="30"/>
      <c r="BQ615" s="30"/>
      <c r="BR615" s="30"/>
      <c r="BS615" s="30"/>
      <c r="BT615" s="30"/>
      <c r="BU615" s="30"/>
      <c r="BV615" s="30"/>
      <c r="BW615" s="30"/>
      <c r="BX615" s="30"/>
      <c r="BY615" s="30"/>
      <c r="BZ615" s="544" t="b">
        <f>OR(BZ612,Y615=EUconst_NA)</f>
        <v>1</v>
      </c>
    </row>
    <row r="616" spans="1:78" s="140" customFormat="1" ht="12.75" customHeight="1" thickBot="1" x14ac:dyDescent="0.25">
      <c r="A616" s="777"/>
      <c r="B616" s="1248"/>
      <c r="C616" s="783" t="s">
        <v>197</v>
      </c>
      <c r="D616" s="503" t="str">
        <f>Translations!$B$638</f>
        <v>Oksidacijos koef.:</v>
      </c>
      <c r="E616" s="504"/>
      <c r="F616" s="539"/>
      <c r="G616" s="1603" t="str">
        <f t="shared" si="140"/>
        <v/>
      </c>
      <c r="H616" s="1604"/>
      <c r="I616" s="1113" t="str">
        <f>IF(OR(AC616=FALSE,Y616=EUconst_NA),"","-")</f>
        <v/>
      </c>
      <c r="J616" s="560"/>
      <c r="K616" s="561" t="str">
        <f t="shared" si="141"/>
        <v/>
      </c>
      <c r="L616" s="694"/>
      <c r="M616" s="700" t="str">
        <f>IF(AND(E603&lt;&gt;"",OR(F616="",COUNT(K616:L616)=0),Y616&lt;&gt;EUconst_NA,T603&lt;&gt;TRUE),EUconst_ERR_Incomplete,IF(COUNTIF(AX616:AZ616,TRUE)&gt;0,EUconst_ERR_Inconsistent,""))</f>
        <v/>
      </c>
      <c r="O616" s="1305"/>
      <c r="P616" s="33"/>
      <c r="Q616" s="33"/>
      <c r="R616" s="33"/>
      <c r="S616" s="30"/>
      <c r="T616" s="543" t="str">
        <f>EUconst_CNTR_OxidationFactor&amp;E603</f>
        <v>OxF_</v>
      </c>
      <c r="U616" s="488"/>
      <c r="V616" s="544" t="str">
        <f t="shared" si="146"/>
        <v/>
      </c>
      <c r="W616" s="30"/>
      <c r="X616" s="488"/>
      <c r="Y616" s="545" t="str">
        <f>IF(OR(T603=TRUE,E603=""),"",INDEX(EUwideConstants!$N:$N,MATCH(T616,EUwideConstants!$Q:$Q,0)))</f>
        <v/>
      </c>
      <c r="Z616" s="546" t="str">
        <f>IF(ISBLANK(F616),"",IF(F616=EUconst_NA,"",INDEX(EUwideConstants!$H:$M,MATCH(T616,EUwideConstants!$Q:$Q,0),MATCH(F616,CNTR_TierList,0))))</f>
        <v/>
      </c>
      <c r="AA616" s="525" t="str">
        <f>IF(F616=1,1,"")</f>
        <v/>
      </c>
      <c r="AB616" s="30"/>
      <c r="AC616" s="548" t="b">
        <f>AND(AC612,Y616&lt;&gt;EUconst_NA)</f>
        <v>0</v>
      </c>
      <c r="AD616" s="30"/>
      <c r="AE616" s="563"/>
      <c r="AG616" s="564"/>
      <c r="AH616" s="553"/>
      <c r="AI616" s="565"/>
      <c r="AJ616" s="553"/>
      <c r="AK616" s="566"/>
      <c r="AL616" s="333"/>
      <c r="AM616" s="549" t="str">
        <f>EUconst_CNTR_OxidationFactor&amp;EUconst_Value</f>
        <v>OxF_Vertė</v>
      </c>
      <c r="AN616" s="567"/>
      <c r="AO616" s="525">
        <v>1</v>
      </c>
      <c r="AP616" s="553"/>
      <c r="AQ616" s="568" t="str">
        <f>IF(AA616="","",AO616)</f>
        <v/>
      </c>
      <c r="AR616" s="548">
        <f>IF(AC616=TRUE,IF(COUNT(K616:L616)=0,0,IF(L616="",K616,L616)),1)</f>
        <v>1</v>
      </c>
      <c r="AS616" s="544" t="b">
        <f>AND(AC616=TRUE,OR(ISNUMBER(L616),NOT(ISNUMBER(AA616))))</f>
        <v>0</v>
      </c>
      <c r="AT616" s="544" t="b">
        <f t="shared" si="142"/>
        <v>0</v>
      </c>
      <c r="AU616" s="30"/>
      <c r="AV616" s="558" t="b">
        <f t="shared" si="143"/>
        <v>0</v>
      </c>
      <c r="AW616" s="559" t="b">
        <f t="shared" si="144"/>
        <v>0</v>
      </c>
      <c r="AX616" s="30"/>
      <c r="AY616" s="585" t="b">
        <f t="shared" si="145"/>
        <v>0</v>
      </c>
      <c r="AZ616" s="522" t="b">
        <f>AR616&gt;100%</f>
        <v>0</v>
      </c>
      <c r="BA616" s="30"/>
      <c r="BB616" s="538" t="s">
        <v>287</v>
      </c>
      <c r="BC616" s="537" t="str">
        <f>IF(K602=BC612,AR612*IF(AJ614=EUconst_tCO2pTJ,(AR615/1000),1)*AR614*AR616*(1-AR619),"")</f>
        <v/>
      </c>
      <c r="BD616" s="515" t="str">
        <f>IF(K602=BD612,AR612*AR614*AR617*(1-AR619),"")</f>
        <v/>
      </c>
      <c r="BE616" s="514" t="str">
        <f>IF(K602=BE612,3.664*AR612*AR618*(1-AR619),"")</f>
        <v/>
      </c>
      <c r="BF616" s="30"/>
      <c r="BG616" s="30"/>
      <c r="BH616" s="30"/>
      <c r="BI616" s="30"/>
      <c r="BJ616" s="30"/>
      <c r="BK616" s="30"/>
      <c r="BL616" s="30"/>
      <c r="BM616" s="30"/>
      <c r="BN616" s="30"/>
      <c r="BO616" s="30"/>
      <c r="BP616" s="30"/>
      <c r="BQ616" s="30"/>
      <c r="BR616" s="30"/>
      <c r="BS616" s="30"/>
      <c r="BT616" s="30"/>
      <c r="BU616" s="30"/>
      <c r="BV616" s="30"/>
      <c r="BW616" s="30"/>
      <c r="BX616" s="30"/>
      <c r="BY616" s="30"/>
      <c r="BZ616" s="544" t="b">
        <f>OR(BZ612,Y616=EUconst_NA)</f>
        <v>1</v>
      </c>
    </row>
    <row r="617" spans="1:78" s="140" customFormat="1" ht="12.75" customHeight="1" thickBot="1" x14ac:dyDescent="0.25">
      <c r="A617" s="777"/>
      <c r="B617" s="1248"/>
      <c r="C617" s="783" t="s">
        <v>198</v>
      </c>
      <c r="D617" s="503" t="str">
        <f>Translations!$B$639</f>
        <v>Konversijos koef.:</v>
      </c>
      <c r="E617" s="504"/>
      <c r="F617" s="539"/>
      <c r="G617" s="1603" t="str">
        <f t="shared" si="140"/>
        <v/>
      </c>
      <c r="H617" s="1604"/>
      <c r="I617" s="1113" t="str">
        <f>IF(OR(AC617=FALSE,Y617=EUconst_NA),"","-")</f>
        <v/>
      </c>
      <c r="J617" s="560"/>
      <c r="K617" s="561" t="str">
        <f t="shared" si="141"/>
        <v/>
      </c>
      <c r="L617" s="694"/>
      <c r="M617" s="700" t="str">
        <f>IF(AND(E603&lt;&gt;"",OR(F617="",COUNT(K617:L617)=0),Y617&lt;&gt;EUconst_NA,T603&lt;&gt;TRUE),EUconst_ERR_Incomplete,IF(COUNTIF(AX617:AZ617,TRUE)&gt;0,EUconst_ERR_Inconsistent,""))</f>
        <v/>
      </c>
      <c r="O617" s="1305"/>
      <c r="P617" s="33"/>
      <c r="Q617" s="33"/>
      <c r="R617" s="33"/>
      <c r="S617" s="30"/>
      <c r="T617" s="543" t="str">
        <f>EUconst_CNTR_ConversionFactor&amp;E603</f>
        <v>ConvF_</v>
      </c>
      <c r="U617" s="488"/>
      <c r="V617" s="544" t="str">
        <f t="shared" si="146"/>
        <v/>
      </c>
      <c r="W617" s="30"/>
      <c r="X617" s="488"/>
      <c r="Y617" s="545" t="str">
        <f>IF(OR(T603=TRUE,E603=""),"",INDEX(EUwideConstants!$N:$N,MATCH(T617,EUwideConstants!$Q:$Q,0)))</f>
        <v/>
      </c>
      <c r="Z617" s="546" t="str">
        <f>IF(ISBLANK(F617),"",IF(F617=EUconst_NA,"",INDEX(EUwideConstants!$H:$M,MATCH(T617,EUwideConstants!$Q:$Q,0),MATCH(F617,CNTR_TierList,0))))</f>
        <v/>
      </c>
      <c r="AA617" s="573" t="str">
        <f>IF(F617=1,1,"")</f>
        <v/>
      </c>
      <c r="AB617" s="30"/>
      <c r="AC617" s="548" t="b">
        <f>AND(AC612,Y617&lt;&gt;EUconst_NA)</f>
        <v>0</v>
      </c>
      <c r="AD617" s="30"/>
      <c r="AE617" s="563"/>
      <c r="AG617" s="564"/>
      <c r="AH617" s="574"/>
      <c r="AI617" s="565"/>
      <c r="AJ617" s="574"/>
      <c r="AK617" s="566"/>
      <c r="AL617" s="333"/>
      <c r="AM617" s="549" t="str">
        <f>EUconst_CNTR_ConversionFactor&amp;EUconst_Value</f>
        <v>ConvF_Vertė</v>
      </c>
      <c r="AN617" s="575"/>
      <c r="AO617" s="573">
        <v>1</v>
      </c>
      <c r="AP617" s="574"/>
      <c r="AQ617" s="576" t="str">
        <f>IF(AA617="","",AO617)</f>
        <v/>
      </c>
      <c r="AR617" s="548">
        <f>IF(AC617=TRUE,IF(COUNT(K617:L617)=0,0,IF(L617="",K617,L617)),1)</f>
        <v>1</v>
      </c>
      <c r="AS617" s="544" t="b">
        <f>AND(AC617=TRUE,OR(ISNUMBER(L617),NOT(ISNUMBER(AA617))))</f>
        <v>0</v>
      </c>
      <c r="AT617" s="544" t="b">
        <f t="shared" si="142"/>
        <v>0</v>
      </c>
      <c r="AU617" s="30"/>
      <c r="AV617" s="558" t="b">
        <f t="shared" si="143"/>
        <v>0</v>
      </c>
      <c r="AW617" s="559" t="b">
        <f t="shared" si="144"/>
        <v>0</v>
      </c>
      <c r="AX617" s="30"/>
      <c r="AY617" s="585" t="b">
        <f t="shared" si="145"/>
        <v>0</v>
      </c>
      <c r="AZ617" s="571" t="b">
        <f>AR617&gt;100%</f>
        <v>0</v>
      </c>
      <c r="BA617" s="30"/>
      <c r="BB617" s="569" t="s">
        <v>481</v>
      </c>
      <c r="BC617" s="570">
        <f>AR612*AR615/1000*(1-AR619)</f>
        <v>0</v>
      </c>
      <c r="BD617" s="571">
        <f>BC617</f>
        <v>0</v>
      </c>
      <c r="BE617" s="572">
        <f>BC617</f>
        <v>0</v>
      </c>
      <c r="BF617" s="30"/>
      <c r="BG617" s="30"/>
      <c r="BH617" s="30"/>
      <c r="BI617" s="30"/>
      <c r="BJ617" s="30"/>
      <c r="BK617" s="30"/>
      <c r="BL617" s="30"/>
      <c r="BM617" s="30"/>
      <c r="BN617" s="30"/>
      <c r="BO617" s="30"/>
      <c r="BP617" s="30"/>
      <c r="BQ617" s="30"/>
      <c r="BR617" s="30"/>
      <c r="BS617" s="30"/>
      <c r="BT617" s="30"/>
      <c r="BU617" s="30"/>
      <c r="BV617" s="30"/>
      <c r="BW617" s="30"/>
      <c r="BX617" s="30"/>
      <c r="BY617" s="30"/>
      <c r="BZ617" s="544" t="b">
        <f>OR(BZ612,Y617=EUconst_NA)</f>
        <v>1</v>
      </c>
    </row>
    <row r="618" spans="1:78" s="140" customFormat="1" ht="12.75" customHeight="1" thickBot="1" x14ac:dyDescent="0.25">
      <c r="A618" s="777"/>
      <c r="B618" s="1248"/>
      <c r="C618" s="783" t="s">
        <v>324</v>
      </c>
      <c r="D618" s="503" t="str">
        <f>Translations!$B$640</f>
        <v>Anglies kiekis (C):</v>
      </c>
      <c r="E618" s="504"/>
      <c r="F618" s="539"/>
      <c r="G618" s="1603" t="str">
        <f t="shared" si="140"/>
        <v/>
      </c>
      <c r="H618" s="1604"/>
      <c r="I618" s="1113" t="str">
        <f>AJ618</f>
        <v/>
      </c>
      <c r="J618" s="577"/>
      <c r="K618" s="578" t="str">
        <f t="shared" si="141"/>
        <v/>
      </c>
      <c r="L618" s="579"/>
      <c r="M618" s="700" t="str">
        <f>IF(AND(E603&lt;&gt;"",OR(F618="",COUNT(K618:L618)=0),Y618&lt;&gt;EUconst_NA,T603&lt;&gt;TRUE),EUconst_ERR_Incomplete,IF(COUNTIF(AX618:AZ618,TRUE)&gt;0,EUconst_ERR_Inconsistent,""))</f>
        <v/>
      </c>
      <c r="O618" s="1305"/>
      <c r="P618" s="33"/>
      <c r="Q618" s="33"/>
      <c r="R618" s="33"/>
      <c r="S618" s="30"/>
      <c r="T618" s="543" t="str">
        <f>EUconst_CNTR_CarbonContent&amp;E603</f>
        <v>CarbC_</v>
      </c>
      <c r="U618" s="488"/>
      <c r="V618" s="544" t="str">
        <f t="shared" si="146"/>
        <v/>
      </c>
      <c r="W618" s="30"/>
      <c r="X618" s="488"/>
      <c r="Y618" s="545" t="str">
        <f>IF(OR(T603=TRUE,E603=""),"",INDEX(EUwideConstants!$N:$N,MATCH(T618,EUwideConstants!$Q:$Q,0)))</f>
        <v/>
      </c>
      <c r="Z618" s="546" t="str">
        <f>IF(ISBLANK(F618),"",IF(F618=EUconst_NA,"",INDEX(EUwideConstants!$H:$M,MATCH(T618,EUwideConstants!$Q:$Q,0),MATCH(F618,CNTR_TierList,0))))</f>
        <v/>
      </c>
      <c r="AA618" s="580" t="str">
        <f>IF(COUNTIF(EUconst_DefaultValues,Z618)&gt;0,MATCH(Z618,EUconst_DefaultValues,0),"")</f>
        <v/>
      </c>
      <c r="AB618" s="30"/>
      <c r="AC618" s="548" t="b">
        <f>AND(AC612,Y618&lt;&gt;EUconst_NA)</f>
        <v>0</v>
      </c>
      <c r="AD618" s="30"/>
      <c r="AE618" s="549" t="str">
        <f>EUconst_CNTR_CarbonContent&amp;EUconst_Unit</f>
        <v>CarbC_Vienetas</v>
      </c>
      <c r="AF618" s="550" t="str">
        <f>IF(AC618=TRUE, IF(COUNTIF(MSPara_SourceStreamCategory,V618)=0,"",INDEX(MSPara_CalcFactorsMatrix,MATCH(V618,MSPara_SourceStreamCategory,0),MATCH(AE618&amp;"_"&amp;2,MSPara_CalcFactors,0))),"")</f>
        <v/>
      </c>
      <c r="AG618" s="551" t="str">
        <f>IF(AC618=TRUE, IF(COUNTIF(MSPara_SourceStreamCategory,V618)=0,"",INDEX(MSPara_CalcFactorsMatrix,MATCH(V618,MSPara_SourceStreamCategory,0),MATCH(AE618&amp;"_"&amp;1,MSPara_CalcFactors,0))),"")</f>
        <v/>
      </c>
      <c r="AH618" s="581" t="str">
        <f>IF(AA618="","",INDEX(AF618:AG618,3-AA618))</f>
        <v/>
      </c>
      <c r="AI618" s="565"/>
      <c r="AJ618" s="582" t="str">
        <f>IF(AC618=TRUE,IF(AJ612="","",IF(AJ612=EUconst_kNm3,EUconst_tCpkNm3,EUconst_tCpt)),"")</f>
        <v/>
      </c>
      <c r="AK618" s="566"/>
      <c r="AL618" s="333"/>
      <c r="AM618" s="549" t="str">
        <f>EUconst_CNTR_CarbonContent&amp;EUconst_Value</f>
        <v>CarbC_Vertė</v>
      </c>
      <c r="AN618" s="555" t="str">
        <f>IF(AC618=TRUE,IF(COUNTIF(MSPara_SourceStreamCategory,V618)=0,"",INDEX(MSPara_CalcFactorsMatrix,MATCH(V618,MSPara_SourceStreamCategory,0),MATCH(AM618&amp;"_"&amp;2,MSPara_CalcFactors,0))),"")</f>
        <v/>
      </c>
      <c r="AO618" s="583" t="str">
        <f>IF(AC618=TRUE,IF(COUNTIF(MSPara_SourceStreamCategory,V618)=0,"",INDEX(MSPara_CalcFactorsMatrix,MATCH(V618,MSPara_SourceStreamCategory,0),MATCH(AM618&amp;"_"&amp;1,MSPara_CalcFactors,0))),"")</f>
        <v/>
      </c>
      <c r="AP618" s="548" t="b">
        <f>AND(AND(AH618&lt;&gt;"",AJ618&lt;&gt;""),AJ618=AH618)</f>
        <v>0</v>
      </c>
      <c r="AQ618" s="584" t="str">
        <f>IF(AND(AA618&lt;&gt;"",AP618=TRUE),IF(OR(INDEX(AN618:AO618,3-AA618)=EUconst_NA,INDEX(AN618:AO618,3-AA618)=0),"",INDEX(AN618:AO618,3-AA618)),"")</f>
        <v/>
      </c>
      <c r="AR618" s="548">
        <f>IF(AC618=TRUE,IF(COUNT(K618:L618)=0,0,IF(L618="",K618,L618)),0)</f>
        <v>0</v>
      </c>
      <c r="AS618" s="544" t="b">
        <f>AND(AC618=TRUE,OR(AND(F618&lt;&gt;"",NOT(ISNUMBER(AA618))),L618&lt;&gt;"",F618="",AQ618=""))</f>
        <v>0</v>
      </c>
      <c r="AT618" s="544" t="b">
        <f t="shared" si="142"/>
        <v>0</v>
      </c>
      <c r="AU618" s="30"/>
      <c r="AV618" s="558" t="b">
        <f t="shared" si="143"/>
        <v>0</v>
      </c>
      <c r="AW618" s="559" t="b">
        <f t="shared" si="144"/>
        <v>0</v>
      </c>
      <c r="AX618" s="537" t="b">
        <f>OR(AND(AJ612=EUconst_kNm3,AJ618=EUconst_tCpt),AND(AJ612=EUconst_t,AJ618=EUconst_tCpkNm3))</f>
        <v>0</v>
      </c>
      <c r="AY618" s="544" t="b">
        <f t="shared" si="145"/>
        <v>0</v>
      </c>
      <c r="AZ618" s="30"/>
      <c r="BA618" s="30"/>
      <c r="BB618" s="569" t="s">
        <v>482</v>
      </c>
      <c r="BC618" s="570">
        <f>AR612*AR615/1000*AR619</f>
        <v>0</v>
      </c>
      <c r="BD618" s="571">
        <f>BC618</f>
        <v>0</v>
      </c>
      <c r="BE618" s="572">
        <f>BC618</f>
        <v>0</v>
      </c>
      <c r="BF618" s="30"/>
      <c r="BG618" s="30"/>
      <c r="BH618" s="30"/>
      <c r="BI618" s="30"/>
      <c r="BJ618" s="30"/>
      <c r="BK618" s="30"/>
      <c r="BL618" s="30"/>
      <c r="BM618" s="30"/>
      <c r="BN618" s="30"/>
      <c r="BO618" s="30"/>
      <c r="BP618" s="30"/>
      <c r="BQ618" s="30"/>
      <c r="BR618" s="30"/>
      <c r="BS618" s="30"/>
      <c r="BT618" s="30"/>
      <c r="BU618" s="30"/>
      <c r="BV618" s="30"/>
      <c r="BW618" s="30"/>
      <c r="BX618" s="30"/>
      <c r="BY618" s="30"/>
      <c r="BZ618" s="544" t="b">
        <f>OR(BZ612,Y618=EUconst_NA)</f>
        <v>1</v>
      </c>
    </row>
    <row r="619" spans="1:78" s="140" customFormat="1" ht="12.75" customHeight="1" x14ac:dyDescent="0.2">
      <c r="A619" s="777"/>
      <c r="B619" s="1248"/>
      <c r="C619" s="753" t="s">
        <v>325</v>
      </c>
      <c r="D619" s="503" t="str">
        <f>Translations!$B$641</f>
        <v>Biomasės dalis (BioC):</v>
      </c>
      <c r="E619" s="504"/>
      <c r="F619" s="539"/>
      <c r="G619" s="1603" t="str">
        <f t="shared" si="140"/>
        <v/>
      </c>
      <c r="H619" s="1604"/>
      <c r="I619" s="1113" t="str">
        <f>IF(OR(AC619=FALSE,Y619=EUconst_NA),"","-")</f>
        <v/>
      </c>
      <c r="J619" s="560"/>
      <c r="K619" s="561" t="str">
        <f t="shared" si="141"/>
        <v/>
      </c>
      <c r="L619" s="694"/>
      <c r="M619" s="700" t="str">
        <f>IF(AND(E603&lt;&gt;"",OR(F619="",COUNT(K619:L619)=0),Y619&lt;&gt;EUconst_NA,T603&lt;&gt;TRUE),EUconst_ERR_Incomplete,IF(COUNTIF(AX619:AZ619,TRUE)&gt;0,EUconst_ERR_Inconsistent,""))</f>
        <v/>
      </c>
      <c r="O619" s="1305"/>
      <c r="P619" s="635"/>
      <c r="Q619" s="635"/>
      <c r="R619" s="635"/>
      <c r="S619" s="30"/>
      <c r="T619" s="543" t="str">
        <f>EUconst_CNTR_BiomassContent&amp;E603</f>
        <v>BioC_</v>
      </c>
      <c r="U619" s="488"/>
      <c r="V619" s="585" t="str">
        <f t="shared" si="146"/>
        <v/>
      </c>
      <c r="W619" s="522" t="str">
        <f>IF(COUNTIF(MSPara_SourceStreamCategory,V619)=0,"",INDEX(MSPara_IsFossil,MATCH(V619,MSPara_SourceStreamCategory,0)))</f>
        <v/>
      </c>
      <c r="X619" s="488"/>
      <c r="Y619" s="545" t="str">
        <f>IF(OR(T603=TRUE,E603=""),"",IF(OR(W619=TRUE,F619=EUconst_NA),EUconst_NA,INDEX(EUwideConstants!$N:$N,MATCH(T619,EUwideConstants!$Q:$Q,0))))</f>
        <v/>
      </c>
      <c r="Z619" s="546" t="str">
        <f>IF(ISBLANK(F619),"",IF(F619=EUconst_NA,"",INDEX(EUwideConstants!$H:$M,MATCH(T619,EUwideConstants!$Q:$Q,0),MATCH(F619,CNTR_TierList,0))))</f>
        <v/>
      </c>
      <c r="AA619" s="586" t="str">
        <f>IF(F619=1,1,"")</f>
        <v/>
      </c>
      <c r="AB619" s="30"/>
      <c r="AC619" s="548" t="b">
        <f>AND(AC612,Y619&lt;&gt;EUconst_NA)</f>
        <v>0</v>
      </c>
      <c r="AD619" s="30"/>
      <c r="AE619" s="563"/>
      <c r="AG619" s="564"/>
      <c r="AH619" s="553"/>
      <c r="AI619" s="565"/>
      <c r="AJ619" s="553"/>
      <c r="AK619" s="566"/>
      <c r="AL619" s="333"/>
      <c r="AM619" s="549" t="str">
        <f>EUconst_CNTR_BiomassContent&amp;EUconst_Value</f>
        <v>BioC_Vertė</v>
      </c>
      <c r="AO619" s="587" t="str">
        <f>IF(AC619=TRUE,IF(COUNTIF(MSPara_SourceStreamCategory,V619)=0,"",INDEX(MSPara_CalcFactorsMatrix,MATCH(V619,MSPara_SourceStreamCategory,0),MATCH(AM619&amp;"_"&amp;2,MSPara_CalcFactors,0))),"")</f>
        <v/>
      </c>
      <c r="AP619" s="553"/>
      <c r="AQ619" s="568" t="str">
        <f>IF(OR(AA619="",AO619=EUconst_NA),"",AO619)</f>
        <v/>
      </c>
      <c r="AR619" s="548">
        <f>IF(AC619=TRUE,IF(COUNT(K619:L619)=0,0,IF(L619="",K619,L619)),0)</f>
        <v>0</v>
      </c>
      <c r="AS619" s="544" t="b">
        <f>AND(AC619=TRUE,OR(AND(F619&lt;&gt;"",NOT(ISNUMBER(AA619))),L619&lt;&gt;"",F619="",AQ619=""))</f>
        <v>0</v>
      </c>
      <c r="AT619" s="544" t="b">
        <f t="shared" si="142"/>
        <v>0</v>
      </c>
      <c r="AU619" s="30"/>
      <c r="AV619" s="558" t="b">
        <f t="shared" si="143"/>
        <v>0</v>
      </c>
      <c r="AW619" s="559" t="b">
        <f t="shared" si="144"/>
        <v>0</v>
      </c>
      <c r="AX619" s="30"/>
      <c r="AY619" s="585" t="b">
        <f t="shared" si="145"/>
        <v>0</v>
      </c>
      <c r="AZ619" s="522" t="b">
        <f>OR(AR619&gt;100%,(AR619+AR620)&gt;100%)</f>
        <v>0</v>
      </c>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544" t="b">
        <f>OR(BZ612,Y619=EUconst_NA)</f>
        <v>1</v>
      </c>
    </row>
    <row r="620" spans="1:78" s="140" customFormat="1" ht="12.75" customHeight="1" thickBot="1" x14ac:dyDescent="0.25">
      <c r="A620" s="777"/>
      <c r="B620" s="1248"/>
      <c r="C620" s="753" t="s">
        <v>448</v>
      </c>
      <c r="D620" s="503" t="str">
        <f>Translations!$B$647</f>
        <v>Netvarios BioC dalis:</v>
      </c>
      <c r="E620" s="504"/>
      <c r="F620" s="588"/>
      <c r="G620" s="1603" t="str">
        <f t="shared" si="140"/>
        <v/>
      </c>
      <c r="H620" s="1604"/>
      <c r="I620" s="1114" t="str">
        <f>IF(OR(AC620=FALSE,Y620=EUconst_NA),"","-")</f>
        <v/>
      </c>
      <c r="J620" s="560"/>
      <c r="K620" s="589" t="str">
        <f t="shared" si="141"/>
        <v/>
      </c>
      <c r="L620" s="1100"/>
      <c r="M620" s="700" t="str">
        <f>IF(AND(E603&lt;&gt;"",OR(F620="",COUNT(K620:L620)=0),Y620&lt;&gt;EUconst_NA,T603&lt;&gt;TRUE),EUconst_ERR_Incomplete,IF(COUNTIF(AX620:AZ620,TRUE)&gt;0,EUconst_ERR_Inconsistent,""))</f>
        <v/>
      </c>
      <c r="O620" s="1305"/>
      <c r="P620" s="635"/>
      <c r="Q620" s="635"/>
      <c r="R620" s="635"/>
      <c r="S620" s="30"/>
      <c r="T620" s="590" t="str">
        <f>EUconst_CNTR_BiomassContent&amp;E603</f>
        <v>BioC_</v>
      </c>
      <c r="U620" s="488"/>
      <c r="V620" s="570" t="str">
        <f t="shared" si="146"/>
        <v/>
      </c>
      <c r="W620" s="571" t="str">
        <f>IF(COUNTIF(MSPara_SourceStreamCategory,V620)=0,"",INDEX(MSPara_IsFossil,MATCH(V620,MSPara_SourceStreamCategory,0)))</f>
        <v/>
      </c>
      <c r="X620" s="488"/>
      <c r="Y620" s="591" t="str">
        <f>IF(OR(T603=TRUE,E603=""),"",IF(OR(W620=TRUE,F620=EUconst_NA),EUconst_NA,INDEX(EUwideConstants!$N:$N,MATCH(T620,EUwideConstants!$Q:$Q,0))))</f>
        <v/>
      </c>
      <c r="Z620" s="592" t="str">
        <f>IF(ISBLANK(F620),"",IF(F620=EUconst_NA,"",INDEX(EUwideConstants!$H:$M,MATCH(T620,EUwideConstants!$Q:$Q,0),MATCH(F620,CNTR_TierList,0))))</f>
        <v/>
      </c>
      <c r="AA620" s="593" t="str">
        <f>IF(F620=1,1,"")</f>
        <v/>
      </c>
      <c r="AB620" s="30"/>
      <c r="AC620" s="594" t="b">
        <f>AND(AC612,Y620&lt;&gt;EUconst_NA)</f>
        <v>0</v>
      </c>
      <c r="AD620" s="30"/>
      <c r="AE620" s="595"/>
      <c r="AF620" s="596"/>
      <c r="AG620" s="597"/>
      <c r="AH620" s="598"/>
      <c r="AI620" s="598"/>
      <c r="AJ620" s="598"/>
      <c r="AK620" s="599"/>
      <c r="AL620" s="333"/>
      <c r="AM620" s="600" t="str">
        <f>EUconst_CNTR_BiomassContent&amp;EUconst_Value</f>
        <v>BioC_Vertė</v>
      </c>
      <c r="AN620" s="596"/>
      <c r="AO620" s="601" t="str">
        <f>IF(AC620=TRUE,IF(COUNTIF(MSPara_SourceStreamCategory,V620)=0,"",INDEX(MSPara_CalcFactorsMatrix,MATCH(V620,MSPara_SourceStreamCategory,0),MATCH(AM620&amp;"_"&amp;2,MSPara_CalcFactors,0))),"")</f>
        <v/>
      </c>
      <c r="AP620" s="598"/>
      <c r="AQ620" s="602" t="str">
        <f>IF(OR(AA620="",AO620=EUconst_NA),"",AO620)</f>
        <v/>
      </c>
      <c r="AR620" s="594">
        <f>IF(AC620=TRUE,IF(COUNT(K620:L620)=0,0,IF(L620="",K620,L620)),0)</f>
        <v>0</v>
      </c>
      <c r="AS620" s="603" t="b">
        <f>AND(AC620=TRUE,OR(AND(F620&lt;&gt;"",NOT(ISNUMBER(AA620))),L620&lt;&gt;"",F620="",AQ620=""))</f>
        <v>0</v>
      </c>
      <c r="AT620" s="603" t="b">
        <f t="shared" si="142"/>
        <v>0</v>
      </c>
      <c r="AU620" s="30"/>
      <c r="AV620" s="604" t="b">
        <f t="shared" si="143"/>
        <v>0</v>
      </c>
      <c r="AW620" s="605" t="b">
        <f t="shared" si="144"/>
        <v>0</v>
      </c>
      <c r="AX620" s="30"/>
      <c r="AY620" s="570" t="b">
        <f t="shared" si="145"/>
        <v>0</v>
      </c>
      <c r="AZ620" s="571" t="b">
        <f>OR(AR619&gt;100%,(AR619+AR620)&gt;100%)</f>
        <v>0</v>
      </c>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571" t="b">
        <f>OR(BZ612,Y620=EUconst_NA)</f>
        <v>1</v>
      </c>
    </row>
    <row r="621" spans="1:78" s="140" customFormat="1" ht="5.0999999999999996" customHeight="1" x14ac:dyDescent="0.2">
      <c r="A621" s="777"/>
      <c r="B621" s="1248"/>
      <c r="C621" s="164"/>
      <c r="D621" s="178"/>
      <c r="O621" s="1305"/>
      <c r="P621" s="33"/>
      <c r="Q621" s="33"/>
      <c r="R621" s="33"/>
      <c r="S621" s="172"/>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row>
    <row r="622" spans="1:78" s="140" customFormat="1" ht="12.75" customHeight="1" x14ac:dyDescent="0.2">
      <c r="A622" s="777"/>
      <c r="B622" s="1248"/>
      <c r="C622" s="164"/>
      <c r="D622" s="1629" t="str">
        <f>Translations!$B$674</f>
        <v>Pakopos galioja nuo:</v>
      </c>
      <c r="E622" s="1629"/>
      <c r="F622" s="1630"/>
      <c r="G622" s="1014"/>
      <c r="H622" s="606" t="str">
        <f>Translations!$B$675</f>
        <v>iki:</v>
      </c>
      <c r="I622" s="1014"/>
      <c r="J622" s="1620" t="str">
        <f>Translations!$B$676</f>
        <v>Atliekų katalogo numeris (jeigu taikytina):</v>
      </c>
      <c r="K622" s="1621"/>
      <c r="L622" s="1621"/>
      <c r="M622" s="1622"/>
      <c r="N622" s="1232"/>
      <c r="O622" s="1305"/>
      <c r="P622" s="33"/>
      <c r="Q622" s="33"/>
      <c r="R622" s="33"/>
      <c r="S622" s="1233"/>
      <c r="T622" s="483"/>
      <c r="U622" s="483"/>
      <c r="V622" s="48" t="b">
        <f>IF(V612="",FALSE,INDEX(CNTR_IsWaste,MATCH(V612,MSParameters!$A$218:$A$376,0)))</f>
        <v>0</v>
      </c>
      <c r="W622" s="1233" t="s">
        <v>1689</v>
      </c>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2" t="b">
        <f>BZ612</f>
        <v>1</v>
      </c>
    </row>
    <row r="623" spans="1:78" s="140" customFormat="1" ht="5.0999999999999996" customHeight="1" x14ac:dyDescent="0.2">
      <c r="A623" s="777"/>
      <c r="B623" s="1248"/>
      <c r="C623" s="164"/>
      <c r="D623" s="606"/>
      <c r="E623" s="486"/>
      <c r="F623" s="486"/>
      <c r="G623" s="486"/>
      <c r="H623" s="486"/>
      <c r="I623" s="486"/>
      <c r="J623" s="486"/>
      <c r="K623" s="486"/>
      <c r="L623" s="486"/>
      <c r="M623" s="486"/>
      <c r="N623" s="486"/>
      <c r="O623" s="1305"/>
      <c r="P623" s="33"/>
      <c r="Q623" s="33"/>
      <c r="R623" s="33"/>
      <c r="S623" s="172"/>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row>
    <row r="624" spans="1:78" s="140" customFormat="1" ht="12.75" customHeight="1" x14ac:dyDescent="0.2">
      <c r="A624" s="777"/>
      <c r="B624" s="1248"/>
      <c r="C624" s="164"/>
      <c r="D624" s="486"/>
      <c r="E624" s="486"/>
      <c r="F624" s="486"/>
      <c r="G624" s="486"/>
      <c r="H624" s="486"/>
      <c r="I624" s="486"/>
      <c r="J624" s="486"/>
      <c r="K624" s="486"/>
      <c r="L624" s="486"/>
      <c r="M624" s="606" t="str">
        <f>Translations!$B$677</f>
        <v>Stebėsenos plane šiam sukėlikliui suteiktas identifikatorius:</v>
      </c>
      <c r="N624" s="705"/>
      <c r="O624" s="1305"/>
      <c r="P624" s="33"/>
      <c r="Q624" s="33"/>
      <c r="R624" s="33"/>
      <c r="S624" s="172"/>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2" t="b">
        <f>BZ622</f>
        <v>1</v>
      </c>
    </row>
    <row r="625" spans="1:78" s="140" customFormat="1" ht="5.0999999999999996" customHeight="1" x14ac:dyDescent="0.2">
      <c r="A625" s="784"/>
      <c r="B625" s="1316"/>
      <c r="D625" s="178"/>
      <c r="O625" s="1317"/>
      <c r="P625" s="488"/>
      <c r="Q625" s="488"/>
      <c r="R625" s="488"/>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row>
    <row r="626" spans="1:78" s="140" customFormat="1" x14ac:dyDescent="0.2">
      <c r="A626" s="784"/>
      <c r="B626" s="1316"/>
      <c r="D626" s="1618" t="str">
        <f>Translations!$B$160</f>
        <v>Pastabos:</v>
      </c>
      <c r="E626" s="1619"/>
      <c r="F626" s="1605"/>
      <c r="G626" s="1606"/>
      <c r="H626" s="1606"/>
      <c r="I626" s="1606"/>
      <c r="J626" s="1606"/>
      <c r="K626" s="1606"/>
      <c r="L626" s="1606"/>
      <c r="M626" s="1606"/>
      <c r="N626" s="1607"/>
      <c r="O626" s="1317"/>
      <c r="P626" s="488"/>
      <c r="Q626" s="488"/>
      <c r="R626" s="488"/>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2" t="b">
        <f>BZ622</f>
        <v>1</v>
      </c>
    </row>
    <row r="627" spans="1:78" s="28" customFormat="1" ht="12.75" customHeight="1" thickBot="1" x14ac:dyDescent="0.25">
      <c r="A627" s="777"/>
      <c r="B627" s="1312"/>
      <c r="C627" s="490"/>
      <c r="D627" s="491"/>
      <c r="E627" s="492"/>
      <c r="F627" s="490"/>
      <c r="G627" s="493"/>
      <c r="H627" s="493"/>
      <c r="I627" s="493"/>
      <c r="J627" s="493"/>
      <c r="K627" s="493"/>
      <c r="L627" s="493"/>
      <c r="M627" s="493"/>
      <c r="N627" s="493"/>
      <c r="O627" s="1313"/>
      <c r="P627" s="485"/>
      <c r="Q627" s="485"/>
      <c r="R627" s="485"/>
      <c r="S627" s="58"/>
      <c r="T627" s="58"/>
      <c r="U627" s="489"/>
      <c r="V627" s="58"/>
      <c r="W627" s="58"/>
      <c r="X627" s="489"/>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30"/>
      <c r="BJ627" s="30"/>
      <c r="BK627" s="30"/>
      <c r="BL627" s="58"/>
      <c r="BM627" s="58"/>
      <c r="BN627" s="58"/>
      <c r="BO627" s="58"/>
      <c r="BP627" s="58"/>
      <c r="BQ627" s="58"/>
      <c r="BR627" s="58"/>
      <c r="BS627" s="58"/>
      <c r="BT627" s="58"/>
      <c r="BU627" s="58"/>
      <c r="BV627" s="58"/>
      <c r="BW627" s="58"/>
      <c r="BX627" s="58"/>
      <c r="BY627" s="58"/>
      <c r="BZ627" s="58"/>
    </row>
    <row r="628" spans="1:78" s="28" customFormat="1" ht="12.75" customHeight="1" thickBot="1" x14ac:dyDescent="0.25">
      <c r="A628" s="782"/>
      <c r="B628" s="1312"/>
      <c r="C628" s="486"/>
      <c r="D628" s="178"/>
      <c r="E628" s="487"/>
      <c r="F628" s="486"/>
      <c r="G628" s="478"/>
      <c r="H628" s="478"/>
      <c r="I628" s="478"/>
      <c r="J628" s="478"/>
      <c r="K628" s="486"/>
      <c r="L628" s="478"/>
      <c r="M628" s="478"/>
      <c r="N628" s="478"/>
      <c r="O628" s="1313"/>
      <c r="P628" s="485"/>
      <c r="Q628" s="485"/>
      <c r="R628" s="485"/>
      <c r="S628" s="23"/>
      <c r="T628" s="27" t="str">
        <f>IF(ISBLANK(E629),"",MATCH(E629,CNTR_SourceStreamNames,0))</f>
        <v/>
      </c>
      <c r="U628" s="609" t="str">
        <f>IF(ISBLANK(E629),"",INDEX(B_InstallationDescription!$D$71:$D$145,MATCH(E629,CNTR_SourceStreamNames,0)))</f>
        <v/>
      </c>
      <c r="V628" s="76"/>
      <c r="W628" s="56"/>
      <c r="X628" s="56"/>
      <c r="Y628" s="56"/>
      <c r="Z628" s="58"/>
      <c r="AA628" s="58"/>
      <c r="AB628" s="58"/>
      <c r="AC628" s="58"/>
      <c r="AD628" s="58"/>
      <c r="AE628" s="58"/>
      <c r="AF628" s="58"/>
      <c r="AG628" s="58"/>
      <c r="AH628" s="58"/>
      <c r="AI628" s="58"/>
      <c r="AJ628" s="58"/>
      <c r="AK628" s="482"/>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6"/>
      <c r="BI628" s="56"/>
      <c r="BJ628" s="56"/>
      <c r="BK628" s="56"/>
      <c r="BL628" s="56"/>
      <c r="BM628" s="56"/>
      <c r="BN628" s="56"/>
      <c r="BO628" s="56"/>
      <c r="BP628" s="56"/>
      <c r="BQ628" s="56"/>
      <c r="BR628" s="56"/>
      <c r="BS628" s="56"/>
      <c r="BT628" s="56"/>
      <c r="BU628" s="56"/>
      <c r="BV628" s="56"/>
      <c r="BW628" s="56"/>
      <c r="BX628" s="56"/>
      <c r="BY628" s="56"/>
      <c r="BZ628" s="484" t="s">
        <v>259</v>
      </c>
    </row>
    <row r="629" spans="1:78" s="140" customFormat="1" ht="15" customHeight="1" thickBot="1" x14ac:dyDescent="0.25">
      <c r="A629" s="1302" t="str">
        <f>IF(E629="","","PRINT")</f>
        <v/>
      </c>
      <c r="B629" s="1248"/>
      <c r="C629" s="608">
        <f>C602+1</f>
        <v>22</v>
      </c>
      <c r="D629" s="164"/>
      <c r="E629" s="1610"/>
      <c r="F629" s="1611"/>
      <c r="G629" s="1611"/>
      <c r="H629" s="1611"/>
      <c r="I629" s="1611"/>
      <c r="J629" s="1612"/>
      <c r="K629" s="1623" t="str">
        <f>IF(E630="","",INDEX(EUwideConstants!$F$353:$F$394,MATCH(E630,EUConst_TierActivityListNames,0)))</f>
        <v/>
      </c>
      <c r="L629" s="1624"/>
      <c r="M629" s="494" t="str">
        <f>Translations!$B$665</f>
        <v>CO2, iškastinio kuro kilmės:</v>
      </c>
      <c r="N629" s="1012" t="str">
        <f>IF(OR(K629="",T630=TRUE),"",INDEX(BC643:BE643,MATCH(K629,BC639:BE639,0)))</f>
        <v/>
      </c>
      <c r="O629" s="1314" t="s">
        <v>257</v>
      </c>
      <c r="P629" s="1303" t="str">
        <f>IF(AND(E629&lt;&gt;"",COUNTIF(P630:$P$2089,"PRINT")=0),"PRINT","")</f>
        <v/>
      </c>
      <c r="Q629" s="343" t="str">
        <f>EUconst_SumCO2 &amp; "_" &amp; K629</f>
        <v>SUM_CO2_</v>
      </c>
      <c r="R629" s="485"/>
      <c r="S629" s="23"/>
      <c r="T629" s="500" t="s">
        <v>387</v>
      </c>
      <c r="U629" s="23"/>
      <c r="V629" s="76"/>
      <c r="W629" s="56"/>
      <c r="X629" s="58"/>
      <c r="Y629" s="58"/>
      <c r="Z629" s="58"/>
      <c r="AA629" s="58"/>
      <c r="AB629" s="58"/>
      <c r="AC629" s="58"/>
      <c r="AD629" s="58"/>
      <c r="AE629" s="58"/>
      <c r="AF629" s="58"/>
      <c r="AG629" s="58"/>
      <c r="AH629" s="58"/>
      <c r="AI629" s="333"/>
      <c r="AJ629" s="333"/>
      <c r="AK629" s="333"/>
      <c r="AL629" s="333"/>
      <c r="AM629" s="333"/>
      <c r="AN629" s="333"/>
      <c r="AO629" s="333"/>
      <c r="AP629" s="333"/>
      <c r="AQ629" s="333"/>
      <c r="AR629" s="333"/>
      <c r="AS629" s="333"/>
      <c r="AT629" s="333"/>
      <c r="AU629" s="333"/>
      <c r="AV629" s="333"/>
      <c r="AW629" s="333"/>
      <c r="AX629" s="333"/>
      <c r="AY629" s="333"/>
      <c r="AZ629" s="333"/>
      <c r="BA629" s="333"/>
      <c r="BB629" s="333"/>
      <c r="BC629" s="333"/>
      <c r="BD629" s="333"/>
      <c r="BE629" s="333"/>
      <c r="BF629" s="333"/>
      <c r="BG629" s="333"/>
      <c r="BH629" s="834">
        <f>AR639</f>
        <v>0</v>
      </c>
      <c r="BI629" s="834" t="str">
        <f>AJ639</f>
        <v/>
      </c>
      <c r="BJ629" s="834">
        <f>AR641</f>
        <v>0</v>
      </c>
      <c r="BK629" s="834" t="str">
        <f>AJ641</f>
        <v/>
      </c>
      <c r="BL629" s="834">
        <f>AR642</f>
        <v>0</v>
      </c>
      <c r="BM629" s="834" t="str">
        <f>AJ642</f>
        <v/>
      </c>
      <c r="BN629" s="834">
        <f>AR643</f>
        <v>1</v>
      </c>
      <c r="BO629" s="834">
        <f>AR644</f>
        <v>1</v>
      </c>
      <c r="BP629" s="834">
        <f>AR645</f>
        <v>0</v>
      </c>
      <c r="BQ629" s="834" t="str">
        <f>AJ645</f>
        <v/>
      </c>
      <c r="BR629" s="834">
        <f>AR646</f>
        <v>0</v>
      </c>
      <c r="BS629" s="834">
        <f>AR647</f>
        <v>0</v>
      </c>
      <c r="BT629" s="834" t="str">
        <f>N629</f>
        <v/>
      </c>
      <c r="BU629" s="834" t="str">
        <f>N630</f>
        <v/>
      </c>
      <c r="BV629" s="834" t="str">
        <f>R632</f>
        <v/>
      </c>
      <c r="BW629" s="834" t="str">
        <f>R638</f>
        <v/>
      </c>
      <c r="BX629" s="834" t="str">
        <f>R639</f>
        <v/>
      </c>
      <c r="BY629" s="56"/>
      <c r="BZ629" s="610" t="b">
        <f>CNTR_CalcRelevant=EUconst_NotRelevant</f>
        <v>0</v>
      </c>
    </row>
    <row r="630" spans="1:78" s="140" customFormat="1" ht="15" customHeight="1" thickBot="1" x14ac:dyDescent="0.25">
      <c r="A630" s="777"/>
      <c r="B630" s="1248"/>
      <c r="C630" s="164"/>
      <c r="D630" s="164"/>
      <c r="E630" s="1625" t="str">
        <f>IF(ISBLANK(E629),"",IF(INDEX(B_InstallationDescription!$E$71:$E$145,MATCH(U628,B_InstallationDescription!$D$71:$D$145,0))&gt;0,INDEX(B_InstallationDescription!$E$71:$E$145,MATCH(U628,B_InstallationDescription!$D$71:$D$145,0)),""))</f>
        <v/>
      </c>
      <c r="F630" s="1626"/>
      <c r="G630" s="1626"/>
      <c r="H630" s="1626"/>
      <c r="I630" s="1626"/>
      <c r="J630" s="1627"/>
      <c r="M630" s="337" t="str">
        <f>Translations!$B$666</f>
        <v>CO2, biomasės kilmės.:</v>
      </c>
      <c r="N630" s="1013" t="str">
        <f>IF(OR(K629="",T630=TRUE),"",INDEX(BC642:BE642,MATCH(K629,BC639:BE639,0)))</f>
        <v/>
      </c>
      <c r="O630" s="1315" t="s">
        <v>257</v>
      </c>
      <c r="P630" s="485"/>
      <c r="Q630" s="343" t="str">
        <f>EUconst_SumBioCO2 &amp; "_" &amp; K629</f>
        <v>SUM_bioCO2_</v>
      </c>
      <c r="R630" s="485"/>
      <c r="S630" s="23"/>
      <c r="T630" s="48" t="str">
        <f>IF(E630="","",MATCH(E630,EUConst_TierActivityListNames,0)&gt;40)</f>
        <v/>
      </c>
      <c r="U630" s="23"/>
      <c r="V630" s="76"/>
      <c r="W630" s="56"/>
      <c r="X630" s="58"/>
      <c r="Y630" s="27" t="s">
        <v>91</v>
      </c>
      <c r="Z630" s="30"/>
      <c r="AA630" s="30"/>
      <c r="AB630" s="30"/>
      <c r="AC630" s="30"/>
      <c r="AD630" s="30"/>
      <c r="AE630" s="27" t="s">
        <v>297</v>
      </c>
      <c r="AF630" s="58"/>
      <c r="AG630" s="495"/>
      <c r="AH630" s="30"/>
      <c r="AI630" s="30"/>
      <c r="AJ630" s="495"/>
      <c r="AK630" s="495"/>
      <c r="AL630" s="333"/>
      <c r="AM630" s="27" t="s">
        <v>303</v>
      </c>
      <c r="AN630" s="496"/>
      <c r="AO630" s="496"/>
      <c r="AP630" s="30"/>
      <c r="AQ630" s="30"/>
      <c r="AR630" s="30"/>
      <c r="AS630" s="30"/>
      <c r="AT630" s="30"/>
      <c r="AU630" s="30"/>
      <c r="AV630" s="27" t="s">
        <v>310</v>
      </c>
      <c r="AW630" s="30"/>
      <c r="AX630" s="483"/>
      <c r="AY630" s="30"/>
      <c r="AZ630" s="30"/>
      <c r="BA630" s="30"/>
      <c r="BB630" s="27" t="s">
        <v>217</v>
      </c>
      <c r="BC630" s="30"/>
      <c r="BD630" s="30"/>
      <c r="BE630" s="30"/>
      <c r="BF630" s="30"/>
      <c r="BG630" s="27" t="s">
        <v>486</v>
      </c>
      <c r="BH630" s="833" t="s">
        <v>552</v>
      </c>
      <c r="BI630" s="833" t="s">
        <v>487</v>
      </c>
      <c r="BJ630" s="833" t="s">
        <v>211</v>
      </c>
      <c r="BK630" s="833" t="s">
        <v>488</v>
      </c>
      <c r="BL630" s="833" t="s">
        <v>68</v>
      </c>
      <c r="BM630" s="833" t="s">
        <v>489</v>
      </c>
      <c r="BN630" s="833" t="s">
        <v>490</v>
      </c>
      <c r="BO630" s="833" t="s">
        <v>491</v>
      </c>
      <c r="BP630" s="833" t="s">
        <v>214</v>
      </c>
      <c r="BQ630" s="833" t="s">
        <v>492</v>
      </c>
      <c r="BR630" s="833" t="s">
        <v>493</v>
      </c>
      <c r="BS630" s="833" t="s">
        <v>494</v>
      </c>
      <c r="BT630" s="833" t="s">
        <v>287</v>
      </c>
      <c r="BU630" s="833" t="s">
        <v>495</v>
      </c>
      <c r="BV630" s="833" t="s">
        <v>498</v>
      </c>
      <c r="BW630" s="833" t="s">
        <v>496</v>
      </c>
      <c r="BX630" s="833" t="s">
        <v>497</v>
      </c>
      <c r="BY630" s="30"/>
      <c r="BZ630" s="30"/>
    </row>
    <row r="631" spans="1:78" s="140" customFormat="1" ht="5.0999999999999996" customHeight="1" thickBot="1" x14ac:dyDescent="0.25">
      <c r="A631" s="777"/>
      <c r="B631" s="1248"/>
      <c r="C631" s="164"/>
      <c r="D631" s="164"/>
      <c r="E631" s="164"/>
      <c r="F631" s="164"/>
      <c r="G631" s="164"/>
      <c r="M631" s="141"/>
      <c r="N631" s="141"/>
      <c r="O631" s="1305"/>
      <c r="P631" s="33"/>
      <c r="Q631" s="33"/>
      <c r="R631" s="33"/>
      <c r="S631" s="23"/>
      <c r="T631" s="23"/>
      <c r="U631" s="23"/>
      <c r="V631" s="76"/>
      <c r="W631" s="30"/>
      <c r="X631" s="30"/>
      <c r="Y631" s="485"/>
      <c r="Z631" s="30"/>
      <c r="AA631" s="30"/>
      <c r="AB631" s="30"/>
      <c r="AC631" s="30"/>
      <c r="AD631" s="30"/>
      <c r="AE631" s="30"/>
      <c r="AF631" s="58"/>
      <c r="AG631" s="30"/>
      <c r="AH631" s="30"/>
      <c r="AI631" s="30"/>
      <c r="AJ631" s="495"/>
      <c r="AK631" s="495"/>
      <c r="AL631" s="333"/>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row>
    <row r="632" spans="1:78" s="140" customFormat="1" ht="12.75" customHeight="1" thickBot="1" x14ac:dyDescent="0.25">
      <c r="A632" s="777"/>
      <c r="B632" s="1248"/>
      <c r="C632" s="164"/>
      <c r="D632" s="164"/>
      <c r="E632" s="1628" t="str">
        <f>IF(E629="","",IF(T630=TRUE,HYPERLINK("#JUMP_14",EUconst_MsgGoOnPFC),HYPERLINK("#JUMP_E_8",EUconst_FurtherGuidancePoint1)))</f>
        <v/>
      </c>
      <c r="F632" s="1628"/>
      <c r="G632" s="1628"/>
      <c r="H632" s="1628"/>
      <c r="I632" s="1628"/>
      <c r="J632" s="1628"/>
      <c r="K632" s="1628"/>
      <c r="L632" s="1628"/>
      <c r="M632" s="1628"/>
      <c r="N632" s="141"/>
      <c r="O632" s="1305"/>
      <c r="P632" s="33"/>
      <c r="Q632" s="343" t="str">
        <f>EUconst_SumNonSustBioCO2 &amp; "_" &amp; K629</f>
        <v>SUM_bioNonSustCO2_</v>
      </c>
      <c r="R632" s="698" t="str">
        <f>IF(OR(K629="",T630=TRUE),"",ROUND(INDEX(BC641:BE641,MATCH(K629,BC639:BE639,0)),0))</f>
        <v/>
      </c>
      <c r="S632" s="23"/>
      <c r="T632" s="23"/>
      <c r="U632" s="23"/>
      <c r="V632" s="30"/>
      <c r="W632" s="30"/>
      <c r="X632" s="30"/>
      <c r="Y632" s="58"/>
      <c r="Z632" s="30"/>
      <c r="AA632" s="30"/>
      <c r="AB632" s="30"/>
      <c r="AC632" s="30"/>
      <c r="AD632" s="30"/>
      <c r="AE632" s="30"/>
      <c r="AF632" s="58"/>
      <c r="AG632" s="30"/>
      <c r="AH632" s="30"/>
      <c r="AI632" s="30"/>
      <c r="AJ632" s="495"/>
      <c r="AK632" s="495"/>
      <c r="AL632" s="333"/>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row>
    <row r="633" spans="1:78" s="140" customFormat="1" ht="5.0999999999999996" customHeight="1" thickBot="1" x14ac:dyDescent="0.25">
      <c r="A633" s="777"/>
      <c r="B633" s="1248"/>
      <c r="C633" s="164"/>
      <c r="D633" s="164"/>
      <c r="E633" s="164"/>
      <c r="F633" s="164"/>
      <c r="G633" s="164"/>
      <c r="M633" s="141"/>
      <c r="N633" s="141"/>
      <c r="O633" s="1305"/>
      <c r="P633" s="23"/>
      <c r="Q633" s="23"/>
      <c r="R633" s="23"/>
      <c r="S633" s="23"/>
      <c r="T633" s="23"/>
      <c r="U633" s="23"/>
      <c r="V633" s="30"/>
      <c r="W633" s="30"/>
      <c r="X633" s="30"/>
      <c r="Y633" s="485"/>
      <c r="Z633" s="30"/>
      <c r="AA633" s="30"/>
      <c r="AB633" s="30"/>
      <c r="AC633" s="30"/>
      <c r="AD633" s="30"/>
      <c r="AE633" s="30"/>
      <c r="AF633" s="58"/>
      <c r="AG633" s="30"/>
      <c r="AH633" s="30"/>
      <c r="AI633" s="30"/>
      <c r="AJ633" s="495"/>
      <c r="AK633" s="495"/>
      <c r="AL633" s="333"/>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row>
    <row r="634" spans="1:78" s="140" customFormat="1" ht="12.75" customHeight="1" thickBot="1" x14ac:dyDescent="0.25">
      <c r="A634" s="777"/>
      <c r="B634" s="1248"/>
      <c r="C634" s="783" t="s">
        <v>4</v>
      </c>
      <c r="D634" s="503" t="str">
        <f>Translations!$B$622</f>
        <v>VD:</v>
      </c>
      <c r="E634" s="1631" t="str">
        <f>Translations!$B$667</f>
        <v>Ar veiklos duomenys gaunami sudedant išmatuotus kiekius (t. y. ne atliekant nuolatinius matavimus)?</v>
      </c>
      <c r="F634" s="1631"/>
      <c r="G634" s="1631"/>
      <c r="H634" s="1631"/>
      <c r="I634" s="1631"/>
      <c r="J634" s="1631"/>
      <c r="K634" s="1631"/>
      <c r="L634" s="1122"/>
      <c r="M634" s="498"/>
      <c r="O634" s="1305"/>
      <c r="P634" s="23"/>
      <c r="Q634" s="23"/>
      <c r="R634" s="23"/>
      <c r="S634" s="23"/>
      <c r="T634" s="23"/>
      <c r="U634" s="23"/>
      <c r="V634" s="30"/>
      <c r="W634" s="30"/>
      <c r="X634" s="30"/>
      <c r="Y634" s="485"/>
      <c r="Z634" s="30"/>
      <c r="AA634" s="30"/>
      <c r="AB634" s="30"/>
      <c r="AC634" s="1115" t="b">
        <f>AND(E629&lt;&gt;"",T630&lt;&gt;TRUE)</f>
        <v>0</v>
      </c>
      <c r="AD634" s="30"/>
      <c r="AE634" s="30"/>
      <c r="AF634" s="58"/>
      <c r="AG634" s="30"/>
      <c r="AH634" s="30"/>
      <c r="AI634" s="30"/>
      <c r="AJ634" s="495"/>
      <c r="AK634" s="495"/>
      <c r="AL634" s="333"/>
      <c r="AM634" s="30"/>
      <c r="AN634" s="30"/>
      <c r="AO634" s="30"/>
      <c r="AP634" s="30"/>
      <c r="AQ634" s="30"/>
      <c r="AR634" s="30"/>
      <c r="AS634" s="30"/>
      <c r="AT634" s="1115" t="b">
        <f>MSPara_BatchReportingMandatory&lt;&gt;TRUE</f>
        <v>0</v>
      </c>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1115" t="b">
        <f>OR(CNTR_CalcRelevant=EUconst_NotRelevant,AND(COUNTA(CNTR_ListRelevantSections)&gt;0,OR(T630=TRUE,E629="")))</f>
        <v>1</v>
      </c>
    </row>
    <row r="635" spans="1:78" s="140" customFormat="1" ht="5.0999999999999996" customHeight="1" thickBot="1" x14ac:dyDescent="0.25">
      <c r="A635" s="777"/>
      <c r="B635" s="1248"/>
      <c r="C635" s="164"/>
      <c r="D635" s="164"/>
      <c r="E635" s="164"/>
      <c r="F635" s="164"/>
      <c r="G635" s="164"/>
      <c r="H635" s="486"/>
      <c r="I635" s="486"/>
      <c r="J635" s="486"/>
      <c r="K635" s="486"/>
      <c r="L635" s="486"/>
      <c r="M635" s="498"/>
      <c r="O635" s="1305"/>
      <c r="P635" s="23"/>
      <c r="Q635" s="23"/>
      <c r="R635" s="23"/>
      <c r="S635" s="23"/>
      <c r="T635" s="23"/>
      <c r="U635" s="23"/>
      <c r="V635" s="30"/>
      <c r="W635" s="30"/>
      <c r="X635" s="30"/>
      <c r="Y635" s="485"/>
      <c r="Z635" s="30"/>
      <c r="AA635" s="30"/>
      <c r="AB635" s="30"/>
      <c r="AC635" s="483"/>
      <c r="AD635" s="30"/>
      <c r="AE635" s="30"/>
      <c r="AF635" s="58"/>
      <c r="AG635" s="30"/>
      <c r="AH635" s="30"/>
      <c r="AI635" s="30"/>
      <c r="AJ635" s="495"/>
      <c r="AK635" s="495"/>
      <c r="AL635" s="333"/>
      <c r="AM635" s="30"/>
      <c r="AN635" s="30"/>
      <c r="AO635" s="30"/>
      <c r="AP635" s="30"/>
      <c r="AQ635" s="30"/>
      <c r="AR635" s="30"/>
      <c r="AS635" s="30"/>
      <c r="AT635" s="483"/>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483"/>
    </row>
    <row r="636" spans="1:78" s="140" customFormat="1" ht="12.75" customHeight="1" thickBot="1" x14ac:dyDescent="0.25">
      <c r="A636" s="777"/>
      <c r="B636" s="1248"/>
      <c r="C636" s="783" t="s">
        <v>5</v>
      </c>
      <c r="D636" s="503" t="str">
        <f>Translations!$B$622</f>
        <v>VD:</v>
      </c>
      <c r="E636" s="1105" t="str">
        <f>Translations!$B$668</f>
        <v>Pradinis kiekis:</v>
      </c>
      <c r="F636" s="1123"/>
      <c r="G636" s="1106" t="str">
        <f>Translations!$B$669</f>
        <v>Galutinis kiekis:</v>
      </c>
      <c r="H636" s="1123"/>
      <c r="I636" s="1106" t="str">
        <f>Translations!$B$670</f>
        <v>Įsigytas kiekis:</v>
      </c>
      <c r="J636" s="1123"/>
      <c r="K636" s="1106" t="str">
        <f>Translations!$B$671</f>
        <v>Perduotas kiekis:</v>
      </c>
      <c r="L636" s="1123"/>
      <c r="M636" s="1107" t="str">
        <f>IF(AND(L634=TRUE,COUNT(F636,H636,J636,L636)&lt;4),EUconst_ERR_Incomplete,"")</f>
        <v/>
      </c>
      <c r="O636" s="1305"/>
      <c r="P636" s="23"/>
      <c r="Q636" s="23"/>
      <c r="R636" s="23"/>
      <c r="S636" s="23"/>
      <c r="T636" s="23"/>
      <c r="U636" s="23"/>
      <c r="V636" s="30"/>
      <c r="W636" s="30"/>
      <c r="X636" s="30"/>
      <c r="Y636" s="485"/>
      <c r="Z636" s="30"/>
      <c r="AA636" s="30"/>
      <c r="AB636" s="30"/>
      <c r="AC636" s="1115" t="b">
        <f>AC634</f>
        <v>0</v>
      </c>
      <c r="AD636" s="30"/>
      <c r="AE636" s="30"/>
      <c r="AF636" s="58"/>
      <c r="AG636" s="30"/>
      <c r="AH636" s="30"/>
      <c r="AI636" s="30"/>
      <c r="AJ636" s="495"/>
      <c r="AK636" s="495"/>
      <c r="AL636" s="333"/>
      <c r="AM636" s="30"/>
      <c r="AN636" s="30"/>
      <c r="AO636" s="30"/>
      <c r="AP636" s="30"/>
      <c r="AQ636" s="30"/>
      <c r="AR636" s="30"/>
      <c r="AS636" s="30"/>
      <c r="AT636" s="1115" t="b">
        <f>AND(AT634=TRUE,L634="")</f>
        <v>0</v>
      </c>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1115" t="b">
        <f>OR(BZ634,AND(NOT(ISBLANK(L634)),L634=FALSE))</f>
        <v>1</v>
      </c>
    </row>
    <row r="637" spans="1:78" s="140" customFormat="1" ht="5.0999999999999996" customHeight="1" thickBot="1" x14ac:dyDescent="0.25">
      <c r="A637" s="777"/>
      <c r="B637" s="1248"/>
      <c r="C637" s="164"/>
      <c r="D637" s="164"/>
      <c r="E637" s="164"/>
      <c r="F637" s="164"/>
      <c r="G637" s="164"/>
      <c r="M637" s="141"/>
      <c r="N637" s="141"/>
      <c r="O637" s="1305"/>
      <c r="P637" s="23"/>
      <c r="Q637" s="23"/>
      <c r="R637" s="23"/>
      <c r="S637" s="23"/>
      <c r="T637" s="23"/>
      <c r="U637" s="23"/>
      <c r="V637" s="30"/>
      <c r="W637" s="30"/>
      <c r="X637" s="30"/>
      <c r="Y637" s="485"/>
      <c r="Z637" s="30"/>
      <c r="AA637" s="30"/>
      <c r="AB637" s="30"/>
      <c r="AC637" s="30"/>
      <c r="AD637" s="30"/>
      <c r="AE637" s="30"/>
      <c r="AF637" s="58"/>
      <c r="AG637" s="30"/>
      <c r="AH637" s="30"/>
      <c r="AI637" s="30"/>
      <c r="AJ637" s="495"/>
      <c r="AK637" s="495"/>
      <c r="AL637" s="333"/>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row>
    <row r="638" spans="1:78" s="140" customFormat="1" ht="12.75" customHeight="1" thickBot="1" x14ac:dyDescent="0.25">
      <c r="A638" s="777"/>
      <c r="B638" s="1248"/>
      <c r="C638" s="164"/>
      <c r="D638" s="164"/>
      <c r="E638" s="164"/>
      <c r="F638" s="497" t="str">
        <f>Translations!$B$333</f>
        <v>Pakopa</v>
      </c>
      <c r="G638" s="1613" t="str">
        <f>Translations!$B$672</f>
        <v>pakopos aprašas</v>
      </c>
      <c r="H638" s="1613"/>
      <c r="I638" s="1608" t="str">
        <f>Translations!$B$158</f>
        <v>Vienetas</v>
      </c>
      <c r="J638" s="1608"/>
      <c r="K638" s="1608" t="str">
        <f>Translations!$B$673</f>
        <v>Vertė</v>
      </c>
      <c r="L638" s="1608"/>
      <c r="M638" s="498" t="str">
        <f>Translations!$B$610</f>
        <v>klaida</v>
      </c>
      <c r="O638" s="1305"/>
      <c r="P638" s="499"/>
      <c r="Q638" s="343" t="str">
        <f>EUconst_SumEnergyIN &amp; "_" &amp; K629</f>
        <v>SUM_EnergyIN_</v>
      </c>
      <c r="R638" s="390" t="str">
        <f>IF(OR(K629="",T630)=TRUE,"",INDEX(BC644:BE644,MATCH(K629,BC639:BE639,0)))</f>
        <v/>
      </c>
      <c r="S638" s="30"/>
      <c r="T638" s="480"/>
      <c r="U638" s="30"/>
      <c r="V638" s="500" t="s">
        <v>298</v>
      </c>
      <c r="W638" s="30"/>
      <c r="X638" s="30"/>
      <c r="Y638" s="485" t="s">
        <v>560</v>
      </c>
      <c r="Z638" s="485" t="s">
        <v>313</v>
      </c>
      <c r="AA638" s="30"/>
      <c r="AB638" s="30"/>
      <c r="AC638" s="496" t="s">
        <v>304</v>
      </c>
      <c r="AD638" s="30"/>
      <c r="AE638" s="30"/>
      <c r="AF638" s="483" t="s">
        <v>300</v>
      </c>
      <c r="AG638" s="483" t="s">
        <v>301</v>
      </c>
      <c r="AH638" s="485" t="s">
        <v>299</v>
      </c>
      <c r="AI638" s="495" t="s">
        <v>302</v>
      </c>
      <c r="AJ638" s="495" t="s">
        <v>561</v>
      </c>
      <c r="AK638" s="501" t="s">
        <v>306</v>
      </c>
      <c r="AL638" s="333"/>
      <c r="AM638" s="30"/>
      <c r="AN638" s="483" t="s">
        <v>300</v>
      </c>
      <c r="AO638" s="483" t="s">
        <v>301</v>
      </c>
      <c r="AP638" s="502" t="s">
        <v>305</v>
      </c>
      <c r="AQ638" s="495" t="s">
        <v>563</v>
      </c>
      <c r="AR638" s="495" t="s">
        <v>562</v>
      </c>
      <c r="AS638" s="501" t="s">
        <v>306</v>
      </c>
      <c r="AT638" s="501" t="s">
        <v>306</v>
      </c>
      <c r="AU638" s="30"/>
      <c r="AV638" s="483"/>
      <c r="AW638" s="483"/>
      <c r="AX638" s="483" t="s">
        <v>316</v>
      </c>
      <c r="AY638" s="483"/>
      <c r="AZ638" s="483"/>
      <c r="BA638" s="483"/>
      <c r="BB638" s="483"/>
      <c r="BC638" s="483"/>
      <c r="BD638" s="483"/>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484" t="s">
        <v>259</v>
      </c>
    </row>
    <row r="639" spans="1:78" s="140" customFormat="1" ht="12.75" customHeight="1" thickBot="1" x14ac:dyDescent="0.25">
      <c r="A639" s="777"/>
      <c r="B639" s="1248"/>
      <c r="C639" s="753" t="s">
        <v>194</v>
      </c>
      <c r="D639" s="503" t="str">
        <f>Translations!$B$622</f>
        <v>VD:</v>
      </c>
      <c r="E639" s="504"/>
      <c r="F639" s="393"/>
      <c r="G639" s="1603" t="str">
        <f>IF(OR(ISBLANK(F639),F639=EUconst_NoTier),"",IF(Z639=0,EUconst_NA,IF(ISERROR(Z639),"",Z639)))</f>
        <v/>
      </c>
      <c r="H639" s="1604"/>
      <c r="I639" s="1108" t="str">
        <f>IF(J639&lt;&gt;"","",AI639)</f>
        <v/>
      </c>
      <c r="J639" s="1109"/>
      <c r="K639" s="1116" t="str">
        <f>IF(L639="",AQ639,"")</f>
        <v/>
      </c>
      <c r="L639" s="1199"/>
      <c r="M639" s="700" t="str">
        <f>IF(AND(E630&lt;&gt;"",OR(F639="",COUNT(K639:L639)=0),Y639&lt;&gt;EUconst_NA,T630&lt;&gt;TRUE),EUconst_ERR_Incomplete,IF(COUNTIF(AX639:AZ639,TRUE)&gt;0,EUconst_ERR_Inconsistent,""))</f>
        <v/>
      </c>
      <c r="O639" s="1305"/>
      <c r="P639" s="635"/>
      <c r="Q639" s="343" t="str">
        <f>EUconst_SumBioEnergyIN &amp; "_" &amp; K629</f>
        <v>SUM_BioEnergyIN_</v>
      </c>
      <c r="R639" s="390" t="str">
        <f>IF(OR(K629="",T630)=TRUE,"",INDEX(BC645:BE645,MATCH(K629,BC639:BE639,0)))</f>
        <v/>
      </c>
      <c r="S639" s="30"/>
      <c r="T639" s="505" t="str">
        <f>EUconst_CNTR_ActivityData&amp;E630</f>
        <v>ActivityData_</v>
      </c>
      <c r="U639" s="488"/>
      <c r="V639" s="505" t="str">
        <f>IF(E629="","",INDEX(B_InstallationDescription!$I$71:$I$145,MATCH(U628,B_InstallationDescription!$D$71:$D$145,0)))</f>
        <v/>
      </c>
      <c r="W639" s="495" t="s">
        <v>533</v>
      </c>
      <c r="X639" s="488"/>
      <c r="Y639" s="506" t="str">
        <f>IF(OR(T630=TRUE,E630=""),"",INDEX(EUwideConstants!$N:$N,MATCH(T639,EUwideConstants!$Q:$Q,0)))</f>
        <v/>
      </c>
      <c r="Z639" s="507" t="str">
        <f>IF(ISBLANK(F639),"",IF(F639=EUconst_NA,"",INDEX(EUwideConstants!$H:$M,MATCH(T639,EUwideConstants!$Q:$Q,0),MATCH(F639,CNTR_TierList,0))))</f>
        <v/>
      </c>
      <c r="AA639" s="508" t="s">
        <v>299</v>
      </c>
      <c r="AB639" s="495"/>
      <c r="AC639" s="509" t="b">
        <f>AC634</f>
        <v>0</v>
      </c>
      <c r="AD639" s="30"/>
      <c r="AE639" s="510" t="str">
        <f>EUconst_CNTR_ActivityData&amp;EUconst_Unit</f>
        <v>ActivityData_Vienetas</v>
      </c>
      <c r="AF639" s="511" t="str">
        <f>IF(AC639=TRUE, IF(COUNTIF(MSPara_SourceStreamCategory,V639)=0,"",INDEX(MSPara_CalcFactorsMatrix,MATCH(V639,MSPara_SourceStreamCategory,0),MATCH(AE639&amp;"_"&amp;2,MSPara_CalcFactors,0))),"")</f>
        <v/>
      </c>
      <c r="AG639" s="512" t="str">
        <f>IF(AC639=TRUE, IF(COUNTIF(MSPara_SourceStreamCategory,V639)=0,"",INDEX(MSPara_CalcFactorsMatrix,MATCH(V639,MSPara_SourceStreamCategory,0),MATCH(AE639&amp;"_"&amp;1,MSPara_CalcFactors,0))),"")</f>
        <v/>
      </c>
      <c r="AH639" s="509" t="str">
        <f>IF(OR(AF639="",AF639=EUconst_NA),IF(OR(AG639=EUconst_NA,AG639=""),"",AG639),AF639)</f>
        <v/>
      </c>
      <c r="AI639" s="506" t="str">
        <f>IF(AC639=TRUE,IF(AH639="",EUconst_t,AH639),"")</f>
        <v/>
      </c>
      <c r="AJ639" s="513" t="str">
        <f>IF(J639="",AI639,J639)</f>
        <v/>
      </c>
      <c r="AK639" s="514" t="b">
        <f>IF(K629=EUconst_Fuel,J639&lt;&gt;"",FALSE)</f>
        <v>0</v>
      </c>
      <c r="AL639" s="333"/>
      <c r="AM639" s="505" t="str">
        <f>EUconst_CNTR_ActivityData&amp;EUconst_Value</f>
        <v>ActivityData_Vertė</v>
      </c>
      <c r="AN639" s="496"/>
      <c r="AO639" s="496"/>
      <c r="AP639" s="509" t="b">
        <f>AND(AND(AH639&lt;&gt;"",AJ639&lt;&gt;""),AJ639=AH639)</f>
        <v>0</v>
      </c>
      <c r="AQ639" s="610" t="str">
        <f>IF(L634=TRUE,SUM(F636)-SUM(H636)+SUM(J636)-SUM(L636),"")</f>
        <v/>
      </c>
      <c r="AR639" s="509">
        <f>IF(Y639=EUconst_NA,0,IF(COUNT(K639:L639)=0,0,IF(L639="",K639,L639)))</f>
        <v>0</v>
      </c>
      <c r="AS639" s="1115" t="b">
        <f>AND(AC639=TRUE,OR(L639&lt;&gt;"",AQ639=""))</f>
        <v>0</v>
      </c>
      <c r="AT639" s="1115" t="b">
        <f>AND(AC639=TRUE,NOT(AS639))</f>
        <v>0</v>
      </c>
      <c r="AU639" s="30"/>
      <c r="AV639" s="483" t="s">
        <v>309</v>
      </c>
      <c r="AW639" s="483" t="s">
        <v>314</v>
      </c>
      <c r="AX639" s="515"/>
      <c r="AY639" s="30" t="s">
        <v>536</v>
      </c>
      <c r="AZ639" s="30"/>
      <c r="BA639" s="30"/>
      <c r="BB639" s="495"/>
      <c r="BC639" s="484" t="str">
        <f>EUconst_Fuel</f>
        <v>Degimas</v>
      </c>
      <c r="BD639" s="484" t="str">
        <f>EUconst_ProcessCarbonate</f>
        <v>Proceso metu išsiskiriančios ŠESD</v>
      </c>
      <c r="BE639" s="484" t="str">
        <f>EUconst_MassBalance</f>
        <v>Masės balansas</v>
      </c>
      <c r="BF639" s="30"/>
      <c r="BG639" s="30"/>
      <c r="BH639" s="30"/>
      <c r="BI639" s="30"/>
      <c r="BJ639" s="30"/>
      <c r="BK639" s="30"/>
      <c r="BL639" s="30"/>
      <c r="BM639" s="30"/>
      <c r="BN639" s="30"/>
      <c r="BO639" s="30"/>
      <c r="BP639" s="30"/>
      <c r="BQ639" s="30"/>
      <c r="BR639" s="30"/>
      <c r="BS639" s="30"/>
      <c r="BT639" s="30"/>
      <c r="BU639" s="30"/>
      <c r="BV639" s="30"/>
      <c r="BW639" s="30"/>
      <c r="BX639" s="30"/>
      <c r="BY639" s="30"/>
      <c r="BZ639" s="515" t="b">
        <f>BZ634</f>
        <v>1</v>
      </c>
    </row>
    <row r="640" spans="1:78" s="140" customFormat="1" ht="5.0999999999999996" customHeight="1" thickBot="1" x14ac:dyDescent="0.25">
      <c r="A640" s="777"/>
      <c r="B640" s="1248"/>
      <c r="C640" s="783"/>
      <c r="D640" s="298"/>
      <c r="F640" s="141"/>
      <c r="G640" s="141"/>
      <c r="H640" s="141" t="s">
        <v>233</v>
      </c>
      <c r="I640" s="516"/>
      <c r="J640" s="516"/>
      <c r="K640" s="141"/>
      <c r="L640" s="141"/>
      <c r="M640" s="701"/>
      <c r="O640" s="1305"/>
      <c r="P640" s="33"/>
      <c r="Q640" s="33"/>
      <c r="R640" s="33"/>
      <c r="S640" s="30"/>
      <c r="T640" s="153"/>
      <c r="U640" s="488"/>
      <c r="V640" s="30"/>
      <c r="W640" s="30"/>
      <c r="X640" s="488"/>
      <c r="Y640" s="517"/>
      <c r="Z640" s="30"/>
      <c r="AA640" s="30"/>
      <c r="AB640" s="30"/>
      <c r="AC640" s="30"/>
      <c r="AD640" s="30"/>
      <c r="AE640" s="30"/>
      <c r="AF640" s="30"/>
      <c r="AG640" s="30"/>
      <c r="AH640" s="30"/>
      <c r="AI640" s="30"/>
      <c r="AJ640" s="30"/>
      <c r="AK640" s="30"/>
      <c r="AL640" s="333"/>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484"/>
    </row>
    <row r="641" spans="1:78" s="140" customFormat="1" ht="12.75" customHeight="1" thickBot="1" x14ac:dyDescent="0.25">
      <c r="A641" s="777"/>
      <c r="B641" s="1248"/>
      <c r="C641" s="783" t="s">
        <v>195</v>
      </c>
      <c r="D641" s="503" t="str">
        <f>Translations!$B$634</f>
        <v>(prelim.) ITF:</v>
      </c>
      <c r="E641" s="504"/>
      <c r="F641" s="518"/>
      <c r="G641" s="1603" t="str">
        <f t="shared" ref="G641:G647" si="147">IF(OR(ISBLANK(F641),F641=EUconst_NoTier),"",IF(Z641=0,EUconst_NotApplicable,IF(ISERROR(Z641),"",Z641)))</f>
        <v/>
      </c>
      <c r="H641" s="1609"/>
      <c r="I641" s="1110" t="str">
        <f>IF(J641&lt;&gt;"","",AI641)</f>
        <v/>
      </c>
      <c r="J641" s="1111"/>
      <c r="K641" s="519" t="str">
        <f t="shared" ref="K641:K647" si="148">IF(L641="",AQ641,"")</f>
        <v/>
      </c>
      <c r="L641" s="520"/>
      <c r="M641" s="700" t="str">
        <f>IF(AND(E630&lt;&gt;"",OR(F641="",COUNT(K641:L641)=0),Y641&lt;&gt;EUconst_NA,T630&lt;&gt;TRUE),EUconst_ERR_Incomplete,IF(COUNTIF(AX641:AZ641,TRUE)&gt;0,EUconst_ERR_Inconsistent,""))</f>
        <v/>
      </c>
      <c r="N641" s="486"/>
      <c r="O641" s="1305"/>
      <c r="P641" s="33"/>
      <c r="Q641" s="33"/>
      <c r="R641" s="33"/>
      <c r="S641" s="30"/>
      <c r="T641" s="521" t="str">
        <f>EUconst_CNTR_EF&amp;E630</f>
        <v>EF_</v>
      </c>
      <c r="U641" s="488"/>
      <c r="V641" s="522" t="str">
        <f>V639</f>
        <v/>
      </c>
      <c r="W641" s="30"/>
      <c r="X641" s="488"/>
      <c r="Y641" s="523" t="str">
        <f>IF(OR(T630=TRUE,E630=""),"",IF(F641=EUconst_NA,EUconst_NA,INDEX(EUwideConstants!$N:$N,MATCH(T641,EUwideConstants!$Q:$Q,0))))</f>
        <v/>
      </c>
      <c r="Z641" s="524" t="str">
        <f>IF(ISBLANK(F641),"",IF(F641=EUconst_NA,"",INDEX(EUwideConstants!$H:$M,MATCH(T641,EUwideConstants!$Q:$Q,0),MATCH(F641,CNTR_TierList,0))))</f>
        <v/>
      </c>
      <c r="AA641" s="525" t="str">
        <f>IF(COUNTIF(EUconst_DefaultValues,Z641)&gt;0,MATCH(Z641,EUconst_DefaultValues,0),"")</f>
        <v/>
      </c>
      <c r="AB641" s="30"/>
      <c r="AC641" s="526" t="b">
        <f>AND(AC639,Y641&lt;&gt;EUconst_NA)</f>
        <v>0</v>
      </c>
      <c r="AD641" s="30"/>
      <c r="AE641" s="510" t="str">
        <f>EUconst_CNTR_EF&amp;EUconst_Unit</f>
        <v>EF_Vienetas</v>
      </c>
      <c r="AF641" s="527" t="str">
        <f>IF(AC641=TRUE, IF(COUNTIF(MSPara_SourceStreamCategory,V641)=0,"",INDEX(MSPara_CalcFactorsMatrix,MATCH(V641,MSPara_SourceStreamCategory,0),MATCH(AE641&amp;"_"&amp;2,MSPara_CalcFactors,0))),"")</f>
        <v/>
      </c>
      <c r="AG641" s="528" t="str">
        <f>IF(AC641=TRUE, IF(COUNTIF(MSPara_SourceStreamCategory,V641)=0,"",INDEX(MSPara_CalcFactorsMatrix,MATCH(V641,MSPara_SourceStreamCategory,0),MATCH(AE641&amp;"_"&amp;1,MSPara_CalcFactors,0))),"")</f>
        <v/>
      </c>
      <c r="AH641" s="529" t="str">
        <f>IF(AA641="","",INDEX(AF641:AG641,3-AA641))</f>
        <v/>
      </c>
      <c r="AI641" s="530" t="str">
        <f>IF(AC641=TRUE,IF(OR(AH641="",AH641=EUconst_NA),IF(K629=EUconst_Fuel,EUconst_tCO2pTJ,EUconst_tCO2pt),AH641),"")</f>
        <v/>
      </c>
      <c r="AJ641" s="526" t="str">
        <f>IF(J641="",AI641,J641)</f>
        <v/>
      </c>
      <c r="AK641" s="531" t="b">
        <f>IF(K629=EUconst_Fuel,J641&lt;&gt;"",FALSE)</f>
        <v>0</v>
      </c>
      <c r="AL641" s="333"/>
      <c r="AM641" s="510" t="str">
        <f>EUconst_CNTR_EF&amp;EUconst_Value</f>
        <v>EF_Vertė</v>
      </c>
      <c r="AN641" s="532" t="str">
        <f>IF(AC641=TRUE,IF(COUNTIF(MSPara_SourceStreamCategory,V641)=0,"",INDEX(MSPara_CalcFactorsMatrix,MATCH(V641,MSPara_SourceStreamCategory,0),MATCH(AM641&amp;"_"&amp;2,MSPara_CalcFactors,0))),"")</f>
        <v/>
      </c>
      <c r="AO641" s="533" t="str">
        <f>IF(AC641=TRUE,IF(COUNTIF(MSPara_SourceStreamCategory,V641)=0,"",INDEX(MSPara_CalcFactorsMatrix,MATCH(V641,MSPara_SourceStreamCategory,0),MATCH(AM641&amp;"_"&amp;1,MSPara_CalcFactors,0))),"")</f>
        <v/>
      </c>
      <c r="AP641" s="526" t="b">
        <f>AND(AND(AH641&lt;&gt;"",AJ641&lt;&gt;""),AJ641=AH641)</f>
        <v>0</v>
      </c>
      <c r="AQ641" s="534" t="str">
        <f>IF(AND(AA641&lt;&gt;"",AP641=TRUE),IF(OR(INDEX(AN641:AO641,3-AA641)=EUconst_NA,INDEX(AN641:AO641,3-AA641)=0),"",INDEX(AN641:AO641,3-AA641)),"")</f>
        <v/>
      </c>
      <c r="AR641" s="526">
        <f>IF(AC641=TRUE,IF(COUNT(K641:L641)=0,0,IF(L641="",K641,L641)),0)</f>
        <v>0</v>
      </c>
      <c r="AS641" s="522" t="b">
        <f>AND(AC641=TRUE,OR(AND(F641&lt;&gt;"",NOT(ISNUMBER(AA641))),L641&lt;&gt;"",F641="",AQ641=""))</f>
        <v>0</v>
      </c>
      <c r="AT641" s="522" t="b">
        <f t="shared" ref="AT641:AT647" si="149">AND(AC641=TRUE,NOT(AS641))</f>
        <v>0</v>
      </c>
      <c r="AU641" s="30"/>
      <c r="AV641" s="535" t="b">
        <f t="shared" ref="AV641:AV647" si="150">AND(ISNUMBER(AA641),AQ641="")</f>
        <v>0</v>
      </c>
      <c r="AW641" s="536" t="b">
        <f t="shared" ref="AW641:AW647" si="151">AND(ISNUMBER(AA641),AQ641&lt;&gt;AR641)</f>
        <v>0</v>
      </c>
      <c r="AX641" s="537" t="b">
        <f>OR(AND(AJ639=EUconst_kNm3,AJ641=EUconst_tCO2pt),AND(AJ639=EUconst_t,AJ641=EUconst_tCO2pkNm3))</f>
        <v>0</v>
      </c>
      <c r="AY641" s="522" t="b">
        <f t="shared" ref="AY641:AY647" si="152">AND(L641&lt;&gt;"",Y641=EUconst_NA)</f>
        <v>0</v>
      </c>
      <c r="AZ641" s="30"/>
      <c r="BA641" s="30"/>
      <c r="BB641" s="538" t="s">
        <v>588</v>
      </c>
      <c r="BC641" s="537" t="str">
        <f>IF(K629=BC639,AR639*IF(AJ641=EUconst_tCO2pTJ,(AR642/1000),1)*AR641*AR643*AR647,"")</f>
        <v/>
      </c>
      <c r="BD641" s="515" t="str">
        <f>IF(K629=BD639,AR639*AR641*AR644*AR647,"")</f>
        <v/>
      </c>
      <c r="BE641" s="514" t="str">
        <f>IF(K629=BE639,3.664*AR639*AR645*AR647,"")</f>
        <v/>
      </c>
      <c r="BF641" s="30"/>
      <c r="BG641" s="30"/>
      <c r="BH641" s="30"/>
      <c r="BI641" s="30"/>
      <c r="BJ641" s="30"/>
      <c r="BK641" s="30"/>
      <c r="BL641" s="30"/>
      <c r="BM641" s="30"/>
      <c r="BN641" s="30"/>
      <c r="BO641" s="30"/>
      <c r="BP641" s="30"/>
      <c r="BQ641" s="30"/>
      <c r="BR641" s="30"/>
      <c r="BS641" s="30"/>
      <c r="BT641" s="30"/>
      <c r="BU641" s="30"/>
      <c r="BV641" s="30"/>
      <c r="BW641" s="30"/>
      <c r="BX641" s="30"/>
      <c r="BY641" s="30"/>
      <c r="BZ641" s="522" t="b">
        <f>OR(BZ639,Y641=EUconst_NA)</f>
        <v>1</v>
      </c>
    </row>
    <row r="642" spans="1:78" s="140" customFormat="1" ht="12.75" customHeight="1" thickBot="1" x14ac:dyDescent="0.25">
      <c r="A642" s="777"/>
      <c r="B642" s="1248"/>
      <c r="C642" s="783" t="s">
        <v>196</v>
      </c>
      <c r="D642" s="503" t="str">
        <f>Translations!$B$636</f>
        <v>GŠV:</v>
      </c>
      <c r="E642" s="504"/>
      <c r="F642" s="539"/>
      <c r="G642" s="1603" t="str">
        <f t="shared" si="147"/>
        <v/>
      </c>
      <c r="H642" s="1604"/>
      <c r="I642" s="1112" t="str">
        <f>AJ642</f>
        <v/>
      </c>
      <c r="J642" s="540"/>
      <c r="K642" s="541" t="str">
        <f t="shared" si="148"/>
        <v/>
      </c>
      <c r="L642" s="542"/>
      <c r="M642" s="700" t="str">
        <f>IF(AND(E630&lt;&gt;"",OR(F642="",COUNT(K642:L642)=0),Y642&lt;&gt;EUconst_NA,T630&lt;&gt;TRUE),EUconst_ERR_Incomplete,IF(COUNTIF(AX642:AZ642,TRUE)&gt;0,EUconst_ERR_Inconsistent,""))</f>
        <v/>
      </c>
      <c r="O642" s="1305"/>
      <c r="P642" s="33"/>
      <c r="Q642" s="33"/>
      <c r="R642" s="33"/>
      <c r="S642" s="30"/>
      <c r="T642" s="543" t="str">
        <f>EUconst_CNTR_NCV&amp;E630</f>
        <v>NCV_</v>
      </c>
      <c r="U642" s="488"/>
      <c r="V642" s="544" t="str">
        <f t="shared" ref="V642:V647" si="153">V641</f>
        <v/>
      </c>
      <c r="W642" s="30"/>
      <c r="X642" s="488"/>
      <c r="Y642" s="545" t="str">
        <f>IF(OR(T630=TRUE,E630=""),"",IF(F642=EUconst_NA,EUconst_NA,INDEX(EUwideConstants!$N:$N,MATCH(T642,EUwideConstants!$Q:$Q,0))))</f>
        <v/>
      </c>
      <c r="Z642" s="546" t="str">
        <f>IF(ISBLANK(F642),"",IF(F642=EUconst_NA,"",INDEX(EUwideConstants!$H:$M,MATCH(T642,EUwideConstants!$Q:$Q,0),MATCH(F642,CNTR_TierList,0))))</f>
        <v/>
      </c>
      <c r="AA642" s="547" t="str">
        <f>IF(COUNTIF(EUconst_DefaultValues,Z642)&gt;0,MATCH(Z642,EUconst_DefaultValues,0),"")</f>
        <v/>
      </c>
      <c r="AB642" s="30"/>
      <c r="AC642" s="548" t="b">
        <f>AND(AC639,Y642&lt;&gt;EUconst_NA)</f>
        <v>0</v>
      </c>
      <c r="AD642" s="30"/>
      <c r="AE642" s="549" t="str">
        <f>EUconst_CNTR_NCV&amp;EUconst_Unit</f>
        <v>NCV_Vienetas</v>
      </c>
      <c r="AF642" s="550" t="str">
        <f>IF(AC642=TRUE, IF(COUNTIF(MSPara_SourceStreamCategory,V642)=0,"",INDEX(MSPara_CalcFactorsMatrix,MATCH(V642,MSPara_SourceStreamCategory,0),MATCH(AE642&amp;"_"&amp;2,MSPara_CalcFactors,0))),"")</f>
        <v/>
      </c>
      <c r="AG642" s="551" t="str">
        <f>IF(AC642=TRUE, IF(COUNTIF(MSPara_SourceStreamCategory,V642)=0,"",INDEX(MSPara_CalcFactorsMatrix,MATCH(V642,MSPara_SourceStreamCategory,0),MATCH(AE642&amp;"_"&amp;1,MSPara_CalcFactors,0))),"")</f>
        <v/>
      </c>
      <c r="AH642" s="552" t="str">
        <f>IF(AA642="","",INDEX(AF642:AG642,3-AA642))</f>
        <v/>
      </c>
      <c r="AI642" s="553"/>
      <c r="AJ642" s="548" t="str">
        <f>IF(AC642=TRUE,IF(AJ639="","",IF(AJ639=EUconst_kNm3,EUconst_GJpkNm3,EUconst_GJpt)),"")</f>
        <v/>
      </c>
      <c r="AK642" s="554"/>
      <c r="AL642" s="333"/>
      <c r="AM642" s="549" t="str">
        <f>EUconst_CNTR_NCV&amp;EUconst_Value</f>
        <v>NCV_Vertė</v>
      </c>
      <c r="AN642" s="555" t="str">
        <f>IF(AC642=TRUE,IF(COUNTIF(MSPara_SourceStreamCategory,V642)=0,"",INDEX(MSPara_CalcFactorsMatrix,MATCH(V642,MSPara_SourceStreamCategory,0),MATCH(AM642&amp;"_"&amp;2,MSPara_CalcFactors,0))),"")</f>
        <v/>
      </c>
      <c r="AO642" s="556" t="str">
        <f>IF(AC642=TRUE,IF(COUNTIF(MSPara_SourceStreamCategory,V642)=0,"",INDEX(MSPara_CalcFactorsMatrix,MATCH(V642,MSPara_SourceStreamCategory,0),MATCH(AM642&amp;"_"&amp;1,MSPara_CalcFactors,0))),"")</f>
        <v/>
      </c>
      <c r="AP642" s="548" t="b">
        <f>AND(AND(AH642&lt;&gt;"",AJ642&lt;&gt;""),AJ642=AH642)</f>
        <v>0</v>
      </c>
      <c r="AQ642" s="557" t="str">
        <f>IF(AND(AA642&lt;&gt;"",AP642=TRUE),IF(OR(INDEX(AN642:AO642,3-AA642)=EUconst_NA,INDEX(AN642:AO642,3-AA642)=0),"",INDEX(AN642:AO642,3-AA642)),"")</f>
        <v/>
      </c>
      <c r="AR642" s="548">
        <f>IF(AC642=TRUE,IF(COUNT(K642:L642)=0,0,IF(L642="",K642,L642)),0)</f>
        <v>0</v>
      </c>
      <c r="AS642" s="544" t="b">
        <f>AND(AC642=TRUE,OR(AND(F642&lt;&gt;"",NOT(ISNUMBER(AA642))),L642&lt;&gt;"",F642="",AQ642=""))</f>
        <v>0</v>
      </c>
      <c r="AT642" s="544" t="b">
        <f t="shared" si="149"/>
        <v>0</v>
      </c>
      <c r="AU642" s="30"/>
      <c r="AV642" s="558" t="b">
        <f t="shared" si="150"/>
        <v>0</v>
      </c>
      <c r="AW642" s="559" t="b">
        <f t="shared" si="151"/>
        <v>0</v>
      </c>
      <c r="AX642" s="30"/>
      <c r="AY642" s="544" t="b">
        <f t="shared" si="152"/>
        <v>0</v>
      </c>
      <c r="AZ642" s="30"/>
      <c r="BA642" s="30"/>
      <c r="BB642" s="538" t="s">
        <v>589</v>
      </c>
      <c r="BC642" s="537" t="str">
        <f>IF(K629=BC639,AR639*IF(AJ641=EUconst_tCO2pTJ,(AR642/1000),1)*AR641*AR643*AR646,"")</f>
        <v/>
      </c>
      <c r="BD642" s="515" t="str">
        <f>IF(K629=BD639,AR639*AR641*AR644*AR646,"")</f>
        <v/>
      </c>
      <c r="BE642" s="514" t="str">
        <f>IF(K629=BE639,3.664*AR639*AR645*AR646,"")</f>
        <v/>
      </c>
      <c r="BF642" s="30"/>
      <c r="BG642" s="30"/>
      <c r="BH642" s="30"/>
      <c r="BI642" s="30"/>
      <c r="BJ642" s="30"/>
      <c r="BK642" s="30"/>
      <c r="BL642" s="30"/>
      <c r="BM642" s="30"/>
      <c r="BN642" s="30"/>
      <c r="BO642" s="30"/>
      <c r="BP642" s="30"/>
      <c r="BQ642" s="30"/>
      <c r="BR642" s="30"/>
      <c r="BS642" s="30"/>
      <c r="BT642" s="30"/>
      <c r="BU642" s="30"/>
      <c r="BV642" s="30"/>
      <c r="BW642" s="30"/>
      <c r="BX642" s="30"/>
      <c r="BY642" s="30"/>
      <c r="BZ642" s="544" t="b">
        <f>OR(BZ639,Y642=EUconst_NA)</f>
        <v>1</v>
      </c>
    </row>
    <row r="643" spans="1:78" s="140" customFormat="1" ht="12.75" customHeight="1" thickBot="1" x14ac:dyDescent="0.25">
      <c r="A643" s="777"/>
      <c r="B643" s="1248"/>
      <c r="C643" s="783" t="s">
        <v>197</v>
      </c>
      <c r="D643" s="503" t="str">
        <f>Translations!$B$638</f>
        <v>Oksidacijos koef.:</v>
      </c>
      <c r="E643" s="504"/>
      <c r="F643" s="539"/>
      <c r="G643" s="1603" t="str">
        <f t="shared" si="147"/>
        <v/>
      </c>
      <c r="H643" s="1604"/>
      <c r="I643" s="1113" t="str">
        <f>IF(OR(AC643=FALSE,Y643=EUconst_NA),"","-")</f>
        <v/>
      </c>
      <c r="J643" s="560"/>
      <c r="K643" s="561" t="str">
        <f t="shared" si="148"/>
        <v/>
      </c>
      <c r="L643" s="694"/>
      <c r="M643" s="700" t="str">
        <f>IF(AND(E630&lt;&gt;"",OR(F643="",COUNT(K643:L643)=0),Y643&lt;&gt;EUconst_NA,T630&lt;&gt;TRUE),EUconst_ERR_Incomplete,IF(COUNTIF(AX643:AZ643,TRUE)&gt;0,EUconst_ERR_Inconsistent,""))</f>
        <v/>
      </c>
      <c r="O643" s="1305"/>
      <c r="P643" s="33"/>
      <c r="Q643" s="33"/>
      <c r="R643" s="33"/>
      <c r="S643" s="30"/>
      <c r="T643" s="543" t="str">
        <f>EUconst_CNTR_OxidationFactor&amp;E630</f>
        <v>OxF_</v>
      </c>
      <c r="U643" s="488"/>
      <c r="V643" s="544" t="str">
        <f t="shared" si="153"/>
        <v/>
      </c>
      <c r="W643" s="30"/>
      <c r="X643" s="488"/>
      <c r="Y643" s="545" t="str">
        <f>IF(OR(T630=TRUE,E630=""),"",INDEX(EUwideConstants!$N:$N,MATCH(T643,EUwideConstants!$Q:$Q,0)))</f>
        <v/>
      </c>
      <c r="Z643" s="546" t="str">
        <f>IF(ISBLANK(F643),"",IF(F643=EUconst_NA,"",INDEX(EUwideConstants!$H:$M,MATCH(T643,EUwideConstants!$Q:$Q,0),MATCH(F643,CNTR_TierList,0))))</f>
        <v/>
      </c>
      <c r="AA643" s="525" t="str">
        <f>IF(F643=1,1,"")</f>
        <v/>
      </c>
      <c r="AB643" s="30"/>
      <c r="AC643" s="548" t="b">
        <f>AND(AC639,Y643&lt;&gt;EUconst_NA)</f>
        <v>0</v>
      </c>
      <c r="AD643" s="30"/>
      <c r="AE643" s="563"/>
      <c r="AG643" s="564"/>
      <c r="AH643" s="553"/>
      <c r="AI643" s="565"/>
      <c r="AJ643" s="553"/>
      <c r="AK643" s="566"/>
      <c r="AL643" s="333"/>
      <c r="AM643" s="549" t="str">
        <f>EUconst_CNTR_OxidationFactor&amp;EUconst_Value</f>
        <v>OxF_Vertė</v>
      </c>
      <c r="AN643" s="567"/>
      <c r="AO643" s="525">
        <v>1</v>
      </c>
      <c r="AP643" s="553"/>
      <c r="AQ643" s="568" t="str">
        <f>IF(AA643="","",AO643)</f>
        <v/>
      </c>
      <c r="AR643" s="548">
        <f>IF(AC643=TRUE,IF(COUNT(K643:L643)=0,0,IF(L643="",K643,L643)),1)</f>
        <v>1</v>
      </c>
      <c r="AS643" s="544" t="b">
        <f>AND(AC643=TRUE,OR(ISNUMBER(L643),NOT(ISNUMBER(AA643))))</f>
        <v>0</v>
      </c>
      <c r="AT643" s="544" t="b">
        <f t="shared" si="149"/>
        <v>0</v>
      </c>
      <c r="AU643" s="30"/>
      <c r="AV643" s="558" t="b">
        <f t="shared" si="150"/>
        <v>0</v>
      </c>
      <c r="AW643" s="559" t="b">
        <f t="shared" si="151"/>
        <v>0</v>
      </c>
      <c r="AX643" s="30"/>
      <c r="AY643" s="585" t="b">
        <f t="shared" si="152"/>
        <v>0</v>
      </c>
      <c r="AZ643" s="522" t="b">
        <f>AR643&gt;100%</f>
        <v>0</v>
      </c>
      <c r="BA643" s="30"/>
      <c r="BB643" s="538" t="s">
        <v>287</v>
      </c>
      <c r="BC643" s="537" t="str">
        <f>IF(K629=BC639,AR639*IF(AJ641=EUconst_tCO2pTJ,(AR642/1000),1)*AR641*AR643*(1-AR646),"")</f>
        <v/>
      </c>
      <c r="BD643" s="515" t="str">
        <f>IF(K629=BD639,AR639*AR641*AR644*(1-AR646),"")</f>
        <v/>
      </c>
      <c r="BE643" s="514" t="str">
        <f>IF(K629=BE639,3.664*AR639*AR645*(1-AR646),"")</f>
        <v/>
      </c>
      <c r="BF643" s="30"/>
      <c r="BG643" s="30"/>
      <c r="BH643" s="30"/>
      <c r="BI643" s="30"/>
      <c r="BJ643" s="30"/>
      <c r="BK643" s="30"/>
      <c r="BL643" s="30"/>
      <c r="BM643" s="30"/>
      <c r="BN643" s="30"/>
      <c r="BO643" s="30"/>
      <c r="BP643" s="30"/>
      <c r="BQ643" s="30"/>
      <c r="BR643" s="30"/>
      <c r="BS643" s="30"/>
      <c r="BT643" s="30"/>
      <c r="BU643" s="30"/>
      <c r="BV643" s="30"/>
      <c r="BW643" s="30"/>
      <c r="BX643" s="30"/>
      <c r="BY643" s="30"/>
      <c r="BZ643" s="544" t="b">
        <f>OR(BZ639,Y643=EUconst_NA)</f>
        <v>1</v>
      </c>
    </row>
    <row r="644" spans="1:78" s="140" customFormat="1" ht="12.75" customHeight="1" thickBot="1" x14ac:dyDescent="0.25">
      <c r="A644" s="777"/>
      <c r="B644" s="1248"/>
      <c r="C644" s="783" t="s">
        <v>198</v>
      </c>
      <c r="D644" s="503" t="str">
        <f>Translations!$B$639</f>
        <v>Konversijos koef.:</v>
      </c>
      <c r="E644" s="504"/>
      <c r="F644" s="539"/>
      <c r="G644" s="1603" t="str">
        <f t="shared" si="147"/>
        <v/>
      </c>
      <c r="H644" s="1604"/>
      <c r="I644" s="1113" t="str">
        <f>IF(OR(AC644=FALSE,Y644=EUconst_NA),"","-")</f>
        <v/>
      </c>
      <c r="J644" s="560"/>
      <c r="K644" s="561" t="str">
        <f t="shared" si="148"/>
        <v/>
      </c>
      <c r="L644" s="694"/>
      <c r="M644" s="700" t="str">
        <f>IF(AND(E630&lt;&gt;"",OR(F644="",COUNT(K644:L644)=0),Y644&lt;&gt;EUconst_NA,T630&lt;&gt;TRUE),EUconst_ERR_Incomplete,IF(COUNTIF(AX644:AZ644,TRUE)&gt;0,EUconst_ERR_Inconsistent,""))</f>
        <v/>
      </c>
      <c r="O644" s="1305"/>
      <c r="P644" s="33"/>
      <c r="Q644" s="33"/>
      <c r="R644" s="33"/>
      <c r="S644" s="30"/>
      <c r="T644" s="543" t="str">
        <f>EUconst_CNTR_ConversionFactor&amp;E630</f>
        <v>ConvF_</v>
      </c>
      <c r="U644" s="488"/>
      <c r="V644" s="544" t="str">
        <f t="shared" si="153"/>
        <v/>
      </c>
      <c r="W644" s="30"/>
      <c r="X644" s="488"/>
      <c r="Y644" s="545" t="str">
        <f>IF(OR(T630=TRUE,E630=""),"",INDEX(EUwideConstants!$N:$N,MATCH(T644,EUwideConstants!$Q:$Q,0)))</f>
        <v/>
      </c>
      <c r="Z644" s="546" t="str">
        <f>IF(ISBLANK(F644),"",IF(F644=EUconst_NA,"",INDEX(EUwideConstants!$H:$M,MATCH(T644,EUwideConstants!$Q:$Q,0),MATCH(F644,CNTR_TierList,0))))</f>
        <v/>
      </c>
      <c r="AA644" s="573" t="str">
        <f>IF(F644=1,1,"")</f>
        <v/>
      </c>
      <c r="AB644" s="30"/>
      <c r="AC644" s="548" t="b">
        <f>AND(AC639,Y644&lt;&gt;EUconst_NA)</f>
        <v>0</v>
      </c>
      <c r="AD644" s="30"/>
      <c r="AE644" s="563"/>
      <c r="AG644" s="564"/>
      <c r="AH644" s="574"/>
      <c r="AI644" s="565"/>
      <c r="AJ644" s="574"/>
      <c r="AK644" s="566"/>
      <c r="AL644" s="333"/>
      <c r="AM644" s="549" t="str">
        <f>EUconst_CNTR_ConversionFactor&amp;EUconst_Value</f>
        <v>ConvF_Vertė</v>
      </c>
      <c r="AN644" s="575"/>
      <c r="AO644" s="573">
        <v>1</v>
      </c>
      <c r="AP644" s="574"/>
      <c r="AQ644" s="576" t="str">
        <f>IF(AA644="","",AO644)</f>
        <v/>
      </c>
      <c r="AR644" s="548">
        <f>IF(AC644=TRUE,IF(COUNT(K644:L644)=0,0,IF(L644="",K644,L644)),1)</f>
        <v>1</v>
      </c>
      <c r="AS644" s="544" t="b">
        <f>AND(AC644=TRUE,OR(ISNUMBER(L644),NOT(ISNUMBER(AA644))))</f>
        <v>0</v>
      </c>
      <c r="AT644" s="544" t="b">
        <f t="shared" si="149"/>
        <v>0</v>
      </c>
      <c r="AU644" s="30"/>
      <c r="AV644" s="558" t="b">
        <f t="shared" si="150"/>
        <v>0</v>
      </c>
      <c r="AW644" s="559" t="b">
        <f t="shared" si="151"/>
        <v>0</v>
      </c>
      <c r="AX644" s="30"/>
      <c r="AY644" s="585" t="b">
        <f t="shared" si="152"/>
        <v>0</v>
      </c>
      <c r="AZ644" s="571" t="b">
        <f>AR644&gt;100%</f>
        <v>0</v>
      </c>
      <c r="BA644" s="30"/>
      <c r="BB644" s="569" t="s">
        <v>481</v>
      </c>
      <c r="BC644" s="570">
        <f>AR639*AR642/1000*(1-AR646)</f>
        <v>0</v>
      </c>
      <c r="BD644" s="571">
        <f>BC644</f>
        <v>0</v>
      </c>
      <c r="BE644" s="572">
        <f>BC644</f>
        <v>0</v>
      </c>
      <c r="BF644" s="30"/>
      <c r="BG644" s="30"/>
      <c r="BH644" s="30"/>
      <c r="BI644" s="30"/>
      <c r="BJ644" s="30"/>
      <c r="BK644" s="30"/>
      <c r="BL644" s="30"/>
      <c r="BM644" s="30"/>
      <c r="BN644" s="30"/>
      <c r="BO644" s="30"/>
      <c r="BP644" s="30"/>
      <c r="BQ644" s="30"/>
      <c r="BR644" s="30"/>
      <c r="BS644" s="30"/>
      <c r="BT644" s="30"/>
      <c r="BU644" s="30"/>
      <c r="BV644" s="30"/>
      <c r="BW644" s="30"/>
      <c r="BX644" s="30"/>
      <c r="BY644" s="30"/>
      <c r="BZ644" s="544" t="b">
        <f>OR(BZ639,Y644=EUconst_NA)</f>
        <v>1</v>
      </c>
    </row>
    <row r="645" spans="1:78" s="140" customFormat="1" ht="12.75" customHeight="1" thickBot="1" x14ac:dyDescent="0.25">
      <c r="A645" s="777"/>
      <c r="B645" s="1248"/>
      <c r="C645" s="783" t="s">
        <v>324</v>
      </c>
      <c r="D645" s="503" t="str">
        <f>Translations!$B$640</f>
        <v>Anglies kiekis (C):</v>
      </c>
      <c r="E645" s="504"/>
      <c r="F645" s="539"/>
      <c r="G645" s="1603" t="str">
        <f t="shared" si="147"/>
        <v/>
      </c>
      <c r="H645" s="1604"/>
      <c r="I645" s="1113" t="str">
        <f>AJ645</f>
        <v/>
      </c>
      <c r="J645" s="577"/>
      <c r="K645" s="578" t="str">
        <f t="shared" si="148"/>
        <v/>
      </c>
      <c r="L645" s="579"/>
      <c r="M645" s="700" t="str">
        <f>IF(AND(E630&lt;&gt;"",OR(F645="",COUNT(K645:L645)=0),Y645&lt;&gt;EUconst_NA,T630&lt;&gt;TRUE),EUconst_ERR_Incomplete,IF(COUNTIF(AX645:AZ645,TRUE)&gt;0,EUconst_ERR_Inconsistent,""))</f>
        <v/>
      </c>
      <c r="O645" s="1305"/>
      <c r="P645" s="33"/>
      <c r="Q645" s="33"/>
      <c r="R645" s="33"/>
      <c r="S645" s="30"/>
      <c r="T645" s="543" t="str">
        <f>EUconst_CNTR_CarbonContent&amp;E630</f>
        <v>CarbC_</v>
      </c>
      <c r="U645" s="488"/>
      <c r="V645" s="544" t="str">
        <f t="shared" si="153"/>
        <v/>
      </c>
      <c r="W645" s="30"/>
      <c r="X645" s="488"/>
      <c r="Y645" s="545" t="str">
        <f>IF(OR(T630=TRUE,E630=""),"",INDEX(EUwideConstants!$N:$N,MATCH(T645,EUwideConstants!$Q:$Q,0)))</f>
        <v/>
      </c>
      <c r="Z645" s="546" t="str">
        <f>IF(ISBLANK(F645),"",IF(F645=EUconst_NA,"",INDEX(EUwideConstants!$H:$M,MATCH(T645,EUwideConstants!$Q:$Q,0),MATCH(F645,CNTR_TierList,0))))</f>
        <v/>
      </c>
      <c r="AA645" s="580" t="str">
        <f>IF(COUNTIF(EUconst_DefaultValues,Z645)&gt;0,MATCH(Z645,EUconst_DefaultValues,0),"")</f>
        <v/>
      </c>
      <c r="AB645" s="30"/>
      <c r="AC645" s="548" t="b">
        <f>AND(AC639,Y645&lt;&gt;EUconst_NA)</f>
        <v>0</v>
      </c>
      <c r="AD645" s="30"/>
      <c r="AE645" s="549" t="str">
        <f>EUconst_CNTR_CarbonContent&amp;EUconst_Unit</f>
        <v>CarbC_Vienetas</v>
      </c>
      <c r="AF645" s="550" t="str">
        <f>IF(AC645=TRUE, IF(COUNTIF(MSPara_SourceStreamCategory,V645)=0,"",INDEX(MSPara_CalcFactorsMatrix,MATCH(V645,MSPara_SourceStreamCategory,0),MATCH(AE645&amp;"_"&amp;2,MSPara_CalcFactors,0))),"")</f>
        <v/>
      </c>
      <c r="AG645" s="551" t="str">
        <f>IF(AC645=TRUE, IF(COUNTIF(MSPara_SourceStreamCategory,V645)=0,"",INDEX(MSPara_CalcFactorsMatrix,MATCH(V645,MSPara_SourceStreamCategory,0),MATCH(AE645&amp;"_"&amp;1,MSPara_CalcFactors,0))),"")</f>
        <v/>
      </c>
      <c r="AH645" s="581" t="str">
        <f>IF(AA645="","",INDEX(AF645:AG645,3-AA645))</f>
        <v/>
      </c>
      <c r="AI645" s="565"/>
      <c r="AJ645" s="582" t="str">
        <f>IF(AC645=TRUE,IF(AJ639="","",IF(AJ639=EUconst_kNm3,EUconst_tCpkNm3,EUconst_tCpt)),"")</f>
        <v/>
      </c>
      <c r="AK645" s="566"/>
      <c r="AL645" s="333"/>
      <c r="AM645" s="549" t="str">
        <f>EUconst_CNTR_CarbonContent&amp;EUconst_Value</f>
        <v>CarbC_Vertė</v>
      </c>
      <c r="AN645" s="555" t="str">
        <f>IF(AC645=TRUE,IF(COUNTIF(MSPara_SourceStreamCategory,V645)=0,"",INDEX(MSPara_CalcFactorsMatrix,MATCH(V645,MSPara_SourceStreamCategory,0),MATCH(AM645&amp;"_"&amp;2,MSPara_CalcFactors,0))),"")</f>
        <v/>
      </c>
      <c r="AO645" s="583" t="str">
        <f>IF(AC645=TRUE,IF(COUNTIF(MSPara_SourceStreamCategory,V645)=0,"",INDEX(MSPara_CalcFactorsMatrix,MATCH(V645,MSPara_SourceStreamCategory,0),MATCH(AM645&amp;"_"&amp;1,MSPara_CalcFactors,0))),"")</f>
        <v/>
      </c>
      <c r="AP645" s="548" t="b">
        <f>AND(AND(AH645&lt;&gt;"",AJ645&lt;&gt;""),AJ645=AH645)</f>
        <v>0</v>
      </c>
      <c r="AQ645" s="584" t="str">
        <f>IF(AND(AA645&lt;&gt;"",AP645=TRUE),IF(OR(INDEX(AN645:AO645,3-AA645)=EUconst_NA,INDEX(AN645:AO645,3-AA645)=0),"",INDEX(AN645:AO645,3-AA645)),"")</f>
        <v/>
      </c>
      <c r="AR645" s="548">
        <f>IF(AC645=TRUE,IF(COUNT(K645:L645)=0,0,IF(L645="",K645,L645)),0)</f>
        <v>0</v>
      </c>
      <c r="AS645" s="544" t="b">
        <f>AND(AC645=TRUE,OR(AND(F645&lt;&gt;"",NOT(ISNUMBER(AA645))),L645&lt;&gt;"",F645="",AQ645=""))</f>
        <v>0</v>
      </c>
      <c r="AT645" s="544" t="b">
        <f t="shared" si="149"/>
        <v>0</v>
      </c>
      <c r="AU645" s="30"/>
      <c r="AV645" s="558" t="b">
        <f t="shared" si="150"/>
        <v>0</v>
      </c>
      <c r="AW645" s="559" t="b">
        <f t="shared" si="151"/>
        <v>0</v>
      </c>
      <c r="AX645" s="537" t="b">
        <f>OR(AND(AJ639=EUconst_kNm3,AJ645=EUconst_tCpt),AND(AJ639=EUconst_t,AJ645=EUconst_tCpkNm3))</f>
        <v>0</v>
      </c>
      <c r="AY645" s="544" t="b">
        <f t="shared" si="152"/>
        <v>0</v>
      </c>
      <c r="AZ645" s="30"/>
      <c r="BA645" s="30"/>
      <c r="BB645" s="569" t="s">
        <v>482</v>
      </c>
      <c r="BC645" s="570">
        <f>AR639*AR642/1000*AR646</f>
        <v>0</v>
      </c>
      <c r="BD645" s="571">
        <f>BC645</f>
        <v>0</v>
      </c>
      <c r="BE645" s="572">
        <f>BC645</f>
        <v>0</v>
      </c>
      <c r="BF645" s="30"/>
      <c r="BG645" s="30"/>
      <c r="BH645" s="30"/>
      <c r="BI645" s="30"/>
      <c r="BJ645" s="30"/>
      <c r="BK645" s="30"/>
      <c r="BL645" s="30"/>
      <c r="BM645" s="30"/>
      <c r="BN645" s="30"/>
      <c r="BO645" s="30"/>
      <c r="BP645" s="30"/>
      <c r="BQ645" s="30"/>
      <c r="BR645" s="30"/>
      <c r="BS645" s="30"/>
      <c r="BT645" s="30"/>
      <c r="BU645" s="30"/>
      <c r="BV645" s="30"/>
      <c r="BW645" s="30"/>
      <c r="BX645" s="30"/>
      <c r="BY645" s="30"/>
      <c r="BZ645" s="544" t="b">
        <f>OR(BZ639,Y645=EUconst_NA)</f>
        <v>1</v>
      </c>
    </row>
    <row r="646" spans="1:78" s="140" customFormat="1" ht="12.75" customHeight="1" x14ac:dyDescent="0.2">
      <c r="A646" s="777"/>
      <c r="B646" s="1248"/>
      <c r="C646" s="753" t="s">
        <v>325</v>
      </c>
      <c r="D646" s="503" t="str">
        <f>Translations!$B$641</f>
        <v>Biomasės dalis (BioC):</v>
      </c>
      <c r="E646" s="504"/>
      <c r="F646" s="539"/>
      <c r="G646" s="1603" t="str">
        <f t="shared" si="147"/>
        <v/>
      </c>
      <c r="H646" s="1604"/>
      <c r="I646" s="1113" t="str">
        <f>IF(OR(AC646=FALSE,Y646=EUconst_NA),"","-")</f>
        <v/>
      </c>
      <c r="J646" s="560"/>
      <c r="K646" s="561" t="str">
        <f t="shared" si="148"/>
        <v/>
      </c>
      <c r="L646" s="694"/>
      <c r="M646" s="700" t="str">
        <f>IF(AND(E630&lt;&gt;"",OR(F646="",COUNT(K646:L646)=0),Y646&lt;&gt;EUconst_NA,T630&lt;&gt;TRUE),EUconst_ERR_Incomplete,IF(COUNTIF(AX646:AZ646,TRUE)&gt;0,EUconst_ERR_Inconsistent,""))</f>
        <v/>
      </c>
      <c r="O646" s="1305"/>
      <c r="P646" s="635"/>
      <c r="Q646" s="635"/>
      <c r="R646" s="635"/>
      <c r="S646" s="30"/>
      <c r="T646" s="543" t="str">
        <f>EUconst_CNTR_BiomassContent&amp;E630</f>
        <v>BioC_</v>
      </c>
      <c r="U646" s="488"/>
      <c r="V646" s="585" t="str">
        <f t="shared" si="153"/>
        <v/>
      </c>
      <c r="W646" s="522" t="str">
        <f>IF(COUNTIF(MSPara_SourceStreamCategory,V646)=0,"",INDEX(MSPara_IsFossil,MATCH(V646,MSPara_SourceStreamCategory,0)))</f>
        <v/>
      </c>
      <c r="X646" s="488"/>
      <c r="Y646" s="545" t="str">
        <f>IF(OR(T630=TRUE,E630=""),"",IF(OR(W646=TRUE,F646=EUconst_NA),EUconst_NA,INDEX(EUwideConstants!$N:$N,MATCH(T646,EUwideConstants!$Q:$Q,0))))</f>
        <v/>
      </c>
      <c r="Z646" s="546" t="str">
        <f>IF(ISBLANK(F646),"",IF(F646=EUconst_NA,"",INDEX(EUwideConstants!$H:$M,MATCH(T646,EUwideConstants!$Q:$Q,0),MATCH(F646,CNTR_TierList,0))))</f>
        <v/>
      </c>
      <c r="AA646" s="586" t="str">
        <f>IF(F646=1,1,"")</f>
        <v/>
      </c>
      <c r="AB646" s="30"/>
      <c r="AC646" s="548" t="b">
        <f>AND(AC639,Y646&lt;&gt;EUconst_NA)</f>
        <v>0</v>
      </c>
      <c r="AD646" s="30"/>
      <c r="AE646" s="563"/>
      <c r="AG646" s="564"/>
      <c r="AH646" s="553"/>
      <c r="AI646" s="565"/>
      <c r="AJ646" s="553"/>
      <c r="AK646" s="566"/>
      <c r="AL646" s="333"/>
      <c r="AM646" s="549" t="str">
        <f>EUconst_CNTR_BiomassContent&amp;EUconst_Value</f>
        <v>BioC_Vertė</v>
      </c>
      <c r="AO646" s="587" t="str">
        <f>IF(AC646=TRUE,IF(COUNTIF(MSPara_SourceStreamCategory,V646)=0,"",INDEX(MSPara_CalcFactorsMatrix,MATCH(V646,MSPara_SourceStreamCategory,0),MATCH(AM646&amp;"_"&amp;2,MSPara_CalcFactors,0))),"")</f>
        <v/>
      </c>
      <c r="AP646" s="553"/>
      <c r="AQ646" s="568" t="str">
        <f>IF(OR(AA646="",AO646=EUconst_NA),"",AO646)</f>
        <v/>
      </c>
      <c r="AR646" s="548">
        <f>IF(AC646=TRUE,IF(COUNT(K646:L646)=0,0,IF(L646="",K646,L646)),0)</f>
        <v>0</v>
      </c>
      <c r="AS646" s="544" t="b">
        <f>AND(AC646=TRUE,OR(AND(F646&lt;&gt;"",NOT(ISNUMBER(AA646))),L646&lt;&gt;"",F646="",AQ646=""))</f>
        <v>0</v>
      </c>
      <c r="AT646" s="544" t="b">
        <f t="shared" si="149"/>
        <v>0</v>
      </c>
      <c r="AU646" s="30"/>
      <c r="AV646" s="558" t="b">
        <f t="shared" si="150"/>
        <v>0</v>
      </c>
      <c r="AW646" s="559" t="b">
        <f t="shared" si="151"/>
        <v>0</v>
      </c>
      <c r="AX646" s="30"/>
      <c r="AY646" s="585" t="b">
        <f t="shared" si="152"/>
        <v>0</v>
      </c>
      <c r="AZ646" s="522" t="b">
        <f>OR(AR646&gt;100%,(AR646+AR647)&gt;100%)</f>
        <v>0</v>
      </c>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544" t="b">
        <f>OR(BZ639,Y646=EUconst_NA)</f>
        <v>1</v>
      </c>
    </row>
    <row r="647" spans="1:78" s="140" customFormat="1" ht="12.75" customHeight="1" thickBot="1" x14ac:dyDescent="0.25">
      <c r="A647" s="777"/>
      <c r="B647" s="1248"/>
      <c r="C647" s="753" t="s">
        <v>448</v>
      </c>
      <c r="D647" s="503" t="str">
        <f>Translations!$B$647</f>
        <v>Netvarios BioC dalis:</v>
      </c>
      <c r="E647" s="504"/>
      <c r="F647" s="588"/>
      <c r="G647" s="1603" t="str">
        <f t="shared" si="147"/>
        <v/>
      </c>
      <c r="H647" s="1604"/>
      <c r="I647" s="1114" t="str">
        <f>IF(OR(AC647=FALSE,Y647=EUconst_NA),"","-")</f>
        <v/>
      </c>
      <c r="J647" s="560"/>
      <c r="K647" s="589" t="str">
        <f t="shared" si="148"/>
        <v/>
      </c>
      <c r="L647" s="1100"/>
      <c r="M647" s="700" t="str">
        <f>IF(AND(E630&lt;&gt;"",OR(F647="",COUNT(K647:L647)=0),Y647&lt;&gt;EUconst_NA,T630&lt;&gt;TRUE),EUconst_ERR_Incomplete,IF(COUNTIF(AX647:AZ647,TRUE)&gt;0,EUconst_ERR_Inconsistent,""))</f>
        <v/>
      </c>
      <c r="O647" s="1305"/>
      <c r="P647" s="635"/>
      <c r="Q647" s="635"/>
      <c r="R647" s="635"/>
      <c r="S647" s="30"/>
      <c r="T647" s="590" t="str">
        <f>EUconst_CNTR_BiomassContent&amp;E630</f>
        <v>BioC_</v>
      </c>
      <c r="U647" s="488"/>
      <c r="V647" s="570" t="str">
        <f t="shared" si="153"/>
        <v/>
      </c>
      <c r="W647" s="571" t="str">
        <f>IF(COUNTIF(MSPara_SourceStreamCategory,V647)=0,"",INDEX(MSPara_IsFossil,MATCH(V647,MSPara_SourceStreamCategory,0)))</f>
        <v/>
      </c>
      <c r="X647" s="488"/>
      <c r="Y647" s="591" t="str">
        <f>IF(OR(T630=TRUE,E630=""),"",IF(OR(W647=TRUE,F647=EUconst_NA),EUconst_NA,INDEX(EUwideConstants!$N:$N,MATCH(T647,EUwideConstants!$Q:$Q,0))))</f>
        <v/>
      </c>
      <c r="Z647" s="592" t="str">
        <f>IF(ISBLANK(F647),"",IF(F647=EUconst_NA,"",INDEX(EUwideConstants!$H:$M,MATCH(T647,EUwideConstants!$Q:$Q,0),MATCH(F647,CNTR_TierList,0))))</f>
        <v/>
      </c>
      <c r="AA647" s="593" t="str">
        <f>IF(F647=1,1,"")</f>
        <v/>
      </c>
      <c r="AB647" s="30"/>
      <c r="AC647" s="594" t="b">
        <f>AND(AC639,Y647&lt;&gt;EUconst_NA)</f>
        <v>0</v>
      </c>
      <c r="AD647" s="30"/>
      <c r="AE647" s="595"/>
      <c r="AF647" s="596"/>
      <c r="AG647" s="597"/>
      <c r="AH647" s="598"/>
      <c r="AI647" s="598"/>
      <c r="AJ647" s="598"/>
      <c r="AK647" s="599"/>
      <c r="AL647" s="333"/>
      <c r="AM647" s="600" t="str">
        <f>EUconst_CNTR_BiomassContent&amp;EUconst_Value</f>
        <v>BioC_Vertė</v>
      </c>
      <c r="AN647" s="596"/>
      <c r="AO647" s="601" t="str">
        <f>IF(AC647=TRUE,IF(COUNTIF(MSPara_SourceStreamCategory,V647)=0,"",INDEX(MSPara_CalcFactorsMatrix,MATCH(V647,MSPara_SourceStreamCategory,0),MATCH(AM647&amp;"_"&amp;2,MSPara_CalcFactors,0))),"")</f>
        <v/>
      </c>
      <c r="AP647" s="598"/>
      <c r="AQ647" s="602" t="str">
        <f>IF(OR(AA647="",AO647=EUconst_NA),"",AO647)</f>
        <v/>
      </c>
      <c r="AR647" s="594">
        <f>IF(AC647=TRUE,IF(COUNT(K647:L647)=0,0,IF(L647="",K647,L647)),0)</f>
        <v>0</v>
      </c>
      <c r="AS647" s="603" t="b">
        <f>AND(AC647=TRUE,OR(AND(F647&lt;&gt;"",NOT(ISNUMBER(AA647))),L647&lt;&gt;"",F647="",AQ647=""))</f>
        <v>0</v>
      </c>
      <c r="AT647" s="603" t="b">
        <f t="shared" si="149"/>
        <v>0</v>
      </c>
      <c r="AU647" s="30"/>
      <c r="AV647" s="604" t="b">
        <f t="shared" si="150"/>
        <v>0</v>
      </c>
      <c r="AW647" s="605" t="b">
        <f t="shared" si="151"/>
        <v>0</v>
      </c>
      <c r="AX647" s="30"/>
      <c r="AY647" s="570" t="b">
        <f t="shared" si="152"/>
        <v>0</v>
      </c>
      <c r="AZ647" s="571" t="b">
        <f>OR(AR646&gt;100%,(AR646+AR647)&gt;100%)</f>
        <v>0</v>
      </c>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571" t="b">
        <f>OR(BZ639,Y647=EUconst_NA)</f>
        <v>1</v>
      </c>
    </row>
    <row r="648" spans="1:78" s="140" customFormat="1" ht="5.0999999999999996" customHeight="1" x14ac:dyDescent="0.2">
      <c r="A648" s="777"/>
      <c r="B648" s="1248"/>
      <c r="C648" s="164"/>
      <c r="D648" s="178"/>
      <c r="O648" s="1305"/>
      <c r="P648" s="33"/>
      <c r="Q648" s="33"/>
      <c r="R648" s="33"/>
      <c r="S648" s="172"/>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row>
    <row r="649" spans="1:78" s="140" customFormat="1" ht="12.75" customHeight="1" x14ac:dyDescent="0.2">
      <c r="A649" s="777"/>
      <c r="B649" s="1248"/>
      <c r="C649" s="164"/>
      <c r="D649" s="1629" t="str">
        <f>Translations!$B$674</f>
        <v>Pakopos galioja nuo:</v>
      </c>
      <c r="E649" s="1629"/>
      <c r="F649" s="1630"/>
      <c r="G649" s="1014"/>
      <c r="H649" s="606" t="str">
        <f>Translations!$B$675</f>
        <v>iki:</v>
      </c>
      <c r="I649" s="1014"/>
      <c r="J649" s="1620" t="str">
        <f>Translations!$B$676</f>
        <v>Atliekų katalogo numeris (jeigu taikytina):</v>
      </c>
      <c r="K649" s="1621"/>
      <c r="L649" s="1621"/>
      <c r="M649" s="1622"/>
      <c r="N649" s="1232"/>
      <c r="O649" s="1305"/>
      <c r="P649" s="33"/>
      <c r="Q649" s="33"/>
      <c r="R649" s="33"/>
      <c r="S649" s="1233"/>
      <c r="T649" s="483"/>
      <c r="U649" s="483"/>
      <c r="V649" s="48" t="b">
        <f>IF(V639="",FALSE,INDEX(CNTR_IsWaste,MATCH(V639,MSParameters!$A$218:$A$376,0)))</f>
        <v>0</v>
      </c>
      <c r="W649" s="1233" t="s">
        <v>1689</v>
      </c>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2" t="b">
        <f>BZ639</f>
        <v>1</v>
      </c>
    </row>
    <row r="650" spans="1:78" s="140" customFormat="1" ht="5.0999999999999996" customHeight="1" x14ac:dyDescent="0.2">
      <c r="A650" s="777"/>
      <c r="B650" s="1248"/>
      <c r="C650" s="164"/>
      <c r="D650" s="606"/>
      <c r="E650" s="486"/>
      <c r="F650" s="486"/>
      <c r="G650" s="486"/>
      <c r="H650" s="486"/>
      <c r="I650" s="486"/>
      <c r="J650" s="486"/>
      <c r="K650" s="486"/>
      <c r="L650" s="486"/>
      <c r="M650" s="486"/>
      <c r="N650" s="486"/>
      <c r="O650" s="1305"/>
      <c r="P650" s="33"/>
      <c r="Q650" s="33"/>
      <c r="R650" s="33"/>
      <c r="S650" s="172"/>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row>
    <row r="651" spans="1:78" s="140" customFormat="1" ht="12.75" customHeight="1" x14ac:dyDescent="0.2">
      <c r="A651" s="777"/>
      <c r="B651" s="1248"/>
      <c r="C651" s="164"/>
      <c r="D651" s="486"/>
      <c r="E651" s="486"/>
      <c r="F651" s="486"/>
      <c r="G651" s="486"/>
      <c r="H651" s="486"/>
      <c r="I651" s="486"/>
      <c r="J651" s="486"/>
      <c r="K651" s="486"/>
      <c r="L651" s="486"/>
      <c r="M651" s="606" t="str">
        <f>Translations!$B$677</f>
        <v>Stebėsenos plane šiam sukėlikliui suteiktas identifikatorius:</v>
      </c>
      <c r="N651" s="705"/>
      <c r="O651" s="1305"/>
      <c r="P651" s="33"/>
      <c r="Q651" s="33"/>
      <c r="R651" s="33"/>
      <c r="S651" s="172"/>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2" t="b">
        <f>BZ649</f>
        <v>1</v>
      </c>
    </row>
    <row r="652" spans="1:78" s="140" customFormat="1" ht="5.0999999999999996" customHeight="1" x14ac:dyDescent="0.2">
      <c r="A652" s="784"/>
      <c r="B652" s="1316"/>
      <c r="D652" s="178"/>
      <c r="O652" s="1317"/>
      <c r="P652" s="488"/>
      <c r="Q652" s="488"/>
      <c r="R652" s="488"/>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row>
    <row r="653" spans="1:78" s="140" customFormat="1" x14ac:dyDescent="0.2">
      <c r="A653" s="784"/>
      <c r="B653" s="1316"/>
      <c r="D653" s="1618" t="str">
        <f>Translations!$B$160</f>
        <v>Pastabos:</v>
      </c>
      <c r="E653" s="1619"/>
      <c r="F653" s="1605"/>
      <c r="G653" s="1606"/>
      <c r="H653" s="1606"/>
      <c r="I653" s="1606"/>
      <c r="J653" s="1606"/>
      <c r="K653" s="1606"/>
      <c r="L653" s="1606"/>
      <c r="M653" s="1606"/>
      <c r="N653" s="1607"/>
      <c r="O653" s="1317"/>
      <c r="P653" s="488"/>
      <c r="Q653" s="488"/>
      <c r="R653" s="488"/>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2" t="b">
        <f>BZ649</f>
        <v>1</v>
      </c>
    </row>
    <row r="654" spans="1:78" s="28" customFormat="1" ht="12.75" customHeight="1" thickBot="1" x14ac:dyDescent="0.25">
      <c r="A654" s="777"/>
      <c r="B654" s="1312"/>
      <c r="C654" s="490"/>
      <c r="D654" s="491"/>
      <c r="E654" s="492"/>
      <c r="F654" s="490"/>
      <c r="G654" s="493"/>
      <c r="H654" s="493"/>
      <c r="I654" s="493"/>
      <c r="J654" s="493"/>
      <c r="K654" s="493"/>
      <c r="L654" s="493"/>
      <c r="M654" s="493"/>
      <c r="N654" s="493"/>
      <c r="O654" s="1313"/>
      <c r="P654" s="485"/>
      <c r="Q654" s="485"/>
      <c r="R654" s="485"/>
      <c r="S654" s="58"/>
      <c r="T654" s="58"/>
      <c r="U654" s="489"/>
      <c r="V654" s="58"/>
      <c r="W654" s="58"/>
      <c r="X654" s="489"/>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30"/>
      <c r="BJ654" s="30"/>
      <c r="BK654" s="30"/>
      <c r="BL654" s="58"/>
      <c r="BM654" s="58"/>
      <c r="BN654" s="58"/>
      <c r="BO654" s="58"/>
      <c r="BP654" s="58"/>
      <c r="BQ654" s="58"/>
      <c r="BR654" s="58"/>
      <c r="BS654" s="58"/>
      <c r="BT654" s="58"/>
      <c r="BU654" s="58"/>
      <c r="BV654" s="58"/>
      <c r="BW654" s="58"/>
      <c r="BX654" s="58"/>
      <c r="BY654" s="58"/>
      <c r="BZ654" s="58"/>
    </row>
    <row r="655" spans="1:78" s="28" customFormat="1" ht="12.75" customHeight="1" thickBot="1" x14ac:dyDescent="0.25">
      <c r="A655" s="782"/>
      <c r="B655" s="1312"/>
      <c r="C655" s="486"/>
      <c r="D655" s="178"/>
      <c r="E655" s="487"/>
      <c r="F655" s="486"/>
      <c r="G655" s="478"/>
      <c r="H655" s="478"/>
      <c r="I655" s="478"/>
      <c r="J655" s="478"/>
      <c r="K655" s="486"/>
      <c r="L655" s="478"/>
      <c r="M655" s="478"/>
      <c r="N655" s="478"/>
      <c r="O655" s="1313"/>
      <c r="P655" s="485"/>
      <c r="Q655" s="485"/>
      <c r="R655" s="485"/>
      <c r="S655" s="23"/>
      <c r="T655" s="27" t="str">
        <f>IF(ISBLANK(E656),"",MATCH(E656,CNTR_SourceStreamNames,0))</f>
        <v/>
      </c>
      <c r="U655" s="609" t="str">
        <f>IF(ISBLANK(E656),"",INDEX(B_InstallationDescription!$D$71:$D$145,MATCH(E656,CNTR_SourceStreamNames,0)))</f>
        <v/>
      </c>
      <c r="V655" s="76"/>
      <c r="W655" s="56"/>
      <c r="X655" s="56"/>
      <c r="Y655" s="56"/>
      <c r="Z655" s="58"/>
      <c r="AA655" s="58"/>
      <c r="AB655" s="58"/>
      <c r="AC655" s="58"/>
      <c r="AD655" s="58"/>
      <c r="AE655" s="58"/>
      <c r="AF655" s="58"/>
      <c r="AG655" s="58"/>
      <c r="AH655" s="58"/>
      <c r="AI655" s="58"/>
      <c r="AJ655" s="58"/>
      <c r="AK655" s="482"/>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6"/>
      <c r="BI655" s="56"/>
      <c r="BJ655" s="56"/>
      <c r="BK655" s="56"/>
      <c r="BL655" s="56"/>
      <c r="BM655" s="56"/>
      <c r="BN655" s="56"/>
      <c r="BO655" s="56"/>
      <c r="BP655" s="56"/>
      <c r="BQ655" s="56"/>
      <c r="BR655" s="56"/>
      <c r="BS655" s="56"/>
      <c r="BT655" s="56"/>
      <c r="BU655" s="56"/>
      <c r="BV655" s="56"/>
      <c r="BW655" s="56"/>
      <c r="BX655" s="56"/>
      <c r="BY655" s="56"/>
      <c r="BZ655" s="484" t="s">
        <v>259</v>
      </c>
    </row>
    <row r="656" spans="1:78" s="140" customFormat="1" ht="15" customHeight="1" thickBot="1" x14ac:dyDescent="0.25">
      <c r="A656" s="1302" t="str">
        <f>IF(E656="","","PRINT")</f>
        <v/>
      </c>
      <c r="B656" s="1248"/>
      <c r="C656" s="608">
        <f>C629+1</f>
        <v>23</v>
      </c>
      <c r="D656" s="164"/>
      <c r="E656" s="1610"/>
      <c r="F656" s="1611"/>
      <c r="G656" s="1611"/>
      <c r="H656" s="1611"/>
      <c r="I656" s="1611"/>
      <c r="J656" s="1612"/>
      <c r="K656" s="1623" t="str">
        <f>IF(E657="","",INDEX(EUwideConstants!$F$353:$F$394,MATCH(E657,EUConst_TierActivityListNames,0)))</f>
        <v/>
      </c>
      <c r="L656" s="1624"/>
      <c r="M656" s="494" t="str">
        <f>Translations!$B$665</f>
        <v>CO2, iškastinio kuro kilmės:</v>
      </c>
      <c r="N656" s="1012" t="str">
        <f>IF(OR(K656="",T657=TRUE),"",INDEX(BC670:BE670,MATCH(K656,BC666:BE666,0)))</f>
        <v/>
      </c>
      <c r="O656" s="1314" t="s">
        <v>257</v>
      </c>
      <c r="P656" s="1303" t="str">
        <f>IF(AND(E656&lt;&gt;"",COUNTIF(P657:$P$2089,"PRINT")=0),"PRINT","")</f>
        <v/>
      </c>
      <c r="Q656" s="343" t="str">
        <f>EUconst_SumCO2 &amp; "_" &amp; K656</f>
        <v>SUM_CO2_</v>
      </c>
      <c r="R656" s="485"/>
      <c r="S656" s="23"/>
      <c r="T656" s="500" t="s">
        <v>387</v>
      </c>
      <c r="U656" s="23"/>
      <c r="V656" s="76"/>
      <c r="W656" s="56"/>
      <c r="X656" s="58"/>
      <c r="Y656" s="58"/>
      <c r="Z656" s="58"/>
      <c r="AA656" s="58"/>
      <c r="AB656" s="58"/>
      <c r="AC656" s="58"/>
      <c r="AD656" s="58"/>
      <c r="AE656" s="58"/>
      <c r="AF656" s="58"/>
      <c r="AG656" s="58"/>
      <c r="AH656" s="58"/>
      <c r="AI656" s="333"/>
      <c r="AJ656" s="333"/>
      <c r="AK656" s="333"/>
      <c r="AL656" s="333"/>
      <c r="AM656" s="333"/>
      <c r="AN656" s="333"/>
      <c r="AO656" s="333"/>
      <c r="AP656" s="333"/>
      <c r="AQ656" s="333"/>
      <c r="AR656" s="333"/>
      <c r="AS656" s="333"/>
      <c r="AT656" s="333"/>
      <c r="AU656" s="333"/>
      <c r="AV656" s="333"/>
      <c r="AW656" s="333"/>
      <c r="AX656" s="333"/>
      <c r="AY656" s="333"/>
      <c r="AZ656" s="333"/>
      <c r="BA656" s="333"/>
      <c r="BB656" s="333"/>
      <c r="BC656" s="333"/>
      <c r="BD656" s="333"/>
      <c r="BE656" s="333"/>
      <c r="BF656" s="333"/>
      <c r="BG656" s="333"/>
      <c r="BH656" s="834">
        <f>AR666</f>
        <v>0</v>
      </c>
      <c r="BI656" s="834" t="str">
        <f>AJ666</f>
        <v/>
      </c>
      <c r="BJ656" s="834">
        <f>AR668</f>
        <v>0</v>
      </c>
      <c r="BK656" s="834" t="str">
        <f>AJ668</f>
        <v/>
      </c>
      <c r="BL656" s="834">
        <f>AR669</f>
        <v>0</v>
      </c>
      <c r="BM656" s="834" t="str">
        <f>AJ669</f>
        <v/>
      </c>
      <c r="BN656" s="834">
        <f>AR670</f>
        <v>1</v>
      </c>
      <c r="BO656" s="834">
        <f>AR671</f>
        <v>1</v>
      </c>
      <c r="BP656" s="834">
        <f>AR672</f>
        <v>0</v>
      </c>
      <c r="BQ656" s="834" t="str">
        <f>AJ672</f>
        <v/>
      </c>
      <c r="BR656" s="834">
        <f>AR673</f>
        <v>0</v>
      </c>
      <c r="BS656" s="834">
        <f>AR674</f>
        <v>0</v>
      </c>
      <c r="BT656" s="834" t="str">
        <f>N656</f>
        <v/>
      </c>
      <c r="BU656" s="834" t="str">
        <f>N657</f>
        <v/>
      </c>
      <c r="BV656" s="834" t="str">
        <f>R659</f>
        <v/>
      </c>
      <c r="BW656" s="834" t="str">
        <f>R665</f>
        <v/>
      </c>
      <c r="BX656" s="834" t="str">
        <f>R666</f>
        <v/>
      </c>
      <c r="BY656" s="56"/>
      <c r="BZ656" s="610" t="b">
        <f>CNTR_CalcRelevant=EUconst_NotRelevant</f>
        <v>0</v>
      </c>
    </row>
    <row r="657" spans="1:78" s="140" customFormat="1" ht="15" customHeight="1" thickBot="1" x14ac:dyDescent="0.25">
      <c r="A657" s="777"/>
      <c r="B657" s="1248"/>
      <c r="C657" s="164"/>
      <c r="D657" s="164"/>
      <c r="E657" s="1625" t="str">
        <f>IF(ISBLANK(E656),"",IF(INDEX(B_InstallationDescription!$E$71:$E$145,MATCH(U655,B_InstallationDescription!$D$71:$D$145,0))&gt;0,INDEX(B_InstallationDescription!$E$71:$E$145,MATCH(U655,B_InstallationDescription!$D$71:$D$145,0)),""))</f>
        <v/>
      </c>
      <c r="F657" s="1626"/>
      <c r="G657" s="1626"/>
      <c r="H657" s="1626"/>
      <c r="I657" s="1626"/>
      <c r="J657" s="1627"/>
      <c r="M657" s="337" t="str">
        <f>Translations!$B$666</f>
        <v>CO2, biomasės kilmės.:</v>
      </c>
      <c r="N657" s="1013" t="str">
        <f>IF(OR(K656="",T657=TRUE),"",INDEX(BC669:BE669,MATCH(K656,BC666:BE666,0)))</f>
        <v/>
      </c>
      <c r="O657" s="1315" t="s">
        <v>257</v>
      </c>
      <c r="P657" s="485"/>
      <c r="Q657" s="343" t="str">
        <f>EUconst_SumBioCO2 &amp; "_" &amp; K656</f>
        <v>SUM_bioCO2_</v>
      </c>
      <c r="R657" s="485"/>
      <c r="S657" s="23"/>
      <c r="T657" s="48" t="str">
        <f>IF(E657="","",MATCH(E657,EUConst_TierActivityListNames,0)&gt;40)</f>
        <v/>
      </c>
      <c r="U657" s="23"/>
      <c r="V657" s="76"/>
      <c r="W657" s="56"/>
      <c r="X657" s="58"/>
      <c r="Y657" s="27" t="s">
        <v>91</v>
      </c>
      <c r="Z657" s="30"/>
      <c r="AA657" s="30"/>
      <c r="AB657" s="30"/>
      <c r="AC657" s="30"/>
      <c r="AD657" s="30"/>
      <c r="AE657" s="27" t="s">
        <v>297</v>
      </c>
      <c r="AF657" s="58"/>
      <c r="AG657" s="495"/>
      <c r="AH657" s="30"/>
      <c r="AI657" s="30"/>
      <c r="AJ657" s="495"/>
      <c r="AK657" s="495"/>
      <c r="AL657" s="333"/>
      <c r="AM657" s="27" t="s">
        <v>303</v>
      </c>
      <c r="AN657" s="496"/>
      <c r="AO657" s="496"/>
      <c r="AP657" s="30"/>
      <c r="AQ657" s="30"/>
      <c r="AR657" s="30"/>
      <c r="AS657" s="30"/>
      <c r="AT657" s="30"/>
      <c r="AU657" s="30"/>
      <c r="AV657" s="27" t="s">
        <v>310</v>
      </c>
      <c r="AW657" s="30"/>
      <c r="AX657" s="483"/>
      <c r="AY657" s="30"/>
      <c r="AZ657" s="30"/>
      <c r="BA657" s="30"/>
      <c r="BB657" s="27" t="s">
        <v>217</v>
      </c>
      <c r="BC657" s="30"/>
      <c r="BD657" s="30"/>
      <c r="BE657" s="30"/>
      <c r="BF657" s="30"/>
      <c r="BG657" s="27" t="s">
        <v>486</v>
      </c>
      <c r="BH657" s="833" t="s">
        <v>552</v>
      </c>
      <c r="BI657" s="833" t="s">
        <v>487</v>
      </c>
      <c r="BJ657" s="833" t="s">
        <v>211</v>
      </c>
      <c r="BK657" s="833" t="s">
        <v>488</v>
      </c>
      <c r="BL657" s="833" t="s">
        <v>68</v>
      </c>
      <c r="BM657" s="833" t="s">
        <v>489</v>
      </c>
      <c r="BN657" s="833" t="s">
        <v>490</v>
      </c>
      <c r="BO657" s="833" t="s">
        <v>491</v>
      </c>
      <c r="BP657" s="833" t="s">
        <v>214</v>
      </c>
      <c r="BQ657" s="833" t="s">
        <v>492</v>
      </c>
      <c r="BR657" s="833" t="s">
        <v>493</v>
      </c>
      <c r="BS657" s="833" t="s">
        <v>494</v>
      </c>
      <c r="BT657" s="833" t="s">
        <v>287</v>
      </c>
      <c r="BU657" s="833" t="s">
        <v>495</v>
      </c>
      <c r="BV657" s="833" t="s">
        <v>498</v>
      </c>
      <c r="BW657" s="833" t="s">
        <v>496</v>
      </c>
      <c r="BX657" s="833" t="s">
        <v>497</v>
      </c>
      <c r="BY657" s="30"/>
      <c r="BZ657" s="30"/>
    </row>
    <row r="658" spans="1:78" s="140" customFormat="1" ht="5.0999999999999996" customHeight="1" thickBot="1" x14ac:dyDescent="0.25">
      <c r="A658" s="777"/>
      <c r="B658" s="1248"/>
      <c r="C658" s="164"/>
      <c r="D658" s="164"/>
      <c r="E658" s="164"/>
      <c r="F658" s="164"/>
      <c r="G658" s="164"/>
      <c r="M658" s="141"/>
      <c r="N658" s="141"/>
      <c r="O658" s="1305"/>
      <c r="P658" s="33"/>
      <c r="Q658" s="33"/>
      <c r="R658" s="33"/>
      <c r="S658" s="23"/>
      <c r="T658" s="23"/>
      <c r="U658" s="23"/>
      <c r="V658" s="76"/>
      <c r="W658" s="30"/>
      <c r="X658" s="30"/>
      <c r="Y658" s="485"/>
      <c r="Z658" s="30"/>
      <c r="AA658" s="30"/>
      <c r="AB658" s="30"/>
      <c r="AC658" s="30"/>
      <c r="AD658" s="30"/>
      <c r="AE658" s="30"/>
      <c r="AF658" s="58"/>
      <c r="AG658" s="30"/>
      <c r="AH658" s="30"/>
      <c r="AI658" s="30"/>
      <c r="AJ658" s="495"/>
      <c r="AK658" s="495"/>
      <c r="AL658" s="333"/>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row>
    <row r="659" spans="1:78" s="140" customFormat="1" ht="12.75" customHeight="1" thickBot="1" x14ac:dyDescent="0.25">
      <c r="A659" s="777"/>
      <c r="B659" s="1248"/>
      <c r="C659" s="164"/>
      <c r="D659" s="164"/>
      <c r="E659" s="1628" t="str">
        <f>IF(E656="","",IF(T657=TRUE,HYPERLINK("#JUMP_14",EUconst_MsgGoOnPFC),HYPERLINK("#JUMP_E_8",EUconst_FurtherGuidancePoint1)))</f>
        <v/>
      </c>
      <c r="F659" s="1628"/>
      <c r="G659" s="1628"/>
      <c r="H659" s="1628"/>
      <c r="I659" s="1628"/>
      <c r="J659" s="1628"/>
      <c r="K659" s="1628"/>
      <c r="L659" s="1628"/>
      <c r="M659" s="1628"/>
      <c r="N659" s="141"/>
      <c r="O659" s="1305"/>
      <c r="P659" s="33"/>
      <c r="Q659" s="343" t="str">
        <f>EUconst_SumNonSustBioCO2 &amp; "_" &amp; K656</f>
        <v>SUM_bioNonSustCO2_</v>
      </c>
      <c r="R659" s="698" t="str">
        <f>IF(OR(K656="",T657=TRUE),"",ROUND(INDEX(BC668:BE668,MATCH(K656,BC666:BE666,0)),0))</f>
        <v/>
      </c>
      <c r="S659" s="23"/>
      <c r="T659" s="23"/>
      <c r="U659" s="23"/>
      <c r="V659" s="30"/>
      <c r="W659" s="30"/>
      <c r="X659" s="30"/>
      <c r="Y659" s="58"/>
      <c r="Z659" s="30"/>
      <c r="AA659" s="30"/>
      <c r="AB659" s="30"/>
      <c r="AC659" s="30"/>
      <c r="AD659" s="30"/>
      <c r="AE659" s="30"/>
      <c r="AF659" s="58"/>
      <c r="AG659" s="30"/>
      <c r="AH659" s="30"/>
      <c r="AI659" s="30"/>
      <c r="AJ659" s="495"/>
      <c r="AK659" s="495"/>
      <c r="AL659" s="333"/>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row>
    <row r="660" spans="1:78" s="140" customFormat="1" ht="5.0999999999999996" customHeight="1" thickBot="1" x14ac:dyDescent="0.25">
      <c r="A660" s="777"/>
      <c r="B660" s="1248"/>
      <c r="C660" s="164"/>
      <c r="D660" s="164"/>
      <c r="E660" s="164"/>
      <c r="F660" s="164"/>
      <c r="G660" s="164"/>
      <c r="M660" s="141"/>
      <c r="N660" s="141"/>
      <c r="O660" s="1305"/>
      <c r="P660" s="23"/>
      <c r="Q660" s="23"/>
      <c r="R660" s="23"/>
      <c r="S660" s="23"/>
      <c r="T660" s="23"/>
      <c r="U660" s="23"/>
      <c r="V660" s="30"/>
      <c r="W660" s="30"/>
      <c r="X660" s="30"/>
      <c r="Y660" s="485"/>
      <c r="Z660" s="30"/>
      <c r="AA660" s="30"/>
      <c r="AB660" s="30"/>
      <c r="AC660" s="30"/>
      <c r="AD660" s="30"/>
      <c r="AE660" s="30"/>
      <c r="AF660" s="58"/>
      <c r="AG660" s="30"/>
      <c r="AH660" s="30"/>
      <c r="AI660" s="30"/>
      <c r="AJ660" s="495"/>
      <c r="AK660" s="495"/>
      <c r="AL660" s="333"/>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row>
    <row r="661" spans="1:78" s="140" customFormat="1" ht="12.75" customHeight="1" thickBot="1" x14ac:dyDescent="0.25">
      <c r="A661" s="777"/>
      <c r="B661" s="1248"/>
      <c r="C661" s="783" t="s">
        <v>4</v>
      </c>
      <c r="D661" s="503" t="str">
        <f>Translations!$B$622</f>
        <v>VD:</v>
      </c>
      <c r="E661" s="1631" t="str">
        <f>Translations!$B$667</f>
        <v>Ar veiklos duomenys gaunami sudedant išmatuotus kiekius (t. y. ne atliekant nuolatinius matavimus)?</v>
      </c>
      <c r="F661" s="1631"/>
      <c r="G661" s="1631"/>
      <c r="H661" s="1631"/>
      <c r="I661" s="1631"/>
      <c r="J661" s="1631"/>
      <c r="K661" s="1631"/>
      <c r="L661" s="1122"/>
      <c r="M661" s="498"/>
      <c r="O661" s="1305"/>
      <c r="P661" s="23"/>
      <c r="Q661" s="23"/>
      <c r="R661" s="23"/>
      <c r="S661" s="23"/>
      <c r="T661" s="23"/>
      <c r="U661" s="23"/>
      <c r="V661" s="30"/>
      <c r="W661" s="30"/>
      <c r="X661" s="30"/>
      <c r="Y661" s="485"/>
      <c r="Z661" s="30"/>
      <c r="AA661" s="30"/>
      <c r="AB661" s="30"/>
      <c r="AC661" s="1115" t="b">
        <f>AND(E656&lt;&gt;"",T657&lt;&gt;TRUE)</f>
        <v>0</v>
      </c>
      <c r="AD661" s="30"/>
      <c r="AE661" s="30"/>
      <c r="AF661" s="58"/>
      <c r="AG661" s="30"/>
      <c r="AH661" s="30"/>
      <c r="AI661" s="30"/>
      <c r="AJ661" s="495"/>
      <c r="AK661" s="495"/>
      <c r="AL661" s="333"/>
      <c r="AM661" s="30"/>
      <c r="AN661" s="30"/>
      <c r="AO661" s="30"/>
      <c r="AP661" s="30"/>
      <c r="AQ661" s="30"/>
      <c r="AR661" s="30"/>
      <c r="AS661" s="30"/>
      <c r="AT661" s="1115" t="b">
        <f>MSPara_BatchReportingMandatory&lt;&gt;TRUE</f>
        <v>0</v>
      </c>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1115" t="b">
        <f>OR(CNTR_CalcRelevant=EUconst_NotRelevant,AND(COUNTA(CNTR_ListRelevantSections)&gt;0,OR(T657=TRUE,E656="")))</f>
        <v>1</v>
      </c>
    </row>
    <row r="662" spans="1:78" s="140" customFormat="1" ht="5.0999999999999996" customHeight="1" thickBot="1" x14ac:dyDescent="0.25">
      <c r="A662" s="777"/>
      <c r="B662" s="1248"/>
      <c r="C662" s="164"/>
      <c r="D662" s="164"/>
      <c r="E662" s="164"/>
      <c r="F662" s="164"/>
      <c r="G662" s="164"/>
      <c r="H662" s="486"/>
      <c r="I662" s="486"/>
      <c r="J662" s="486"/>
      <c r="K662" s="486"/>
      <c r="L662" s="486"/>
      <c r="M662" s="498"/>
      <c r="O662" s="1305"/>
      <c r="P662" s="23"/>
      <c r="Q662" s="23"/>
      <c r="R662" s="23"/>
      <c r="S662" s="23"/>
      <c r="T662" s="23"/>
      <c r="U662" s="23"/>
      <c r="V662" s="30"/>
      <c r="W662" s="30"/>
      <c r="X662" s="30"/>
      <c r="Y662" s="485"/>
      <c r="Z662" s="30"/>
      <c r="AA662" s="30"/>
      <c r="AB662" s="30"/>
      <c r="AC662" s="483"/>
      <c r="AD662" s="30"/>
      <c r="AE662" s="30"/>
      <c r="AF662" s="58"/>
      <c r="AG662" s="30"/>
      <c r="AH662" s="30"/>
      <c r="AI662" s="30"/>
      <c r="AJ662" s="495"/>
      <c r="AK662" s="495"/>
      <c r="AL662" s="333"/>
      <c r="AM662" s="30"/>
      <c r="AN662" s="30"/>
      <c r="AO662" s="30"/>
      <c r="AP662" s="30"/>
      <c r="AQ662" s="30"/>
      <c r="AR662" s="30"/>
      <c r="AS662" s="30"/>
      <c r="AT662" s="483"/>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483"/>
    </row>
    <row r="663" spans="1:78" s="140" customFormat="1" ht="12.75" customHeight="1" thickBot="1" x14ac:dyDescent="0.25">
      <c r="A663" s="777"/>
      <c r="B663" s="1248"/>
      <c r="C663" s="783" t="s">
        <v>5</v>
      </c>
      <c r="D663" s="503" t="str">
        <f>Translations!$B$622</f>
        <v>VD:</v>
      </c>
      <c r="E663" s="1105" t="str">
        <f>Translations!$B$668</f>
        <v>Pradinis kiekis:</v>
      </c>
      <c r="F663" s="1123"/>
      <c r="G663" s="1106" t="str">
        <f>Translations!$B$669</f>
        <v>Galutinis kiekis:</v>
      </c>
      <c r="H663" s="1123"/>
      <c r="I663" s="1106" t="str">
        <f>Translations!$B$670</f>
        <v>Įsigytas kiekis:</v>
      </c>
      <c r="J663" s="1123"/>
      <c r="K663" s="1106" t="str">
        <f>Translations!$B$671</f>
        <v>Perduotas kiekis:</v>
      </c>
      <c r="L663" s="1123"/>
      <c r="M663" s="1107" t="str">
        <f>IF(AND(L661=TRUE,COUNT(F663,H663,J663,L663)&lt;4),EUconst_ERR_Incomplete,"")</f>
        <v/>
      </c>
      <c r="O663" s="1305"/>
      <c r="P663" s="23"/>
      <c r="Q663" s="23"/>
      <c r="R663" s="23"/>
      <c r="S663" s="23"/>
      <c r="T663" s="23"/>
      <c r="U663" s="23"/>
      <c r="V663" s="30"/>
      <c r="W663" s="30"/>
      <c r="X663" s="30"/>
      <c r="Y663" s="485"/>
      <c r="Z663" s="30"/>
      <c r="AA663" s="30"/>
      <c r="AB663" s="30"/>
      <c r="AC663" s="1115" t="b">
        <f>AC661</f>
        <v>0</v>
      </c>
      <c r="AD663" s="30"/>
      <c r="AE663" s="30"/>
      <c r="AF663" s="58"/>
      <c r="AG663" s="30"/>
      <c r="AH663" s="30"/>
      <c r="AI663" s="30"/>
      <c r="AJ663" s="495"/>
      <c r="AK663" s="495"/>
      <c r="AL663" s="333"/>
      <c r="AM663" s="30"/>
      <c r="AN663" s="30"/>
      <c r="AO663" s="30"/>
      <c r="AP663" s="30"/>
      <c r="AQ663" s="30"/>
      <c r="AR663" s="30"/>
      <c r="AS663" s="30"/>
      <c r="AT663" s="1115" t="b">
        <f>AND(AT661=TRUE,L661="")</f>
        <v>0</v>
      </c>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1115" t="b">
        <f>OR(BZ661,AND(NOT(ISBLANK(L661)),L661=FALSE))</f>
        <v>1</v>
      </c>
    </row>
    <row r="664" spans="1:78" s="140" customFormat="1" ht="5.0999999999999996" customHeight="1" thickBot="1" x14ac:dyDescent="0.25">
      <c r="A664" s="777"/>
      <c r="B664" s="1248"/>
      <c r="C664" s="164"/>
      <c r="D664" s="164"/>
      <c r="E664" s="164"/>
      <c r="F664" s="164"/>
      <c r="G664" s="164"/>
      <c r="M664" s="141"/>
      <c r="N664" s="141"/>
      <c r="O664" s="1305"/>
      <c r="P664" s="23"/>
      <c r="Q664" s="23"/>
      <c r="R664" s="23"/>
      <c r="S664" s="23"/>
      <c r="T664" s="23"/>
      <c r="U664" s="23"/>
      <c r="V664" s="30"/>
      <c r="W664" s="30"/>
      <c r="X664" s="30"/>
      <c r="Y664" s="485"/>
      <c r="Z664" s="30"/>
      <c r="AA664" s="30"/>
      <c r="AB664" s="30"/>
      <c r="AC664" s="30"/>
      <c r="AD664" s="30"/>
      <c r="AE664" s="30"/>
      <c r="AF664" s="58"/>
      <c r="AG664" s="30"/>
      <c r="AH664" s="30"/>
      <c r="AI664" s="30"/>
      <c r="AJ664" s="495"/>
      <c r="AK664" s="495"/>
      <c r="AL664" s="333"/>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row>
    <row r="665" spans="1:78" s="140" customFormat="1" ht="12.75" customHeight="1" thickBot="1" x14ac:dyDescent="0.25">
      <c r="A665" s="777"/>
      <c r="B665" s="1248"/>
      <c r="C665" s="164"/>
      <c r="D665" s="164"/>
      <c r="E665" s="164"/>
      <c r="F665" s="497" t="str">
        <f>Translations!$B$333</f>
        <v>Pakopa</v>
      </c>
      <c r="G665" s="1613" t="str">
        <f>Translations!$B$672</f>
        <v>pakopos aprašas</v>
      </c>
      <c r="H665" s="1613"/>
      <c r="I665" s="1608" t="str">
        <f>Translations!$B$158</f>
        <v>Vienetas</v>
      </c>
      <c r="J665" s="1608"/>
      <c r="K665" s="1608" t="str">
        <f>Translations!$B$673</f>
        <v>Vertė</v>
      </c>
      <c r="L665" s="1608"/>
      <c r="M665" s="498" t="str">
        <f>Translations!$B$610</f>
        <v>klaida</v>
      </c>
      <c r="O665" s="1305"/>
      <c r="P665" s="499"/>
      <c r="Q665" s="343" t="str">
        <f>EUconst_SumEnergyIN &amp; "_" &amp; K656</f>
        <v>SUM_EnergyIN_</v>
      </c>
      <c r="R665" s="390" t="str">
        <f>IF(OR(K656="",T657)=TRUE,"",INDEX(BC671:BE671,MATCH(K656,BC666:BE666,0)))</f>
        <v/>
      </c>
      <c r="S665" s="30"/>
      <c r="T665" s="480"/>
      <c r="U665" s="30"/>
      <c r="V665" s="500" t="s">
        <v>298</v>
      </c>
      <c r="W665" s="30"/>
      <c r="X665" s="30"/>
      <c r="Y665" s="485" t="s">
        <v>560</v>
      </c>
      <c r="Z665" s="485" t="s">
        <v>313</v>
      </c>
      <c r="AA665" s="30"/>
      <c r="AB665" s="30"/>
      <c r="AC665" s="496" t="s">
        <v>304</v>
      </c>
      <c r="AD665" s="30"/>
      <c r="AE665" s="30"/>
      <c r="AF665" s="483" t="s">
        <v>300</v>
      </c>
      <c r="AG665" s="483" t="s">
        <v>301</v>
      </c>
      <c r="AH665" s="485" t="s">
        <v>299</v>
      </c>
      <c r="AI665" s="495" t="s">
        <v>302</v>
      </c>
      <c r="AJ665" s="495" t="s">
        <v>561</v>
      </c>
      <c r="AK665" s="501" t="s">
        <v>306</v>
      </c>
      <c r="AL665" s="333"/>
      <c r="AM665" s="30"/>
      <c r="AN665" s="483" t="s">
        <v>300</v>
      </c>
      <c r="AO665" s="483" t="s">
        <v>301</v>
      </c>
      <c r="AP665" s="502" t="s">
        <v>305</v>
      </c>
      <c r="AQ665" s="495" t="s">
        <v>563</v>
      </c>
      <c r="AR665" s="495" t="s">
        <v>562</v>
      </c>
      <c r="AS665" s="501" t="s">
        <v>306</v>
      </c>
      <c r="AT665" s="501" t="s">
        <v>306</v>
      </c>
      <c r="AU665" s="30"/>
      <c r="AV665" s="483"/>
      <c r="AW665" s="483"/>
      <c r="AX665" s="483" t="s">
        <v>316</v>
      </c>
      <c r="AY665" s="483"/>
      <c r="AZ665" s="483"/>
      <c r="BA665" s="483"/>
      <c r="BB665" s="483"/>
      <c r="BC665" s="483"/>
      <c r="BD665" s="483"/>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484" t="s">
        <v>259</v>
      </c>
    </row>
    <row r="666" spans="1:78" s="140" customFormat="1" ht="12.75" customHeight="1" thickBot="1" x14ac:dyDescent="0.25">
      <c r="A666" s="777"/>
      <c r="B666" s="1248"/>
      <c r="C666" s="753" t="s">
        <v>194</v>
      </c>
      <c r="D666" s="503" t="str">
        <f>Translations!$B$622</f>
        <v>VD:</v>
      </c>
      <c r="E666" s="504"/>
      <c r="F666" s="393"/>
      <c r="G666" s="1603" t="str">
        <f>IF(OR(ISBLANK(F666),F666=EUconst_NoTier),"",IF(Z666=0,EUconst_NA,IF(ISERROR(Z666),"",Z666)))</f>
        <v/>
      </c>
      <c r="H666" s="1604"/>
      <c r="I666" s="1108" t="str">
        <f>IF(J666&lt;&gt;"","",AI666)</f>
        <v/>
      </c>
      <c r="J666" s="1109"/>
      <c r="K666" s="1116" t="str">
        <f>IF(L666="",AQ666,"")</f>
        <v/>
      </c>
      <c r="L666" s="1199"/>
      <c r="M666" s="700" t="str">
        <f>IF(AND(E657&lt;&gt;"",OR(F666="",COUNT(K666:L666)=0),Y666&lt;&gt;EUconst_NA,T657&lt;&gt;TRUE),EUconst_ERR_Incomplete,IF(COUNTIF(AX666:AZ666,TRUE)&gt;0,EUconst_ERR_Inconsistent,""))</f>
        <v/>
      </c>
      <c r="O666" s="1305"/>
      <c r="P666" s="635"/>
      <c r="Q666" s="343" t="str">
        <f>EUconst_SumBioEnergyIN &amp; "_" &amp; K656</f>
        <v>SUM_BioEnergyIN_</v>
      </c>
      <c r="R666" s="390" t="str">
        <f>IF(OR(K656="",T657)=TRUE,"",INDEX(BC672:BE672,MATCH(K656,BC666:BE666,0)))</f>
        <v/>
      </c>
      <c r="S666" s="30"/>
      <c r="T666" s="505" t="str">
        <f>EUconst_CNTR_ActivityData&amp;E657</f>
        <v>ActivityData_</v>
      </c>
      <c r="U666" s="488"/>
      <c r="V666" s="505" t="str">
        <f>IF(E656="","",INDEX(B_InstallationDescription!$I$71:$I$145,MATCH(U655,B_InstallationDescription!$D$71:$D$145,0)))</f>
        <v/>
      </c>
      <c r="W666" s="495" t="s">
        <v>533</v>
      </c>
      <c r="X666" s="488"/>
      <c r="Y666" s="506" t="str">
        <f>IF(OR(T657=TRUE,E657=""),"",INDEX(EUwideConstants!$N:$N,MATCH(T666,EUwideConstants!$Q:$Q,0)))</f>
        <v/>
      </c>
      <c r="Z666" s="507" t="str">
        <f>IF(ISBLANK(F666),"",IF(F666=EUconst_NA,"",INDEX(EUwideConstants!$H:$M,MATCH(T666,EUwideConstants!$Q:$Q,0),MATCH(F666,CNTR_TierList,0))))</f>
        <v/>
      </c>
      <c r="AA666" s="508" t="s">
        <v>299</v>
      </c>
      <c r="AB666" s="495"/>
      <c r="AC666" s="509" t="b">
        <f>AC661</f>
        <v>0</v>
      </c>
      <c r="AD666" s="30"/>
      <c r="AE666" s="510" t="str">
        <f>EUconst_CNTR_ActivityData&amp;EUconst_Unit</f>
        <v>ActivityData_Vienetas</v>
      </c>
      <c r="AF666" s="511" t="str">
        <f>IF(AC666=TRUE, IF(COUNTIF(MSPara_SourceStreamCategory,V666)=0,"",INDEX(MSPara_CalcFactorsMatrix,MATCH(V666,MSPara_SourceStreamCategory,0),MATCH(AE666&amp;"_"&amp;2,MSPara_CalcFactors,0))),"")</f>
        <v/>
      </c>
      <c r="AG666" s="512" t="str">
        <f>IF(AC666=TRUE, IF(COUNTIF(MSPara_SourceStreamCategory,V666)=0,"",INDEX(MSPara_CalcFactorsMatrix,MATCH(V666,MSPara_SourceStreamCategory,0),MATCH(AE666&amp;"_"&amp;1,MSPara_CalcFactors,0))),"")</f>
        <v/>
      </c>
      <c r="AH666" s="509" t="str">
        <f>IF(OR(AF666="",AF666=EUconst_NA),IF(OR(AG666=EUconst_NA,AG666=""),"",AG666),AF666)</f>
        <v/>
      </c>
      <c r="AI666" s="506" t="str">
        <f>IF(AC666=TRUE,IF(AH666="",EUconst_t,AH666),"")</f>
        <v/>
      </c>
      <c r="AJ666" s="513" t="str">
        <f>IF(J666="",AI666,J666)</f>
        <v/>
      </c>
      <c r="AK666" s="514" t="b">
        <f>IF(K656=EUconst_Fuel,J666&lt;&gt;"",FALSE)</f>
        <v>0</v>
      </c>
      <c r="AL666" s="333"/>
      <c r="AM666" s="505" t="str">
        <f>EUconst_CNTR_ActivityData&amp;EUconst_Value</f>
        <v>ActivityData_Vertė</v>
      </c>
      <c r="AN666" s="496"/>
      <c r="AO666" s="496"/>
      <c r="AP666" s="509" t="b">
        <f>AND(AND(AH666&lt;&gt;"",AJ666&lt;&gt;""),AJ666=AH666)</f>
        <v>0</v>
      </c>
      <c r="AQ666" s="610" t="str">
        <f>IF(L661=TRUE,SUM(F663)-SUM(H663)+SUM(J663)-SUM(L663),"")</f>
        <v/>
      </c>
      <c r="AR666" s="509">
        <f>IF(Y666=EUconst_NA,0,IF(COUNT(K666:L666)=0,0,IF(L666="",K666,L666)))</f>
        <v>0</v>
      </c>
      <c r="AS666" s="1115" t="b">
        <f>AND(AC666=TRUE,OR(L666&lt;&gt;"",AQ666=""))</f>
        <v>0</v>
      </c>
      <c r="AT666" s="1115" t="b">
        <f>AND(AC666=TRUE,NOT(AS666))</f>
        <v>0</v>
      </c>
      <c r="AU666" s="30"/>
      <c r="AV666" s="483" t="s">
        <v>309</v>
      </c>
      <c r="AW666" s="483" t="s">
        <v>314</v>
      </c>
      <c r="AX666" s="515"/>
      <c r="AY666" s="30" t="s">
        <v>536</v>
      </c>
      <c r="AZ666" s="30"/>
      <c r="BA666" s="30"/>
      <c r="BB666" s="495"/>
      <c r="BC666" s="484" t="str">
        <f>EUconst_Fuel</f>
        <v>Degimas</v>
      </c>
      <c r="BD666" s="484" t="str">
        <f>EUconst_ProcessCarbonate</f>
        <v>Proceso metu išsiskiriančios ŠESD</v>
      </c>
      <c r="BE666" s="484" t="str">
        <f>EUconst_MassBalance</f>
        <v>Masės balansas</v>
      </c>
      <c r="BF666" s="30"/>
      <c r="BG666" s="30"/>
      <c r="BH666" s="30"/>
      <c r="BI666" s="30"/>
      <c r="BJ666" s="30"/>
      <c r="BK666" s="30"/>
      <c r="BL666" s="30"/>
      <c r="BM666" s="30"/>
      <c r="BN666" s="30"/>
      <c r="BO666" s="30"/>
      <c r="BP666" s="30"/>
      <c r="BQ666" s="30"/>
      <c r="BR666" s="30"/>
      <c r="BS666" s="30"/>
      <c r="BT666" s="30"/>
      <c r="BU666" s="30"/>
      <c r="BV666" s="30"/>
      <c r="BW666" s="30"/>
      <c r="BX666" s="30"/>
      <c r="BY666" s="30"/>
      <c r="BZ666" s="515" t="b">
        <f>BZ661</f>
        <v>1</v>
      </c>
    </row>
    <row r="667" spans="1:78" s="140" customFormat="1" ht="5.0999999999999996" customHeight="1" thickBot="1" x14ac:dyDescent="0.25">
      <c r="A667" s="777"/>
      <c r="B667" s="1248"/>
      <c r="C667" s="783"/>
      <c r="D667" s="298"/>
      <c r="F667" s="141"/>
      <c r="G667" s="141"/>
      <c r="H667" s="141" t="s">
        <v>233</v>
      </c>
      <c r="I667" s="516"/>
      <c r="J667" s="516"/>
      <c r="K667" s="141"/>
      <c r="L667" s="141"/>
      <c r="M667" s="701"/>
      <c r="O667" s="1305"/>
      <c r="P667" s="33"/>
      <c r="Q667" s="33"/>
      <c r="R667" s="33"/>
      <c r="S667" s="30"/>
      <c r="T667" s="153"/>
      <c r="U667" s="488"/>
      <c r="V667" s="30"/>
      <c r="W667" s="30"/>
      <c r="X667" s="488"/>
      <c r="Y667" s="517"/>
      <c r="Z667" s="30"/>
      <c r="AA667" s="30"/>
      <c r="AB667" s="30"/>
      <c r="AC667" s="30"/>
      <c r="AD667" s="30"/>
      <c r="AE667" s="30"/>
      <c r="AF667" s="30"/>
      <c r="AG667" s="30"/>
      <c r="AH667" s="30"/>
      <c r="AI667" s="30"/>
      <c r="AJ667" s="30"/>
      <c r="AK667" s="30"/>
      <c r="AL667" s="333"/>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484"/>
    </row>
    <row r="668" spans="1:78" s="140" customFormat="1" ht="12.75" customHeight="1" thickBot="1" x14ac:dyDescent="0.25">
      <c r="A668" s="777"/>
      <c r="B668" s="1248"/>
      <c r="C668" s="783" t="s">
        <v>195</v>
      </c>
      <c r="D668" s="503" t="str">
        <f>Translations!$B$634</f>
        <v>(prelim.) ITF:</v>
      </c>
      <c r="E668" s="504"/>
      <c r="F668" s="518"/>
      <c r="G668" s="1603" t="str">
        <f t="shared" ref="G668:G674" si="154">IF(OR(ISBLANK(F668),F668=EUconst_NoTier),"",IF(Z668=0,EUconst_NotApplicable,IF(ISERROR(Z668),"",Z668)))</f>
        <v/>
      </c>
      <c r="H668" s="1609"/>
      <c r="I668" s="1110" t="str">
        <f>IF(J668&lt;&gt;"","",AI668)</f>
        <v/>
      </c>
      <c r="J668" s="1111"/>
      <c r="K668" s="519" t="str">
        <f t="shared" ref="K668:K674" si="155">IF(L668="",AQ668,"")</f>
        <v/>
      </c>
      <c r="L668" s="520"/>
      <c r="M668" s="700" t="str">
        <f>IF(AND(E657&lt;&gt;"",OR(F668="",COUNT(K668:L668)=0),Y668&lt;&gt;EUconst_NA,T657&lt;&gt;TRUE),EUconst_ERR_Incomplete,IF(COUNTIF(AX668:AZ668,TRUE)&gt;0,EUconst_ERR_Inconsistent,""))</f>
        <v/>
      </c>
      <c r="N668" s="486"/>
      <c r="O668" s="1305"/>
      <c r="P668" s="33"/>
      <c r="Q668" s="33"/>
      <c r="R668" s="33"/>
      <c r="S668" s="30"/>
      <c r="T668" s="521" t="str">
        <f>EUconst_CNTR_EF&amp;E657</f>
        <v>EF_</v>
      </c>
      <c r="U668" s="488"/>
      <c r="V668" s="522" t="str">
        <f>V666</f>
        <v/>
      </c>
      <c r="W668" s="30"/>
      <c r="X668" s="488"/>
      <c r="Y668" s="523" t="str">
        <f>IF(OR(T657=TRUE,E657=""),"",IF(F668=EUconst_NA,EUconst_NA,INDEX(EUwideConstants!$N:$N,MATCH(T668,EUwideConstants!$Q:$Q,0))))</f>
        <v/>
      </c>
      <c r="Z668" s="524" t="str">
        <f>IF(ISBLANK(F668),"",IF(F668=EUconst_NA,"",INDEX(EUwideConstants!$H:$M,MATCH(T668,EUwideConstants!$Q:$Q,0),MATCH(F668,CNTR_TierList,0))))</f>
        <v/>
      </c>
      <c r="AA668" s="525" t="str">
        <f>IF(COUNTIF(EUconst_DefaultValues,Z668)&gt;0,MATCH(Z668,EUconst_DefaultValues,0),"")</f>
        <v/>
      </c>
      <c r="AB668" s="30"/>
      <c r="AC668" s="526" t="b">
        <f>AND(AC666,Y668&lt;&gt;EUconst_NA)</f>
        <v>0</v>
      </c>
      <c r="AD668" s="30"/>
      <c r="AE668" s="510" t="str">
        <f>EUconst_CNTR_EF&amp;EUconst_Unit</f>
        <v>EF_Vienetas</v>
      </c>
      <c r="AF668" s="527" t="str">
        <f>IF(AC668=TRUE, IF(COUNTIF(MSPara_SourceStreamCategory,V668)=0,"",INDEX(MSPara_CalcFactorsMatrix,MATCH(V668,MSPara_SourceStreamCategory,0),MATCH(AE668&amp;"_"&amp;2,MSPara_CalcFactors,0))),"")</f>
        <v/>
      </c>
      <c r="AG668" s="528" t="str">
        <f>IF(AC668=TRUE, IF(COUNTIF(MSPara_SourceStreamCategory,V668)=0,"",INDEX(MSPara_CalcFactorsMatrix,MATCH(V668,MSPara_SourceStreamCategory,0),MATCH(AE668&amp;"_"&amp;1,MSPara_CalcFactors,0))),"")</f>
        <v/>
      </c>
      <c r="AH668" s="529" t="str">
        <f>IF(AA668="","",INDEX(AF668:AG668,3-AA668))</f>
        <v/>
      </c>
      <c r="AI668" s="530" t="str">
        <f>IF(AC668=TRUE,IF(OR(AH668="",AH668=EUconst_NA),IF(K656=EUconst_Fuel,EUconst_tCO2pTJ,EUconst_tCO2pt),AH668),"")</f>
        <v/>
      </c>
      <c r="AJ668" s="526" t="str">
        <f>IF(J668="",AI668,J668)</f>
        <v/>
      </c>
      <c r="AK668" s="531" t="b">
        <f>IF(K656=EUconst_Fuel,J668&lt;&gt;"",FALSE)</f>
        <v>0</v>
      </c>
      <c r="AL668" s="333"/>
      <c r="AM668" s="510" t="str">
        <f>EUconst_CNTR_EF&amp;EUconst_Value</f>
        <v>EF_Vertė</v>
      </c>
      <c r="AN668" s="532" t="str">
        <f>IF(AC668=TRUE,IF(COUNTIF(MSPara_SourceStreamCategory,V668)=0,"",INDEX(MSPara_CalcFactorsMatrix,MATCH(V668,MSPara_SourceStreamCategory,0),MATCH(AM668&amp;"_"&amp;2,MSPara_CalcFactors,0))),"")</f>
        <v/>
      </c>
      <c r="AO668" s="533" t="str">
        <f>IF(AC668=TRUE,IF(COUNTIF(MSPara_SourceStreamCategory,V668)=0,"",INDEX(MSPara_CalcFactorsMatrix,MATCH(V668,MSPara_SourceStreamCategory,0),MATCH(AM668&amp;"_"&amp;1,MSPara_CalcFactors,0))),"")</f>
        <v/>
      </c>
      <c r="AP668" s="526" t="b">
        <f>AND(AND(AH668&lt;&gt;"",AJ668&lt;&gt;""),AJ668=AH668)</f>
        <v>0</v>
      </c>
      <c r="AQ668" s="534" t="str">
        <f>IF(AND(AA668&lt;&gt;"",AP668=TRUE),IF(OR(INDEX(AN668:AO668,3-AA668)=EUconst_NA,INDEX(AN668:AO668,3-AA668)=0),"",INDEX(AN668:AO668,3-AA668)),"")</f>
        <v/>
      </c>
      <c r="AR668" s="526">
        <f>IF(AC668=TRUE,IF(COUNT(K668:L668)=0,0,IF(L668="",K668,L668)),0)</f>
        <v>0</v>
      </c>
      <c r="AS668" s="522" t="b">
        <f>AND(AC668=TRUE,OR(AND(F668&lt;&gt;"",NOT(ISNUMBER(AA668))),L668&lt;&gt;"",F668="",AQ668=""))</f>
        <v>0</v>
      </c>
      <c r="AT668" s="522" t="b">
        <f t="shared" ref="AT668:AT674" si="156">AND(AC668=TRUE,NOT(AS668))</f>
        <v>0</v>
      </c>
      <c r="AU668" s="30"/>
      <c r="AV668" s="535" t="b">
        <f t="shared" ref="AV668:AV674" si="157">AND(ISNUMBER(AA668),AQ668="")</f>
        <v>0</v>
      </c>
      <c r="AW668" s="536" t="b">
        <f t="shared" ref="AW668:AW674" si="158">AND(ISNUMBER(AA668),AQ668&lt;&gt;AR668)</f>
        <v>0</v>
      </c>
      <c r="AX668" s="537" t="b">
        <f>OR(AND(AJ666=EUconst_kNm3,AJ668=EUconst_tCO2pt),AND(AJ666=EUconst_t,AJ668=EUconst_tCO2pkNm3))</f>
        <v>0</v>
      </c>
      <c r="AY668" s="522" t="b">
        <f t="shared" ref="AY668:AY674" si="159">AND(L668&lt;&gt;"",Y668=EUconst_NA)</f>
        <v>0</v>
      </c>
      <c r="AZ668" s="30"/>
      <c r="BA668" s="30"/>
      <c r="BB668" s="538" t="s">
        <v>588</v>
      </c>
      <c r="BC668" s="537" t="str">
        <f>IF(K656=BC666,AR666*IF(AJ668=EUconst_tCO2pTJ,(AR669/1000),1)*AR668*AR670*AR674,"")</f>
        <v/>
      </c>
      <c r="BD668" s="515" t="str">
        <f>IF(K656=BD666,AR666*AR668*AR671*AR674,"")</f>
        <v/>
      </c>
      <c r="BE668" s="514" t="str">
        <f>IF(K656=BE666,3.664*AR666*AR672*AR674,"")</f>
        <v/>
      </c>
      <c r="BF668" s="30"/>
      <c r="BG668" s="30"/>
      <c r="BH668" s="30"/>
      <c r="BI668" s="30"/>
      <c r="BJ668" s="30"/>
      <c r="BK668" s="30"/>
      <c r="BL668" s="30"/>
      <c r="BM668" s="30"/>
      <c r="BN668" s="30"/>
      <c r="BO668" s="30"/>
      <c r="BP668" s="30"/>
      <c r="BQ668" s="30"/>
      <c r="BR668" s="30"/>
      <c r="BS668" s="30"/>
      <c r="BT668" s="30"/>
      <c r="BU668" s="30"/>
      <c r="BV668" s="30"/>
      <c r="BW668" s="30"/>
      <c r="BX668" s="30"/>
      <c r="BY668" s="30"/>
      <c r="BZ668" s="522" t="b">
        <f>OR(BZ666,Y668=EUconst_NA)</f>
        <v>1</v>
      </c>
    </row>
    <row r="669" spans="1:78" s="140" customFormat="1" ht="12.75" customHeight="1" thickBot="1" x14ac:dyDescent="0.25">
      <c r="A669" s="777"/>
      <c r="B669" s="1248"/>
      <c r="C669" s="783" t="s">
        <v>196</v>
      </c>
      <c r="D669" s="503" t="str">
        <f>Translations!$B$636</f>
        <v>GŠV:</v>
      </c>
      <c r="E669" s="504"/>
      <c r="F669" s="539"/>
      <c r="G669" s="1603" t="str">
        <f t="shared" si="154"/>
        <v/>
      </c>
      <c r="H669" s="1604"/>
      <c r="I669" s="1112" t="str">
        <f>AJ669</f>
        <v/>
      </c>
      <c r="J669" s="540"/>
      <c r="K669" s="541" t="str">
        <f t="shared" si="155"/>
        <v/>
      </c>
      <c r="L669" s="542"/>
      <c r="M669" s="700" t="str">
        <f>IF(AND(E657&lt;&gt;"",OR(F669="",COUNT(K669:L669)=0),Y669&lt;&gt;EUconst_NA,T657&lt;&gt;TRUE),EUconst_ERR_Incomplete,IF(COUNTIF(AX669:AZ669,TRUE)&gt;0,EUconst_ERR_Inconsistent,""))</f>
        <v/>
      </c>
      <c r="O669" s="1305"/>
      <c r="P669" s="33"/>
      <c r="Q669" s="33"/>
      <c r="R669" s="33"/>
      <c r="S669" s="30"/>
      <c r="T669" s="543" t="str">
        <f>EUconst_CNTR_NCV&amp;E657</f>
        <v>NCV_</v>
      </c>
      <c r="U669" s="488"/>
      <c r="V669" s="544" t="str">
        <f t="shared" ref="V669:V674" si="160">V668</f>
        <v/>
      </c>
      <c r="W669" s="30"/>
      <c r="X669" s="488"/>
      <c r="Y669" s="545" t="str">
        <f>IF(OR(T657=TRUE,E657=""),"",IF(F669=EUconst_NA,EUconst_NA,INDEX(EUwideConstants!$N:$N,MATCH(T669,EUwideConstants!$Q:$Q,0))))</f>
        <v/>
      </c>
      <c r="Z669" s="546" t="str">
        <f>IF(ISBLANK(F669),"",IF(F669=EUconst_NA,"",INDEX(EUwideConstants!$H:$M,MATCH(T669,EUwideConstants!$Q:$Q,0),MATCH(F669,CNTR_TierList,0))))</f>
        <v/>
      </c>
      <c r="AA669" s="547" t="str">
        <f>IF(COUNTIF(EUconst_DefaultValues,Z669)&gt;0,MATCH(Z669,EUconst_DefaultValues,0),"")</f>
        <v/>
      </c>
      <c r="AB669" s="30"/>
      <c r="AC669" s="548" t="b">
        <f>AND(AC666,Y669&lt;&gt;EUconst_NA)</f>
        <v>0</v>
      </c>
      <c r="AD669" s="30"/>
      <c r="AE669" s="549" t="str">
        <f>EUconst_CNTR_NCV&amp;EUconst_Unit</f>
        <v>NCV_Vienetas</v>
      </c>
      <c r="AF669" s="550" t="str">
        <f>IF(AC669=TRUE, IF(COUNTIF(MSPara_SourceStreamCategory,V669)=0,"",INDEX(MSPara_CalcFactorsMatrix,MATCH(V669,MSPara_SourceStreamCategory,0),MATCH(AE669&amp;"_"&amp;2,MSPara_CalcFactors,0))),"")</f>
        <v/>
      </c>
      <c r="AG669" s="551" t="str">
        <f>IF(AC669=TRUE, IF(COUNTIF(MSPara_SourceStreamCategory,V669)=0,"",INDEX(MSPara_CalcFactorsMatrix,MATCH(V669,MSPara_SourceStreamCategory,0),MATCH(AE669&amp;"_"&amp;1,MSPara_CalcFactors,0))),"")</f>
        <v/>
      </c>
      <c r="AH669" s="552" t="str">
        <f>IF(AA669="","",INDEX(AF669:AG669,3-AA669))</f>
        <v/>
      </c>
      <c r="AI669" s="553"/>
      <c r="AJ669" s="548" t="str">
        <f>IF(AC669=TRUE,IF(AJ666="","",IF(AJ666=EUconst_kNm3,EUconst_GJpkNm3,EUconst_GJpt)),"")</f>
        <v/>
      </c>
      <c r="AK669" s="554"/>
      <c r="AL669" s="333"/>
      <c r="AM669" s="549" t="str">
        <f>EUconst_CNTR_NCV&amp;EUconst_Value</f>
        <v>NCV_Vertė</v>
      </c>
      <c r="AN669" s="555" t="str">
        <f>IF(AC669=TRUE,IF(COUNTIF(MSPara_SourceStreamCategory,V669)=0,"",INDEX(MSPara_CalcFactorsMatrix,MATCH(V669,MSPara_SourceStreamCategory,0),MATCH(AM669&amp;"_"&amp;2,MSPara_CalcFactors,0))),"")</f>
        <v/>
      </c>
      <c r="AO669" s="556" t="str">
        <f>IF(AC669=TRUE,IF(COUNTIF(MSPara_SourceStreamCategory,V669)=0,"",INDEX(MSPara_CalcFactorsMatrix,MATCH(V669,MSPara_SourceStreamCategory,0),MATCH(AM669&amp;"_"&amp;1,MSPara_CalcFactors,0))),"")</f>
        <v/>
      </c>
      <c r="AP669" s="548" t="b">
        <f>AND(AND(AH669&lt;&gt;"",AJ669&lt;&gt;""),AJ669=AH669)</f>
        <v>0</v>
      </c>
      <c r="AQ669" s="557" t="str">
        <f>IF(AND(AA669&lt;&gt;"",AP669=TRUE),IF(OR(INDEX(AN669:AO669,3-AA669)=EUconst_NA,INDEX(AN669:AO669,3-AA669)=0),"",INDEX(AN669:AO669,3-AA669)),"")</f>
        <v/>
      </c>
      <c r="AR669" s="548">
        <f>IF(AC669=TRUE,IF(COUNT(K669:L669)=0,0,IF(L669="",K669,L669)),0)</f>
        <v>0</v>
      </c>
      <c r="AS669" s="544" t="b">
        <f>AND(AC669=TRUE,OR(AND(F669&lt;&gt;"",NOT(ISNUMBER(AA669))),L669&lt;&gt;"",F669="",AQ669=""))</f>
        <v>0</v>
      </c>
      <c r="AT669" s="544" t="b">
        <f t="shared" si="156"/>
        <v>0</v>
      </c>
      <c r="AU669" s="30"/>
      <c r="AV669" s="558" t="b">
        <f t="shared" si="157"/>
        <v>0</v>
      </c>
      <c r="AW669" s="559" t="b">
        <f t="shared" si="158"/>
        <v>0</v>
      </c>
      <c r="AX669" s="30"/>
      <c r="AY669" s="544" t="b">
        <f t="shared" si="159"/>
        <v>0</v>
      </c>
      <c r="AZ669" s="30"/>
      <c r="BA669" s="30"/>
      <c r="BB669" s="538" t="s">
        <v>589</v>
      </c>
      <c r="BC669" s="537" t="str">
        <f>IF(K656=BC666,AR666*IF(AJ668=EUconst_tCO2pTJ,(AR669/1000),1)*AR668*AR670*AR673,"")</f>
        <v/>
      </c>
      <c r="BD669" s="515" t="str">
        <f>IF(K656=BD666,AR666*AR668*AR671*AR673,"")</f>
        <v/>
      </c>
      <c r="BE669" s="514" t="str">
        <f>IF(K656=BE666,3.664*AR666*AR672*AR673,"")</f>
        <v/>
      </c>
      <c r="BF669" s="30"/>
      <c r="BG669" s="30"/>
      <c r="BH669" s="30"/>
      <c r="BI669" s="30"/>
      <c r="BJ669" s="30"/>
      <c r="BK669" s="30"/>
      <c r="BL669" s="30"/>
      <c r="BM669" s="30"/>
      <c r="BN669" s="30"/>
      <c r="BO669" s="30"/>
      <c r="BP669" s="30"/>
      <c r="BQ669" s="30"/>
      <c r="BR669" s="30"/>
      <c r="BS669" s="30"/>
      <c r="BT669" s="30"/>
      <c r="BU669" s="30"/>
      <c r="BV669" s="30"/>
      <c r="BW669" s="30"/>
      <c r="BX669" s="30"/>
      <c r="BY669" s="30"/>
      <c r="BZ669" s="544" t="b">
        <f>OR(BZ666,Y669=EUconst_NA)</f>
        <v>1</v>
      </c>
    </row>
    <row r="670" spans="1:78" s="140" customFormat="1" ht="12.75" customHeight="1" thickBot="1" x14ac:dyDescent="0.25">
      <c r="A670" s="777"/>
      <c r="B670" s="1248"/>
      <c r="C670" s="783" t="s">
        <v>197</v>
      </c>
      <c r="D670" s="503" t="str">
        <f>Translations!$B$638</f>
        <v>Oksidacijos koef.:</v>
      </c>
      <c r="E670" s="504"/>
      <c r="F670" s="539"/>
      <c r="G670" s="1603" t="str">
        <f t="shared" si="154"/>
        <v/>
      </c>
      <c r="H670" s="1604"/>
      <c r="I670" s="1113" t="str">
        <f>IF(OR(AC670=FALSE,Y670=EUconst_NA),"","-")</f>
        <v/>
      </c>
      <c r="J670" s="560"/>
      <c r="K670" s="561" t="str">
        <f t="shared" si="155"/>
        <v/>
      </c>
      <c r="L670" s="694"/>
      <c r="M670" s="700" t="str">
        <f>IF(AND(E657&lt;&gt;"",OR(F670="",COUNT(K670:L670)=0),Y670&lt;&gt;EUconst_NA,T657&lt;&gt;TRUE),EUconst_ERR_Incomplete,IF(COUNTIF(AX670:AZ670,TRUE)&gt;0,EUconst_ERR_Inconsistent,""))</f>
        <v/>
      </c>
      <c r="O670" s="1305"/>
      <c r="P670" s="33"/>
      <c r="Q670" s="33"/>
      <c r="R670" s="33"/>
      <c r="S670" s="30"/>
      <c r="T670" s="543" t="str">
        <f>EUconst_CNTR_OxidationFactor&amp;E657</f>
        <v>OxF_</v>
      </c>
      <c r="U670" s="488"/>
      <c r="V670" s="544" t="str">
        <f t="shared" si="160"/>
        <v/>
      </c>
      <c r="W670" s="30"/>
      <c r="X670" s="488"/>
      <c r="Y670" s="545" t="str">
        <f>IF(OR(T657=TRUE,E657=""),"",INDEX(EUwideConstants!$N:$N,MATCH(T670,EUwideConstants!$Q:$Q,0)))</f>
        <v/>
      </c>
      <c r="Z670" s="546" t="str">
        <f>IF(ISBLANK(F670),"",IF(F670=EUconst_NA,"",INDEX(EUwideConstants!$H:$M,MATCH(T670,EUwideConstants!$Q:$Q,0),MATCH(F670,CNTR_TierList,0))))</f>
        <v/>
      </c>
      <c r="AA670" s="525" t="str">
        <f>IF(F670=1,1,"")</f>
        <v/>
      </c>
      <c r="AB670" s="30"/>
      <c r="AC670" s="548" t="b">
        <f>AND(AC666,Y670&lt;&gt;EUconst_NA)</f>
        <v>0</v>
      </c>
      <c r="AD670" s="30"/>
      <c r="AE670" s="563"/>
      <c r="AG670" s="564"/>
      <c r="AH670" s="553"/>
      <c r="AI670" s="565"/>
      <c r="AJ670" s="553"/>
      <c r="AK670" s="566"/>
      <c r="AL670" s="333"/>
      <c r="AM670" s="549" t="str">
        <f>EUconst_CNTR_OxidationFactor&amp;EUconst_Value</f>
        <v>OxF_Vertė</v>
      </c>
      <c r="AN670" s="567"/>
      <c r="AO670" s="525">
        <v>1</v>
      </c>
      <c r="AP670" s="553"/>
      <c r="AQ670" s="568" t="str">
        <f>IF(AA670="","",AO670)</f>
        <v/>
      </c>
      <c r="AR670" s="548">
        <f>IF(AC670=TRUE,IF(COUNT(K670:L670)=0,0,IF(L670="",K670,L670)),1)</f>
        <v>1</v>
      </c>
      <c r="AS670" s="544" t="b">
        <f>AND(AC670=TRUE,OR(ISNUMBER(L670),NOT(ISNUMBER(AA670))))</f>
        <v>0</v>
      </c>
      <c r="AT670" s="544" t="b">
        <f t="shared" si="156"/>
        <v>0</v>
      </c>
      <c r="AU670" s="30"/>
      <c r="AV670" s="558" t="b">
        <f t="shared" si="157"/>
        <v>0</v>
      </c>
      <c r="AW670" s="559" t="b">
        <f t="shared" si="158"/>
        <v>0</v>
      </c>
      <c r="AX670" s="30"/>
      <c r="AY670" s="585" t="b">
        <f t="shared" si="159"/>
        <v>0</v>
      </c>
      <c r="AZ670" s="522" t="b">
        <f>AR670&gt;100%</f>
        <v>0</v>
      </c>
      <c r="BA670" s="30"/>
      <c r="BB670" s="538" t="s">
        <v>287</v>
      </c>
      <c r="BC670" s="537" t="str">
        <f>IF(K656=BC666,AR666*IF(AJ668=EUconst_tCO2pTJ,(AR669/1000),1)*AR668*AR670*(1-AR673),"")</f>
        <v/>
      </c>
      <c r="BD670" s="515" t="str">
        <f>IF(K656=BD666,AR666*AR668*AR671*(1-AR673),"")</f>
        <v/>
      </c>
      <c r="BE670" s="514" t="str">
        <f>IF(K656=BE666,3.664*AR666*AR672*(1-AR673),"")</f>
        <v/>
      </c>
      <c r="BF670" s="30"/>
      <c r="BG670" s="30"/>
      <c r="BH670" s="30"/>
      <c r="BI670" s="30"/>
      <c r="BJ670" s="30"/>
      <c r="BK670" s="30"/>
      <c r="BL670" s="30"/>
      <c r="BM670" s="30"/>
      <c r="BN670" s="30"/>
      <c r="BO670" s="30"/>
      <c r="BP670" s="30"/>
      <c r="BQ670" s="30"/>
      <c r="BR670" s="30"/>
      <c r="BS670" s="30"/>
      <c r="BT670" s="30"/>
      <c r="BU670" s="30"/>
      <c r="BV670" s="30"/>
      <c r="BW670" s="30"/>
      <c r="BX670" s="30"/>
      <c r="BY670" s="30"/>
      <c r="BZ670" s="544" t="b">
        <f>OR(BZ666,Y670=EUconst_NA)</f>
        <v>1</v>
      </c>
    </row>
    <row r="671" spans="1:78" s="140" customFormat="1" ht="12.75" customHeight="1" thickBot="1" x14ac:dyDescent="0.25">
      <c r="A671" s="777"/>
      <c r="B671" s="1248"/>
      <c r="C671" s="783" t="s">
        <v>198</v>
      </c>
      <c r="D671" s="503" t="str">
        <f>Translations!$B$639</f>
        <v>Konversijos koef.:</v>
      </c>
      <c r="E671" s="504"/>
      <c r="F671" s="539"/>
      <c r="G671" s="1603" t="str">
        <f t="shared" si="154"/>
        <v/>
      </c>
      <c r="H671" s="1604"/>
      <c r="I671" s="1113" t="str">
        <f>IF(OR(AC671=FALSE,Y671=EUconst_NA),"","-")</f>
        <v/>
      </c>
      <c r="J671" s="560"/>
      <c r="K671" s="561" t="str">
        <f t="shared" si="155"/>
        <v/>
      </c>
      <c r="L671" s="694"/>
      <c r="M671" s="700" t="str">
        <f>IF(AND(E657&lt;&gt;"",OR(F671="",COUNT(K671:L671)=0),Y671&lt;&gt;EUconst_NA,T657&lt;&gt;TRUE),EUconst_ERR_Incomplete,IF(COUNTIF(AX671:AZ671,TRUE)&gt;0,EUconst_ERR_Inconsistent,""))</f>
        <v/>
      </c>
      <c r="O671" s="1305"/>
      <c r="P671" s="33"/>
      <c r="Q671" s="33"/>
      <c r="R671" s="33"/>
      <c r="S671" s="30"/>
      <c r="T671" s="543" t="str">
        <f>EUconst_CNTR_ConversionFactor&amp;E657</f>
        <v>ConvF_</v>
      </c>
      <c r="U671" s="488"/>
      <c r="V671" s="544" t="str">
        <f t="shared" si="160"/>
        <v/>
      </c>
      <c r="W671" s="30"/>
      <c r="X671" s="488"/>
      <c r="Y671" s="545" t="str">
        <f>IF(OR(T657=TRUE,E657=""),"",INDEX(EUwideConstants!$N:$N,MATCH(T671,EUwideConstants!$Q:$Q,0)))</f>
        <v/>
      </c>
      <c r="Z671" s="546" t="str">
        <f>IF(ISBLANK(F671),"",IF(F671=EUconst_NA,"",INDEX(EUwideConstants!$H:$M,MATCH(T671,EUwideConstants!$Q:$Q,0),MATCH(F671,CNTR_TierList,0))))</f>
        <v/>
      </c>
      <c r="AA671" s="573" t="str">
        <f>IF(F671=1,1,"")</f>
        <v/>
      </c>
      <c r="AB671" s="30"/>
      <c r="AC671" s="548" t="b">
        <f>AND(AC666,Y671&lt;&gt;EUconst_NA)</f>
        <v>0</v>
      </c>
      <c r="AD671" s="30"/>
      <c r="AE671" s="563"/>
      <c r="AG671" s="564"/>
      <c r="AH671" s="574"/>
      <c r="AI671" s="565"/>
      <c r="AJ671" s="574"/>
      <c r="AK671" s="566"/>
      <c r="AL671" s="333"/>
      <c r="AM671" s="549" t="str">
        <f>EUconst_CNTR_ConversionFactor&amp;EUconst_Value</f>
        <v>ConvF_Vertė</v>
      </c>
      <c r="AN671" s="575"/>
      <c r="AO671" s="573">
        <v>1</v>
      </c>
      <c r="AP671" s="574"/>
      <c r="AQ671" s="576" t="str">
        <f>IF(AA671="","",AO671)</f>
        <v/>
      </c>
      <c r="AR671" s="548">
        <f>IF(AC671=TRUE,IF(COUNT(K671:L671)=0,0,IF(L671="",K671,L671)),1)</f>
        <v>1</v>
      </c>
      <c r="AS671" s="544" t="b">
        <f>AND(AC671=TRUE,OR(ISNUMBER(L671),NOT(ISNUMBER(AA671))))</f>
        <v>0</v>
      </c>
      <c r="AT671" s="544" t="b">
        <f t="shared" si="156"/>
        <v>0</v>
      </c>
      <c r="AU671" s="30"/>
      <c r="AV671" s="558" t="b">
        <f t="shared" si="157"/>
        <v>0</v>
      </c>
      <c r="AW671" s="559" t="b">
        <f t="shared" si="158"/>
        <v>0</v>
      </c>
      <c r="AX671" s="30"/>
      <c r="AY671" s="585" t="b">
        <f t="shared" si="159"/>
        <v>0</v>
      </c>
      <c r="AZ671" s="571" t="b">
        <f>AR671&gt;100%</f>
        <v>0</v>
      </c>
      <c r="BA671" s="30"/>
      <c r="BB671" s="569" t="s">
        <v>481</v>
      </c>
      <c r="BC671" s="570">
        <f>AR666*AR669/1000*(1-AR673)</f>
        <v>0</v>
      </c>
      <c r="BD671" s="571">
        <f>BC671</f>
        <v>0</v>
      </c>
      <c r="BE671" s="572">
        <f>BC671</f>
        <v>0</v>
      </c>
      <c r="BF671" s="30"/>
      <c r="BG671" s="30"/>
      <c r="BH671" s="30"/>
      <c r="BI671" s="30"/>
      <c r="BJ671" s="30"/>
      <c r="BK671" s="30"/>
      <c r="BL671" s="30"/>
      <c r="BM671" s="30"/>
      <c r="BN671" s="30"/>
      <c r="BO671" s="30"/>
      <c r="BP671" s="30"/>
      <c r="BQ671" s="30"/>
      <c r="BR671" s="30"/>
      <c r="BS671" s="30"/>
      <c r="BT671" s="30"/>
      <c r="BU671" s="30"/>
      <c r="BV671" s="30"/>
      <c r="BW671" s="30"/>
      <c r="BX671" s="30"/>
      <c r="BY671" s="30"/>
      <c r="BZ671" s="544" t="b">
        <f>OR(BZ666,Y671=EUconst_NA)</f>
        <v>1</v>
      </c>
    </row>
    <row r="672" spans="1:78" s="140" customFormat="1" ht="12.75" customHeight="1" thickBot="1" x14ac:dyDescent="0.25">
      <c r="A672" s="777"/>
      <c r="B672" s="1248"/>
      <c r="C672" s="783" t="s">
        <v>324</v>
      </c>
      <c r="D672" s="503" t="str">
        <f>Translations!$B$640</f>
        <v>Anglies kiekis (C):</v>
      </c>
      <c r="E672" s="504"/>
      <c r="F672" s="539"/>
      <c r="G672" s="1603" t="str">
        <f t="shared" si="154"/>
        <v/>
      </c>
      <c r="H672" s="1604"/>
      <c r="I672" s="1113" t="str">
        <f>AJ672</f>
        <v/>
      </c>
      <c r="J672" s="577"/>
      <c r="K672" s="578" t="str">
        <f t="shared" si="155"/>
        <v/>
      </c>
      <c r="L672" s="579"/>
      <c r="M672" s="700" t="str">
        <f>IF(AND(E657&lt;&gt;"",OR(F672="",COUNT(K672:L672)=0),Y672&lt;&gt;EUconst_NA,T657&lt;&gt;TRUE),EUconst_ERR_Incomplete,IF(COUNTIF(AX672:AZ672,TRUE)&gt;0,EUconst_ERR_Inconsistent,""))</f>
        <v/>
      </c>
      <c r="O672" s="1305"/>
      <c r="P672" s="33"/>
      <c r="Q672" s="33"/>
      <c r="R672" s="33"/>
      <c r="S672" s="30"/>
      <c r="T672" s="543" t="str">
        <f>EUconst_CNTR_CarbonContent&amp;E657</f>
        <v>CarbC_</v>
      </c>
      <c r="U672" s="488"/>
      <c r="V672" s="544" t="str">
        <f t="shared" si="160"/>
        <v/>
      </c>
      <c r="W672" s="30"/>
      <c r="X672" s="488"/>
      <c r="Y672" s="545" t="str">
        <f>IF(OR(T657=TRUE,E657=""),"",INDEX(EUwideConstants!$N:$N,MATCH(T672,EUwideConstants!$Q:$Q,0)))</f>
        <v/>
      </c>
      <c r="Z672" s="546" t="str">
        <f>IF(ISBLANK(F672),"",IF(F672=EUconst_NA,"",INDEX(EUwideConstants!$H:$M,MATCH(T672,EUwideConstants!$Q:$Q,0),MATCH(F672,CNTR_TierList,0))))</f>
        <v/>
      </c>
      <c r="AA672" s="580" t="str">
        <f>IF(COUNTIF(EUconst_DefaultValues,Z672)&gt;0,MATCH(Z672,EUconst_DefaultValues,0),"")</f>
        <v/>
      </c>
      <c r="AB672" s="30"/>
      <c r="AC672" s="548" t="b">
        <f>AND(AC666,Y672&lt;&gt;EUconst_NA)</f>
        <v>0</v>
      </c>
      <c r="AD672" s="30"/>
      <c r="AE672" s="549" t="str">
        <f>EUconst_CNTR_CarbonContent&amp;EUconst_Unit</f>
        <v>CarbC_Vienetas</v>
      </c>
      <c r="AF672" s="550" t="str">
        <f>IF(AC672=TRUE, IF(COUNTIF(MSPara_SourceStreamCategory,V672)=0,"",INDEX(MSPara_CalcFactorsMatrix,MATCH(V672,MSPara_SourceStreamCategory,0),MATCH(AE672&amp;"_"&amp;2,MSPara_CalcFactors,0))),"")</f>
        <v/>
      </c>
      <c r="AG672" s="551" t="str">
        <f>IF(AC672=TRUE, IF(COUNTIF(MSPara_SourceStreamCategory,V672)=0,"",INDEX(MSPara_CalcFactorsMatrix,MATCH(V672,MSPara_SourceStreamCategory,0),MATCH(AE672&amp;"_"&amp;1,MSPara_CalcFactors,0))),"")</f>
        <v/>
      </c>
      <c r="AH672" s="581" t="str">
        <f>IF(AA672="","",INDEX(AF672:AG672,3-AA672))</f>
        <v/>
      </c>
      <c r="AI672" s="565"/>
      <c r="AJ672" s="582" t="str">
        <f>IF(AC672=TRUE,IF(AJ666="","",IF(AJ666=EUconst_kNm3,EUconst_tCpkNm3,EUconst_tCpt)),"")</f>
        <v/>
      </c>
      <c r="AK672" s="566"/>
      <c r="AL672" s="333"/>
      <c r="AM672" s="549" t="str">
        <f>EUconst_CNTR_CarbonContent&amp;EUconst_Value</f>
        <v>CarbC_Vertė</v>
      </c>
      <c r="AN672" s="555" t="str">
        <f>IF(AC672=TRUE,IF(COUNTIF(MSPara_SourceStreamCategory,V672)=0,"",INDEX(MSPara_CalcFactorsMatrix,MATCH(V672,MSPara_SourceStreamCategory,0),MATCH(AM672&amp;"_"&amp;2,MSPara_CalcFactors,0))),"")</f>
        <v/>
      </c>
      <c r="AO672" s="583" t="str">
        <f>IF(AC672=TRUE,IF(COUNTIF(MSPara_SourceStreamCategory,V672)=0,"",INDEX(MSPara_CalcFactorsMatrix,MATCH(V672,MSPara_SourceStreamCategory,0),MATCH(AM672&amp;"_"&amp;1,MSPara_CalcFactors,0))),"")</f>
        <v/>
      </c>
      <c r="AP672" s="548" t="b">
        <f>AND(AND(AH672&lt;&gt;"",AJ672&lt;&gt;""),AJ672=AH672)</f>
        <v>0</v>
      </c>
      <c r="AQ672" s="584" t="str">
        <f>IF(AND(AA672&lt;&gt;"",AP672=TRUE),IF(OR(INDEX(AN672:AO672,3-AA672)=EUconst_NA,INDEX(AN672:AO672,3-AA672)=0),"",INDEX(AN672:AO672,3-AA672)),"")</f>
        <v/>
      </c>
      <c r="AR672" s="548">
        <f>IF(AC672=TRUE,IF(COUNT(K672:L672)=0,0,IF(L672="",K672,L672)),0)</f>
        <v>0</v>
      </c>
      <c r="AS672" s="544" t="b">
        <f>AND(AC672=TRUE,OR(AND(F672&lt;&gt;"",NOT(ISNUMBER(AA672))),L672&lt;&gt;"",F672="",AQ672=""))</f>
        <v>0</v>
      </c>
      <c r="AT672" s="544" t="b">
        <f t="shared" si="156"/>
        <v>0</v>
      </c>
      <c r="AU672" s="30"/>
      <c r="AV672" s="558" t="b">
        <f t="shared" si="157"/>
        <v>0</v>
      </c>
      <c r="AW672" s="559" t="b">
        <f t="shared" si="158"/>
        <v>0</v>
      </c>
      <c r="AX672" s="537" t="b">
        <f>OR(AND(AJ666=EUconst_kNm3,AJ672=EUconst_tCpt),AND(AJ666=EUconst_t,AJ672=EUconst_tCpkNm3))</f>
        <v>0</v>
      </c>
      <c r="AY672" s="544" t="b">
        <f t="shared" si="159"/>
        <v>0</v>
      </c>
      <c r="AZ672" s="30"/>
      <c r="BA672" s="30"/>
      <c r="BB672" s="569" t="s">
        <v>482</v>
      </c>
      <c r="BC672" s="570">
        <f>AR666*AR669/1000*AR673</f>
        <v>0</v>
      </c>
      <c r="BD672" s="571">
        <f>BC672</f>
        <v>0</v>
      </c>
      <c r="BE672" s="572">
        <f>BC672</f>
        <v>0</v>
      </c>
      <c r="BF672" s="30"/>
      <c r="BG672" s="30"/>
      <c r="BH672" s="30"/>
      <c r="BI672" s="30"/>
      <c r="BJ672" s="30"/>
      <c r="BK672" s="30"/>
      <c r="BL672" s="30"/>
      <c r="BM672" s="30"/>
      <c r="BN672" s="30"/>
      <c r="BO672" s="30"/>
      <c r="BP672" s="30"/>
      <c r="BQ672" s="30"/>
      <c r="BR672" s="30"/>
      <c r="BS672" s="30"/>
      <c r="BT672" s="30"/>
      <c r="BU672" s="30"/>
      <c r="BV672" s="30"/>
      <c r="BW672" s="30"/>
      <c r="BX672" s="30"/>
      <c r="BY672" s="30"/>
      <c r="BZ672" s="544" t="b">
        <f>OR(BZ666,Y672=EUconst_NA)</f>
        <v>1</v>
      </c>
    </row>
    <row r="673" spans="1:78" s="140" customFormat="1" ht="12.75" customHeight="1" x14ac:dyDescent="0.2">
      <c r="A673" s="777"/>
      <c r="B673" s="1248"/>
      <c r="C673" s="753" t="s">
        <v>325</v>
      </c>
      <c r="D673" s="503" t="str">
        <f>Translations!$B$641</f>
        <v>Biomasės dalis (BioC):</v>
      </c>
      <c r="E673" s="504"/>
      <c r="F673" s="539"/>
      <c r="G673" s="1603" t="str">
        <f t="shared" si="154"/>
        <v/>
      </c>
      <c r="H673" s="1604"/>
      <c r="I673" s="1113" t="str">
        <f>IF(OR(AC673=FALSE,Y673=EUconst_NA),"","-")</f>
        <v/>
      </c>
      <c r="J673" s="560"/>
      <c r="K673" s="561" t="str">
        <f t="shared" si="155"/>
        <v/>
      </c>
      <c r="L673" s="694"/>
      <c r="M673" s="700" t="str">
        <f>IF(AND(E657&lt;&gt;"",OR(F673="",COUNT(K673:L673)=0),Y673&lt;&gt;EUconst_NA,T657&lt;&gt;TRUE),EUconst_ERR_Incomplete,IF(COUNTIF(AX673:AZ673,TRUE)&gt;0,EUconst_ERR_Inconsistent,""))</f>
        <v/>
      </c>
      <c r="O673" s="1305"/>
      <c r="P673" s="635"/>
      <c r="Q673" s="635"/>
      <c r="R673" s="635"/>
      <c r="S673" s="30"/>
      <c r="T673" s="543" t="str">
        <f>EUconst_CNTR_BiomassContent&amp;E657</f>
        <v>BioC_</v>
      </c>
      <c r="U673" s="488"/>
      <c r="V673" s="585" t="str">
        <f t="shared" si="160"/>
        <v/>
      </c>
      <c r="W673" s="522" t="str">
        <f>IF(COUNTIF(MSPara_SourceStreamCategory,V673)=0,"",INDEX(MSPara_IsFossil,MATCH(V673,MSPara_SourceStreamCategory,0)))</f>
        <v/>
      </c>
      <c r="X673" s="488"/>
      <c r="Y673" s="545" t="str">
        <f>IF(OR(T657=TRUE,E657=""),"",IF(OR(W673=TRUE,F673=EUconst_NA),EUconst_NA,INDEX(EUwideConstants!$N:$N,MATCH(T673,EUwideConstants!$Q:$Q,0))))</f>
        <v/>
      </c>
      <c r="Z673" s="546" t="str">
        <f>IF(ISBLANK(F673),"",IF(F673=EUconst_NA,"",INDEX(EUwideConstants!$H:$M,MATCH(T673,EUwideConstants!$Q:$Q,0),MATCH(F673,CNTR_TierList,0))))</f>
        <v/>
      </c>
      <c r="AA673" s="586" t="str">
        <f>IF(F673=1,1,"")</f>
        <v/>
      </c>
      <c r="AB673" s="30"/>
      <c r="AC673" s="548" t="b">
        <f>AND(AC666,Y673&lt;&gt;EUconst_NA)</f>
        <v>0</v>
      </c>
      <c r="AD673" s="30"/>
      <c r="AE673" s="563"/>
      <c r="AG673" s="564"/>
      <c r="AH673" s="553"/>
      <c r="AI673" s="565"/>
      <c r="AJ673" s="553"/>
      <c r="AK673" s="566"/>
      <c r="AL673" s="333"/>
      <c r="AM673" s="549" t="str">
        <f>EUconst_CNTR_BiomassContent&amp;EUconst_Value</f>
        <v>BioC_Vertė</v>
      </c>
      <c r="AO673" s="587" t="str">
        <f>IF(AC673=TRUE,IF(COUNTIF(MSPara_SourceStreamCategory,V673)=0,"",INDEX(MSPara_CalcFactorsMatrix,MATCH(V673,MSPara_SourceStreamCategory,0),MATCH(AM673&amp;"_"&amp;2,MSPara_CalcFactors,0))),"")</f>
        <v/>
      </c>
      <c r="AP673" s="553"/>
      <c r="AQ673" s="568" t="str">
        <f>IF(OR(AA673="",AO673=EUconst_NA),"",AO673)</f>
        <v/>
      </c>
      <c r="AR673" s="548">
        <f>IF(AC673=TRUE,IF(COUNT(K673:L673)=0,0,IF(L673="",K673,L673)),0)</f>
        <v>0</v>
      </c>
      <c r="AS673" s="544" t="b">
        <f>AND(AC673=TRUE,OR(AND(F673&lt;&gt;"",NOT(ISNUMBER(AA673))),L673&lt;&gt;"",F673="",AQ673=""))</f>
        <v>0</v>
      </c>
      <c r="AT673" s="544" t="b">
        <f t="shared" si="156"/>
        <v>0</v>
      </c>
      <c r="AU673" s="30"/>
      <c r="AV673" s="558" t="b">
        <f t="shared" si="157"/>
        <v>0</v>
      </c>
      <c r="AW673" s="559" t="b">
        <f t="shared" si="158"/>
        <v>0</v>
      </c>
      <c r="AX673" s="30"/>
      <c r="AY673" s="585" t="b">
        <f t="shared" si="159"/>
        <v>0</v>
      </c>
      <c r="AZ673" s="522" t="b">
        <f>OR(AR673&gt;100%,(AR673+AR674)&gt;100%)</f>
        <v>0</v>
      </c>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544" t="b">
        <f>OR(BZ666,Y673=EUconst_NA)</f>
        <v>1</v>
      </c>
    </row>
    <row r="674" spans="1:78" s="140" customFormat="1" ht="12.75" customHeight="1" thickBot="1" x14ac:dyDescent="0.25">
      <c r="A674" s="777"/>
      <c r="B674" s="1248"/>
      <c r="C674" s="753" t="s">
        <v>448</v>
      </c>
      <c r="D674" s="503" t="str">
        <f>Translations!$B$647</f>
        <v>Netvarios BioC dalis:</v>
      </c>
      <c r="E674" s="504"/>
      <c r="F674" s="588"/>
      <c r="G674" s="1603" t="str">
        <f t="shared" si="154"/>
        <v/>
      </c>
      <c r="H674" s="1604"/>
      <c r="I674" s="1114" t="str">
        <f>IF(OR(AC674=FALSE,Y674=EUconst_NA),"","-")</f>
        <v/>
      </c>
      <c r="J674" s="560"/>
      <c r="K674" s="589" t="str">
        <f t="shared" si="155"/>
        <v/>
      </c>
      <c r="L674" s="1100"/>
      <c r="M674" s="700" t="str">
        <f>IF(AND(E657&lt;&gt;"",OR(F674="",COUNT(K674:L674)=0),Y674&lt;&gt;EUconst_NA,T657&lt;&gt;TRUE),EUconst_ERR_Incomplete,IF(COUNTIF(AX674:AZ674,TRUE)&gt;0,EUconst_ERR_Inconsistent,""))</f>
        <v/>
      </c>
      <c r="O674" s="1305"/>
      <c r="P674" s="635"/>
      <c r="Q674" s="635"/>
      <c r="R674" s="635"/>
      <c r="S674" s="30"/>
      <c r="T674" s="590" t="str">
        <f>EUconst_CNTR_BiomassContent&amp;E657</f>
        <v>BioC_</v>
      </c>
      <c r="U674" s="488"/>
      <c r="V674" s="570" t="str">
        <f t="shared" si="160"/>
        <v/>
      </c>
      <c r="W674" s="571" t="str">
        <f>IF(COUNTIF(MSPara_SourceStreamCategory,V674)=0,"",INDEX(MSPara_IsFossil,MATCH(V674,MSPara_SourceStreamCategory,0)))</f>
        <v/>
      </c>
      <c r="X674" s="488"/>
      <c r="Y674" s="591" t="str">
        <f>IF(OR(T657=TRUE,E657=""),"",IF(OR(W674=TRUE,F674=EUconst_NA),EUconst_NA,INDEX(EUwideConstants!$N:$N,MATCH(T674,EUwideConstants!$Q:$Q,0))))</f>
        <v/>
      </c>
      <c r="Z674" s="592" t="str">
        <f>IF(ISBLANK(F674),"",IF(F674=EUconst_NA,"",INDEX(EUwideConstants!$H:$M,MATCH(T674,EUwideConstants!$Q:$Q,0),MATCH(F674,CNTR_TierList,0))))</f>
        <v/>
      </c>
      <c r="AA674" s="593" t="str">
        <f>IF(F674=1,1,"")</f>
        <v/>
      </c>
      <c r="AB674" s="30"/>
      <c r="AC674" s="594" t="b">
        <f>AND(AC666,Y674&lt;&gt;EUconst_NA)</f>
        <v>0</v>
      </c>
      <c r="AD674" s="30"/>
      <c r="AE674" s="595"/>
      <c r="AF674" s="596"/>
      <c r="AG674" s="597"/>
      <c r="AH674" s="598"/>
      <c r="AI674" s="598"/>
      <c r="AJ674" s="598"/>
      <c r="AK674" s="599"/>
      <c r="AL674" s="333"/>
      <c r="AM674" s="600" t="str">
        <f>EUconst_CNTR_BiomassContent&amp;EUconst_Value</f>
        <v>BioC_Vertė</v>
      </c>
      <c r="AN674" s="596"/>
      <c r="AO674" s="601" t="str">
        <f>IF(AC674=TRUE,IF(COUNTIF(MSPara_SourceStreamCategory,V674)=0,"",INDEX(MSPara_CalcFactorsMatrix,MATCH(V674,MSPara_SourceStreamCategory,0),MATCH(AM674&amp;"_"&amp;2,MSPara_CalcFactors,0))),"")</f>
        <v/>
      </c>
      <c r="AP674" s="598"/>
      <c r="AQ674" s="602" t="str">
        <f>IF(OR(AA674="",AO674=EUconst_NA),"",AO674)</f>
        <v/>
      </c>
      <c r="AR674" s="594">
        <f>IF(AC674=TRUE,IF(COUNT(K674:L674)=0,0,IF(L674="",K674,L674)),0)</f>
        <v>0</v>
      </c>
      <c r="AS674" s="603" t="b">
        <f>AND(AC674=TRUE,OR(AND(F674&lt;&gt;"",NOT(ISNUMBER(AA674))),L674&lt;&gt;"",F674="",AQ674=""))</f>
        <v>0</v>
      </c>
      <c r="AT674" s="603" t="b">
        <f t="shared" si="156"/>
        <v>0</v>
      </c>
      <c r="AU674" s="30"/>
      <c r="AV674" s="604" t="b">
        <f t="shared" si="157"/>
        <v>0</v>
      </c>
      <c r="AW674" s="605" t="b">
        <f t="shared" si="158"/>
        <v>0</v>
      </c>
      <c r="AX674" s="30"/>
      <c r="AY674" s="570" t="b">
        <f t="shared" si="159"/>
        <v>0</v>
      </c>
      <c r="AZ674" s="571" t="b">
        <f>OR(AR673&gt;100%,(AR673+AR674)&gt;100%)</f>
        <v>0</v>
      </c>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571" t="b">
        <f>OR(BZ666,Y674=EUconst_NA)</f>
        <v>1</v>
      </c>
    </row>
    <row r="675" spans="1:78" s="140" customFormat="1" ht="5.0999999999999996" customHeight="1" x14ac:dyDescent="0.2">
      <c r="A675" s="777"/>
      <c r="B675" s="1248"/>
      <c r="C675" s="164"/>
      <c r="D675" s="178"/>
      <c r="O675" s="1305"/>
      <c r="P675" s="33"/>
      <c r="Q675" s="33"/>
      <c r="R675" s="33"/>
      <c r="S675" s="172"/>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row>
    <row r="676" spans="1:78" s="140" customFormat="1" ht="12.75" customHeight="1" x14ac:dyDescent="0.2">
      <c r="A676" s="777"/>
      <c r="B676" s="1248"/>
      <c r="C676" s="164"/>
      <c r="D676" s="1629" t="str">
        <f>Translations!$B$674</f>
        <v>Pakopos galioja nuo:</v>
      </c>
      <c r="E676" s="1629"/>
      <c r="F676" s="1630"/>
      <c r="G676" s="1014"/>
      <c r="H676" s="606" t="str">
        <f>Translations!$B$675</f>
        <v>iki:</v>
      </c>
      <c r="I676" s="1014"/>
      <c r="J676" s="1620" t="str">
        <f>Translations!$B$676</f>
        <v>Atliekų katalogo numeris (jeigu taikytina):</v>
      </c>
      <c r="K676" s="1621"/>
      <c r="L676" s="1621"/>
      <c r="M676" s="1622"/>
      <c r="N676" s="1232"/>
      <c r="O676" s="1305"/>
      <c r="P676" s="33"/>
      <c r="Q676" s="33"/>
      <c r="R676" s="33"/>
      <c r="S676" s="1233"/>
      <c r="T676" s="483"/>
      <c r="U676" s="483"/>
      <c r="V676" s="48" t="b">
        <f>IF(V666="",FALSE,INDEX(CNTR_IsWaste,MATCH(V666,MSParameters!$A$218:$A$376,0)))</f>
        <v>0</v>
      </c>
      <c r="W676" s="1233" t="s">
        <v>1689</v>
      </c>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2" t="b">
        <f>BZ666</f>
        <v>1</v>
      </c>
    </row>
    <row r="677" spans="1:78" s="140" customFormat="1" ht="5.0999999999999996" customHeight="1" x14ac:dyDescent="0.2">
      <c r="A677" s="777"/>
      <c r="B677" s="1248"/>
      <c r="C677" s="164"/>
      <c r="D677" s="606"/>
      <c r="E677" s="486"/>
      <c r="F677" s="486"/>
      <c r="G677" s="486"/>
      <c r="H677" s="486"/>
      <c r="I677" s="486"/>
      <c r="J677" s="486"/>
      <c r="K677" s="486"/>
      <c r="L677" s="486"/>
      <c r="M677" s="486"/>
      <c r="N677" s="486"/>
      <c r="O677" s="1305"/>
      <c r="P677" s="33"/>
      <c r="Q677" s="33"/>
      <c r="R677" s="33"/>
      <c r="S677" s="172"/>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row>
    <row r="678" spans="1:78" s="140" customFormat="1" ht="12.75" customHeight="1" x14ac:dyDescent="0.2">
      <c r="A678" s="777"/>
      <c r="B678" s="1248"/>
      <c r="C678" s="164"/>
      <c r="D678" s="486"/>
      <c r="E678" s="486"/>
      <c r="F678" s="486"/>
      <c r="G678" s="486"/>
      <c r="H678" s="486"/>
      <c r="I678" s="486"/>
      <c r="J678" s="486"/>
      <c r="K678" s="486"/>
      <c r="L678" s="486"/>
      <c r="M678" s="606" t="str">
        <f>Translations!$B$677</f>
        <v>Stebėsenos plane šiam sukėlikliui suteiktas identifikatorius:</v>
      </c>
      <c r="N678" s="705"/>
      <c r="O678" s="1305"/>
      <c r="P678" s="33"/>
      <c r="Q678" s="33"/>
      <c r="R678" s="33"/>
      <c r="S678" s="172"/>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2" t="b">
        <f>BZ676</f>
        <v>1</v>
      </c>
    </row>
    <row r="679" spans="1:78" s="140" customFormat="1" ht="5.0999999999999996" customHeight="1" x14ac:dyDescent="0.2">
      <c r="A679" s="784"/>
      <c r="B679" s="1316"/>
      <c r="D679" s="178"/>
      <c r="O679" s="1317"/>
      <c r="P679" s="488"/>
      <c r="Q679" s="488"/>
      <c r="R679" s="488"/>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row>
    <row r="680" spans="1:78" s="140" customFormat="1" x14ac:dyDescent="0.2">
      <c r="A680" s="784"/>
      <c r="B680" s="1316"/>
      <c r="D680" s="1618" t="str">
        <f>Translations!$B$160</f>
        <v>Pastabos:</v>
      </c>
      <c r="E680" s="1619"/>
      <c r="F680" s="1605"/>
      <c r="G680" s="1606"/>
      <c r="H680" s="1606"/>
      <c r="I680" s="1606"/>
      <c r="J680" s="1606"/>
      <c r="K680" s="1606"/>
      <c r="L680" s="1606"/>
      <c r="M680" s="1606"/>
      <c r="N680" s="1607"/>
      <c r="O680" s="1317"/>
      <c r="P680" s="488"/>
      <c r="Q680" s="488"/>
      <c r="R680" s="488"/>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2" t="b">
        <f>BZ676</f>
        <v>1</v>
      </c>
    </row>
    <row r="681" spans="1:78" s="28" customFormat="1" ht="12.75" customHeight="1" thickBot="1" x14ac:dyDescent="0.25">
      <c r="A681" s="777"/>
      <c r="B681" s="1312"/>
      <c r="C681" s="490"/>
      <c r="D681" s="491"/>
      <c r="E681" s="492"/>
      <c r="F681" s="490"/>
      <c r="G681" s="493"/>
      <c r="H681" s="493"/>
      <c r="I681" s="493"/>
      <c r="J681" s="493"/>
      <c r="K681" s="493"/>
      <c r="L681" s="493"/>
      <c r="M681" s="493"/>
      <c r="N681" s="493"/>
      <c r="O681" s="1313"/>
      <c r="P681" s="485"/>
      <c r="Q681" s="485"/>
      <c r="R681" s="485"/>
      <c r="S681" s="58"/>
      <c r="T681" s="58"/>
      <c r="U681" s="489"/>
      <c r="V681" s="58"/>
      <c r="W681" s="58"/>
      <c r="X681" s="489"/>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30"/>
      <c r="BJ681" s="30"/>
      <c r="BK681" s="30"/>
      <c r="BL681" s="58"/>
      <c r="BM681" s="58"/>
      <c r="BN681" s="58"/>
      <c r="BO681" s="58"/>
      <c r="BP681" s="58"/>
      <c r="BQ681" s="58"/>
      <c r="BR681" s="58"/>
      <c r="BS681" s="58"/>
      <c r="BT681" s="58"/>
      <c r="BU681" s="58"/>
      <c r="BV681" s="58"/>
      <c r="BW681" s="58"/>
      <c r="BX681" s="58"/>
      <c r="BY681" s="58"/>
      <c r="BZ681" s="58"/>
    </row>
    <row r="682" spans="1:78" s="28" customFormat="1" ht="12.75" customHeight="1" thickBot="1" x14ac:dyDescent="0.25">
      <c r="A682" s="782"/>
      <c r="B682" s="1312"/>
      <c r="C682" s="486"/>
      <c r="D682" s="178"/>
      <c r="E682" s="487"/>
      <c r="F682" s="486"/>
      <c r="G682" s="478"/>
      <c r="H682" s="478"/>
      <c r="I682" s="478"/>
      <c r="J682" s="478"/>
      <c r="K682" s="486"/>
      <c r="L682" s="478"/>
      <c r="M682" s="478"/>
      <c r="N682" s="478"/>
      <c r="O682" s="1313"/>
      <c r="P682" s="485"/>
      <c r="Q682" s="485"/>
      <c r="R682" s="485"/>
      <c r="S682" s="23"/>
      <c r="T682" s="27" t="str">
        <f>IF(ISBLANK(E683),"",MATCH(E683,CNTR_SourceStreamNames,0))</f>
        <v/>
      </c>
      <c r="U682" s="609" t="str">
        <f>IF(ISBLANK(E683),"",INDEX(B_InstallationDescription!$D$71:$D$145,MATCH(E683,CNTR_SourceStreamNames,0)))</f>
        <v/>
      </c>
      <c r="V682" s="76"/>
      <c r="W682" s="56"/>
      <c r="X682" s="56"/>
      <c r="Y682" s="56"/>
      <c r="Z682" s="58"/>
      <c r="AA682" s="58"/>
      <c r="AB682" s="58"/>
      <c r="AC682" s="58"/>
      <c r="AD682" s="58"/>
      <c r="AE682" s="58"/>
      <c r="AF682" s="58"/>
      <c r="AG682" s="58"/>
      <c r="AH682" s="58"/>
      <c r="AI682" s="58"/>
      <c r="AJ682" s="58"/>
      <c r="AK682" s="482"/>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6"/>
      <c r="BI682" s="56"/>
      <c r="BJ682" s="56"/>
      <c r="BK682" s="56"/>
      <c r="BL682" s="56"/>
      <c r="BM682" s="56"/>
      <c r="BN682" s="56"/>
      <c r="BO682" s="56"/>
      <c r="BP682" s="56"/>
      <c r="BQ682" s="56"/>
      <c r="BR682" s="56"/>
      <c r="BS682" s="56"/>
      <c r="BT682" s="56"/>
      <c r="BU682" s="56"/>
      <c r="BV682" s="56"/>
      <c r="BW682" s="56"/>
      <c r="BX682" s="56"/>
      <c r="BY682" s="56"/>
      <c r="BZ682" s="484" t="s">
        <v>259</v>
      </c>
    </row>
    <row r="683" spans="1:78" s="140" customFormat="1" ht="15" customHeight="1" thickBot="1" x14ac:dyDescent="0.25">
      <c r="A683" s="1302" t="str">
        <f>IF(E683="","","PRINT")</f>
        <v/>
      </c>
      <c r="B683" s="1248"/>
      <c r="C683" s="608">
        <f>C656+1</f>
        <v>24</v>
      </c>
      <c r="D683" s="164"/>
      <c r="E683" s="1610"/>
      <c r="F683" s="1611"/>
      <c r="G683" s="1611"/>
      <c r="H683" s="1611"/>
      <c r="I683" s="1611"/>
      <c r="J683" s="1612"/>
      <c r="K683" s="1623" t="str">
        <f>IF(E684="","",INDEX(EUwideConstants!$F$353:$F$394,MATCH(E684,EUConst_TierActivityListNames,0)))</f>
        <v/>
      </c>
      <c r="L683" s="1624"/>
      <c r="M683" s="494" t="str">
        <f>Translations!$B$665</f>
        <v>CO2, iškastinio kuro kilmės:</v>
      </c>
      <c r="N683" s="1012" t="str">
        <f>IF(OR(K683="",T684=TRUE),"",INDEX(BC697:BE697,MATCH(K683,BC693:BE693,0)))</f>
        <v/>
      </c>
      <c r="O683" s="1314" t="s">
        <v>257</v>
      </c>
      <c r="P683" s="1303" t="str">
        <f>IF(AND(E683&lt;&gt;"",COUNTIF(P684:$P$2089,"PRINT")=0),"PRINT","")</f>
        <v/>
      </c>
      <c r="Q683" s="343" t="str">
        <f>EUconst_SumCO2 &amp; "_" &amp; K683</f>
        <v>SUM_CO2_</v>
      </c>
      <c r="R683" s="485"/>
      <c r="S683" s="23"/>
      <c r="T683" s="500" t="s">
        <v>387</v>
      </c>
      <c r="U683" s="23"/>
      <c r="V683" s="76"/>
      <c r="W683" s="56"/>
      <c r="X683" s="58"/>
      <c r="Y683" s="58"/>
      <c r="Z683" s="58"/>
      <c r="AA683" s="58"/>
      <c r="AB683" s="58"/>
      <c r="AC683" s="58"/>
      <c r="AD683" s="58"/>
      <c r="AE683" s="58"/>
      <c r="AF683" s="58"/>
      <c r="AG683" s="58"/>
      <c r="AH683" s="58"/>
      <c r="AI683" s="333"/>
      <c r="AJ683" s="333"/>
      <c r="AK683" s="333"/>
      <c r="AL683" s="333"/>
      <c r="AM683" s="333"/>
      <c r="AN683" s="333"/>
      <c r="AO683" s="333"/>
      <c r="AP683" s="333"/>
      <c r="AQ683" s="333"/>
      <c r="AR683" s="333"/>
      <c r="AS683" s="333"/>
      <c r="AT683" s="333"/>
      <c r="AU683" s="333"/>
      <c r="AV683" s="333"/>
      <c r="AW683" s="333"/>
      <c r="AX683" s="333"/>
      <c r="AY683" s="333"/>
      <c r="AZ683" s="333"/>
      <c r="BA683" s="333"/>
      <c r="BB683" s="333"/>
      <c r="BC683" s="333"/>
      <c r="BD683" s="333"/>
      <c r="BE683" s="333"/>
      <c r="BF683" s="333"/>
      <c r="BG683" s="333"/>
      <c r="BH683" s="834">
        <f>AR693</f>
        <v>0</v>
      </c>
      <c r="BI683" s="834" t="str">
        <f>AJ693</f>
        <v/>
      </c>
      <c r="BJ683" s="834">
        <f>AR695</f>
        <v>0</v>
      </c>
      <c r="BK683" s="834" t="str">
        <f>AJ695</f>
        <v/>
      </c>
      <c r="BL683" s="834">
        <f>AR696</f>
        <v>0</v>
      </c>
      <c r="BM683" s="834" t="str">
        <f>AJ696</f>
        <v/>
      </c>
      <c r="BN683" s="834">
        <f>AR697</f>
        <v>1</v>
      </c>
      <c r="BO683" s="834">
        <f>AR698</f>
        <v>1</v>
      </c>
      <c r="BP683" s="834">
        <f>AR699</f>
        <v>0</v>
      </c>
      <c r="BQ683" s="834" t="str">
        <f>AJ699</f>
        <v/>
      </c>
      <c r="BR683" s="834">
        <f>AR700</f>
        <v>0</v>
      </c>
      <c r="BS683" s="834">
        <f>AR701</f>
        <v>0</v>
      </c>
      <c r="BT683" s="834" t="str">
        <f>N683</f>
        <v/>
      </c>
      <c r="BU683" s="834" t="str">
        <f>N684</f>
        <v/>
      </c>
      <c r="BV683" s="834" t="str">
        <f>R686</f>
        <v/>
      </c>
      <c r="BW683" s="834" t="str">
        <f>R692</f>
        <v/>
      </c>
      <c r="BX683" s="834" t="str">
        <f>R693</f>
        <v/>
      </c>
      <c r="BY683" s="56"/>
      <c r="BZ683" s="610" t="b">
        <f>CNTR_CalcRelevant=EUconst_NotRelevant</f>
        <v>0</v>
      </c>
    </row>
    <row r="684" spans="1:78" s="140" customFormat="1" ht="15" customHeight="1" thickBot="1" x14ac:dyDescent="0.25">
      <c r="A684" s="777"/>
      <c r="B684" s="1248"/>
      <c r="C684" s="164"/>
      <c r="D684" s="164"/>
      <c r="E684" s="1625" t="str">
        <f>IF(ISBLANK(E683),"",IF(INDEX(B_InstallationDescription!$E$71:$E$145,MATCH(U682,B_InstallationDescription!$D$71:$D$145,0))&gt;0,INDEX(B_InstallationDescription!$E$71:$E$145,MATCH(U682,B_InstallationDescription!$D$71:$D$145,0)),""))</f>
        <v/>
      </c>
      <c r="F684" s="1626"/>
      <c r="G684" s="1626"/>
      <c r="H684" s="1626"/>
      <c r="I684" s="1626"/>
      <c r="J684" s="1627"/>
      <c r="M684" s="337" t="str">
        <f>Translations!$B$666</f>
        <v>CO2, biomasės kilmės.:</v>
      </c>
      <c r="N684" s="1013" t="str">
        <f>IF(OR(K683="",T684=TRUE),"",INDEX(BC696:BE696,MATCH(K683,BC693:BE693,0)))</f>
        <v/>
      </c>
      <c r="O684" s="1315" t="s">
        <v>257</v>
      </c>
      <c r="P684" s="485"/>
      <c r="Q684" s="343" t="str">
        <f>EUconst_SumBioCO2 &amp; "_" &amp; K683</f>
        <v>SUM_bioCO2_</v>
      </c>
      <c r="R684" s="485"/>
      <c r="S684" s="23"/>
      <c r="T684" s="48" t="str">
        <f>IF(E684="","",MATCH(E684,EUConst_TierActivityListNames,0)&gt;40)</f>
        <v/>
      </c>
      <c r="U684" s="23"/>
      <c r="V684" s="76"/>
      <c r="W684" s="56"/>
      <c r="X684" s="58"/>
      <c r="Y684" s="27" t="s">
        <v>91</v>
      </c>
      <c r="Z684" s="30"/>
      <c r="AA684" s="30"/>
      <c r="AB684" s="30"/>
      <c r="AC684" s="30"/>
      <c r="AD684" s="30"/>
      <c r="AE684" s="27" t="s">
        <v>297</v>
      </c>
      <c r="AF684" s="58"/>
      <c r="AG684" s="495"/>
      <c r="AH684" s="30"/>
      <c r="AI684" s="30"/>
      <c r="AJ684" s="495"/>
      <c r="AK684" s="495"/>
      <c r="AL684" s="333"/>
      <c r="AM684" s="27" t="s">
        <v>303</v>
      </c>
      <c r="AN684" s="496"/>
      <c r="AO684" s="496"/>
      <c r="AP684" s="30"/>
      <c r="AQ684" s="30"/>
      <c r="AR684" s="30"/>
      <c r="AS684" s="30"/>
      <c r="AT684" s="30"/>
      <c r="AU684" s="30"/>
      <c r="AV684" s="27" t="s">
        <v>310</v>
      </c>
      <c r="AW684" s="30"/>
      <c r="AX684" s="483"/>
      <c r="AY684" s="30"/>
      <c r="AZ684" s="30"/>
      <c r="BA684" s="30"/>
      <c r="BB684" s="27" t="s">
        <v>217</v>
      </c>
      <c r="BC684" s="30"/>
      <c r="BD684" s="30"/>
      <c r="BE684" s="30"/>
      <c r="BF684" s="30"/>
      <c r="BG684" s="27" t="s">
        <v>486</v>
      </c>
      <c r="BH684" s="833" t="s">
        <v>552</v>
      </c>
      <c r="BI684" s="833" t="s">
        <v>487</v>
      </c>
      <c r="BJ684" s="833" t="s">
        <v>211</v>
      </c>
      <c r="BK684" s="833" t="s">
        <v>488</v>
      </c>
      <c r="BL684" s="833" t="s">
        <v>68</v>
      </c>
      <c r="BM684" s="833" t="s">
        <v>489</v>
      </c>
      <c r="BN684" s="833" t="s">
        <v>490</v>
      </c>
      <c r="BO684" s="833" t="s">
        <v>491</v>
      </c>
      <c r="BP684" s="833" t="s">
        <v>214</v>
      </c>
      <c r="BQ684" s="833" t="s">
        <v>492</v>
      </c>
      <c r="BR684" s="833" t="s">
        <v>493</v>
      </c>
      <c r="BS684" s="833" t="s">
        <v>494</v>
      </c>
      <c r="BT684" s="833" t="s">
        <v>287</v>
      </c>
      <c r="BU684" s="833" t="s">
        <v>495</v>
      </c>
      <c r="BV684" s="833" t="s">
        <v>498</v>
      </c>
      <c r="BW684" s="833" t="s">
        <v>496</v>
      </c>
      <c r="BX684" s="833" t="s">
        <v>497</v>
      </c>
      <c r="BY684" s="30"/>
      <c r="BZ684" s="30"/>
    </row>
    <row r="685" spans="1:78" s="140" customFormat="1" ht="5.0999999999999996" customHeight="1" thickBot="1" x14ac:dyDescent="0.25">
      <c r="A685" s="777"/>
      <c r="B685" s="1248"/>
      <c r="C685" s="164"/>
      <c r="D685" s="164"/>
      <c r="E685" s="164"/>
      <c r="F685" s="164"/>
      <c r="G685" s="164"/>
      <c r="M685" s="141"/>
      <c r="N685" s="141"/>
      <c r="O685" s="1305"/>
      <c r="P685" s="33"/>
      <c r="Q685" s="33"/>
      <c r="R685" s="33"/>
      <c r="S685" s="23"/>
      <c r="T685" s="23"/>
      <c r="U685" s="23"/>
      <c r="V685" s="76"/>
      <c r="W685" s="30"/>
      <c r="X685" s="30"/>
      <c r="Y685" s="485"/>
      <c r="Z685" s="30"/>
      <c r="AA685" s="30"/>
      <c r="AB685" s="30"/>
      <c r="AC685" s="30"/>
      <c r="AD685" s="30"/>
      <c r="AE685" s="30"/>
      <c r="AF685" s="58"/>
      <c r="AG685" s="30"/>
      <c r="AH685" s="30"/>
      <c r="AI685" s="30"/>
      <c r="AJ685" s="495"/>
      <c r="AK685" s="495"/>
      <c r="AL685" s="333"/>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row>
    <row r="686" spans="1:78" s="140" customFormat="1" ht="12.75" customHeight="1" thickBot="1" x14ac:dyDescent="0.25">
      <c r="A686" s="777"/>
      <c r="B686" s="1248"/>
      <c r="C686" s="164"/>
      <c r="D686" s="164"/>
      <c r="E686" s="1628" t="str">
        <f>IF(E683="","",IF(T684=TRUE,HYPERLINK("#JUMP_14",EUconst_MsgGoOnPFC),HYPERLINK("#JUMP_E_8",EUconst_FurtherGuidancePoint1)))</f>
        <v/>
      </c>
      <c r="F686" s="1628"/>
      <c r="G686" s="1628"/>
      <c r="H686" s="1628"/>
      <c r="I686" s="1628"/>
      <c r="J686" s="1628"/>
      <c r="K686" s="1628"/>
      <c r="L686" s="1628"/>
      <c r="M686" s="1628"/>
      <c r="N686" s="141"/>
      <c r="O686" s="1305"/>
      <c r="P686" s="33"/>
      <c r="Q686" s="343" t="str">
        <f>EUconst_SumNonSustBioCO2 &amp; "_" &amp; K683</f>
        <v>SUM_bioNonSustCO2_</v>
      </c>
      <c r="R686" s="698" t="str">
        <f>IF(OR(K683="",T684=TRUE),"",ROUND(INDEX(BC695:BE695,MATCH(K683,BC693:BE693,0)),0))</f>
        <v/>
      </c>
      <c r="S686" s="23"/>
      <c r="T686" s="23"/>
      <c r="U686" s="23"/>
      <c r="V686" s="30"/>
      <c r="W686" s="30"/>
      <c r="X686" s="30"/>
      <c r="Y686" s="58"/>
      <c r="Z686" s="30"/>
      <c r="AA686" s="30"/>
      <c r="AB686" s="30"/>
      <c r="AC686" s="30"/>
      <c r="AD686" s="30"/>
      <c r="AE686" s="30"/>
      <c r="AF686" s="58"/>
      <c r="AG686" s="30"/>
      <c r="AH686" s="30"/>
      <c r="AI686" s="30"/>
      <c r="AJ686" s="495"/>
      <c r="AK686" s="495"/>
      <c r="AL686" s="333"/>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row>
    <row r="687" spans="1:78" s="140" customFormat="1" ht="5.0999999999999996" customHeight="1" thickBot="1" x14ac:dyDescent="0.25">
      <c r="A687" s="777"/>
      <c r="B687" s="1248"/>
      <c r="C687" s="164"/>
      <c r="D687" s="164"/>
      <c r="E687" s="164"/>
      <c r="F687" s="164"/>
      <c r="G687" s="164"/>
      <c r="M687" s="141"/>
      <c r="N687" s="141"/>
      <c r="O687" s="1305"/>
      <c r="P687" s="23"/>
      <c r="Q687" s="23"/>
      <c r="R687" s="23"/>
      <c r="S687" s="23"/>
      <c r="T687" s="23"/>
      <c r="U687" s="23"/>
      <c r="V687" s="30"/>
      <c r="W687" s="30"/>
      <c r="X687" s="30"/>
      <c r="Y687" s="485"/>
      <c r="Z687" s="30"/>
      <c r="AA687" s="30"/>
      <c r="AB687" s="30"/>
      <c r="AC687" s="30"/>
      <c r="AD687" s="30"/>
      <c r="AE687" s="30"/>
      <c r="AF687" s="58"/>
      <c r="AG687" s="30"/>
      <c r="AH687" s="30"/>
      <c r="AI687" s="30"/>
      <c r="AJ687" s="495"/>
      <c r="AK687" s="495"/>
      <c r="AL687" s="333"/>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row>
    <row r="688" spans="1:78" s="140" customFormat="1" ht="12.75" customHeight="1" thickBot="1" x14ac:dyDescent="0.25">
      <c r="A688" s="777"/>
      <c r="B688" s="1248"/>
      <c r="C688" s="783" t="s">
        <v>4</v>
      </c>
      <c r="D688" s="503" t="str">
        <f>Translations!$B$622</f>
        <v>VD:</v>
      </c>
      <c r="E688" s="1631" t="str">
        <f>Translations!$B$667</f>
        <v>Ar veiklos duomenys gaunami sudedant išmatuotus kiekius (t. y. ne atliekant nuolatinius matavimus)?</v>
      </c>
      <c r="F688" s="1631"/>
      <c r="G688" s="1631"/>
      <c r="H688" s="1631"/>
      <c r="I688" s="1631"/>
      <c r="J688" s="1631"/>
      <c r="K688" s="1631"/>
      <c r="L688" s="1122"/>
      <c r="M688" s="498"/>
      <c r="O688" s="1305"/>
      <c r="P688" s="23"/>
      <c r="Q688" s="23"/>
      <c r="R688" s="23"/>
      <c r="S688" s="23"/>
      <c r="T688" s="23"/>
      <c r="U688" s="23"/>
      <c r="V688" s="30"/>
      <c r="W688" s="30"/>
      <c r="X688" s="30"/>
      <c r="Y688" s="485"/>
      <c r="Z688" s="30"/>
      <c r="AA688" s="30"/>
      <c r="AB688" s="30"/>
      <c r="AC688" s="1115" t="b">
        <f>AND(E683&lt;&gt;"",T684&lt;&gt;TRUE)</f>
        <v>0</v>
      </c>
      <c r="AD688" s="30"/>
      <c r="AE688" s="30"/>
      <c r="AF688" s="58"/>
      <c r="AG688" s="30"/>
      <c r="AH688" s="30"/>
      <c r="AI688" s="30"/>
      <c r="AJ688" s="495"/>
      <c r="AK688" s="495"/>
      <c r="AL688" s="333"/>
      <c r="AM688" s="30"/>
      <c r="AN688" s="30"/>
      <c r="AO688" s="30"/>
      <c r="AP688" s="30"/>
      <c r="AQ688" s="30"/>
      <c r="AR688" s="30"/>
      <c r="AS688" s="30"/>
      <c r="AT688" s="1115" t="b">
        <f>MSPara_BatchReportingMandatory&lt;&gt;TRUE</f>
        <v>0</v>
      </c>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1115" t="b">
        <f>OR(CNTR_CalcRelevant=EUconst_NotRelevant,AND(COUNTA(CNTR_ListRelevantSections)&gt;0,OR(T684=TRUE,E683="")))</f>
        <v>1</v>
      </c>
    </row>
    <row r="689" spans="1:78" s="140" customFormat="1" ht="5.0999999999999996" customHeight="1" thickBot="1" x14ac:dyDescent="0.25">
      <c r="A689" s="777"/>
      <c r="B689" s="1248"/>
      <c r="C689" s="164"/>
      <c r="D689" s="164"/>
      <c r="E689" s="164"/>
      <c r="F689" s="164"/>
      <c r="G689" s="164"/>
      <c r="H689" s="486"/>
      <c r="I689" s="486"/>
      <c r="J689" s="486"/>
      <c r="K689" s="486"/>
      <c r="L689" s="486"/>
      <c r="M689" s="498"/>
      <c r="O689" s="1305"/>
      <c r="P689" s="23"/>
      <c r="Q689" s="23"/>
      <c r="R689" s="23"/>
      <c r="S689" s="23"/>
      <c r="T689" s="23"/>
      <c r="U689" s="23"/>
      <c r="V689" s="30"/>
      <c r="W689" s="30"/>
      <c r="X689" s="30"/>
      <c r="Y689" s="485"/>
      <c r="Z689" s="30"/>
      <c r="AA689" s="30"/>
      <c r="AB689" s="30"/>
      <c r="AC689" s="483"/>
      <c r="AD689" s="30"/>
      <c r="AE689" s="30"/>
      <c r="AF689" s="58"/>
      <c r="AG689" s="30"/>
      <c r="AH689" s="30"/>
      <c r="AI689" s="30"/>
      <c r="AJ689" s="495"/>
      <c r="AK689" s="495"/>
      <c r="AL689" s="333"/>
      <c r="AM689" s="30"/>
      <c r="AN689" s="30"/>
      <c r="AO689" s="30"/>
      <c r="AP689" s="30"/>
      <c r="AQ689" s="30"/>
      <c r="AR689" s="30"/>
      <c r="AS689" s="30"/>
      <c r="AT689" s="483"/>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483"/>
    </row>
    <row r="690" spans="1:78" s="140" customFormat="1" ht="12.75" customHeight="1" thickBot="1" x14ac:dyDescent="0.25">
      <c r="A690" s="777"/>
      <c r="B690" s="1248"/>
      <c r="C690" s="783" t="s">
        <v>5</v>
      </c>
      <c r="D690" s="503" t="str">
        <f>Translations!$B$622</f>
        <v>VD:</v>
      </c>
      <c r="E690" s="1105" t="str">
        <f>Translations!$B$668</f>
        <v>Pradinis kiekis:</v>
      </c>
      <c r="F690" s="1123"/>
      <c r="G690" s="1106" t="str">
        <f>Translations!$B$669</f>
        <v>Galutinis kiekis:</v>
      </c>
      <c r="H690" s="1123"/>
      <c r="I690" s="1106" t="str">
        <f>Translations!$B$670</f>
        <v>Įsigytas kiekis:</v>
      </c>
      <c r="J690" s="1123"/>
      <c r="K690" s="1106" t="str">
        <f>Translations!$B$671</f>
        <v>Perduotas kiekis:</v>
      </c>
      <c r="L690" s="1123"/>
      <c r="M690" s="1107" t="str">
        <f>IF(AND(L688=TRUE,COUNT(F690,H690,J690,L690)&lt;4),EUconst_ERR_Incomplete,"")</f>
        <v/>
      </c>
      <c r="O690" s="1305"/>
      <c r="P690" s="23"/>
      <c r="Q690" s="23"/>
      <c r="R690" s="23"/>
      <c r="S690" s="23"/>
      <c r="T690" s="23"/>
      <c r="U690" s="23"/>
      <c r="V690" s="30"/>
      <c r="W690" s="30"/>
      <c r="X690" s="30"/>
      <c r="Y690" s="485"/>
      <c r="Z690" s="30"/>
      <c r="AA690" s="30"/>
      <c r="AB690" s="30"/>
      <c r="AC690" s="1115" t="b">
        <f>AC688</f>
        <v>0</v>
      </c>
      <c r="AD690" s="30"/>
      <c r="AE690" s="30"/>
      <c r="AF690" s="58"/>
      <c r="AG690" s="30"/>
      <c r="AH690" s="30"/>
      <c r="AI690" s="30"/>
      <c r="AJ690" s="495"/>
      <c r="AK690" s="495"/>
      <c r="AL690" s="333"/>
      <c r="AM690" s="30"/>
      <c r="AN690" s="30"/>
      <c r="AO690" s="30"/>
      <c r="AP690" s="30"/>
      <c r="AQ690" s="30"/>
      <c r="AR690" s="30"/>
      <c r="AS690" s="30"/>
      <c r="AT690" s="1115" t="b">
        <f>AND(AT688=TRUE,L688="")</f>
        <v>0</v>
      </c>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1115" t="b">
        <f>OR(BZ688,AND(NOT(ISBLANK(L688)),L688=FALSE))</f>
        <v>1</v>
      </c>
    </row>
    <row r="691" spans="1:78" s="140" customFormat="1" ht="5.0999999999999996" customHeight="1" thickBot="1" x14ac:dyDescent="0.25">
      <c r="A691" s="777"/>
      <c r="B691" s="1248"/>
      <c r="C691" s="164"/>
      <c r="D691" s="164"/>
      <c r="E691" s="164"/>
      <c r="F691" s="164"/>
      <c r="G691" s="164"/>
      <c r="M691" s="141"/>
      <c r="N691" s="141"/>
      <c r="O691" s="1305"/>
      <c r="P691" s="23"/>
      <c r="Q691" s="23"/>
      <c r="R691" s="23"/>
      <c r="S691" s="23"/>
      <c r="T691" s="23"/>
      <c r="U691" s="23"/>
      <c r="V691" s="30"/>
      <c r="W691" s="30"/>
      <c r="X691" s="30"/>
      <c r="Y691" s="485"/>
      <c r="Z691" s="30"/>
      <c r="AA691" s="30"/>
      <c r="AB691" s="30"/>
      <c r="AC691" s="30"/>
      <c r="AD691" s="30"/>
      <c r="AE691" s="30"/>
      <c r="AF691" s="58"/>
      <c r="AG691" s="30"/>
      <c r="AH691" s="30"/>
      <c r="AI691" s="30"/>
      <c r="AJ691" s="495"/>
      <c r="AK691" s="495"/>
      <c r="AL691" s="333"/>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row>
    <row r="692" spans="1:78" s="140" customFormat="1" ht="12.75" customHeight="1" thickBot="1" x14ac:dyDescent="0.25">
      <c r="A692" s="777"/>
      <c r="B692" s="1248"/>
      <c r="C692" s="164"/>
      <c r="D692" s="164"/>
      <c r="E692" s="164"/>
      <c r="F692" s="497" t="str">
        <f>Translations!$B$333</f>
        <v>Pakopa</v>
      </c>
      <c r="G692" s="1613" t="str">
        <f>Translations!$B$672</f>
        <v>pakopos aprašas</v>
      </c>
      <c r="H692" s="1613"/>
      <c r="I692" s="1608" t="str">
        <f>Translations!$B$158</f>
        <v>Vienetas</v>
      </c>
      <c r="J692" s="1608"/>
      <c r="K692" s="1608" t="str">
        <f>Translations!$B$673</f>
        <v>Vertė</v>
      </c>
      <c r="L692" s="1608"/>
      <c r="M692" s="498" t="str">
        <f>Translations!$B$610</f>
        <v>klaida</v>
      </c>
      <c r="O692" s="1305"/>
      <c r="P692" s="499"/>
      <c r="Q692" s="343" t="str">
        <f>EUconst_SumEnergyIN &amp; "_" &amp; K683</f>
        <v>SUM_EnergyIN_</v>
      </c>
      <c r="R692" s="390" t="str">
        <f>IF(OR(K683="",T684)=TRUE,"",INDEX(BC698:BE698,MATCH(K683,BC693:BE693,0)))</f>
        <v/>
      </c>
      <c r="S692" s="30"/>
      <c r="T692" s="480"/>
      <c r="U692" s="30"/>
      <c r="V692" s="500" t="s">
        <v>298</v>
      </c>
      <c r="W692" s="30"/>
      <c r="X692" s="30"/>
      <c r="Y692" s="485" t="s">
        <v>560</v>
      </c>
      <c r="Z692" s="485" t="s">
        <v>313</v>
      </c>
      <c r="AA692" s="30"/>
      <c r="AB692" s="30"/>
      <c r="AC692" s="496" t="s">
        <v>304</v>
      </c>
      <c r="AD692" s="30"/>
      <c r="AE692" s="30"/>
      <c r="AF692" s="483" t="s">
        <v>300</v>
      </c>
      <c r="AG692" s="483" t="s">
        <v>301</v>
      </c>
      <c r="AH692" s="485" t="s">
        <v>299</v>
      </c>
      <c r="AI692" s="495" t="s">
        <v>302</v>
      </c>
      <c r="AJ692" s="495" t="s">
        <v>561</v>
      </c>
      <c r="AK692" s="501" t="s">
        <v>306</v>
      </c>
      <c r="AL692" s="333"/>
      <c r="AM692" s="30"/>
      <c r="AN692" s="483" t="s">
        <v>300</v>
      </c>
      <c r="AO692" s="483" t="s">
        <v>301</v>
      </c>
      <c r="AP692" s="502" t="s">
        <v>305</v>
      </c>
      <c r="AQ692" s="495" t="s">
        <v>563</v>
      </c>
      <c r="AR692" s="495" t="s">
        <v>562</v>
      </c>
      <c r="AS692" s="501" t="s">
        <v>599</v>
      </c>
      <c r="AT692" s="501" t="s">
        <v>599</v>
      </c>
      <c r="AU692" s="30"/>
      <c r="AV692" s="483"/>
      <c r="AW692" s="483"/>
      <c r="AX692" s="483" t="s">
        <v>316</v>
      </c>
      <c r="AY692" s="483"/>
      <c r="AZ692" s="483"/>
      <c r="BA692" s="483"/>
      <c r="BB692" s="483"/>
      <c r="BC692" s="483"/>
      <c r="BD692" s="483"/>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484" t="s">
        <v>259</v>
      </c>
    </row>
    <row r="693" spans="1:78" s="140" customFormat="1" ht="12.75" customHeight="1" thickBot="1" x14ac:dyDescent="0.25">
      <c r="A693" s="777"/>
      <c r="B693" s="1248"/>
      <c r="C693" s="753" t="s">
        <v>194</v>
      </c>
      <c r="D693" s="503" t="str">
        <f>Translations!$B$622</f>
        <v>VD:</v>
      </c>
      <c r="E693" s="504"/>
      <c r="F693" s="393"/>
      <c r="G693" s="1603" t="str">
        <f>IF(OR(ISBLANK(F693),F693=EUconst_NoTier),"",IF(Z693=0,EUconst_NA,IF(ISERROR(Z693),"",Z693)))</f>
        <v/>
      </c>
      <c r="H693" s="1604"/>
      <c r="I693" s="1108" t="str">
        <f>IF(J693&lt;&gt;"","",AI693)</f>
        <v/>
      </c>
      <c r="J693" s="1109"/>
      <c r="K693" s="1116" t="str">
        <f>IF(L693="",AQ693,"")</f>
        <v/>
      </c>
      <c r="L693" s="1199"/>
      <c r="M693" s="700" t="str">
        <f>IF(AND(E684&lt;&gt;"",OR(F693="",COUNT(K693:L693)=0),Y693&lt;&gt;EUconst_NA,T684&lt;&gt;TRUE),EUconst_ERR_Incomplete,IF(COUNTIF(AX693:AZ693,TRUE)&gt;0,EUconst_ERR_Inconsistent,""))</f>
        <v/>
      </c>
      <c r="O693" s="1305"/>
      <c r="P693" s="635"/>
      <c r="Q693" s="343" t="str">
        <f>EUconst_SumBioEnergyIN &amp; "_" &amp; K683</f>
        <v>SUM_BioEnergyIN_</v>
      </c>
      <c r="R693" s="390" t="str">
        <f>IF(OR(K683="",T684)=TRUE,"",INDEX(BC699:BE699,MATCH(K683,BC693:BE693,0)))</f>
        <v/>
      </c>
      <c r="S693" s="30"/>
      <c r="T693" s="505" t="str">
        <f>EUconst_CNTR_ActivityData&amp;E684</f>
        <v>ActivityData_</v>
      </c>
      <c r="U693" s="488"/>
      <c r="V693" s="505" t="str">
        <f>IF(E683="","",INDEX(B_InstallationDescription!$I$71:$I$145,MATCH(U682,B_InstallationDescription!$D$71:$D$145,0)))</f>
        <v/>
      </c>
      <c r="W693" s="495" t="s">
        <v>533</v>
      </c>
      <c r="X693" s="488"/>
      <c r="Y693" s="506" t="str">
        <f>IF(OR(T684=TRUE,E684=""),"",INDEX(EUwideConstants!$N:$N,MATCH(T693,EUwideConstants!$Q:$Q,0)))</f>
        <v/>
      </c>
      <c r="Z693" s="507" t="str">
        <f>IF(ISBLANK(F693),"",IF(F693=EUconst_NA,"",INDEX(EUwideConstants!$H:$M,MATCH(T693,EUwideConstants!$Q:$Q,0),MATCH(F693,CNTR_TierList,0))))</f>
        <v/>
      </c>
      <c r="AA693" s="508" t="s">
        <v>299</v>
      </c>
      <c r="AB693" s="495"/>
      <c r="AC693" s="509" t="b">
        <f>AC688</f>
        <v>0</v>
      </c>
      <c r="AD693" s="30"/>
      <c r="AE693" s="510" t="str">
        <f>EUconst_CNTR_ActivityData&amp;EUconst_Unit</f>
        <v>ActivityData_Vienetas</v>
      </c>
      <c r="AF693" s="511" t="str">
        <f>IF(AC693=TRUE, IF(COUNTIF(MSPara_SourceStreamCategory,V693)=0,"",INDEX(MSPara_CalcFactorsMatrix,MATCH(V693,MSPara_SourceStreamCategory,0),MATCH(AE693&amp;"_"&amp;2,MSPara_CalcFactors,0))),"")</f>
        <v/>
      </c>
      <c r="AG693" s="512" t="str">
        <f>IF(AC693=TRUE, IF(COUNTIF(MSPara_SourceStreamCategory,V693)=0,"",INDEX(MSPara_CalcFactorsMatrix,MATCH(V693,MSPara_SourceStreamCategory,0),MATCH(AE693&amp;"_"&amp;1,MSPara_CalcFactors,0))),"")</f>
        <v/>
      </c>
      <c r="AH693" s="509" t="str">
        <f>IF(OR(AF693="",AF693=EUconst_NA),IF(OR(AG693=EUconst_NA,AG693=""),"",AG693),AF693)</f>
        <v/>
      </c>
      <c r="AI693" s="506" t="str">
        <f>IF(AC693=TRUE,IF(AH693="",EUconst_t,AH693),"")</f>
        <v/>
      </c>
      <c r="AJ693" s="513" t="str">
        <f>IF(J693="",AI693,J693)</f>
        <v/>
      </c>
      <c r="AK693" s="514" t="b">
        <f>IF(K683=EUconst_Fuel,J693&lt;&gt;"",FALSE)</f>
        <v>0</v>
      </c>
      <c r="AL693" s="333"/>
      <c r="AM693" s="505" t="str">
        <f>EUconst_CNTR_ActivityData&amp;EUconst_Value</f>
        <v>ActivityData_Vertė</v>
      </c>
      <c r="AN693" s="496"/>
      <c r="AO693" s="496"/>
      <c r="AP693" s="509" t="b">
        <f>AND(AND(AH693&lt;&gt;"",AJ693&lt;&gt;""),AJ693=AH693)</f>
        <v>0</v>
      </c>
      <c r="AQ693" s="610" t="str">
        <f>IF(L688=TRUE,SUM(F690)-SUM(H690)+SUM(J690)-SUM(L690),"")</f>
        <v/>
      </c>
      <c r="AR693" s="509">
        <f>IF(Y693=EUconst_NA,0,IF(COUNT(K693:L693)=0,0,IF(L693="",K693,L693)))</f>
        <v>0</v>
      </c>
      <c r="AS693" s="1115" t="b">
        <f>AND(AC693=TRUE,OR(L693&lt;&gt;"",AQ693=""))</f>
        <v>0</v>
      </c>
      <c r="AT693" s="1115" t="b">
        <f>AND(AC693=TRUE,NOT(AS693))</f>
        <v>0</v>
      </c>
      <c r="AU693" s="30"/>
      <c r="AV693" s="483" t="s">
        <v>309</v>
      </c>
      <c r="AW693" s="483" t="s">
        <v>314</v>
      </c>
      <c r="AX693" s="515"/>
      <c r="AY693" s="30" t="s">
        <v>536</v>
      </c>
      <c r="AZ693" s="30"/>
      <c r="BA693" s="30"/>
      <c r="BB693" s="495"/>
      <c r="BC693" s="484" t="str">
        <f>EUconst_Fuel</f>
        <v>Degimas</v>
      </c>
      <c r="BD693" s="484" t="str">
        <f>EUconst_ProcessCarbonate</f>
        <v>Proceso metu išsiskiriančios ŠESD</v>
      </c>
      <c r="BE693" s="484" t="str">
        <f>EUconst_MassBalance</f>
        <v>Masės balansas</v>
      </c>
      <c r="BF693" s="30"/>
      <c r="BG693" s="30"/>
      <c r="BH693" s="30"/>
      <c r="BI693" s="30"/>
      <c r="BJ693" s="30"/>
      <c r="BK693" s="30"/>
      <c r="BL693" s="30"/>
      <c r="BM693" s="30"/>
      <c r="BN693" s="30"/>
      <c r="BO693" s="30"/>
      <c r="BP693" s="30"/>
      <c r="BQ693" s="30"/>
      <c r="BR693" s="30"/>
      <c r="BS693" s="30"/>
      <c r="BT693" s="30"/>
      <c r="BU693" s="30"/>
      <c r="BV693" s="30"/>
      <c r="BW693" s="30"/>
      <c r="BX693" s="30"/>
      <c r="BY693" s="30"/>
      <c r="BZ693" s="515" t="b">
        <f>BZ688</f>
        <v>1</v>
      </c>
    </row>
    <row r="694" spans="1:78" s="140" customFormat="1" ht="5.0999999999999996" customHeight="1" thickBot="1" x14ac:dyDescent="0.25">
      <c r="A694" s="777"/>
      <c r="B694" s="1248"/>
      <c r="C694" s="783"/>
      <c r="D694" s="298"/>
      <c r="F694" s="141"/>
      <c r="G694" s="141"/>
      <c r="H694" s="141" t="s">
        <v>233</v>
      </c>
      <c r="I694" s="516"/>
      <c r="J694" s="516"/>
      <c r="K694" s="141"/>
      <c r="L694" s="141"/>
      <c r="M694" s="701"/>
      <c r="O694" s="1305"/>
      <c r="P694" s="33"/>
      <c r="Q694" s="33"/>
      <c r="R694" s="33"/>
      <c r="S694" s="30"/>
      <c r="T694" s="153"/>
      <c r="U694" s="488"/>
      <c r="V694" s="30"/>
      <c r="W694" s="30"/>
      <c r="X694" s="488"/>
      <c r="Y694" s="517"/>
      <c r="Z694" s="30"/>
      <c r="AA694" s="30"/>
      <c r="AB694" s="30"/>
      <c r="AC694" s="30"/>
      <c r="AD694" s="30"/>
      <c r="AE694" s="30"/>
      <c r="AF694" s="30"/>
      <c r="AG694" s="30"/>
      <c r="AH694" s="30"/>
      <c r="AI694" s="30"/>
      <c r="AJ694" s="30"/>
      <c r="AK694" s="30"/>
      <c r="AL694" s="333"/>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484"/>
    </row>
    <row r="695" spans="1:78" s="140" customFormat="1" ht="12.75" customHeight="1" thickBot="1" x14ac:dyDescent="0.25">
      <c r="A695" s="777"/>
      <c r="B695" s="1248"/>
      <c r="C695" s="783" t="s">
        <v>195</v>
      </c>
      <c r="D695" s="503" t="str">
        <f>Translations!$B$634</f>
        <v>(prelim.) ITF:</v>
      </c>
      <c r="E695" s="504"/>
      <c r="F695" s="518"/>
      <c r="G695" s="1603" t="str">
        <f t="shared" ref="G695:G701" si="161">IF(OR(ISBLANK(F695),F695=EUconst_NoTier),"",IF(Z695=0,EUconst_NotApplicable,IF(ISERROR(Z695),"",Z695)))</f>
        <v/>
      </c>
      <c r="H695" s="1609"/>
      <c r="I695" s="1110" t="str">
        <f>IF(J695&lt;&gt;"","",AI695)</f>
        <v/>
      </c>
      <c r="J695" s="1111"/>
      <c r="K695" s="519" t="str">
        <f t="shared" ref="K695:K701" si="162">IF(L695="",AQ695,"")</f>
        <v/>
      </c>
      <c r="L695" s="520"/>
      <c r="M695" s="700" t="str">
        <f>IF(AND(E684&lt;&gt;"",OR(F695="",COUNT(K695:L695)=0),Y695&lt;&gt;EUconst_NA,T684&lt;&gt;TRUE),EUconst_ERR_Incomplete,IF(COUNTIF(AX695:AZ695,TRUE)&gt;0,EUconst_ERR_Inconsistent,""))</f>
        <v/>
      </c>
      <c r="N695" s="486"/>
      <c r="O695" s="1305"/>
      <c r="P695" s="33"/>
      <c r="Q695" s="33"/>
      <c r="R695" s="33"/>
      <c r="S695" s="30"/>
      <c r="T695" s="521" t="str">
        <f>EUconst_CNTR_EF&amp;E684</f>
        <v>EF_</v>
      </c>
      <c r="U695" s="488"/>
      <c r="V695" s="522" t="str">
        <f>V693</f>
        <v/>
      </c>
      <c r="W695" s="30"/>
      <c r="X695" s="488"/>
      <c r="Y695" s="523" t="str">
        <f>IF(OR(T684=TRUE,E684=""),"",IF(F695=EUconst_NA,EUconst_NA,INDEX(EUwideConstants!$N:$N,MATCH(T695,EUwideConstants!$Q:$Q,0))))</f>
        <v/>
      </c>
      <c r="Z695" s="524" t="str">
        <f>IF(ISBLANK(F695),"",IF(F695=EUconst_NA,"",INDEX(EUwideConstants!$H:$M,MATCH(T695,EUwideConstants!$Q:$Q,0),MATCH(F695,CNTR_TierList,0))))</f>
        <v/>
      </c>
      <c r="AA695" s="525" t="str">
        <f>IF(COUNTIF(EUconst_DefaultValues,Z695)&gt;0,MATCH(Z695,EUconst_DefaultValues,0),"")</f>
        <v/>
      </c>
      <c r="AB695" s="30"/>
      <c r="AC695" s="526" t="b">
        <f>AND(AC693,Y695&lt;&gt;EUconst_NA)</f>
        <v>0</v>
      </c>
      <c r="AD695" s="30"/>
      <c r="AE695" s="510" t="str">
        <f>EUconst_CNTR_EF&amp;EUconst_Unit</f>
        <v>EF_Vienetas</v>
      </c>
      <c r="AF695" s="527" t="str">
        <f>IF(AC695=TRUE, IF(COUNTIF(MSPara_SourceStreamCategory,V695)=0,"",INDEX(MSPara_CalcFactorsMatrix,MATCH(V695,MSPara_SourceStreamCategory,0),MATCH(AE695&amp;"_"&amp;2,MSPara_CalcFactors,0))),"")</f>
        <v/>
      </c>
      <c r="AG695" s="528" t="str">
        <f>IF(AC695=TRUE, IF(COUNTIF(MSPara_SourceStreamCategory,V695)=0,"",INDEX(MSPara_CalcFactorsMatrix,MATCH(V695,MSPara_SourceStreamCategory,0),MATCH(AE695&amp;"_"&amp;1,MSPara_CalcFactors,0))),"")</f>
        <v/>
      </c>
      <c r="AH695" s="529" t="str">
        <f>IF(AA695="","",INDEX(AF695:AG695,3-AA695))</f>
        <v/>
      </c>
      <c r="AI695" s="530" t="str">
        <f>IF(AC695=TRUE,IF(OR(AH695="",AH695=EUconst_NA),IF(K683=EUconst_Fuel,EUconst_tCO2pTJ,EUconst_tCO2pt),AH695),"")</f>
        <v/>
      </c>
      <c r="AJ695" s="526" t="str">
        <f>IF(J695="",AI695,J695)</f>
        <v/>
      </c>
      <c r="AK695" s="531" t="b">
        <f>IF(K683=EUconst_Fuel,J695&lt;&gt;"",FALSE)</f>
        <v>0</v>
      </c>
      <c r="AL695" s="333"/>
      <c r="AM695" s="510" t="str">
        <f>EUconst_CNTR_EF&amp;EUconst_Value</f>
        <v>EF_Vertė</v>
      </c>
      <c r="AN695" s="532" t="str">
        <f>IF(AC695=TRUE,IF(COUNTIF(MSPara_SourceStreamCategory,V695)=0,"",INDEX(MSPara_CalcFactorsMatrix,MATCH(V695,MSPara_SourceStreamCategory,0),MATCH(AM695&amp;"_"&amp;2,MSPara_CalcFactors,0))),"")</f>
        <v/>
      </c>
      <c r="AO695" s="533" t="str">
        <f>IF(AC695=TRUE,IF(COUNTIF(MSPara_SourceStreamCategory,V695)=0,"",INDEX(MSPara_CalcFactorsMatrix,MATCH(V695,MSPara_SourceStreamCategory,0),MATCH(AM695&amp;"_"&amp;1,MSPara_CalcFactors,0))),"")</f>
        <v/>
      </c>
      <c r="AP695" s="526" t="b">
        <f>AND(AND(AH695&lt;&gt;"",AJ695&lt;&gt;""),AJ695=AH695)</f>
        <v>0</v>
      </c>
      <c r="AQ695" s="534" t="str">
        <f>IF(AND(AA695&lt;&gt;"",AP695=TRUE),IF(OR(INDEX(AN695:AO695,3-AA695)=EUconst_NA,INDEX(AN695:AO695,3-AA695)=0),"",INDEX(AN695:AO695,3-AA695)),"")</f>
        <v/>
      </c>
      <c r="AR695" s="526">
        <f>IF(AC695=TRUE,IF(COUNT(K695:L695)=0,0,IF(L695="",K695,L695)),0)</f>
        <v>0</v>
      </c>
      <c r="AS695" s="522" t="b">
        <f>AND(AC695=TRUE,OR(AND(F695&lt;&gt;"",NOT(ISNUMBER(AA695))),L695&lt;&gt;"",F695="",AQ695=""))</f>
        <v>0</v>
      </c>
      <c r="AT695" s="522" t="b">
        <f t="shared" ref="AT695:AT701" si="163">AND(AC695=TRUE,NOT(AS695))</f>
        <v>0</v>
      </c>
      <c r="AU695" s="30"/>
      <c r="AV695" s="535" t="b">
        <f t="shared" ref="AV695:AV701" si="164">AND(ISNUMBER(AA695),AQ695="")</f>
        <v>0</v>
      </c>
      <c r="AW695" s="536" t="b">
        <f t="shared" ref="AW695:AW701" si="165">AND(ISNUMBER(AA695),AQ695&lt;&gt;AR695)</f>
        <v>0</v>
      </c>
      <c r="AX695" s="537" t="b">
        <f>OR(AND(AJ693=EUconst_kNm3,AJ695=EUconst_tCO2pt),AND(AJ693=EUconst_t,AJ695=EUconst_tCO2pkNm3))</f>
        <v>0</v>
      </c>
      <c r="AY695" s="522" t="b">
        <f t="shared" ref="AY695:AY701" si="166">AND(L695&lt;&gt;"",Y695=EUconst_NA)</f>
        <v>0</v>
      </c>
      <c r="AZ695" s="30"/>
      <c r="BA695" s="30"/>
      <c r="BB695" s="538" t="s">
        <v>588</v>
      </c>
      <c r="BC695" s="537" t="str">
        <f>IF(K683=BC693,AR693*IF(AJ695=EUconst_tCO2pTJ,(AR696/1000),1)*AR695*AR697*AR701,"")</f>
        <v/>
      </c>
      <c r="BD695" s="515" t="str">
        <f>IF(K683=BD693,AR693*AR695*AR698*AR701,"")</f>
        <v/>
      </c>
      <c r="BE695" s="514" t="str">
        <f>IF(K683=BE693,3.664*AR693*AR699*AR701,"")</f>
        <v/>
      </c>
      <c r="BF695" s="30"/>
      <c r="BG695" s="30"/>
      <c r="BH695" s="30"/>
      <c r="BI695" s="30"/>
      <c r="BJ695" s="30"/>
      <c r="BK695" s="30"/>
      <c r="BL695" s="30"/>
      <c r="BM695" s="30"/>
      <c r="BN695" s="30"/>
      <c r="BO695" s="30"/>
      <c r="BP695" s="30"/>
      <c r="BQ695" s="30"/>
      <c r="BR695" s="30"/>
      <c r="BS695" s="30"/>
      <c r="BT695" s="30"/>
      <c r="BU695" s="30"/>
      <c r="BV695" s="30"/>
      <c r="BW695" s="30"/>
      <c r="BX695" s="30"/>
      <c r="BY695" s="30"/>
      <c r="BZ695" s="522" t="b">
        <f>OR(BZ693,Y695=EUconst_NA)</f>
        <v>1</v>
      </c>
    </row>
    <row r="696" spans="1:78" s="140" customFormat="1" ht="12.75" customHeight="1" thickBot="1" x14ac:dyDescent="0.25">
      <c r="A696" s="777"/>
      <c r="B696" s="1248"/>
      <c r="C696" s="783" t="s">
        <v>196</v>
      </c>
      <c r="D696" s="503" t="str">
        <f>Translations!$B$636</f>
        <v>GŠV:</v>
      </c>
      <c r="E696" s="504"/>
      <c r="F696" s="539"/>
      <c r="G696" s="1603" t="str">
        <f t="shared" si="161"/>
        <v/>
      </c>
      <c r="H696" s="1604"/>
      <c r="I696" s="1112" t="str">
        <f>AJ696</f>
        <v/>
      </c>
      <c r="J696" s="540"/>
      <c r="K696" s="541" t="str">
        <f t="shared" si="162"/>
        <v/>
      </c>
      <c r="L696" s="542"/>
      <c r="M696" s="700" t="str">
        <f>IF(AND(E684&lt;&gt;"",OR(F696="",COUNT(K696:L696)=0),Y696&lt;&gt;EUconst_NA,T684&lt;&gt;TRUE),EUconst_ERR_Incomplete,IF(COUNTIF(AX696:AZ696,TRUE)&gt;0,EUconst_ERR_Inconsistent,""))</f>
        <v/>
      </c>
      <c r="O696" s="1305"/>
      <c r="P696" s="33"/>
      <c r="Q696" s="33"/>
      <c r="R696" s="33"/>
      <c r="S696" s="30"/>
      <c r="T696" s="543" t="str">
        <f>EUconst_CNTR_NCV&amp;E684</f>
        <v>NCV_</v>
      </c>
      <c r="U696" s="488"/>
      <c r="V696" s="544" t="str">
        <f t="shared" ref="V696:V701" si="167">V695</f>
        <v/>
      </c>
      <c r="W696" s="30"/>
      <c r="X696" s="488"/>
      <c r="Y696" s="545" t="str">
        <f>IF(OR(T684=TRUE,E684=""),"",IF(F696=EUconst_NA,EUconst_NA,INDEX(EUwideConstants!$N:$N,MATCH(T696,EUwideConstants!$Q:$Q,0))))</f>
        <v/>
      </c>
      <c r="Z696" s="546" t="str">
        <f>IF(ISBLANK(F696),"",IF(F696=EUconst_NA,"",INDEX(EUwideConstants!$H:$M,MATCH(T696,EUwideConstants!$Q:$Q,0),MATCH(F696,CNTR_TierList,0))))</f>
        <v/>
      </c>
      <c r="AA696" s="547" t="str">
        <f>IF(COUNTIF(EUconst_DefaultValues,Z696)&gt;0,MATCH(Z696,EUconst_DefaultValues,0),"")</f>
        <v/>
      </c>
      <c r="AB696" s="30"/>
      <c r="AC696" s="548" t="b">
        <f>AND(AC693,Y696&lt;&gt;EUconst_NA)</f>
        <v>0</v>
      </c>
      <c r="AD696" s="30"/>
      <c r="AE696" s="549" t="str">
        <f>EUconst_CNTR_NCV&amp;EUconst_Unit</f>
        <v>NCV_Vienetas</v>
      </c>
      <c r="AF696" s="550" t="str">
        <f>IF(AC696=TRUE, IF(COUNTIF(MSPara_SourceStreamCategory,V696)=0,"",INDEX(MSPara_CalcFactorsMatrix,MATCH(V696,MSPara_SourceStreamCategory,0),MATCH(AE696&amp;"_"&amp;2,MSPara_CalcFactors,0))),"")</f>
        <v/>
      </c>
      <c r="AG696" s="551" t="str">
        <f>IF(AC696=TRUE, IF(COUNTIF(MSPara_SourceStreamCategory,V696)=0,"",INDEX(MSPara_CalcFactorsMatrix,MATCH(V696,MSPara_SourceStreamCategory,0),MATCH(AE696&amp;"_"&amp;1,MSPara_CalcFactors,0))),"")</f>
        <v/>
      </c>
      <c r="AH696" s="552" t="str">
        <f>IF(AA696="","",INDEX(AF696:AG696,3-AA696))</f>
        <v/>
      </c>
      <c r="AI696" s="553"/>
      <c r="AJ696" s="548" t="str">
        <f>IF(AC696=TRUE,IF(AJ693="","",IF(AJ693=EUconst_kNm3,EUconst_GJpkNm3,EUconst_GJpt)),"")</f>
        <v/>
      </c>
      <c r="AK696" s="554"/>
      <c r="AL696" s="333"/>
      <c r="AM696" s="549" t="str">
        <f>EUconst_CNTR_NCV&amp;EUconst_Value</f>
        <v>NCV_Vertė</v>
      </c>
      <c r="AN696" s="555" t="str">
        <f>IF(AC696=TRUE,IF(COUNTIF(MSPara_SourceStreamCategory,V696)=0,"",INDEX(MSPara_CalcFactorsMatrix,MATCH(V696,MSPara_SourceStreamCategory,0),MATCH(AM696&amp;"_"&amp;2,MSPara_CalcFactors,0))),"")</f>
        <v/>
      </c>
      <c r="AO696" s="556" t="str">
        <f>IF(AC696=TRUE,IF(COUNTIF(MSPara_SourceStreamCategory,V696)=0,"",INDEX(MSPara_CalcFactorsMatrix,MATCH(V696,MSPara_SourceStreamCategory,0),MATCH(AM696&amp;"_"&amp;1,MSPara_CalcFactors,0))),"")</f>
        <v/>
      </c>
      <c r="AP696" s="548" t="b">
        <f>AND(AND(AH696&lt;&gt;"",AJ696&lt;&gt;""),AJ696=AH696)</f>
        <v>0</v>
      </c>
      <c r="AQ696" s="557" t="str">
        <f>IF(AND(AA696&lt;&gt;"",AP696=TRUE),IF(OR(INDEX(AN696:AO696,3-AA696)=EUconst_NA,INDEX(AN696:AO696,3-AA696)=0),"",INDEX(AN696:AO696,3-AA696)),"")</f>
        <v/>
      </c>
      <c r="AR696" s="548">
        <f>IF(AC696=TRUE,IF(COUNT(K696:L696)=0,0,IF(L696="",K696,L696)),0)</f>
        <v>0</v>
      </c>
      <c r="AS696" s="544" t="b">
        <f>AND(AC696=TRUE,OR(AND(F696&lt;&gt;"",NOT(ISNUMBER(AA696))),L696&lt;&gt;"",F696="",AQ696=""))</f>
        <v>0</v>
      </c>
      <c r="AT696" s="544" t="b">
        <f t="shared" si="163"/>
        <v>0</v>
      </c>
      <c r="AU696" s="30"/>
      <c r="AV696" s="558" t="b">
        <f t="shared" si="164"/>
        <v>0</v>
      </c>
      <c r="AW696" s="559" t="b">
        <f t="shared" si="165"/>
        <v>0</v>
      </c>
      <c r="AX696" s="30"/>
      <c r="AY696" s="544" t="b">
        <f t="shared" si="166"/>
        <v>0</v>
      </c>
      <c r="AZ696" s="30"/>
      <c r="BA696" s="30"/>
      <c r="BB696" s="538" t="s">
        <v>589</v>
      </c>
      <c r="BC696" s="537" t="str">
        <f>IF(K683=BC693,AR693*IF(AJ695=EUconst_tCO2pTJ,(AR696/1000),1)*AR695*AR697*AR700,"")</f>
        <v/>
      </c>
      <c r="BD696" s="515" t="str">
        <f>IF(K683=BD693,AR693*AR695*AR698*AR700,"")</f>
        <v/>
      </c>
      <c r="BE696" s="514" t="str">
        <f>IF(K683=BE693,3.664*AR693*AR699*AR700,"")</f>
        <v/>
      </c>
      <c r="BF696" s="30"/>
      <c r="BG696" s="30"/>
      <c r="BH696" s="30"/>
      <c r="BI696" s="30"/>
      <c r="BJ696" s="30"/>
      <c r="BK696" s="30"/>
      <c r="BL696" s="30"/>
      <c r="BM696" s="30"/>
      <c r="BN696" s="30"/>
      <c r="BO696" s="30"/>
      <c r="BP696" s="30"/>
      <c r="BQ696" s="30"/>
      <c r="BR696" s="30"/>
      <c r="BS696" s="30"/>
      <c r="BT696" s="30"/>
      <c r="BU696" s="30"/>
      <c r="BV696" s="30"/>
      <c r="BW696" s="30"/>
      <c r="BX696" s="30"/>
      <c r="BY696" s="30"/>
      <c r="BZ696" s="544" t="b">
        <f>OR(BZ693,Y696=EUconst_NA)</f>
        <v>1</v>
      </c>
    </row>
    <row r="697" spans="1:78" s="140" customFormat="1" ht="12.75" customHeight="1" thickBot="1" x14ac:dyDescent="0.25">
      <c r="A697" s="777"/>
      <c r="B697" s="1248"/>
      <c r="C697" s="783" t="s">
        <v>197</v>
      </c>
      <c r="D697" s="503" t="str">
        <f>Translations!$B$638</f>
        <v>Oksidacijos koef.:</v>
      </c>
      <c r="E697" s="504"/>
      <c r="F697" s="539"/>
      <c r="G697" s="1603" t="str">
        <f t="shared" si="161"/>
        <v/>
      </c>
      <c r="H697" s="1604"/>
      <c r="I697" s="1113" t="str">
        <f>IF(OR(AC697=FALSE,Y697=EUconst_NA),"","-")</f>
        <v/>
      </c>
      <c r="J697" s="560"/>
      <c r="K697" s="561" t="str">
        <f t="shared" si="162"/>
        <v/>
      </c>
      <c r="L697" s="694"/>
      <c r="M697" s="700" t="str">
        <f>IF(AND(E684&lt;&gt;"",OR(F697="",COUNT(K697:L697)=0),Y697&lt;&gt;EUconst_NA,T684&lt;&gt;TRUE),EUconst_ERR_Incomplete,IF(COUNTIF(AX697:AZ697,TRUE)&gt;0,EUconst_ERR_Inconsistent,""))</f>
        <v/>
      </c>
      <c r="O697" s="1305"/>
      <c r="P697" s="33"/>
      <c r="Q697" s="33"/>
      <c r="R697" s="33"/>
      <c r="S697" s="30"/>
      <c r="T697" s="543" t="str">
        <f>EUconst_CNTR_OxidationFactor&amp;E684</f>
        <v>OxF_</v>
      </c>
      <c r="U697" s="488"/>
      <c r="V697" s="544" t="str">
        <f t="shared" si="167"/>
        <v/>
      </c>
      <c r="W697" s="30"/>
      <c r="X697" s="488"/>
      <c r="Y697" s="545" t="str">
        <f>IF(OR(T684=TRUE,E684=""),"",INDEX(EUwideConstants!$N:$N,MATCH(T697,EUwideConstants!$Q:$Q,0)))</f>
        <v/>
      </c>
      <c r="Z697" s="546" t="str">
        <f>IF(ISBLANK(F697),"",IF(F697=EUconst_NA,"",INDEX(EUwideConstants!$H:$M,MATCH(T697,EUwideConstants!$Q:$Q,0),MATCH(F697,CNTR_TierList,0))))</f>
        <v/>
      </c>
      <c r="AA697" s="525" t="str">
        <f>IF(F697=1,1,"")</f>
        <v/>
      </c>
      <c r="AB697" s="30"/>
      <c r="AC697" s="548" t="b">
        <f>AND(AC693,Y697&lt;&gt;EUconst_NA)</f>
        <v>0</v>
      </c>
      <c r="AD697" s="30"/>
      <c r="AE697" s="563"/>
      <c r="AG697" s="564"/>
      <c r="AH697" s="553"/>
      <c r="AI697" s="565"/>
      <c r="AJ697" s="553"/>
      <c r="AK697" s="566"/>
      <c r="AL697" s="333"/>
      <c r="AM697" s="549" t="str">
        <f>EUconst_CNTR_OxidationFactor&amp;EUconst_Value</f>
        <v>OxF_Vertė</v>
      </c>
      <c r="AN697" s="567"/>
      <c r="AO697" s="525">
        <v>1</v>
      </c>
      <c r="AP697" s="553"/>
      <c r="AQ697" s="568" t="str">
        <f>IF(AA697="","",AO697)</f>
        <v/>
      </c>
      <c r="AR697" s="548">
        <f>IF(AC697=TRUE,IF(COUNT(K697:L697)=0,0,IF(L697="",K697,L697)),1)</f>
        <v>1</v>
      </c>
      <c r="AS697" s="544" t="b">
        <f>AND(AC697=TRUE,OR(ISNUMBER(L697),NOT(ISNUMBER(AA697))))</f>
        <v>0</v>
      </c>
      <c r="AT697" s="544" t="b">
        <f t="shared" si="163"/>
        <v>0</v>
      </c>
      <c r="AU697" s="30"/>
      <c r="AV697" s="558" t="b">
        <f t="shared" si="164"/>
        <v>0</v>
      </c>
      <c r="AW697" s="559" t="b">
        <f t="shared" si="165"/>
        <v>0</v>
      </c>
      <c r="AX697" s="30"/>
      <c r="AY697" s="585" t="b">
        <f t="shared" si="166"/>
        <v>0</v>
      </c>
      <c r="AZ697" s="522" t="b">
        <f>AR697&gt;100%</f>
        <v>0</v>
      </c>
      <c r="BA697" s="30"/>
      <c r="BB697" s="538" t="s">
        <v>287</v>
      </c>
      <c r="BC697" s="537" t="str">
        <f>IF(K683=BC693,AR693*IF(AJ695=EUconst_tCO2pTJ,(AR696/1000),1)*AR695*AR697*(1-AR700),"")</f>
        <v/>
      </c>
      <c r="BD697" s="515" t="str">
        <f>IF(K683=BD693,AR693*AR695*AR698*(1-AR700),"")</f>
        <v/>
      </c>
      <c r="BE697" s="514" t="str">
        <f>IF(K683=BE693,3.664*AR693*AR699*(1-AR700),"")</f>
        <v/>
      </c>
      <c r="BF697" s="30"/>
      <c r="BG697" s="30"/>
      <c r="BH697" s="30"/>
      <c r="BI697" s="30"/>
      <c r="BJ697" s="30"/>
      <c r="BK697" s="30"/>
      <c r="BL697" s="30"/>
      <c r="BM697" s="30"/>
      <c r="BN697" s="30"/>
      <c r="BO697" s="30"/>
      <c r="BP697" s="30"/>
      <c r="BQ697" s="30"/>
      <c r="BR697" s="30"/>
      <c r="BS697" s="30"/>
      <c r="BT697" s="30"/>
      <c r="BU697" s="30"/>
      <c r="BV697" s="30"/>
      <c r="BW697" s="30"/>
      <c r="BX697" s="30"/>
      <c r="BY697" s="30"/>
      <c r="BZ697" s="544" t="b">
        <f>OR(BZ693,Y697=EUconst_NA)</f>
        <v>1</v>
      </c>
    </row>
    <row r="698" spans="1:78" s="140" customFormat="1" ht="12.75" customHeight="1" thickBot="1" x14ac:dyDescent="0.25">
      <c r="A698" s="777"/>
      <c r="B698" s="1248"/>
      <c r="C698" s="783" t="s">
        <v>198</v>
      </c>
      <c r="D698" s="503" t="str">
        <f>Translations!$B$639</f>
        <v>Konversijos koef.:</v>
      </c>
      <c r="E698" s="504"/>
      <c r="F698" s="539"/>
      <c r="G698" s="1603" t="str">
        <f t="shared" si="161"/>
        <v/>
      </c>
      <c r="H698" s="1604"/>
      <c r="I698" s="1113" t="str">
        <f>IF(OR(AC698=FALSE,Y698=EUconst_NA),"","-")</f>
        <v/>
      </c>
      <c r="J698" s="560"/>
      <c r="K698" s="561" t="str">
        <f t="shared" si="162"/>
        <v/>
      </c>
      <c r="L698" s="694"/>
      <c r="M698" s="700" t="str">
        <f>IF(AND(E684&lt;&gt;"",OR(F698="",COUNT(K698:L698)=0),Y698&lt;&gt;EUconst_NA,T684&lt;&gt;TRUE),EUconst_ERR_Incomplete,IF(COUNTIF(AX698:AZ698,TRUE)&gt;0,EUconst_ERR_Inconsistent,""))</f>
        <v/>
      </c>
      <c r="O698" s="1305"/>
      <c r="P698" s="33"/>
      <c r="Q698" s="33"/>
      <c r="R698" s="33"/>
      <c r="S698" s="30"/>
      <c r="T698" s="543" t="str">
        <f>EUconst_CNTR_ConversionFactor&amp;E684</f>
        <v>ConvF_</v>
      </c>
      <c r="U698" s="488"/>
      <c r="V698" s="544" t="str">
        <f t="shared" si="167"/>
        <v/>
      </c>
      <c r="W698" s="30"/>
      <c r="X698" s="488"/>
      <c r="Y698" s="545" t="str">
        <f>IF(OR(T684=TRUE,E684=""),"",INDEX(EUwideConstants!$N:$N,MATCH(T698,EUwideConstants!$Q:$Q,0)))</f>
        <v/>
      </c>
      <c r="Z698" s="546" t="str">
        <f>IF(ISBLANK(F698),"",IF(F698=EUconst_NA,"",INDEX(EUwideConstants!$H:$M,MATCH(T698,EUwideConstants!$Q:$Q,0),MATCH(F698,CNTR_TierList,0))))</f>
        <v/>
      </c>
      <c r="AA698" s="573" t="str">
        <f>IF(F698=1,1,"")</f>
        <v/>
      </c>
      <c r="AB698" s="30"/>
      <c r="AC698" s="548" t="b">
        <f>AND(AC693,Y698&lt;&gt;EUconst_NA)</f>
        <v>0</v>
      </c>
      <c r="AD698" s="30"/>
      <c r="AE698" s="563"/>
      <c r="AG698" s="564"/>
      <c r="AH698" s="574"/>
      <c r="AI698" s="565"/>
      <c r="AJ698" s="574"/>
      <c r="AK698" s="566"/>
      <c r="AL698" s="333"/>
      <c r="AM698" s="549" t="str">
        <f>EUconst_CNTR_ConversionFactor&amp;EUconst_Value</f>
        <v>ConvF_Vertė</v>
      </c>
      <c r="AN698" s="575"/>
      <c r="AO698" s="573">
        <v>1</v>
      </c>
      <c r="AP698" s="574"/>
      <c r="AQ698" s="576" t="str">
        <f>IF(AA698="","",AO698)</f>
        <v/>
      </c>
      <c r="AR698" s="548">
        <f>IF(AC698=TRUE,IF(COUNT(K698:L698)=0,0,IF(L698="",K698,L698)),1)</f>
        <v>1</v>
      </c>
      <c r="AS698" s="544" t="b">
        <f>AND(AC698=TRUE,OR(ISNUMBER(L698),NOT(ISNUMBER(AA698))))</f>
        <v>0</v>
      </c>
      <c r="AT698" s="544" t="b">
        <f t="shared" si="163"/>
        <v>0</v>
      </c>
      <c r="AU698" s="30"/>
      <c r="AV698" s="558" t="b">
        <f t="shared" si="164"/>
        <v>0</v>
      </c>
      <c r="AW698" s="559" t="b">
        <f t="shared" si="165"/>
        <v>0</v>
      </c>
      <c r="AX698" s="30"/>
      <c r="AY698" s="585" t="b">
        <f t="shared" si="166"/>
        <v>0</v>
      </c>
      <c r="AZ698" s="571" t="b">
        <f>AR698&gt;100%</f>
        <v>0</v>
      </c>
      <c r="BA698" s="30"/>
      <c r="BB698" s="569" t="s">
        <v>481</v>
      </c>
      <c r="BC698" s="570">
        <f>AR693*AR696/1000*(1-AR700)</f>
        <v>0</v>
      </c>
      <c r="BD698" s="571">
        <f>BC698</f>
        <v>0</v>
      </c>
      <c r="BE698" s="572">
        <f>BC698</f>
        <v>0</v>
      </c>
      <c r="BF698" s="30"/>
      <c r="BG698" s="30"/>
      <c r="BH698" s="30"/>
      <c r="BI698" s="30"/>
      <c r="BJ698" s="30"/>
      <c r="BK698" s="30"/>
      <c r="BL698" s="30"/>
      <c r="BM698" s="30"/>
      <c r="BN698" s="30"/>
      <c r="BO698" s="30"/>
      <c r="BP698" s="30"/>
      <c r="BQ698" s="30"/>
      <c r="BR698" s="30"/>
      <c r="BS698" s="30"/>
      <c r="BT698" s="30"/>
      <c r="BU698" s="30"/>
      <c r="BV698" s="30"/>
      <c r="BW698" s="30"/>
      <c r="BX698" s="30"/>
      <c r="BY698" s="30"/>
      <c r="BZ698" s="544" t="b">
        <f>OR(BZ693,Y698=EUconst_NA)</f>
        <v>1</v>
      </c>
    </row>
    <row r="699" spans="1:78" s="140" customFormat="1" ht="12.75" customHeight="1" thickBot="1" x14ac:dyDescent="0.25">
      <c r="A699" s="777"/>
      <c r="B699" s="1248"/>
      <c r="C699" s="783" t="s">
        <v>324</v>
      </c>
      <c r="D699" s="503" t="str">
        <f>Translations!$B$640</f>
        <v>Anglies kiekis (C):</v>
      </c>
      <c r="E699" s="504"/>
      <c r="F699" s="539"/>
      <c r="G699" s="1603" t="str">
        <f t="shared" si="161"/>
        <v/>
      </c>
      <c r="H699" s="1604"/>
      <c r="I699" s="1113" t="str">
        <f>AJ699</f>
        <v/>
      </c>
      <c r="J699" s="577"/>
      <c r="K699" s="578" t="str">
        <f t="shared" si="162"/>
        <v/>
      </c>
      <c r="L699" s="579"/>
      <c r="M699" s="700" t="str">
        <f>IF(AND(E684&lt;&gt;"",OR(F699="",COUNT(K699:L699)=0),Y699&lt;&gt;EUconst_NA,T684&lt;&gt;TRUE),EUconst_ERR_Incomplete,IF(COUNTIF(AX699:AZ699,TRUE)&gt;0,EUconst_ERR_Inconsistent,""))</f>
        <v/>
      </c>
      <c r="O699" s="1305"/>
      <c r="P699" s="33"/>
      <c r="Q699" s="33"/>
      <c r="R699" s="33"/>
      <c r="S699" s="30"/>
      <c r="T699" s="543" t="str">
        <f>EUconst_CNTR_CarbonContent&amp;E684</f>
        <v>CarbC_</v>
      </c>
      <c r="U699" s="488"/>
      <c r="V699" s="544" t="str">
        <f t="shared" si="167"/>
        <v/>
      </c>
      <c r="W699" s="30"/>
      <c r="X699" s="488"/>
      <c r="Y699" s="545" t="str">
        <f>IF(OR(T684=TRUE,E684=""),"",INDEX(EUwideConstants!$N:$N,MATCH(T699,EUwideConstants!$Q:$Q,0)))</f>
        <v/>
      </c>
      <c r="Z699" s="546" t="str">
        <f>IF(ISBLANK(F699),"",IF(F699=EUconst_NA,"",INDEX(EUwideConstants!$H:$M,MATCH(T699,EUwideConstants!$Q:$Q,0),MATCH(F699,CNTR_TierList,0))))</f>
        <v/>
      </c>
      <c r="AA699" s="580" t="str">
        <f>IF(COUNTIF(EUconst_DefaultValues,Z699)&gt;0,MATCH(Z699,EUconst_DefaultValues,0),"")</f>
        <v/>
      </c>
      <c r="AB699" s="30"/>
      <c r="AC699" s="548" t="b">
        <f>AND(AC693,Y699&lt;&gt;EUconst_NA)</f>
        <v>0</v>
      </c>
      <c r="AD699" s="30"/>
      <c r="AE699" s="549" t="str">
        <f>EUconst_CNTR_CarbonContent&amp;EUconst_Unit</f>
        <v>CarbC_Vienetas</v>
      </c>
      <c r="AF699" s="550" t="str">
        <f>IF(AC699=TRUE, IF(COUNTIF(MSPara_SourceStreamCategory,V699)=0,"",INDEX(MSPara_CalcFactorsMatrix,MATCH(V699,MSPara_SourceStreamCategory,0),MATCH(AE699&amp;"_"&amp;2,MSPara_CalcFactors,0))),"")</f>
        <v/>
      </c>
      <c r="AG699" s="551" t="str">
        <f>IF(AC699=TRUE, IF(COUNTIF(MSPara_SourceStreamCategory,V699)=0,"",INDEX(MSPara_CalcFactorsMatrix,MATCH(V699,MSPara_SourceStreamCategory,0),MATCH(AE699&amp;"_"&amp;1,MSPara_CalcFactors,0))),"")</f>
        <v/>
      </c>
      <c r="AH699" s="581" t="str">
        <f>IF(AA699="","",INDEX(AF699:AG699,3-AA699))</f>
        <v/>
      </c>
      <c r="AI699" s="565"/>
      <c r="AJ699" s="582" t="str">
        <f>IF(AC699=TRUE,IF(AJ693="","",IF(AJ693=EUconst_kNm3,EUconst_tCpkNm3,EUconst_tCpt)),"")</f>
        <v/>
      </c>
      <c r="AK699" s="566"/>
      <c r="AL699" s="333"/>
      <c r="AM699" s="549" t="str">
        <f>EUconst_CNTR_CarbonContent&amp;EUconst_Value</f>
        <v>CarbC_Vertė</v>
      </c>
      <c r="AN699" s="555" t="str">
        <f>IF(AC699=TRUE,IF(COUNTIF(MSPara_SourceStreamCategory,V699)=0,"",INDEX(MSPara_CalcFactorsMatrix,MATCH(V699,MSPara_SourceStreamCategory,0),MATCH(AM699&amp;"_"&amp;2,MSPara_CalcFactors,0))),"")</f>
        <v/>
      </c>
      <c r="AO699" s="583" t="str">
        <f>IF(AC699=TRUE,IF(COUNTIF(MSPara_SourceStreamCategory,V699)=0,"",INDEX(MSPara_CalcFactorsMatrix,MATCH(V699,MSPara_SourceStreamCategory,0),MATCH(AM699&amp;"_"&amp;1,MSPara_CalcFactors,0))),"")</f>
        <v/>
      </c>
      <c r="AP699" s="548" t="b">
        <f>AND(AND(AH699&lt;&gt;"",AJ699&lt;&gt;""),AJ699=AH699)</f>
        <v>0</v>
      </c>
      <c r="AQ699" s="584" t="str">
        <f>IF(AND(AA699&lt;&gt;"",AP699=TRUE),IF(OR(INDEX(AN699:AO699,3-AA699)=EUconst_NA,INDEX(AN699:AO699,3-AA699)=0),"",INDEX(AN699:AO699,3-AA699)),"")</f>
        <v/>
      </c>
      <c r="AR699" s="548">
        <f>IF(AC699=TRUE,IF(COUNT(K699:L699)=0,0,IF(L699="",K699,L699)),0)</f>
        <v>0</v>
      </c>
      <c r="AS699" s="544" t="b">
        <f>AND(AC699=TRUE,OR(AND(F699&lt;&gt;"",NOT(ISNUMBER(AA699))),L699&lt;&gt;"",F699="",AQ699=""))</f>
        <v>0</v>
      </c>
      <c r="AT699" s="544" t="b">
        <f t="shared" si="163"/>
        <v>0</v>
      </c>
      <c r="AU699" s="30"/>
      <c r="AV699" s="558" t="b">
        <f t="shared" si="164"/>
        <v>0</v>
      </c>
      <c r="AW699" s="559" t="b">
        <f t="shared" si="165"/>
        <v>0</v>
      </c>
      <c r="AX699" s="537" t="b">
        <f>OR(AND(AJ693=EUconst_kNm3,AJ699=EUconst_tCpt),AND(AJ693=EUconst_t,AJ699=EUconst_tCpkNm3))</f>
        <v>0</v>
      </c>
      <c r="AY699" s="544" t="b">
        <f t="shared" si="166"/>
        <v>0</v>
      </c>
      <c r="AZ699" s="30"/>
      <c r="BA699" s="30"/>
      <c r="BB699" s="569" t="s">
        <v>482</v>
      </c>
      <c r="BC699" s="570">
        <f>AR693*AR696/1000*AR700</f>
        <v>0</v>
      </c>
      <c r="BD699" s="571">
        <f>BC699</f>
        <v>0</v>
      </c>
      <c r="BE699" s="572">
        <f>BC699</f>
        <v>0</v>
      </c>
      <c r="BF699" s="30"/>
      <c r="BG699" s="30"/>
      <c r="BH699" s="30"/>
      <c r="BI699" s="30"/>
      <c r="BJ699" s="30"/>
      <c r="BK699" s="30"/>
      <c r="BL699" s="30"/>
      <c r="BM699" s="30"/>
      <c r="BN699" s="30"/>
      <c r="BO699" s="30"/>
      <c r="BP699" s="30"/>
      <c r="BQ699" s="30"/>
      <c r="BR699" s="30"/>
      <c r="BS699" s="30"/>
      <c r="BT699" s="30"/>
      <c r="BU699" s="30"/>
      <c r="BV699" s="30"/>
      <c r="BW699" s="30"/>
      <c r="BX699" s="30"/>
      <c r="BY699" s="30"/>
      <c r="BZ699" s="544" t="b">
        <f>OR(BZ693,Y699=EUconst_NA)</f>
        <v>1</v>
      </c>
    </row>
    <row r="700" spans="1:78" s="140" customFormat="1" ht="12.75" customHeight="1" x14ac:dyDescent="0.2">
      <c r="A700" s="777"/>
      <c r="B700" s="1248"/>
      <c r="C700" s="753" t="s">
        <v>325</v>
      </c>
      <c r="D700" s="503" t="str">
        <f>Translations!$B$641</f>
        <v>Biomasės dalis (BioC):</v>
      </c>
      <c r="E700" s="504"/>
      <c r="F700" s="539"/>
      <c r="G700" s="1603" t="str">
        <f t="shared" si="161"/>
        <v/>
      </c>
      <c r="H700" s="1604"/>
      <c r="I700" s="1113" t="str">
        <f>IF(OR(AC700=FALSE,Y700=EUconst_NA),"","-")</f>
        <v/>
      </c>
      <c r="J700" s="560"/>
      <c r="K700" s="561" t="str">
        <f t="shared" si="162"/>
        <v/>
      </c>
      <c r="L700" s="694"/>
      <c r="M700" s="700" t="str">
        <f>IF(AND(E684&lt;&gt;"",OR(F700="",COUNT(K700:L700)=0),Y700&lt;&gt;EUconst_NA,T684&lt;&gt;TRUE),EUconst_ERR_Incomplete,IF(COUNTIF(AX700:AZ700,TRUE)&gt;0,EUconst_ERR_Inconsistent,""))</f>
        <v/>
      </c>
      <c r="O700" s="1305"/>
      <c r="P700" s="635"/>
      <c r="Q700" s="635"/>
      <c r="R700" s="635"/>
      <c r="S700" s="30"/>
      <c r="T700" s="543" t="str">
        <f>EUconst_CNTR_BiomassContent&amp;E684</f>
        <v>BioC_</v>
      </c>
      <c r="U700" s="488"/>
      <c r="V700" s="585" t="str">
        <f t="shared" si="167"/>
        <v/>
      </c>
      <c r="W700" s="522" t="str">
        <f>IF(COUNTIF(MSPara_SourceStreamCategory,V700)=0,"",INDEX(MSPara_IsFossil,MATCH(V700,MSPara_SourceStreamCategory,0)))</f>
        <v/>
      </c>
      <c r="X700" s="488"/>
      <c r="Y700" s="545" t="str">
        <f>IF(OR(T684=TRUE,E684=""),"",IF(OR(W700=TRUE,F700=EUconst_NA),EUconst_NA,INDEX(EUwideConstants!$N:$N,MATCH(T700,EUwideConstants!$Q:$Q,0))))</f>
        <v/>
      </c>
      <c r="Z700" s="546" t="str">
        <f>IF(ISBLANK(F700),"",IF(F700=EUconst_NA,"",INDEX(EUwideConstants!$H:$M,MATCH(T700,EUwideConstants!$Q:$Q,0),MATCH(F700,CNTR_TierList,0))))</f>
        <v/>
      </c>
      <c r="AA700" s="586" t="str">
        <f>IF(F700=1,1,"")</f>
        <v/>
      </c>
      <c r="AB700" s="30"/>
      <c r="AC700" s="548" t="b">
        <f>AND(AC693,Y700&lt;&gt;EUconst_NA)</f>
        <v>0</v>
      </c>
      <c r="AD700" s="30"/>
      <c r="AE700" s="563"/>
      <c r="AG700" s="564"/>
      <c r="AH700" s="553"/>
      <c r="AI700" s="565"/>
      <c r="AJ700" s="553"/>
      <c r="AK700" s="566"/>
      <c r="AL700" s="333"/>
      <c r="AM700" s="549" t="str">
        <f>EUconst_CNTR_BiomassContent&amp;EUconst_Value</f>
        <v>BioC_Vertė</v>
      </c>
      <c r="AO700" s="587" t="str">
        <f>IF(AC700=TRUE,IF(COUNTIF(MSPara_SourceStreamCategory,V700)=0,"",INDEX(MSPara_CalcFactorsMatrix,MATCH(V700,MSPara_SourceStreamCategory,0),MATCH(AM700&amp;"_"&amp;2,MSPara_CalcFactors,0))),"")</f>
        <v/>
      </c>
      <c r="AP700" s="553"/>
      <c r="AQ700" s="568" t="str">
        <f>IF(OR(AA700="",AO700=EUconst_NA),"",AO700)</f>
        <v/>
      </c>
      <c r="AR700" s="548">
        <f>IF(AC700=TRUE,IF(COUNT(K700:L700)=0,0,IF(L700="",K700,L700)),0)</f>
        <v>0</v>
      </c>
      <c r="AS700" s="544" t="b">
        <f>AND(AC700=TRUE,OR(AND(F700&lt;&gt;"",NOT(ISNUMBER(AA700))),L700&lt;&gt;"",F700="",AQ700=""))</f>
        <v>0</v>
      </c>
      <c r="AT700" s="544" t="b">
        <f t="shared" si="163"/>
        <v>0</v>
      </c>
      <c r="AU700" s="30"/>
      <c r="AV700" s="558" t="b">
        <f t="shared" si="164"/>
        <v>0</v>
      </c>
      <c r="AW700" s="559" t="b">
        <f t="shared" si="165"/>
        <v>0</v>
      </c>
      <c r="AX700" s="30"/>
      <c r="AY700" s="585" t="b">
        <f t="shared" si="166"/>
        <v>0</v>
      </c>
      <c r="AZ700" s="522" t="b">
        <f>OR(AR700&gt;100%,(AR700+AR701)&gt;100%)</f>
        <v>0</v>
      </c>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544" t="b">
        <f>OR(BZ693,Y700=EUconst_NA)</f>
        <v>1</v>
      </c>
    </row>
    <row r="701" spans="1:78" s="140" customFormat="1" ht="12.75" customHeight="1" thickBot="1" x14ac:dyDescent="0.25">
      <c r="A701" s="777"/>
      <c r="B701" s="1248"/>
      <c r="C701" s="753" t="s">
        <v>448</v>
      </c>
      <c r="D701" s="503" t="str">
        <f>Translations!$B$647</f>
        <v>Netvarios BioC dalis:</v>
      </c>
      <c r="E701" s="504"/>
      <c r="F701" s="588"/>
      <c r="G701" s="1603" t="str">
        <f t="shared" si="161"/>
        <v/>
      </c>
      <c r="H701" s="1604"/>
      <c r="I701" s="1114" t="str">
        <f>IF(OR(AC701=FALSE,Y701=EUconst_NA),"","-")</f>
        <v/>
      </c>
      <c r="J701" s="560"/>
      <c r="K701" s="589" t="str">
        <f t="shared" si="162"/>
        <v/>
      </c>
      <c r="L701" s="1100"/>
      <c r="M701" s="700" t="str">
        <f>IF(AND(E684&lt;&gt;"",OR(F701="",COUNT(K701:L701)=0),Y701&lt;&gt;EUconst_NA,T684&lt;&gt;TRUE),EUconst_ERR_Incomplete,IF(COUNTIF(AX701:AZ701,TRUE)&gt;0,EUconst_ERR_Inconsistent,""))</f>
        <v/>
      </c>
      <c r="O701" s="1305"/>
      <c r="P701" s="635"/>
      <c r="Q701" s="635"/>
      <c r="R701" s="635"/>
      <c r="S701" s="30"/>
      <c r="T701" s="590" t="str">
        <f>EUconst_CNTR_BiomassContent&amp;E684</f>
        <v>BioC_</v>
      </c>
      <c r="U701" s="488"/>
      <c r="V701" s="570" t="str">
        <f t="shared" si="167"/>
        <v/>
      </c>
      <c r="W701" s="571" t="str">
        <f>IF(COUNTIF(MSPara_SourceStreamCategory,V701)=0,"",INDEX(MSPara_IsFossil,MATCH(V701,MSPara_SourceStreamCategory,0)))</f>
        <v/>
      </c>
      <c r="X701" s="488"/>
      <c r="Y701" s="591" t="str">
        <f>IF(OR(T684=TRUE,E684=""),"",IF(OR(W701=TRUE,F701=EUconst_NA),EUconst_NA,INDEX(EUwideConstants!$N:$N,MATCH(T701,EUwideConstants!$Q:$Q,0))))</f>
        <v/>
      </c>
      <c r="Z701" s="592" t="str">
        <f>IF(ISBLANK(F701),"",IF(F701=EUconst_NA,"",INDEX(EUwideConstants!$H:$M,MATCH(T701,EUwideConstants!$Q:$Q,0),MATCH(F701,CNTR_TierList,0))))</f>
        <v/>
      </c>
      <c r="AA701" s="593" t="str">
        <f>IF(F701=1,1,"")</f>
        <v/>
      </c>
      <c r="AB701" s="30"/>
      <c r="AC701" s="594" t="b">
        <f>AND(AC693,Y701&lt;&gt;EUconst_NA)</f>
        <v>0</v>
      </c>
      <c r="AD701" s="30"/>
      <c r="AE701" s="595"/>
      <c r="AF701" s="596"/>
      <c r="AG701" s="597"/>
      <c r="AH701" s="598"/>
      <c r="AI701" s="598"/>
      <c r="AJ701" s="598"/>
      <c r="AK701" s="599"/>
      <c r="AL701" s="333"/>
      <c r="AM701" s="600" t="str">
        <f>EUconst_CNTR_BiomassContent&amp;EUconst_Value</f>
        <v>BioC_Vertė</v>
      </c>
      <c r="AN701" s="596"/>
      <c r="AO701" s="601" t="str">
        <f>IF(AC701=TRUE,IF(COUNTIF(MSPara_SourceStreamCategory,V701)=0,"",INDEX(MSPara_CalcFactorsMatrix,MATCH(V701,MSPara_SourceStreamCategory,0),MATCH(AM701&amp;"_"&amp;2,MSPara_CalcFactors,0))),"")</f>
        <v/>
      </c>
      <c r="AP701" s="598"/>
      <c r="AQ701" s="602" t="str">
        <f>IF(OR(AA701="",AO701=EUconst_NA),"",AO701)</f>
        <v/>
      </c>
      <c r="AR701" s="594">
        <f>IF(AC701=TRUE,IF(COUNT(K701:L701)=0,0,IF(L701="",K701,L701)),0)</f>
        <v>0</v>
      </c>
      <c r="AS701" s="603" t="b">
        <f>AND(AC701=TRUE,OR(AND(F701&lt;&gt;"",NOT(ISNUMBER(AA701))),L701&lt;&gt;"",F701="",AQ701=""))</f>
        <v>0</v>
      </c>
      <c r="AT701" s="603" t="b">
        <f t="shared" si="163"/>
        <v>0</v>
      </c>
      <c r="AU701" s="30"/>
      <c r="AV701" s="604" t="b">
        <f t="shared" si="164"/>
        <v>0</v>
      </c>
      <c r="AW701" s="605" t="b">
        <f t="shared" si="165"/>
        <v>0</v>
      </c>
      <c r="AX701" s="30"/>
      <c r="AY701" s="570" t="b">
        <f t="shared" si="166"/>
        <v>0</v>
      </c>
      <c r="AZ701" s="571" t="b">
        <f>OR(AR700&gt;100%,(AR700+AR701)&gt;100%)</f>
        <v>0</v>
      </c>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571" t="b">
        <f>OR(BZ693,Y701=EUconst_NA)</f>
        <v>1</v>
      </c>
    </row>
    <row r="702" spans="1:78" s="140" customFormat="1" ht="5.0999999999999996" customHeight="1" x14ac:dyDescent="0.2">
      <c r="A702" s="777"/>
      <c r="B702" s="1248"/>
      <c r="C702" s="164"/>
      <c r="D702" s="178"/>
      <c r="O702" s="1305"/>
      <c r="P702" s="33"/>
      <c r="Q702" s="33"/>
      <c r="R702" s="33"/>
      <c r="S702" s="172"/>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row>
    <row r="703" spans="1:78" s="140" customFormat="1" ht="12.75" customHeight="1" x14ac:dyDescent="0.2">
      <c r="A703" s="777"/>
      <c r="B703" s="1248"/>
      <c r="C703" s="164"/>
      <c r="D703" s="1629" t="str">
        <f>Translations!$B$674</f>
        <v>Pakopos galioja nuo:</v>
      </c>
      <c r="E703" s="1629"/>
      <c r="F703" s="1630"/>
      <c r="G703" s="1014"/>
      <c r="H703" s="606" t="str">
        <f>Translations!$B$675</f>
        <v>iki:</v>
      </c>
      <c r="I703" s="1014"/>
      <c r="J703" s="1620" t="str">
        <f>Translations!$B$676</f>
        <v>Atliekų katalogo numeris (jeigu taikytina):</v>
      </c>
      <c r="K703" s="1621"/>
      <c r="L703" s="1621"/>
      <c r="M703" s="1622"/>
      <c r="N703" s="1232"/>
      <c r="O703" s="1305"/>
      <c r="P703" s="33"/>
      <c r="Q703" s="33"/>
      <c r="R703" s="33"/>
      <c r="S703" s="1233"/>
      <c r="T703" s="483"/>
      <c r="U703" s="483"/>
      <c r="V703" s="48" t="b">
        <f>IF(V693="",FALSE,INDEX(CNTR_IsWaste,MATCH(V693,MSParameters!$A$218:$A$376,0)))</f>
        <v>0</v>
      </c>
      <c r="W703" s="1233" t="s">
        <v>1689</v>
      </c>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2" t="b">
        <f>BZ693</f>
        <v>1</v>
      </c>
    </row>
    <row r="704" spans="1:78" s="140" customFormat="1" ht="5.0999999999999996" customHeight="1" x14ac:dyDescent="0.2">
      <c r="A704" s="777"/>
      <c r="B704" s="1248"/>
      <c r="C704" s="164"/>
      <c r="D704" s="606"/>
      <c r="E704" s="486"/>
      <c r="F704" s="486"/>
      <c r="G704" s="486"/>
      <c r="H704" s="486"/>
      <c r="I704" s="486"/>
      <c r="J704" s="486"/>
      <c r="K704" s="486"/>
      <c r="L704" s="486"/>
      <c r="M704" s="486"/>
      <c r="N704" s="486"/>
      <c r="O704" s="1305"/>
      <c r="P704" s="33"/>
      <c r="Q704" s="33"/>
      <c r="R704" s="33"/>
      <c r="S704" s="172"/>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row>
    <row r="705" spans="1:78" s="140" customFormat="1" ht="12.75" customHeight="1" x14ac:dyDescent="0.2">
      <c r="A705" s="777"/>
      <c r="B705" s="1248"/>
      <c r="C705" s="164"/>
      <c r="D705" s="486"/>
      <c r="E705" s="486"/>
      <c r="F705" s="486"/>
      <c r="G705" s="486"/>
      <c r="H705" s="486"/>
      <c r="I705" s="486"/>
      <c r="J705" s="486"/>
      <c r="K705" s="486"/>
      <c r="L705" s="486"/>
      <c r="M705" s="606" t="str">
        <f>Translations!$B$677</f>
        <v>Stebėsenos plane šiam sukėlikliui suteiktas identifikatorius:</v>
      </c>
      <c r="N705" s="705"/>
      <c r="O705" s="1305"/>
      <c r="P705" s="33"/>
      <c r="Q705" s="33"/>
      <c r="R705" s="33"/>
      <c r="S705" s="172"/>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2" t="b">
        <f>BZ703</f>
        <v>1</v>
      </c>
    </row>
    <row r="706" spans="1:78" s="140" customFormat="1" ht="5.0999999999999996" customHeight="1" x14ac:dyDescent="0.2">
      <c r="A706" s="784"/>
      <c r="B706" s="1316"/>
      <c r="D706" s="178"/>
      <c r="O706" s="1317"/>
      <c r="P706" s="488"/>
      <c r="Q706" s="488"/>
      <c r="R706" s="488"/>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row>
    <row r="707" spans="1:78" s="140" customFormat="1" x14ac:dyDescent="0.2">
      <c r="A707" s="784"/>
      <c r="B707" s="1316"/>
      <c r="D707" s="1618" t="str">
        <f>Translations!$B$160</f>
        <v>Pastabos:</v>
      </c>
      <c r="E707" s="1619"/>
      <c r="F707" s="1605"/>
      <c r="G707" s="1606"/>
      <c r="H707" s="1606"/>
      <c r="I707" s="1606"/>
      <c r="J707" s="1606"/>
      <c r="K707" s="1606"/>
      <c r="L707" s="1606"/>
      <c r="M707" s="1606"/>
      <c r="N707" s="1607"/>
      <c r="O707" s="1317"/>
      <c r="P707" s="488"/>
      <c r="Q707" s="488"/>
      <c r="R707" s="488"/>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2" t="b">
        <f>BZ703</f>
        <v>1</v>
      </c>
    </row>
    <row r="708" spans="1:78" s="28" customFormat="1" ht="12.75" customHeight="1" thickBot="1" x14ac:dyDescent="0.25">
      <c r="A708" s="777"/>
      <c r="B708" s="1312"/>
      <c r="C708" s="490"/>
      <c r="D708" s="491"/>
      <c r="E708" s="492"/>
      <c r="F708" s="490"/>
      <c r="G708" s="493"/>
      <c r="H708" s="493"/>
      <c r="I708" s="493"/>
      <c r="J708" s="493"/>
      <c r="K708" s="493"/>
      <c r="L708" s="493"/>
      <c r="M708" s="493"/>
      <c r="N708" s="493"/>
      <c r="O708" s="1313"/>
      <c r="P708" s="485"/>
      <c r="Q708" s="485"/>
      <c r="R708" s="485"/>
      <c r="S708" s="58"/>
      <c r="T708" s="58"/>
      <c r="U708" s="489"/>
      <c r="V708" s="58"/>
      <c r="W708" s="58"/>
      <c r="X708" s="489"/>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30"/>
      <c r="BJ708" s="30"/>
      <c r="BK708" s="30"/>
      <c r="BL708" s="58"/>
      <c r="BM708" s="58"/>
      <c r="BN708" s="58"/>
      <c r="BO708" s="58"/>
      <c r="BP708" s="58"/>
      <c r="BQ708" s="58"/>
      <c r="BR708" s="58"/>
      <c r="BS708" s="58"/>
      <c r="BT708" s="58"/>
      <c r="BU708" s="58"/>
      <c r="BV708" s="58"/>
      <c r="BW708" s="58"/>
      <c r="BX708" s="58"/>
      <c r="BY708" s="58"/>
      <c r="BZ708" s="58"/>
    </row>
    <row r="709" spans="1:78" s="28" customFormat="1" ht="12.75" customHeight="1" thickBot="1" x14ac:dyDescent="0.25">
      <c r="A709" s="782"/>
      <c r="B709" s="1312"/>
      <c r="C709" s="486"/>
      <c r="D709" s="178"/>
      <c r="E709" s="487"/>
      <c r="F709" s="486"/>
      <c r="G709" s="478"/>
      <c r="H709" s="478"/>
      <c r="I709" s="478"/>
      <c r="J709" s="478"/>
      <c r="K709" s="486"/>
      <c r="L709" s="478"/>
      <c r="M709" s="478"/>
      <c r="N709" s="478"/>
      <c r="O709" s="1313"/>
      <c r="P709" s="485"/>
      <c r="Q709" s="485"/>
      <c r="R709" s="485"/>
      <c r="S709" s="23"/>
      <c r="T709" s="27" t="str">
        <f>IF(ISBLANK(E710),"",MATCH(E710,CNTR_SourceStreamNames,0))</f>
        <v/>
      </c>
      <c r="U709" s="609" t="str">
        <f>IF(ISBLANK(E710),"",INDEX(B_InstallationDescription!$D$71:$D$145,MATCH(E710,CNTR_SourceStreamNames,0)))</f>
        <v/>
      </c>
      <c r="V709" s="76"/>
      <c r="W709" s="56"/>
      <c r="X709" s="56"/>
      <c r="Y709" s="56"/>
      <c r="Z709" s="58"/>
      <c r="AA709" s="58"/>
      <c r="AB709" s="58"/>
      <c r="AC709" s="58"/>
      <c r="AD709" s="58"/>
      <c r="AE709" s="58"/>
      <c r="AF709" s="58"/>
      <c r="AG709" s="58"/>
      <c r="AH709" s="58"/>
      <c r="AI709" s="58"/>
      <c r="AJ709" s="58"/>
      <c r="AK709" s="482"/>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6"/>
      <c r="BI709" s="56"/>
      <c r="BJ709" s="56"/>
      <c r="BK709" s="56"/>
      <c r="BL709" s="56"/>
      <c r="BM709" s="56"/>
      <c r="BN709" s="56"/>
      <c r="BO709" s="56"/>
      <c r="BP709" s="56"/>
      <c r="BQ709" s="56"/>
      <c r="BR709" s="56"/>
      <c r="BS709" s="56"/>
      <c r="BT709" s="56"/>
      <c r="BU709" s="56"/>
      <c r="BV709" s="56"/>
      <c r="BW709" s="56"/>
      <c r="BX709" s="56"/>
      <c r="BY709" s="56"/>
      <c r="BZ709" s="484" t="s">
        <v>259</v>
      </c>
    </row>
    <row r="710" spans="1:78" s="140" customFormat="1" ht="15" customHeight="1" thickBot="1" x14ac:dyDescent="0.25">
      <c r="A710" s="1302" t="str">
        <f>IF(E710="","","PRINT")</f>
        <v/>
      </c>
      <c r="B710" s="1248"/>
      <c r="C710" s="608">
        <f>C683+1</f>
        <v>25</v>
      </c>
      <c r="D710" s="164"/>
      <c r="E710" s="1610"/>
      <c r="F710" s="1611"/>
      <c r="G710" s="1611"/>
      <c r="H710" s="1611"/>
      <c r="I710" s="1611"/>
      <c r="J710" s="1612"/>
      <c r="K710" s="1623" t="str">
        <f>IF(E711="","",INDEX(EUwideConstants!$F$353:$F$394,MATCH(E711,EUConst_TierActivityListNames,0)))</f>
        <v/>
      </c>
      <c r="L710" s="1624"/>
      <c r="M710" s="494" t="str">
        <f>Translations!$B$665</f>
        <v>CO2, iškastinio kuro kilmės:</v>
      </c>
      <c r="N710" s="1012" t="str">
        <f>IF(OR(K710="",T711=TRUE),"",INDEX(BC724:BE724,MATCH(K710,BC720:BE720,0)))</f>
        <v/>
      </c>
      <c r="O710" s="1314" t="s">
        <v>257</v>
      </c>
      <c r="P710" s="1303" t="str">
        <f>IF(AND(E710&lt;&gt;"",COUNTIF(P711:$P$2089,"PRINT")=0),"PRINT","")</f>
        <v/>
      </c>
      <c r="Q710" s="343" t="str">
        <f>EUconst_SumCO2 &amp; "_" &amp; K710</f>
        <v>SUM_CO2_</v>
      </c>
      <c r="R710" s="485"/>
      <c r="S710" s="23"/>
      <c r="T710" s="500" t="s">
        <v>387</v>
      </c>
      <c r="U710" s="23"/>
      <c r="V710" s="76"/>
      <c r="W710" s="56"/>
      <c r="X710" s="58"/>
      <c r="Y710" s="58"/>
      <c r="Z710" s="58"/>
      <c r="AA710" s="58"/>
      <c r="AB710" s="58"/>
      <c r="AC710" s="58"/>
      <c r="AD710" s="58"/>
      <c r="AE710" s="58"/>
      <c r="AF710" s="58"/>
      <c r="AG710" s="58"/>
      <c r="AH710" s="58"/>
      <c r="AI710" s="333"/>
      <c r="AJ710" s="333"/>
      <c r="AK710" s="333"/>
      <c r="AL710" s="333"/>
      <c r="AM710" s="333"/>
      <c r="AN710" s="333"/>
      <c r="AO710" s="333"/>
      <c r="AP710" s="333"/>
      <c r="AQ710" s="333"/>
      <c r="AR710" s="333"/>
      <c r="AS710" s="333"/>
      <c r="AT710" s="333"/>
      <c r="AU710" s="333"/>
      <c r="AV710" s="333"/>
      <c r="AW710" s="333"/>
      <c r="AX710" s="333"/>
      <c r="AY710" s="333"/>
      <c r="AZ710" s="333"/>
      <c r="BA710" s="333"/>
      <c r="BB710" s="333"/>
      <c r="BC710" s="333"/>
      <c r="BD710" s="333"/>
      <c r="BE710" s="333"/>
      <c r="BF710" s="333"/>
      <c r="BG710" s="333"/>
      <c r="BH710" s="834">
        <f>AR720</f>
        <v>0</v>
      </c>
      <c r="BI710" s="834" t="str">
        <f>AJ720</f>
        <v/>
      </c>
      <c r="BJ710" s="834">
        <f>AR722</f>
        <v>0</v>
      </c>
      <c r="BK710" s="834" t="str">
        <f>AJ722</f>
        <v/>
      </c>
      <c r="BL710" s="834">
        <f>AR723</f>
        <v>0</v>
      </c>
      <c r="BM710" s="834" t="str">
        <f>AJ723</f>
        <v/>
      </c>
      <c r="BN710" s="834">
        <f>AR724</f>
        <v>1</v>
      </c>
      <c r="BO710" s="834">
        <f>AR725</f>
        <v>1</v>
      </c>
      <c r="BP710" s="834">
        <f>AR726</f>
        <v>0</v>
      </c>
      <c r="BQ710" s="834" t="str">
        <f>AJ726</f>
        <v/>
      </c>
      <c r="BR710" s="834">
        <f>AR727</f>
        <v>0</v>
      </c>
      <c r="BS710" s="834">
        <f>AR728</f>
        <v>0</v>
      </c>
      <c r="BT710" s="834" t="str">
        <f>N710</f>
        <v/>
      </c>
      <c r="BU710" s="834" t="str">
        <f>N711</f>
        <v/>
      </c>
      <c r="BV710" s="834" t="str">
        <f>R713</f>
        <v/>
      </c>
      <c r="BW710" s="834" t="str">
        <f>R719</f>
        <v/>
      </c>
      <c r="BX710" s="834" t="str">
        <f>R720</f>
        <v/>
      </c>
      <c r="BY710" s="56"/>
      <c r="BZ710" s="610" t="b">
        <f>CNTR_CalcRelevant=EUconst_NotRelevant</f>
        <v>0</v>
      </c>
    </row>
    <row r="711" spans="1:78" s="140" customFormat="1" ht="15" customHeight="1" thickBot="1" x14ac:dyDescent="0.25">
      <c r="A711" s="777"/>
      <c r="B711" s="1248"/>
      <c r="C711" s="164"/>
      <c r="D711" s="164"/>
      <c r="E711" s="1625" t="str">
        <f>IF(ISBLANK(E710),"",IF(INDEX(B_InstallationDescription!$E$71:$E$145,MATCH(U709,B_InstallationDescription!$D$71:$D$145,0))&gt;0,INDEX(B_InstallationDescription!$E$71:$E$145,MATCH(U709,B_InstallationDescription!$D$71:$D$145,0)),""))</f>
        <v/>
      </c>
      <c r="F711" s="1626"/>
      <c r="G711" s="1626"/>
      <c r="H711" s="1626"/>
      <c r="I711" s="1626"/>
      <c r="J711" s="1627"/>
      <c r="M711" s="337" t="str">
        <f>Translations!$B$666</f>
        <v>CO2, biomasės kilmės.:</v>
      </c>
      <c r="N711" s="1013" t="str">
        <f>IF(OR(K710="",T711=TRUE),"",INDEX(BC723:BE723,MATCH(K710,BC720:BE720,0)))</f>
        <v/>
      </c>
      <c r="O711" s="1315" t="s">
        <v>257</v>
      </c>
      <c r="P711" s="485"/>
      <c r="Q711" s="343" t="str">
        <f>EUconst_SumBioCO2 &amp; "_" &amp; K710</f>
        <v>SUM_bioCO2_</v>
      </c>
      <c r="R711" s="485"/>
      <c r="S711" s="23"/>
      <c r="T711" s="48" t="str">
        <f>IF(E711="","",MATCH(E711,EUConst_TierActivityListNames,0)&gt;40)</f>
        <v/>
      </c>
      <c r="U711" s="23"/>
      <c r="V711" s="76"/>
      <c r="W711" s="56"/>
      <c r="X711" s="58"/>
      <c r="Y711" s="27" t="s">
        <v>91</v>
      </c>
      <c r="Z711" s="30"/>
      <c r="AA711" s="30"/>
      <c r="AB711" s="30"/>
      <c r="AC711" s="30"/>
      <c r="AD711" s="30"/>
      <c r="AE711" s="27" t="s">
        <v>297</v>
      </c>
      <c r="AF711" s="58"/>
      <c r="AG711" s="495"/>
      <c r="AH711" s="30"/>
      <c r="AI711" s="30"/>
      <c r="AJ711" s="495"/>
      <c r="AK711" s="495"/>
      <c r="AL711" s="333"/>
      <c r="AM711" s="27" t="s">
        <v>303</v>
      </c>
      <c r="AN711" s="496"/>
      <c r="AO711" s="496"/>
      <c r="AP711" s="30"/>
      <c r="AQ711" s="30"/>
      <c r="AR711" s="30"/>
      <c r="AS711" s="30"/>
      <c r="AT711" s="30"/>
      <c r="AU711" s="30"/>
      <c r="AV711" s="27" t="s">
        <v>310</v>
      </c>
      <c r="AW711" s="30"/>
      <c r="AX711" s="483"/>
      <c r="AY711" s="30"/>
      <c r="AZ711" s="30"/>
      <c r="BA711" s="30"/>
      <c r="BB711" s="27" t="s">
        <v>217</v>
      </c>
      <c r="BC711" s="30"/>
      <c r="BD711" s="30"/>
      <c r="BE711" s="30"/>
      <c r="BF711" s="30"/>
      <c r="BG711" s="27" t="s">
        <v>486</v>
      </c>
      <c r="BH711" s="833" t="s">
        <v>552</v>
      </c>
      <c r="BI711" s="833" t="s">
        <v>487</v>
      </c>
      <c r="BJ711" s="833" t="s">
        <v>211</v>
      </c>
      <c r="BK711" s="833" t="s">
        <v>488</v>
      </c>
      <c r="BL711" s="833" t="s">
        <v>68</v>
      </c>
      <c r="BM711" s="833" t="s">
        <v>489</v>
      </c>
      <c r="BN711" s="833" t="s">
        <v>490</v>
      </c>
      <c r="BO711" s="833" t="s">
        <v>491</v>
      </c>
      <c r="BP711" s="833" t="s">
        <v>214</v>
      </c>
      <c r="BQ711" s="833" t="s">
        <v>492</v>
      </c>
      <c r="BR711" s="833" t="s">
        <v>493</v>
      </c>
      <c r="BS711" s="833" t="s">
        <v>494</v>
      </c>
      <c r="BT711" s="833" t="s">
        <v>287</v>
      </c>
      <c r="BU711" s="833" t="s">
        <v>495</v>
      </c>
      <c r="BV711" s="833" t="s">
        <v>498</v>
      </c>
      <c r="BW711" s="833" t="s">
        <v>496</v>
      </c>
      <c r="BX711" s="833" t="s">
        <v>497</v>
      </c>
      <c r="BY711" s="30"/>
      <c r="BZ711" s="30"/>
    </row>
    <row r="712" spans="1:78" s="140" customFormat="1" ht="5.0999999999999996" customHeight="1" thickBot="1" x14ac:dyDescent="0.25">
      <c r="A712" s="777"/>
      <c r="B712" s="1248"/>
      <c r="C712" s="164"/>
      <c r="D712" s="164"/>
      <c r="E712" s="164"/>
      <c r="F712" s="164"/>
      <c r="G712" s="164"/>
      <c r="M712" s="141"/>
      <c r="N712" s="141"/>
      <c r="O712" s="1305"/>
      <c r="P712" s="33"/>
      <c r="Q712" s="33"/>
      <c r="R712" s="33"/>
      <c r="S712" s="23"/>
      <c r="T712" s="23"/>
      <c r="U712" s="23"/>
      <c r="V712" s="76"/>
      <c r="W712" s="30"/>
      <c r="X712" s="30"/>
      <c r="Y712" s="485"/>
      <c r="Z712" s="30"/>
      <c r="AA712" s="30"/>
      <c r="AB712" s="30"/>
      <c r="AC712" s="30"/>
      <c r="AD712" s="30"/>
      <c r="AE712" s="30"/>
      <c r="AF712" s="58"/>
      <c r="AG712" s="30"/>
      <c r="AH712" s="30"/>
      <c r="AI712" s="30"/>
      <c r="AJ712" s="495"/>
      <c r="AK712" s="495"/>
      <c r="AL712" s="333"/>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row>
    <row r="713" spans="1:78" s="140" customFormat="1" ht="12.75" customHeight="1" thickBot="1" x14ac:dyDescent="0.25">
      <c r="A713" s="777"/>
      <c r="B713" s="1248"/>
      <c r="C713" s="164"/>
      <c r="D713" s="164"/>
      <c r="E713" s="1628" t="str">
        <f>IF(E710="","",IF(T711=TRUE,HYPERLINK("#JUMP_14",EUconst_MsgGoOnPFC),HYPERLINK("#JUMP_E_8",EUconst_FurtherGuidancePoint1)))</f>
        <v/>
      </c>
      <c r="F713" s="1628"/>
      <c r="G713" s="1628"/>
      <c r="H713" s="1628"/>
      <c r="I713" s="1628"/>
      <c r="J713" s="1628"/>
      <c r="K713" s="1628"/>
      <c r="L713" s="1628"/>
      <c r="M713" s="1628"/>
      <c r="N713" s="141"/>
      <c r="O713" s="1305"/>
      <c r="P713" s="33"/>
      <c r="Q713" s="343" t="str">
        <f>EUconst_SumNonSustBioCO2 &amp; "_" &amp; K710</f>
        <v>SUM_bioNonSustCO2_</v>
      </c>
      <c r="R713" s="698" t="str">
        <f>IF(OR(K710="",T711=TRUE),"",ROUND(INDEX(BC722:BE722,MATCH(K710,BC720:BE720,0)),0))</f>
        <v/>
      </c>
      <c r="S713" s="23"/>
      <c r="T713" s="23"/>
      <c r="U713" s="23"/>
      <c r="V713" s="30"/>
      <c r="W713" s="30"/>
      <c r="X713" s="30"/>
      <c r="Y713" s="58"/>
      <c r="Z713" s="30"/>
      <c r="AA713" s="30"/>
      <c r="AB713" s="30"/>
      <c r="AC713" s="30"/>
      <c r="AD713" s="30"/>
      <c r="AE713" s="30"/>
      <c r="AF713" s="58"/>
      <c r="AG713" s="30"/>
      <c r="AH713" s="30"/>
      <c r="AI713" s="30"/>
      <c r="AJ713" s="495"/>
      <c r="AK713" s="495"/>
      <c r="AL713" s="333"/>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row>
    <row r="714" spans="1:78" s="140" customFormat="1" ht="5.0999999999999996" customHeight="1" thickBot="1" x14ac:dyDescent="0.25">
      <c r="A714" s="777"/>
      <c r="B714" s="1248"/>
      <c r="C714" s="164"/>
      <c r="D714" s="164"/>
      <c r="E714" s="164"/>
      <c r="F714" s="164"/>
      <c r="G714" s="164"/>
      <c r="M714" s="141"/>
      <c r="N714" s="141"/>
      <c r="O714" s="1305"/>
      <c r="P714" s="23"/>
      <c r="Q714" s="23"/>
      <c r="R714" s="23"/>
      <c r="S714" s="23"/>
      <c r="T714" s="23"/>
      <c r="U714" s="23"/>
      <c r="V714" s="30"/>
      <c r="W714" s="30"/>
      <c r="X714" s="30"/>
      <c r="Y714" s="485"/>
      <c r="Z714" s="30"/>
      <c r="AA714" s="30"/>
      <c r="AB714" s="30"/>
      <c r="AC714" s="30"/>
      <c r="AD714" s="30"/>
      <c r="AE714" s="30"/>
      <c r="AF714" s="58"/>
      <c r="AG714" s="30"/>
      <c r="AH714" s="30"/>
      <c r="AI714" s="30"/>
      <c r="AJ714" s="495"/>
      <c r="AK714" s="495"/>
      <c r="AL714" s="333"/>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row>
    <row r="715" spans="1:78" s="140" customFormat="1" ht="12.75" customHeight="1" thickBot="1" x14ac:dyDescent="0.25">
      <c r="A715" s="777"/>
      <c r="B715" s="1248"/>
      <c r="C715" s="783" t="s">
        <v>4</v>
      </c>
      <c r="D715" s="503" t="str">
        <f>Translations!$B$622</f>
        <v>VD:</v>
      </c>
      <c r="E715" s="1631" t="str">
        <f>Translations!$B$667</f>
        <v>Ar veiklos duomenys gaunami sudedant išmatuotus kiekius (t. y. ne atliekant nuolatinius matavimus)?</v>
      </c>
      <c r="F715" s="1631"/>
      <c r="G715" s="1631"/>
      <c r="H715" s="1631"/>
      <c r="I715" s="1631"/>
      <c r="J715" s="1631"/>
      <c r="K715" s="1631"/>
      <c r="L715" s="1122"/>
      <c r="M715" s="498"/>
      <c r="O715" s="1305"/>
      <c r="P715" s="23"/>
      <c r="Q715" s="23"/>
      <c r="R715" s="23"/>
      <c r="S715" s="23"/>
      <c r="T715" s="23"/>
      <c r="U715" s="23"/>
      <c r="V715" s="30"/>
      <c r="W715" s="30"/>
      <c r="X715" s="30"/>
      <c r="Y715" s="485"/>
      <c r="Z715" s="30"/>
      <c r="AA715" s="30"/>
      <c r="AB715" s="30"/>
      <c r="AC715" s="1115" t="b">
        <f>AND(E710&lt;&gt;"",T711&lt;&gt;TRUE)</f>
        <v>0</v>
      </c>
      <c r="AD715" s="30"/>
      <c r="AE715" s="30"/>
      <c r="AF715" s="58"/>
      <c r="AG715" s="30"/>
      <c r="AH715" s="30"/>
      <c r="AI715" s="30"/>
      <c r="AJ715" s="495"/>
      <c r="AK715" s="495"/>
      <c r="AL715" s="333"/>
      <c r="AM715" s="30"/>
      <c r="AN715" s="30"/>
      <c r="AO715" s="30"/>
      <c r="AP715" s="30"/>
      <c r="AQ715" s="30"/>
      <c r="AR715" s="30"/>
      <c r="AS715" s="30"/>
      <c r="AT715" s="1115" t="b">
        <f>MSPara_BatchReportingMandatory&lt;&gt;TRUE</f>
        <v>0</v>
      </c>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1115" t="b">
        <f>OR(CNTR_CalcRelevant=EUconst_NotRelevant,AND(COUNTA(CNTR_ListRelevantSections)&gt;0,OR(T711=TRUE,E710="")))</f>
        <v>1</v>
      </c>
    </row>
    <row r="716" spans="1:78" s="140" customFormat="1" ht="5.0999999999999996" customHeight="1" thickBot="1" x14ac:dyDescent="0.25">
      <c r="A716" s="777"/>
      <c r="B716" s="1248"/>
      <c r="C716" s="164"/>
      <c r="D716" s="164"/>
      <c r="E716" s="164"/>
      <c r="F716" s="164"/>
      <c r="G716" s="164"/>
      <c r="H716" s="486"/>
      <c r="I716" s="486"/>
      <c r="J716" s="486"/>
      <c r="K716" s="486"/>
      <c r="L716" s="486"/>
      <c r="M716" s="498"/>
      <c r="O716" s="1305"/>
      <c r="P716" s="23"/>
      <c r="Q716" s="23"/>
      <c r="R716" s="23"/>
      <c r="S716" s="23"/>
      <c r="T716" s="23"/>
      <c r="U716" s="23"/>
      <c r="V716" s="30"/>
      <c r="W716" s="30"/>
      <c r="X716" s="30"/>
      <c r="Y716" s="485"/>
      <c r="Z716" s="30"/>
      <c r="AA716" s="30"/>
      <c r="AB716" s="30"/>
      <c r="AC716" s="483"/>
      <c r="AD716" s="30"/>
      <c r="AE716" s="30"/>
      <c r="AF716" s="58"/>
      <c r="AG716" s="30"/>
      <c r="AH716" s="30"/>
      <c r="AI716" s="30"/>
      <c r="AJ716" s="495"/>
      <c r="AK716" s="495"/>
      <c r="AL716" s="333"/>
      <c r="AM716" s="30"/>
      <c r="AN716" s="30"/>
      <c r="AO716" s="30"/>
      <c r="AP716" s="30"/>
      <c r="AQ716" s="30"/>
      <c r="AR716" s="30"/>
      <c r="AS716" s="30"/>
      <c r="AT716" s="483"/>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483"/>
    </row>
    <row r="717" spans="1:78" s="140" customFormat="1" ht="12.75" customHeight="1" thickBot="1" x14ac:dyDescent="0.25">
      <c r="A717" s="777"/>
      <c r="B717" s="1248"/>
      <c r="C717" s="783" t="s">
        <v>5</v>
      </c>
      <c r="D717" s="503" t="str">
        <f>Translations!$B$622</f>
        <v>VD:</v>
      </c>
      <c r="E717" s="1105" t="str">
        <f>Translations!$B$668</f>
        <v>Pradinis kiekis:</v>
      </c>
      <c r="F717" s="1123"/>
      <c r="G717" s="1106" t="str">
        <f>Translations!$B$669</f>
        <v>Galutinis kiekis:</v>
      </c>
      <c r="H717" s="1123"/>
      <c r="I717" s="1106" t="str">
        <f>Translations!$B$670</f>
        <v>Įsigytas kiekis:</v>
      </c>
      <c r="J717" s="1123"/>
      <c r="K717" s="1106" t="str">
        <f>Translations!$B$671</f>
        <v>Perduotas kiekis:</v>
      </c>
      <c r="L717" s="1123"/>
      <c r="M717" s="1107" t="str">
        <f>IF(AND(L715=TRUE,COUNT(F717,H717,J717,L717)&lt;4),EUconst_ERR_Incomplete,"")</f>
        <v/>
      </c>
      <c r="O717" s="1305"/>
      <c r="P717" s="23"/>
      <c r="Q717" s="23"/>
      <c r="R717" s="23"/>
      <c r="S717" s="23"/>
      <c r="T717" s="23"/>
      <c r="U717" s="23"/>
      <c r="V717" s="30"/>
      <c r="W717" s="30"/>
      <c r="X717" s="30"/>
      <c r="Y717" s="485"/>
      <c r="Z717" s="30"/>
      <c r="AA717" s="30"/>
      <c r="AB717" s="30"/>
      <c r="AC717" s="1115" t="b">
        <f>AC715</f>
        <v>0</v>
      </c>
      <c r="AD717" s="30"/>
      <c r="AE717" s="30"/>
      <c r="AF717" s="58"/>
      <c r="AG717" s="30"/>
      <c r="AH717" s="30"/>
      <c r="AI717" s="30"/>
      <c r="AJ717" s="495"/>
      <c r="AK717" s="495"/>
      <c r="AL717" s="333"/>
      <c r="AM717" s="30"/>
      <c r="AN717" s="30"/>
      <c r="AO717" s="30"/>
      <c r="AP717" s="30"/>
      <c r="AQ717" s="30"/>
      <c r="AR717" s="30"/>
      <c r="AS717" s="30"/>
      <c r="AT717" s="1115" t="b">
        <f>AND(AT715=TRUE,L715="")</f>
        <v>0</v>
      </c>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1115" t="b">
        <f>OR(BZ715,AND(NOT(ISBLANK(L715)),L715=FALSE))</f>
        <v>1</v>
      </c>
    </row>
    <row r="718" spans="1:78" s="140" customFormat="1" ht="5.0999999999999996" customHeight="1" thickBot="1" x14ac:dyDescent="0.25">
      <c r="A718" s="777"/>
      <c r="B718" s="1248"/>
      <c r="C718" s="164"/>
      <c r="D718" s="164"/>
      <c r="E718" s="164"/>
      <c r="F718" s="164"/>
      <c r="G718" s="164"/>
      <c r="M718" s="141"/>
      <c r="N718" s="141"/>
      <c r="O718" s="1305"/>
      <c r="P718" s="23"/>
      <c r="Q718" s="23"/>
      <c r="R718" s="23"/>
      <c r="S718" s="23"/>
      <c r="T718" s="23"/>
      <c r="U718" s="23"/>
      <c r="V718" s="30"/>
      <c r="W718" s="30"/>
      <c r="X718" s="30"/>
      <c r="Y718" s="485"/>
      <c r="Z718" s="30"/>
      <c r="AA718" s="30"/>
      <c r="AB718" s="30"/>
      <c r="AC718" s="30"/>
      <c r="AD718" s="30"/>
      <c r="AE718" s="30"/>
      <c r="AF718" s="58"/>
      <c r="AG718" s="30"/>
      <c r="AH718" s="30"/>
      <c r="AI718" s="30"/>
      <c r="AJ718" s="495"/>
      <c r="AK718" s="495"/>
      <c r="AL718" s="333"/>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row>
    <row r="719" spans="1:78" s="140" customFormat="1" ht="12.75" customHeight="1" thickBot="1" x14ac:dyDescent="0.25">
      <c r="A719" s="777"/>
      <c r="B719" s="1248"/>
      <c r="C719" s="164"/>
      <c r="D719" s="164"/>
      <c r="E719" s="164"/>
      <c r="F719" s="497" t="str">
        <f>Translations!$B$333</f>
        <v>Pakopa</v>
      </c>
      <c r="G719" s="1613" t="str">
        <f>Translations!$B$672</f>
        <v>pakopos aprašas</v>
      </c>
      <c r="H719" s="1613"/>
      <c r="I719" s="1608" t="str">
        <f>Translations!$B$158</f>
        <v>Vienetas</v>
      </c>
      <c r="J719" s="1608"/>
      <c r="K719" s="1608" t="str">
        <f>Translations!$B$673</f>
        <v>Vertė</v>
      </c>
      <c r="L719" s="1608"/>
      <c r="M719" s="498" t="str">
        <f>Translations!$B$610</f>
        <v>klaida</v>
      </c>
      <c r="O719" s="1305"/>
      <c r="P719" s="499"/>
      <c r="Q719" s="343" t="str">
        <f>EUconst_SumEnergyIN &amp; "_" &amp; K710</f>
        <v>SUM_EnergyIN_</v>
      </c>
      <c r="R719" s="390" t="str">
        <f>IF(OR(K710="",T711)=TRUE,"",INDEX(BC725:BE725,MATCH(K710,BC720:BE720,0)))</f>
        <v/>
      </c>
      <c r="S719" s="30"/>
      <c r="T719" s="480"/>
      <c r="U719" s="30"/>
      <c r="V719" s="500" t="s">
        <v>298</v>
      </c>
      <c r="W719" s="30"/>
      <c r="X719" s="30"/>
      <c r="Y719" s="485" t="s">
        <v>560</v>
      </c>
      <c r="Z719" s="485" t="s">
        <v>313</v>
      </c>
      <c r="AA719" s="30"/>
      <c r="AB719" s="30"/>
      <c r="AC719" s="496" t="s">
        <v>304</v>
      </c>
      <c r="AD719" s="30"/>
      <c r="AE719" s="30"/>
      <c r="AF719" s="483" t="s">
        <v>300</v>
      </c>
      <c r="AG719" s="483" t="s">
        <v>301</v>
      </c>
      <c r="AH719" s="485" t="s">
        <v>299</v>
      </c>
      <c r="AI719" s="495" t="s">
        <v>302</v>
      </c>
      <c r="AJ719" s="495" t="s">
        <v>561</v>
      </c>
      <c r="AK719" s="501" t="s">
        <v>306</v>
      </c>
      <c r="AL719" s="333"/>
      <c r="AM719" s="30"/>
      <c r="AN719" s="483" t="s">
        <v>300</v>
      </c>
      <c r="AO719" s="483" t="s">
        <v>301</v>
      </c>
      <c r="AP719" s="502" t="s">
        <v>305</v>
      </c>
      <c r="AQ719" s="495" t="s">
        <v>563</v>
      </c>
      <c r="AR719" s="495" t="s">
        <v>562</v>
      </c>
      <c r="AS719" s="501" t="s">
        <v>599</v>
      </c>
      <c r="AT719" s="501" t="s">
        <v>599</v>
      </c>
      <c r="AU719" s="30"/>
      <c r="AV719" s="483"/>
      <c r="AW719" s="483"/>
      <c r="AX719" s="483" t="s">
        <v>316</v>
      </c>
      <c r="AY719" s="483"/>
      <c r="AZ719" s="483"/>
      <c r="BA719" s="483"/>
      <c r="BB719" s="483"/>
      <c r="BC719" s="483"/>
      <c r="BD719" s="483"/>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484" t="s">
        <v>259</v>
      </c>
    </row>
    <row r="720" spans="1:78" s="140" customFormat="1" ht="12.75" customHeight="1" thickBot="1" x14ac:dyDescent="0.25">
      <c r="A720" s="777"/>
      <c r="B720" s="1248"/>
      <c r="C720" s="753" t="s">
        <v>194</v>
      </c>
      <c r="D720" s="503" t="str">
        <f>Translations!$B$622</f>
        <v>VD:</v>
      </c>
      <c r="E720" s="504"/>
      <c r="F720" s="393"/>
      <c r="G720" s="1603" t="str">
        <f>IF(OR(ISBLANK(F720),F720=EUconst_NoTier),"",IF(Z720=0,EUconst_NA,IF(ISERROR(Z720),"",Z720)))</f>
        <v/>
      </c>
      <c r="H720" s="1604"/>
      <c r="I720" s="1108" t="str">
        <f>IF(J720&lt;&gt;"","",AI720)</f>
        <v/>
      </c>
      <c r="J720" s="1109"/>
      <c r="K720" s="1116" t="str">
        <f>IF(L720="",AQ720,"")</f>
        <v/>
      </c>
      <c r="L720" s="1199"/>
      <c r="M720" s="700" t="str">
        <f>IF(AND(E711&lt;&gt;"",OR(F720="",COUNT(K720:L720)=0),Y720&lt;&gt;EUconst_NA,T711&lt;&gt;TRUE),EUconst_ERR_Incomplete,IF(COUNTIF(AX720:AZ720,TRUE)&gt;0,EUconst_ERR_Inconsistent,""))</f>
        <v/>
      </c>
      <c r="O720" s="1305"/>
      <c r="P720" s="635"/>
      <c r="Q720" s="343" t="str">
        <f>EUconst_SumBioEnergyIN &amp; "_" &amp; K710</f>
        <v>SUM_BioEnergyIN_</v>
      </c>
      <c r="R720" s="390" t="str">
        <f>IF(OR(K710="",T711)=TRUE,"",INDEX(BC726:BE726,MATCH(K710,BC720:BE720,0)))</f>
        <v/>
      </c>
      <c r="S720" s="30"/>
      <c r="T720" s="505" t="str">
        <f>EUconst_CNTR_ActivityData&amp;E711</f>
        <v>ActivityData_</v>
      </c>
      <c r="U720" s="488"/>
      <c r="V720" s="505" t="str">
        <f>IF(E710="","",INDEX(B_InstallationDescription!$I$71:$I$145,MATCH(U709,B_InstallationDescription!$D$71:$D$145,0)))</f>
        <v/>
      </c>
      <c r="W720" s="495" t="s">
        <v>533</v>
      </c>
      <c r="X720" s="488"/>
      <c r="Y720" s="506" t="str">
        <f>IF(OR(T711=TRUE,E711=""),"",INDEX(EUwideConstants!$N:$N,MATCH(T720,EUwideConstants!$Q:$Q,0)))</f>
        <v/>
      </c>
      <c r="Z720" s="507" t="str">
        <f>IF(ISBLANK(F720),"",IF(F720=EUconst_NA,"",INDEX(EUwideConstants!$H:$M,MATCH(T720,EUwideConstants!$Q:$Q,0),MATCH(F720,CNTR_TierList,0))))</f>
        <v/>
      </c>
      <c r="AA720" s="508" t="s">
        <v>299</v>
      </c>
      <c r="AB720" s="495"/>
      <c r="AC720" s="509" t="b">
        <f>AC715</f>
        <v>0</v>
      </c>
      <c r="AD720" s="30"/>
      <c r="AE720" s="510" t="str">
        <f>EUconst_CNTR_ActivityData&amp;EUconst_Unit</f>
        <v>ActivityData_Vienetas</v>
      </c>
      <c r="AF720" s="511" t="str">
        <f>IF(AC720=TRUE, IF(COUNTIF(MSPara_SourceStreamCategory,V720)=0,"",INDEX(MSPara_CalcFactorsMatrix,MATCH(V720,MSPara_SourceStreamCategory,0),MATCH(AE720&amp;"_"&amp;2,MSPara_CalcFactors,0))),"")</f>
        <v/>
      </c>
      <c r="AG720" s="512" t="str">
        <f>IF(AC720=TRUE, IF(COUNTIF(MSPara_SourceStreamCategory,V720)=0,"",INDEX(MSPara_CalcFactorsMatrix,MATCH(V720,MSPara_SourceStreamCategory,0),MATCH(AE720&amp;"_"&amp;1,MSPara_CalcFactors,0))),"")</f>
        <v/>
      </c>
      <c r="AH720" s="509" t="str">
        <f>IF(OR(AF720="",AF720=EUconst_NA),IF(OR(AG720=EUconst_NA,AG720=""),"",AG720),AF720)</f>
        <v/>
      </c>
      <c r="AI720" s="506" t="str">
        <f>IF(AC720=TRUE,IF(AH720="",EUconst_t,AH720),"")</f>
        <v/>
      </c>
      <c r="AJ720" s="513" t="str">
        <f>IF(J720="",AI720,J720)</f>
        <v/>
      </c>
      <c r="AK720" s="514" t="b">
        <f>IF(K710=EUconst_Fuel,J720&lt;&gt;"",FALSE)</f>
        <v>0</v>
      </c>
      <c r="AL720" s="333"/>
      <c r="AM720" s="505" t="str">
        <f>EUconst_CNTR_ActivityData&amp;EUconst_Value</f>
        <v>ActivityData_Vertė</v>
      </c>
      <c r="AN720" s="496"/>
      <c r="AO720" s="496"/>
      <c r="AP720" s="509" t="b">
        <f>AND(AND(AH720&lt;&gt;"",AJ720&lt;&gt;""),AJ720=AH720)</f>
        <v>0</v>
      </c>
      <c r="AQ720" s="610" t="str">
        <f>IF(L715=TRUE,SUM(F717)-SUM(H717)+SUM(J717)-SUM(L717),"")</f>
        <v/>
      </c>
      <c r="AR720" s="509">
        <f>IF(Y720=EUconst_NA,0,IF(COUNT(K720:L720)=0,0,IF(L720="",K720,L720)))</f>
        <v>0</v>
      </c>
      <c r="AS720" s="1115" t="b">
        <f>AND(AC720=TRUE,OR(L720&lt;&gt;"",AQ720=""))</f>
        <v>0</v>
      </c>
      <c r="AT720" s="1115" t="b">
        <f>AND(AC720=TRUE,NOT(AS720))</f>
        <v>0</v>
      </c>
      <c r="AU720" s="30"/>
      <c r="AV720" s="483" t="s">
        <v>309</v>
      </c>
      <c r="AW720" s="483" t="s">
        <v>314</v>
      </c>
      <c r="AX720" s="515"/>
      <c r="AY720" s="30" t="s">
        <v>536</v>
      </c>
      <c r="AZ720" s="30"/>
      <c r="BA720" s="30"/>
      <c r="BB720" s="495"/>
      <c r="BC720" s="484" t="str">
        <f>EUconst_Fuel</f>
        <v>Degimas</v>
      </c>
      <c r="BD720" s="484" t="str">
        <f>EUconst_ProcessCarbonate</f>
        <v>Proceso metu išsiskiriančios ŠESD</v>
      </c>
      <c r="BE720" s="484" t="str">
        <f>EUconst_MassBalance</f>
        <v>Masės balansas</v>
      </c>
      <c r="BF720" s="30"/>
      <c r="BG720" s="30"/>
      <c r="BH720" s="30"/>
      <c r="BI720" s="30"/>
      <c r="BJ720" s="30"/>
      <c r="BK720" s="30"/>
      <c r="BL720" s="30"/>
      <c r="BM720" s="30"/>
      <c r="BN720" s="30"/>
      <c r="BO720" s="30"/>
      <c r="BP720" s="30"/>
      <c r="BQ720" s="30"/>
      <c r="BR720" s="30"/>
      <c r="BS720" s="30"/>
      <c r="BT720" s="30"/>
      <c r="BU720" s="30"/>
      <c r="BV720" s="30"/>
      <c r="BW720" s="30"/>
      <c r="BX720" s="30"/>
      <c r="BY720" s="30"/>
      <c r="BZ720" s="515" t="b">
        <f>BZ715</f>
        <v>1</v>
      </c>
    </row>
    <row r="721" spans="1:78" s="140" customFormat="1" ht="5.0999999999999996" customHeight="1" thickBot="1" x14ac:dyDescent="0.25">
      <c r="A721" s="777"/>
      <c r="B721" s="1248"/>
      <c r="C721" s="783"/>
      <c r="D721" s="298"/>
      <c r="F721" s="141"/>
      <c r="G721" s="141"/>
      <c r="H721" s="141" t="s">
        <v>233</v>
      </c>
      <c r="I721" s="516"/>
      <c r="J721" s="516"/>
      <c r="K721" s="141"/>
      <c r="L721" s="141"/>
      <c r="M721" s="701"/>
      <c r="O721" s="1305"/>
      <c r="P721" s="33"/>
      <c r="Q721" s="33"/>
      <c r="R721" s="33"/>
      <c r="S721" s="30"/>
      <c r="T721" s="153"/>
      <c r="U721" s="488"/>
      <c r="V721" s="30"/>
      <c r="W721" s="30"/>
      <c r="X721" s="488"/>
      <c r="Y721" s="517"/>
      <c r="Z721" s="30"/>
      <c r="AA721" s="30"/>
      <c r="AB721" s="30"/>
      <c r="AC721" s="30"/>
      <c r="AD721" s="30"/>
      <c r="AE721" s="30"/>
      <c r="AF721" s="30"/>
      <c r="AG721" s="30"/>
      <c r="AH721" s="30"/>
      <c r="AI721" s="30"/>
      <c r="AJ721" s="30"/>
      <c r="AK721" s="30"/>
      <c r="AL721" s="333"/>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484"/>
    </row>
    <row r="722" spans="1:78" s="140" customFormat="1" ht="12.75" customHeight="1" thickBot="1" x14ac:dyDescent="0.25">
      <c r="A722" s="777"/>
      <c r="B722" s="1248"/>
      <c r="C722" s="783" t="s">
        <v>195</v>
      </c>
      <c r="D722" s="503" t="str">
        <f>Translations!$B$634</f>
        <v>(prelim.) ITF:</v>
      </c>
      <c r="E722" s="504"/>
      <c r="F722" s="518"/>
      <c r="G722" s="1603" t="str">
        <f t="shared" ref="G722:G728" si="168">IF(OR(ISBLANK(F722),F722=EUconst_NoTier),"",IF(Z722=0,EUconst_NotApplicable,IF(ISERROR(Z722),"",Z722)))</f>
        <v/>
      </c>
      <c r="H722" s="1609"/>
      <c r="I722" s="1110" t="str">
        <f>IF(J722&lt;&gt;"","",AI722)</f>
        <v/>
      </c>
      <c r="J722" s="1111"/>
      <c r="K722" s="519" t="str">
        <f t="shared" ref="K722:K728" si="169">IF(L722="",AQ722,"")</f>
        <v/>
      </c>
      <c r="L722" s="520"/>
      <c r="M722" s="700" t="str">
        <f>IF(AND(E711&lt;&gt;"",OR(F722="",COUNT(K722:L722)=0),Y722&lt;&gt;EUconst_NA,T711&lt;&gt;TRUE),EUconst_ERR_Incomplete,IF(COUNTIF(AX722:AZ722,TRUE)&gt;0,EUconst_ERR_Inconsistent,""))</f>
        <v/>
      </c>
      <c r="N722" s="486"/>
      <c r="O722" s="1305"/>
      <c r="P722" s="33"/>
      <c r="Q722" s="33"/>
      <c r="R722" s="33"/>
      <c r="S722" s="30"/>
      <c r="T722" s="521" t="str">
        <f>EUconst_CNTR_EF&amp;E711</f>
        <v>EF_</v>
      </c>
      <c r="U722" s="488"/>
      <c r="V722" s="522" t="str">
        <f>V720</f>
        <v/>
      </c>
      <c r="W722" s="30"/>
      <c r="X722" s="488"/>
      <c r="Y722" s="523" t="str">
        <f>IF(OR(T711=TRUE,E711=""),"",IF(F722=EUconst_NA,EUconst_NA,INDEX(EUwideConstants!$N:$N,MATCH(T722,EUwideConstants!$Q:$Q,0))))</f>
        <v/>
      </c>
      <c r="Z722" s="524" t="str">
        <f>IF(ISBLANK(F722),"",IF(F722=EUconst_NA,"",INDEX(EUwideConstants!$H:$M,MATCH(T722,EUwideConstants!$Q:$Q,0),MATCH(F722,CNTR_TierList,0))))</f>
        <v/>
      </c>
      <c r="AA722" s="525" t="str">
        <f>IF(COUNTIF(EUconst_DefaultValues,Z722)&gt;0,MATCH(Z722,EUconst_DefaultValues,0),"")</f>
        <v/>
      </c>
      <c r="AB722" s="30"/>
      <c r="AC722" s="526" t="b">
        <f>AND(AC720,Y722&lt;&gt;EUconst_NA)</f>
        <v>0</v>
      </c>
      <c r="AD722" s="30"/>
      <c r="AE722" s="510" t="str">
        <f>EUconst_CNTR_EF&amp;EUconst_Unit</f>
        <v>EF_Vienetas</v>
      </c>
      <c r="AF722" s="527" t="str">
        <f>IF(AC722=TRUE, IF(COUNTIF(MSPara_SourceStreamCategory,V722)=0,"",INDEX(MSPara_CalcFactorsMatrix,MATCH(V722,MSPara_SourceStreamCategory,0),MATCH(AE722&amp;"_"&amp;2,MSPara_CalcFactors,0))),"")</f>
        <v/>
      </c>
      <c r="AG722" s="528" t="str">
        <f>IF(AC722=TRUE, IF(COUNTIF(MSPara_SourceStreamCategory,V722)=0,"",INDEX(MSPara_CalcFactorsMatrix,MATCH(V722,MSPara_SourceStreamCategory,0),MATCH(AE722&amp;"_"&amp;1,MSPara_CalcFactors,0))),"")</f>
        <v/>
      </c>
      <c r="AH722" s="529" t="str">
        <f>IF(AA722="","",INDEX(AF722:AG722,3-AA722))</f>
        <v/>
      </c>
      <c r="AI722" s="530" t="str">
        <f>IF(AC722=TRUE,IF(OR(AH722="",AH722=EUconst_NA),IF(K710=EUconst_Fuel,EUconst_tCO2pTJ,EUconst_tCO2pt),AH722),"")</f>
        <v/>
      </c>
      <c r="AJ722" s="526" t="str">
        <f>IF(J722="",AI722,J722)</f>
        <v/>
      </c>
      <c r="AK722" s="531" t="b">
        <f>IF(K710=EUconst_Fuel,J722&lt;&gt;"",FALSE)</f>
        <v>0</v>
      </c>
      <c r="AL722" s="333"/>
      <c r="AM722" s="510" t="str">
        <f>EUconst_CNTR_EF&amp;EUconst_Value</f>
        <v>EF_Vertė</v>
      </c>
      <c r="AN722" s="532" t="str">
        <f>IF(AC722=TRUE,IF(COUNTIF(MSPara_SourceStreamCategory,V722)=0,"",INDEX(MSPara_CalcFactorsMatrix,MATCH(V722,MSPara_SourceStreamCategory,0),MATCH(AM722&amp;"_"&amp;2,MSPara_CalcFactors,0))),"")</f>
        <v/>
      </c>
      <c r="AO722" s="533" t="str">
        <f>IF(AC722=TRUE,IF(COUNTIF(MSPara_SourceStreamCategory,V722)=0,"",INDEX(MSPara_CalcFactorsMatrix,MATCH(V722,MSPara_SourceStreamCategory,0),MATCH(AM722&amp;"_"&amp;1,MSPara_CalcFactors,0))),"")</f>
        <v/>
      </c>
      <c r="AP722" s="526" t="b">
        <f>AND(AND(AH722&lt;&gt;"",AJ722&lt;&gt;""),AJ722=AH722)</f>
        <v>0</v>
      </c>
      <c r="AQ722" s="534" t="str">
        <f>IF(AND(AA722&lt;&gt;"",AP722=TRUE),IF(OR(INDEX(AN722:AO722,3-AA722)=EUconst_NA,INDEX(AN722:AO722,3-AA722)=0),"",INDEX(AN722:AO722,3-AA722)),"")</f>
        <v/>
      </c>
      <c r="AR722" s="526">
        <f>IF(AC722=TRUE,IF(COUNT(K722:L722)=0,0,IF(L722="",K722,L722)),0)</f>
        <v>0</v>
      </c>
      <c r="AS722" s="522" t="b">
        <f>AND(AC722=TRUE,OR(AND(F722&lt;&gt;"",NOT(ISNUMBER(AA722))),L722&lt;&gt;"",F722="",AQ722=""))</f>
        <v>0</v>
      </c>
      <c r="AT722" s="522" t="b">
        <f t="shared" ref="AT722:AT728" si="170">AND(AC722=TRUE,NOT(AS722))</f>
        <v>0</v>
      </c>
      <c r="AU722" s="30"/>
      <c r="AV722" s="535" t="b">
        <f t="shared" ref="AV722:AV728" si="171">AND(ISNUMBER(AA722),AQ722="")</f>
        <v>0</v>
      </c>
      <c r="AW722" s="536" t="b">
        <f t="shared" ref="AW722:AW728" si="172">AND(ISNUMBER(AA722),AQ722&lt;&gt;AR722)</f>
        <v>0</v>
      </c>
      <c r="AX722" s="537" t="b">
        <f>OR(AND(AJ720=EUconst_kNm3,AJ722=EUconst_tCO2pt),AND(AJ720=EUconst_t,AJ722=EUconst_tCO2pkNm3))</f>
        <v>0</v>
      </c>
      <c r="AY722" s="522" t="b">
        <f t="shared" ref="AY722:AY728" si="173">AND(L722&lt;&gt;"",Y722=EUconst_NA)</f>
        <v>0</v>
      </c>
      <c r="AZ722" s="30"/>
      <c r="BA722" s="30"/>
      <c r="BB722" s="538" t="s">
        <v>588</v>
      </c>
      <c r="BC722" s="537" t="str">
        <f>IF(K710=BC720,AR720*IF(AJ722=EUconst_tCO2pTJ,(AR723/1000),1)*AR722*AR724*AR728,"")</f>
        <v/>
      </c>
      <c r="BD722" s="515" t="str">
        <f>IF(K710=BD720,AR720*AR722*AR725*AR728,"")</f>
        <v/>
      </c>
      <c r="BE722" s="514" t="str">
        <f>IF(K710=BE720,3.664*AR720*AR726*AR728,"")</f>
        <v/>
      </c>
      <c r="BF722" s="30"/>
      <c r="BG722" s="30"/>
      <c r="BH722" s="30"/>
      <c r="BI722" s="30"/>
      <c r="BJ722" s="30"/>
      <c r="BK722" s="30"/>
      <c r="BL722" s="30"/>
      <c r="BM722" s="30"/>
      <c r="BN722" s="30"/>
      <c r="BO722" s="30"/>
      <c r="BP722" s="30"/>
      <c r="BQ722" s="30"/>
      <c r="BR722" s="30"/>
      <c r="BS722" s="30"/>
      <c r="BT722" s="30"/>
      <c r="BU722" s="30"/>
      <c r="BV722" s="30"/>
      <c r="BW722" s="30"/>
      <c r="BX722" s="30"/>
      <c r="BY722" s="30"/>
      <c r="BZ722" s="522" t="b">
        <f>OR(BZ720,Y722=EUconst_NA)</f>
        <v>1</v>
      </c>
    </row>
    <row r="723" spans="1:78" s="140" customFormat="1" ht="12.75" customHeight="1" thickBot="1" x14ac:dyDescent="0.25">
      <c r="A723" s="777"/>
      <c r="B723" s="1248"/>
      <c r="C723" s="783" t="s">
        <v>196</v>
      </c>
      <c r="D723" s="503" t="str">
        <f>Translations!$B$636</f>
        <v>GŠV:</v>
      </c>
      <c r="E723" s="504"/>
      <c r="F723" s="539"/>
      <c r="G723" s="1603" t="str">
        <f t="shared" si="168"/>
        <v/>
      </c>
      <c r="H723" s="1604"/>
      <c r="I723" s="1112" t="str">
        <f>AJ723</f>
        <v/>
      </c>
      <c r="J723" s="540"/>
      <c r="K723" s="541" t="str">
        <f t="shared" si="169"/>
        <v/>
      </c>
      <c r="L723" s="542"/>
      <c r="M723" s="700" t="str">
        <f>IF(AND(E711&lt;&gt;"",OR(F723="",COUNT(K723:L723)=0),Y723&lt;&gt;EUconst_NA,T711&lt;&gt;TRUE),EUconst_ERR_Incomplete,IF(COUNTIF(AX723:AZ723,TRUE)&gt;0,EUconst_ERR_Inconsistent,""))</f>
        <v/>
      </c>
      <c r="O723" s="1305"/>
      <c r="P723" s="33"/>
      <c r="Q723" s="33"/>
      <c r="R723" s="33"/>
      <c r="S723" s="30"/>
      <c r="T723" s="543" t="str">
        <f>EUconst_CNTR_NCV&amp;E711</f>
        <v>NCV_</v>
      </c>
      <c r="U723" s="488"/>
      <c r="V723" s="544" t="str">
        <f t="shared" ref="V723:V728" si="174">V722</f>
        <v/>
      </c>
      <c r="W723" s="30"/>
      <c r="X723" s="488"/>
      <c r="Y723" s="545" t="str">
        <f>IF(OR(T711=TRUE,E711=""),"",IF(F723=EUconst_NA,EUconst_NA,INDEX(EUwideConstants!$N:$N,MATCH(T723,EUwideConstants!$Q:$Q,0))))</f>
        <v/>
      </c>
      <c r="Z723" s="546" t="str">
        <f>IF(ISBLANK(F723),"",IF(F723=EUconst_NA,"",INDEX(EUwideConstants!$H:$M,MATCH(T723,EUwideConstants!$Q:$Q,0),MATCH(F723,CNTR_TierList,0))))</f>
        <v/>
      </c>
      <c r="AA723" s="547" t="str">
        <f>IF(COUNTIF(EUconst_DefaultValues,Z723)&gt;0,MATCH(Z723,EUconst_DefaultValues,0),"")</f>
        <v/>
      </c>
      <c r="AB723" s="30"/>
      <c r="AC723" s="548" t="b">
        <f>AND(AC720,Y723&lt;&gt;EUconst_NA)</f>
        <v>0</v>
      </c>
      <c r="AD723" s="30"/>
      <c r="AE723" s="549" t="str">
        <f>EUconst_CNTR_NCV&amp;EUconst_Unit</f>
        <v>NCV_Vienetas</v>
      </c>
      <c r="AF723" s="550" t="str">
        <f>IF(AC723=TRUE, IF(COUNTIF(MSPara_SourceStreamCategory,V723)=0,"",INDEX(MSPara_CalcFactorsMatrix,MATCH(V723,MSPara_SourceStreamCategory,0),MATCH(AE723&amp;"_"&amp;2,MSPara_CalcFactors,0))),"")</f>
        <v/>
      </c>
      <c r="AG723" s="551" t="str">
        <f>IF(AC723=TRUE, IF(COUNTIF(MSPara_SourceStreamCategory,V723)=0,"",INDEX(MSPara_CalcFactorsMatrix,MATCH(V723,MSPara_SourceStreamCategory,0),MATCH(AE723&amp;"_"&amp;1,MSPara_CalcFactors,0))),"")</f>
        <v/>
      </c>
      <c r="AH723" s="552" t="str">
        <f>IF(AA723="","",INDEX(AF723:AG723,3-AA723))</f>
        <v/>
      </c>
      <c r="AI723" s="553"/>
      <c r="AJ723" s="548" t="str">
        <f>IF(AC723=TRUE,IF(AJ720="","",IF(AJ720=EUconst_kNm3,EUconst_GJpkNm3,EUconst_GJpt)),"")</f>
        <v/>
      </c>
      <c r="AK723" s="554"/>
      <c r="AL723" s="333"/>
      <c r="AM723" s="549" t="str">
        <f>EUconst_CNTR_NCV&amp;EUconst_Value</f>
        <v>NCV_Vertė</v>
      </c>
      <c r="AN723" s="555" t="str">
        <f>IF(AC723=TRUE,IF(COUNTIF(MSPara_SourceStreamCategory,V723)=0,"",INDEX(MSPara_CalcFactorsMatrix,MATCH(V723,MSPara_SourceStreamCategory,0),MATCH(AM723&amp;"_"&amp;2,MSPara_CalcFactors,0))),"")</f>
        <v/>
      </c>
      <c r="AO723" s="556" t="str">
        <f>IF(AC723=TRUE,IF(COUNTIF(MSPara_SourceStreamCategory,V723)=0,"",INDEX(MSPara_CalcFactorsMatrix,MATCH(V723,MSPara_SourceStreamCategory,0),MATCH(AM723&amp;"_"&amp;1,MSPara_CalcFactors,0))),"")</f>
        <v/>
      </c>
      <c r="AP723" s="548" t="b">
        <f>AND(AND(AH723&lt;&gt;"",AJ723&lt;&gt;""),AJ723=AH723)</f>
        <v>0</v>
      </c>
      <c r="AQ723" s="557" t="str">
        <f>IF(AND(AA723&lt;&gt;"",AP723=TRUE),IF(OR(INDEX(AN723:AO723,3-AA723)=EUconst_NA,INDEX(AN723:AO723,3-AA723)=0),"",INDEX(AN723:AO723,3-AA723)),"")</f>
        <v/>
      </c>
      <c r="AR723" s="548">
        <f>IF(AC723=TRUE,IF(COUNT(K723:L723)=0,0,IF(L723="",K723,L723)),0)</f>
        <v>0</v>
      </c>
      <c r="AS723" s="544" t="b">
        <f>AND(AC723=TRUE,OR(AND(F723&lt;&gt;"",NOT(ISNUMBER(AA723))),L723&lt;&gt;"",F723="",AQ723=""))</f>
        <v>0</v>
      </c>
      <c r="AT723" s="544" t="b">
        <f t="shared" si="170"/>
        <v>0</v>
      </c>
      <c r="AU723" s="30"/>
      <c r="AV723" s="558" t="b">
        <f t="shared" si="171"/>
        <v>0</v>
      </c>
      <c r="AW723" s="559" t="b">
        <f t="shared" si="172"/>
        <v>0</v>
      </c>
      <c r="AX723" s="30"/>
      <c r="AY723" s="544" t="b">
        <f t="shared" si="173"/>
        <v>0</v>
      </c>
      <c r="AZ723" s="30"/>
      <c r="BA723" s="30"/>
      <c r="BB723" s="538" t="s">
        <v>589</v>
      </c>
      <c r="BC723" s="537" t="str">
        <f>IF(K710=BC720,AR720*IF(AJ722=EUconst_tCO2pTJ,(AR723/1000),1)*AR722*AR724*AR727,"")</f>
        <v/>
      </c>
      <c r="BD723" s="515" t="str">
        <f>IF(K710=BD720,AR720*AR722*AR725*AR727,"")</f>
        <v/>
      </c>
      <c r="BE723" s="514" t="str">
        <f>IF(K710=BE720,3.664*AR720*AR726*AR727,"")</f>
        <v/>
      </c>
      <c r="BF723" s="30"/>
      <c r="BG723" s="30"/>
      <c r="BH723" s="30"/>
      <c r="BI723" s="30"/>
      <c r="BJ723" s="30"/>
      <c r="BK723" s="30"/>
      <c r="BL723" s="30"/>
      <c r="BM723" s="30"/>
      <c r="BN723" s="30"/>
      <c r="BO723" s="30"/>
      <c r="BP723" s="30"/>
      <c r="BQ723" s="30"/>
      <c r="BR723" s="30"/>
      <c r="BS723" s="30"/>
      <c r="BT723" s="30"/>
      <c r="BU723" s="30"/>
      <c r="BV723" s="30"/>
      <c r="BW723" s="30"/>
      <c r="BX723" s="30"/>
      <c r="BY723" s="30"/>
      <c r="BZ723" s="544" t="b">
        <f>OR(BZ720,Y723=EUconst_NA)</f>
        <v>1</v>
      </c>
    </row>
    <row r="724" spans="1:78" s="140" customFormat="1" ht="12.75" customHeight="1" thickBot="1" x14ac:dyDescent="0.25">
      <c r="A724" s="777"/>
      <c r="B724" s="1248"/>
      <c r="C724" s="783" t="s">
        <v>197</v>
      </c>
      <c r="D724" s="503" t="str">
        <f>Translations!$B$638</f>
        <v>Oksidacijos koef.:</v>
      </c>
      <c r="E724" s="504"/>
      <c r="F724" s="539"/>
      <c r="G724" s="1603" t="str">
        <f t="shared" si="168"/>
        <v/>
      </c>
      <c r="H724" s="1604"/>
      <c r="I724" s="1113" t="str">
        <f>IF(OR(AC724=FALSE,Y724=EUconst_NA),"","-")</f>
        <v/>
      </c>
      <c r="J724" s="560"/>
      <c r="K724" s="561" t="str">
        <f t="shared" si="169"/>
        <v/>
      </c>
      <c r="L724" s="694"/>
      <c r="M724" s="700" t="str">
        <f>IF(AND(E711&lt;&gt;"",OR(F724="",COUNT(K724:L724)=0),Y724&lt;&gt;EUconst_NA,T711&lt;&gt;TRUE),EUconst_ERR_Incomplete,IF(COUNTIF(AX724:AZ724,TRUE)&gt;0,EUconst_ERR_Inconsistent,""))</f>
        <v/>
      </c>
      <c r="O724" s="1305"/>
      <c r="P724" s="33"/>
      <c r="Q724" s="33"/>
      <c r="R724" s="33"/>
      <c r="S724" s="30"/>
      <c r="T724" s="543" t="str">
        <f>EUconst_CNTR_OxidationFactor&amp;E711</f>
        <v>OxF_</v>
      </c>
      <c r="U724" s="488"/>
      <c r="V724" s="544" t="str">
        <f t="shared" si="174"/>
        <v/>
      </c>
      <c r="W724" s="30"/>
      <c r="X724" s="488"/>
      <c r="Y724" s="545" t="str">
        <f>IF(OR(T711=TRUE,E711=""),"",INDEX(EUwideConstants!$N:$N,MATCH(T724,EUwideConstants!$Q:$Q,0)))</f>
        <v/>
      </c>
      <c r="Z724" s="546" t="str">
        <f>IF(ISBLANK(F724),"",IF(F724=EUconst_NA,"",INDEX(EUwideConstants!$H:$M,MATCH(T724,EUwideConstants!$Q:$Q,0),MATCH(F724,CNTR_TierList,0))))</f>
        <v/>
      </c>
      <c r="AA724" s="525" t="str">
        <f>IF(F724=1,1,"")</f>
        <v/>
      </c>
      <c r="AB724" s="30"/>
      <c r="AC724" s="548" t="b">
        <f>AND(AC720,Y724&lt;&gt;EUconst_NA)</f>
        <v>0</v>
      </c>
      <c r="AD724" s="30"/>
      <c r="AE724" s="563"/>
      <c r="AG724" s="564"/>
      <c r="AH724" s="553"/>
      <c r="AI724" s="565"/>
      <c r="AJ724" s="553"/>
      <c r="AK724" s="566"/>
      <c r="AL724" s="333"/>
      <c r="AM724" s="549" t="str">
        <f>EUconst_CNTR_OxidationFactor&amp;EUconst_Value</f>
        <v>OxF_Vertė</v>
      </c>
      <c r="AN724" s="567"/>
      <c r="AO724" s="525">
        <v>1</v>
      </c>
      <c r="AP724" s="553"/>
      <c r="AQ724" s="568" t="str">
        <f>IF(AA724="","",AO724)</f>
        <v/>
      </c>
      <c r="AR724" s="548">
        <f>IF(AC724=TRUE,IF(COUNT(K724:L724)=0,0,IF(L724="",K724,L724)),1)</f>
        <v>1</v>
      </c>
      <c r="AS724" s="544" t="b">
        <f>AND(AC724=TRUE,OR(ISNUMBER(L724),NOT(ISNUMBER(AA724))))</f>
        <v>0</v>
      </c>
      <c r="AT724" s="544" t="b">
        <f t="shared" si="170"/>
        <v>0</v>
      </c>
      <c r="AU724" s="30"/>
      <c r="AV724" s="558" t="b">
        <f t="shared" si="171"/>
        <v>0</v>
      </c>
      <c r="AW724" s="559" t="b">
        <f t="shared" si="172"/>
        <v>0</v>
      </c>
      <c r="AX724" s="30"/>
      <c r="AY724" s="585" t="b">
        <f t="shared" si="173"/>
        <v>0</v>
      </c>
      <c r="AZ724" s="522" t="b">
        <f>AR724&gt;100%</f>
        <v>0</v>
      </c>
      <c r="BA724" s="30"/>
      <c r="BB724" s="538" t="s">
        <v>287</v>
      </c>
      <c r="BC724" s="537" t="str">
        <f>IF(K710=BC720,AR720*IF(AJ722=EUconst_tCO2pTJ,(AR723/1000),1)*AR722*AR724*(1-AR727),"")</f>
        <v/>
      </c>
      <c r="BD724" s="515" t="str">
        <f>IF(K710=BD720,AR720*AR722*AR725*(1-AR727),"")</f>
        <v/>
      </c>
      <c r="BE724" s="514" t="str">
        <f>IF(K710=BE720,3.664*AR720*AR726*(1-AR727),"")</f>
        <v/>
      </c>
      <c r="BF724" s="30"/>
      <c r="BG724" s="30"/>
      <c r="BH724" s="30"/>
      <c r="BI724" s="30"/>
      <c r="BJ724" s="30"/>
      <c r="BK724" s="30"/>
      <c r="BL724" s="30"/>
      <c r="BM724" s="30"/>
      <c r="BN724" s="30"/>
      <c r="BO724" s="30"/>
      <c r="BP724" s="30"/>
      <c r="BQ724" s="30"/>
      <c r="BR724" s="30"/>
      <c r="BS724" s="30"/>
      <c r="BT724" s="30"/>
      <c r="BU724" s="30"/>
      <c r="BV724" s="30"/>
      <c r="BW724" s="30"/>
      <c r="BX724" s="30"/>
      <c r="BY724" s="30"/>
      <c r="BZ724" s="544" t="b">
        <f>OR(BZ720,Y724=EUconst_NA)</f>
        <v>1</v>
      </c>
    </row>
    <row r="725" spans="1:78" s="140" customFormat="1" ht="12.75" customHeight="1" thickBot="1" x14ac:dyDescent="0.25">
      <c r="A725" s="777"/>
      <c r="B725" s="1248"/>
      <c r="C725" s="783" t="s">
        <v>198</v>
      </c>
      <c r="D725" s="503" t="str">
        <f>Translations!$B$639</f>
        <v>Konversijos koef.:</v>
      </c>
      <c r="E725" s="504"/>
      <c r="F725" s="539"/>
      <c r="G725" s="1603" t="str">
        <f t="shared" si="168"/>
        <v/>
      </c>
      <c r="H725" s="1604"/>
      <c r="I725" s="1113" t="str">
        <f>IF(OR(AC725=FALSE,Y725=EUconst_NA),"","-")</f>
        <v/>
      </c>
      <c r="J725" s="560"/>
      <c r="K725" s="561" t="str">
        <f t="shared" si="169"/>
        <v/>
      </c>
      <c r="L725" s="694"/>
      <c r="M725" s="700" t="str">
        <f>IF(AND(E711&lt;&gt;"",OR(F725="",COUNT(K725:L725)=0),Y725&lt;&gt;EUconst_NA,T711&lt;&gt;TRUE),EUconst_ERR_Incomplete,IF(COUNTIF(AX725:AZ725,TRUE)&gt;0,EUconst_ERR_Inconsistent,""))</f>
        <v/>
      </c>
      <c r="O725" s="1305"/>
      <c r="P725" s="33"/>
      <c r="Q725" s="33"/>
      <c r="R725" s="33"/>
      <c r="S725" s="30"/>
      <c r="T725" s="543" t="str">
        <f>EUconst_CNTR_ConversionFactor&amp;E711</f>
        <v>ConvF_</v>
      </c>
      <c r="U725" s="488"/>
      <c r="V725" s="544" t="str">
        <f t="shared" si="174"/>
        <v/>
      </c>
      <c r="W725" s="30"/>
      <c r="X725" s="488"/>
      <c r="Y725" s="545" t="str">
        <f>IF(OR(T711=TRUE,E711=""),"",INDEX(EUwideConstants!$N:$N,MATCH(T725,EUwideConstants!$Q:$Q,0)))</f>
        <v/>
      </c>
      <c r="Z725" s="546" t="str">
        <f>IF(ISBLANK(F725),"",IF(F725=EUconst_NA,"",INDEX(EUwideConstants!$H:$M,MATCH(T725,EUwideConstants!$Q:$Q,0),MATCH(F725,CNTR_TierList,0))))</f>
        <v/>
      </c>
      <c r="AA725" s="573" t="str">
        <f>IF(F725=1,1,"")</f>
        <v/>
      </c>
      <c r="AB725" s="30"/>
      <c r="AC725" s="548" t="b">
        <f>AND(AC720,Y725&lt;&gt;EUconst_NA)</f>
        <v>0</v>
      </c>
      <c r="AD725" s="30"/>
      <c r="AE725" s="563"/>
      <c r="AG725" s="564"/>
      <c r="AH725" s="574"/>
      <c r="AI725" s="565"/>
      <c r="AJ725" s="574"/>
      <c r="AK725" s="566"/>
      <c r="AL725" s="333"/>
      <c r="AM725" s="549" t="str">
        <f>EUconst_CNTR_ConversionFactor&amp;EUconst_Value</f>
        <v>ConvF_Vertė</v>
      </c>
      <c r="AN725" s="575"/>
      <c r="AO725" s="573">
        <v>1</v>
      </c>
      <c r="AP725" s="574"/>
      <c r="AQ725" s="576" t="str">
        <f>IF(AA725="","",AO725)</f>
        <v/>
      </c>
      <c r="AR725" s="548">
        <f>IF(AC725=TRUE,IF(COUNT(K725:L725)=0,0,IF(L725="",K725,L725)),1)</f>
        <v>1</v>
      </c>
      <c r="AS725" s="544" t="b">
        <f>AND(AC725=TRUE,OR(ISNUMBER(L725),NOT(ISNUMBER(AA725))))</f>
        <v>0</v>
      </c>
      <c r="AT725" s="544" t="b">
        <f t="shared" si="170"/>
        <v>0</v>
      </c>
      <c r="AU725" s="30"/>
      <c r="AV725" s="558" t="b">
        <f t="shared" si="171"/>
        <v>0</v>
      </c>
      <c r="AW725" s="559" t="b">
        <f t="shared" si="172"/>
        <v>0</v>
      </c>
      <c r="AX725" s="30"/>
      <c r="AY725" s="585" t="b">
        <f t="shared" si="173"/>
        <v>0</v>
      </c>
      <c r="AZ725" s="571" t="b">
        <f>AR725&gt;100%</f>
        <v>0</v>
      </c>
      <c r="BA725" s="30"/>
      <c r="BB725" s="569" t="s">
        <v>481</v>
      </c>
      <c r="BC725" s="570">
        <f>AR720*AR723/1000*(1-AR727)</f>
        <v>0</v>
      </c>
      <c r="BD725" s="571">
        <f>BC725</f>
        <v>0</v>
      </c>
      <c r="BE725" s="572">
        <f>BC725</f>
        <v>0</v>
      </c>
      <c r="BF725" s="30"/>
      <c r="BG725" s="30"/>
      <c r="BH725" s="30"/>
      <c r="BI725" s="30"/>
      <c r="BJ725" s="30"/>
      <c r="BK725" s="30"/>
      <c r="BL725" s="30"/>
      <c r="BM725" s="30"/>
      <c r="BN725" s="30"/>
      <c r="BO725" s="30"/>
      <c r="BP725" s="30"/>
      <c r="BQ725" s="30"/>
      <c r="BR725" s="30"/>
      <c r="BS725" s="30"/>
      <c r="BT725" s="30"/>
      <c r="BU725" s="30"/>
      <c r="BV725" s="30"/>
      <c r="BW725" s="30"/>
      <c r="BX725" s="30"/>
      <c r="BY725" s="30"/>
      <c r="BZ725" s="544" t="b">
        <f>OR(BZ720,Y725=EUconst_NA)</f>
        <v>1</v>
      </c>
    </row>
    <row r="726" spans="1:78" s="140" customFormat="1" ht="12.75" customHeight="1" thickBot="1" x14ac:dyDescent="0.25">
      <c r="A726" s="777"/>
      <c r="B726" s="1248"/>
      <c r="C726" s="783" t="s">
        <v>324</v>
      </c>
      <c r="D726" s="503" t="str">
        <f>Translations!$B$640</f>
        <v>Anglies kiekis (C):</v>
      </c>
      <c r="E726" s="504"/>
      <c r="F726" s="539"/>
      <c r="G726" s="1603" t="str">
        <f t="shared" si="168"/>
        <v/>
      </c>
      <c r="H726" s="1604"/>
      <c r="I726" s="1113" t="str">
        <f>AJ726</f>
        <v/>
      </c>
      <c r="J726" s="577"/>
      <c r="K726" s="578" t="str">
        <f t="shared" si="169"/>
        <v/>
      </c>
      <c r="L726" s="579"/>
      <c r="M726" s="700" t="str">
        <f>IF(AND(E711&lt;&gt;"",OR(F726="",COUNT(K726:L726)=0),Y726&lt;&gt;EUconst_NA,T711&lt;&gt;TRUE),EUconst_ERR_Incomplete,IF(COUNTIF(AX726:AZ726,TRUE)&gt;0,EUconst_ERR_Inconsistent,""))</f>
        <v/>
      </c>
      <c r="O726" s="1305"/>
      <c r="P726" s="33"/>
      <c r="Q726" s="33"/>
      <c r="R726" s="33"/>
      <c r="S726" s="30"/>
      <c r="T726" s="543" t="str">
        <f>EUconst_CNTR_CarbonContent&amp;E711</f>
        <v>CarbC_</v>
      </c>
      <c r="U726" s="488"/>
      <c r="V726" s="544" t="str">
        <f t="shared" si="174"/>
        <v/>
      </c>
      <c r="W726" s="30"/>
      <c r="X726" s="488"/>
      <c r="Y726" s="545" t="str">
        <f>IF(OR(T711=TRUE,E711=""),"",INDEX(EUwideConstants!$N:$N,MATCH(T726,EUwideConstants!$Q:$Q,0)))</f>
        <v/>
      </c>
      <c r="Z726" s="546" t="str">
        <f>IF(ISBLANK(F726),"",IF(F726=EUconst_NA,"",INDEX(EUwideConstants!$H:$M,MATCH(T726,EUwideConstants!$Q:$Q,0),MATCH(F726,CNTR_TierList,0))))</f>
        <v/>
      </c>
      <c r="AA726" s="580" t="str">
        <f>IF(COUNTIF(EUconst_DefaultValues,Z726)&gt;0,MATCH(Z726,EUconst_DefaultValues,0),"")</f>
        <v/>
      </c>
      <c r="AB726" s="30"/>
      <c r="AC726" s="548" t="b">
        <f>AND(AC720,Y726&lt;&gt;EUconst_NA)</f>
        <v>0</v>
      </c>
      <c r="AD726" s="30"/>
      <c r="AE726" s="549" t="str">
        <f>EUconst_CNTR_CarbonContent&amp;EUconst_Unit</f>
        <v>CarbC_Vienetas</v>
      </c>
      <c r="AF726" s="550" t="str">
        <f>IF(AC726=TRUE, IF(COUNTIF(MSPara_SourceStreamCategory,V726)=0,"",INDEX(MSPara_CalcFactorsMatrix,MATCH(V726,MSPara_SourceStreamCategory,0),MATCH(AE726&amp;"_"&amp;2,MSPara_CalcFactors,0))),"")</f>
        <v/>
      </c>
      <c r="AG726" s="551" t="str">
        <f>IF(AC726=TRUE, IF(COUNTIF(MSPara_SourceStreamCategory,V726)=0,"",INDEX(MSPara_CalcFactorsMatrix,MATCH(V726,MSPara_SourceStreamCategory,0),MATCH(AE726&amp;"_"&amp;1,MSPara_CalcFactors,0))),"")</f>
        <v/>
      </c>
      <c r="AH726" s="581" t="str">
        <f>IF(AA726="","",INDEX(AF726:AG726,3-AA726))</f>
        <v/>
      </c>
      <c r="AI726" s="565"/>
      <c r="AJ726" s="582" t="str">
        <f>IF(AC726=TRUE,IF(AJ720="","",IF(AJ720=EUconst_kNm3,EUconst_tCpkNm3,EUconst_tCpt)),"")</f>
        <v/>
      </c>
      <c r="AK726" s="566"/>
      <c r="AL726" s="333"/>
      <c r="AM726" s="549" t="str">
        <f>EUconst_CNTR_CarbonContent&amp;EUconst_Value</f>
        <v>CarbC_Vertė</v>
      </c>
      <c r="AN726" s="555" t="str">
        <f>IF(AC726=TRUE,IF(COUNTIF(MSPara_SourceStreamCategory,V726)=0,"",INDEX(MSPara_CalcFactorsMatrix,MATCH(V726,MSPara_SourceStreamCategory,0),MATCH(AM726&amp;"_"&amp;2,MSPara_CalcFactors,0))),"")</f>
        <v/>
      </c>
      <c r="AO726" s="583" t="str">
        <f>IF(AC726=TRUE,IF(COUNTIF(MSPara_SourceStreamCategory,V726)=0,"",INDEX(MSPara_CalcFactorsMatrix,MATCH(V726,MSPara_SourceStreamCategory,0),MATCH(AM726&amp;"_"&amp;1,MSPara_CalcFactors,0))),"")</f>
        <v/>
      </c>
      <c r="AP726" s="548" t="b">
        <f>AND(AND(AH726&lt;&gt;"",AJ726&lt;&gt;""),AJ726=AH726)</f>
        <v>0</v>
      </c>
      <c r="AQ726" s="584" t="str">
        <f>IF(AND(AA726&lt;&gt;"",AP726=TRUE),IF(OR(INDEX(AN726:AO726,3-AA726)=EUconst_NA,INDEX(AN726:AO726,3-AA726)=0),"",INDEX(AN726:AO726,3-AA726)),"")</f>
        <v/>
      </c>
      <c r="AR726" s="548">
        <f>IF(AC726=TRUE,IF(COUNT(K726:L726)=0,0,IF(L726="",K726,L726)),0)</f>
        <v>0</v>
      </c>
      <c r="AS726" s="544" t="b">
        <f>AND(AC726=TRUE,OR(AND(F726&lt;&gt;"",NOT(ISNUMBER(AA726))),L726&lt;&gt;"",F726="",AQ726=""))</f>
        <v>0</v>
      </c>
      <c r="AT726" s="544" t="b">
        <f t="shared" si="170"/>
        <v>0</v>
      </c>
      <c r="AU726" s="30"/>
      <c r="AV726" s="558" t="b">
        <f t="shared" si="171"/>
        <v>0</v>
      </c>
      <c r="AW726" s="559" t="b">
        <f t="shared" si="172"/>
        <v>0</v>
      </c>
      <c r="AX726" s="537" t="b">
        <f>OR(AND(AJ720=EUconst_kNm3,AJ726=EUconst_tCpt),AND(AJ720=EUconst_t,AJ726=EUconst_tCpkNm3))</f>
        <v>0</v>
      </c>
      <c r="AY726" s="544" t="b">
        <f t="shared" si="173"/>
        <v>0</v>
      </c>
      <c r="AZ726" s="30"/>
      <c r="BA726" s="30"/>
      <c r="BB726" s="569" t="s">
        <v>482</v>
      </c>
      <c r="BC726" s="570">
        <f>AR720*AR723/1000*AR727</f>
        <v>0</v>
      </c>
      <c r="BD726" s="571">
        <f>BC726</f>
        <v>0</v>
      </c>
      <c r="BE726" s="572">
        <f>BC726</f>
        <v>0</v>
      </c>
      <c r="BF726" s="30"/>
      <c r="BG726" s="30"/>
      <c r="BH726" s="30"/>
      <c r="BI726" s="30"/>
      <c r="BJ726" s="30"/>
      <c r="BK726" s="30"/>
      <c r="BL726" s="30"/>
      <c r="BM726" s="30"/>
      <c r="BN726" s="30"/>
      <c r="BO726" s="30"/>
      <c r="BP726" s="30"/>
      <c r="BQ726" s="30"/>
      <c r="BR726" s="30"/>
      <c r="BS726" s="30"/>
      <c r="BT726" s="30"/>
      <c r="BU726" s="30"/>
      <c r="BV726" s="30"/>
      <c r="BW726" s="30"/>
      <c r="BX726" s="30"/>
      <c r="BY726" s="30"/>
      <c r="BZ726" s="544" t="b">
        <f>OR(BZ720,Y726=EUconst_NA)</f>
        <v>1</v>
      </c>
    </row>
    <row r="727" spans="1:78" s="140" customFormat="1" ht="12.75" customHeight="1" x14ac:dyDescent="0.2">
      <c r="A727" s="777"/>
      <c r="B727" s="1248"/>
      <c r="C727" s="753" t="s">
        <v>325</v>
      </c>
      <c r="D727" s="503" t="str">
        <f>Translations!$B$641</f>
        <v>Biomasės dalis (BioC):</v>
      </c>
      <c r="E727" s="504"/>
      <c r="F727" s="539"/>
      <c r="G727" s="1603" t="str">
        <f t="shared" si="168"/>
        <v/>
      </c>
      <c r="H727" s="1604"/>
      <c r="I727" s="1113" t="str">
        <f>IF(OR(AC727=FALSE,Y727=EUconst_NA),"","-")</f>
        <v/>
      </c>
      <c r="J727" s="560"/>
      <c r="K727" s="561" t="str">
        <f t="shared" si="169"/>
        <v/>
      </c>
      <c r="L727" s="694"/>
      <c r="M727" s="700" t="str">
        <f>IF(AND(E711&lt;&gt;"",OR(F727="",COUNT(K727:L727)=0),Y727&lt;&gt;EUconst_NA,T711&lt;&gt;TRUE),EUconst_ERR_Incomplete,IF(COUNTIF(AX727:AZ727,TRUE)&gt;0,EUconst_ERR_Inconsistent,""))</f>
        <v/>
      </c>
      <c r="O727" s="1305"/>
      <c r="P727" s="635"/>
      <c r="Q727" s="635"/>
      <c r="R727" s="635"/>
      <c r="S727" s="30"/>
      <c r="T727" s="543" t="str">
        <f>EUconst_CNTR_BiomassContent&amp;E711</f>
        <v>BioC_</v>
      </c>
      <c r="U727" s="488"/>
      <c r="V727" s="585" t="str">
        <f t="shared" si="174"/>
        <v/>
      </c>
      <c r="W727" s="522" t="str">
        <f>IF(COUNTIF(MSPara_SourceStreamCategory,V727)=0,"",INDEX(MSPara_IsFossil,MATCH(V727,MSPara_SourceStreamCategory,0)))</f>
        <v/>
      </c>
      <c r="X727" s="488"/>
      <c r="Y727" s="545" t="str">
        <f>IF(OR(T711=TRUE,E711=""),"",IF(OR(W727=TRUE,F727=EUconst_NA),EUconst_NA,INDEX(EUwideConstants!$N:$N,MATCH(T727,EUwideConstants!$Q:$Q,0))))</f>
        <v/>
      </c>
      <c r="Z727" s="546" t="str">
        <f>IF(ISBLANK(F727),"",IF(F727=EUconst_NA,"",INDEX(EUwideConstants!$H:$M,MATCH(T727,EUwideConstants!$Q:$Q,0),MATCH(F727,CNTR_TierList,0))))</f>
        <v/>
      </c>
      <c r="AA727" s="586" t="str">
        <f>IF(F727=1,1,"")</f>
        <v/>
      </c>
      <c r="AB727" s="30"/>
      <c r="AC727" s="548" t="b">
        <f>AND(AC720,Y727&lt;&gt;EUconst_NA)</f>
        <v>0</v>
      </c>
      <c r="AD727" s="30"/>
      <c r="AE727" s="563"/>
      <c r="AG727" s="564"/>
      <c r="AH727" s="553"/>
      <c r="AI727" s="565"/>
      <c r="AJ727" s="553"/>
      <c r="AK727" s="566"/>
      <c r="AL727" s="333"/>
      <c r="AM727" s="549" t="str">
        <f>EUconst_CNTR_BiomassContent&amp;EUconst_Value</f>
        <v>BioC_Vertė</v>
      </c>
      <c r="AO727" s="587" t="str">
        <f>IF(AC727=TRUE,IF(COUNTIF(MSPara_SourceStreamCategory,V727)=0,"",INDEX(MSPara_CalcFactorsMatrix,MATCH(V727,MSPara_SourceStreamCategory,0),MATCH(AM727&amp;"_"&amp;2,MSPara_CalcFactors,0))),"")</f>
        <v/>
      </c>
      <c r="AP727" s="553"/>
      <c r="AQ727" s="568" t="str">
        <f>IF(OR(AA727="",AO727=EUconst_NA),"",AO727)</f>
        <v/>
      </c>
      <c r="AR727" s="548">
        <f>IF(AC727=TRUE,IF(COUNT(K727:L727)=0,0,IF(L727="",K727,L727)),0)</f>
        <v>0</v>
      </c>
      <c r="AS727" s="544" t="b">
        <f>AND(AC727=TRUE,OR(AND(F727&lt;&gt;"",NOT(ISNUMBER(AA727))),L727&lt;&gt;"",F727="",AQ727=""))</f>
        <v>0</v>
      </c>
      <c r="AT727" s="544" t="b">
        <f t="shared" si="170"/>
        <v>0</v>
      </c>
      <c r="AU727" s="30"/>
      <c r="AV727" s="558" t="b">
        <f t="shared" si="171"/>
        <v>0</v>
      </c>
      <c r="AW727" s="559" t="b">
        <f t="shared" si="172"/>
        <v>0</v>
      </c>
      <c r="AX727" s="30"/>
      <c r="AY727" s="585" t="b">
        <f t="shared" si="173"/>
        <v>0</v>
      </c>
      <c r="AZ727" s="522" t="b">
        <f>OR(AR727&gt;100%,(AR727+AR728)&gt;100%)</f>
        <v>0</v>
      </c>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544" t="b">
        <f>OR(BZ720,Y727=EUconst_NA)</f>
        <v>1</v>
      </c>
    </row>
    <row r="728" spans="1:78" s="140" customFormat="1" ht="12.75" customHeight="1" thickBot="1" x14ac:dyDescent="0.25">
      <c r="A728" s="777"/>
      <c r="B728" s="1248"/>
      <c r="C728" s="753" t="s">
        <v>448</v>
      </c>
      <c r="D728" s="503" t="str">
        <f>Translations!$B$647</f>
        <v>Netvarios BioC dalis:</v>
      </c>
      <c r="E728" s="504"/>
      <c r="F728" s="588"/>
      <c r="G728" s="1603" t="str">
        <f t="shared" si="168"/>
        <v/>
      </c>
      <c r="H728" s="1604"/>
      <c r="I728" s="1114" t="str">
        <f>IF(OR(AC728=FALSE,Y728=EUconst_NA),"","-")</f>
        <v/>
      </c>
      <c r="J728" s="560"/>
      <c r="K728" s="589" t="str">
        <f t="shared" si="169"/>
        <v/>
      </c>
      <c r="L728" s="1100"/>
      <c r="M728" s="700" t="str">
        <f>IF(AND(E711&lt;&gt;"",OR(F728="",COUNT(K728:L728)=0),Y728&lt;&gt;EUconst_NA,T711&lt;&gt;TRUE),EUconst_ERR_Incomplete,IF(COUNTIF(AX728:AZ728,TRUE)&gt;0,EUconst_ERR_Inconsistent,""))</f>
        <v/>
      </c>
      <c r="O728" s="1305"/>
      <c r="P728" s="635"/>
      <c r="Q728" s="635"/>
      <c r="R728" s="635"/>
      <c r="S728" s="30"/>
      <c r="T728" s="590" t="str">
        <f>EUconst_CNTR_BiomassContent&amp;E711</f>
        <v>BioC_</v>
      </c>
      <c r="U728" s="488"/>
      <c r="V728" s="570" t="str">
        <f t="shared" si="174"/>
        <v/>
      </c>
      <c r="W728" s="571" t="str">
        <f>IF(COUNTIF(MSPara_SourceStreamCategory,V728)=0,"",INDEX(MSPara_IsFossil,MATCH(V728,MSPara_SourceStreamCategory,0)))</f>
        <v/>
      </c>
      <c r="X728" s="488"/>
      <c r="Y728" s="591" t="str">
        <f>IF(OR(T711=TRUE,E711=""),"",IF(OR(W728=TRUE,F728=EUconst_NA),EUconst_NA,INDEX(EUwideConstants!$N:$N,MATCH(T728,EUwideConstants!$Q:$Q,0))))</f>
        <v/>
      </c>
      <c r="Z728" s="592" t="str">
        <f>IF(ISBLANK(F728),"",IF(F728=EUconst_NA,"",INDEX(EUwideConstants!$H:$M,MATCH(T728,EUwideConstants!$Q:$Q,0),MATCH(F728,CNTR_TierList,0))))</f>
        <v/>
      </c>
      <c r="AA728" s="593" t="str">
        <f>IF(F728=1,1,"")</f>
        <v/>
      </c>
      <c r="AB728" s="30"/>
      <c r="AC728" s="594" t="b">
        <f>AND(AC720,Y728&lt;&gt;EUconst_NA)</f>
        <v>0</v>
      </c>
      <c r="AD728" s="30"/>
      <c r="AE728" s="595"/>
      <c r="AF728" s="596"/>
      <c r="AG728" s="597"/>
      <c r="AH728" s="598"/>
      <c r="AI728" s="598"/>
      <c r="AJ728" s="598"/>
      <c r="AK728" s="599"/>
      <c r="AL728" s="333"/>
      <c r="AM728" s="600" t="str">
        <f>EUconst_CNTR_BiomassContent&amp;EUconst_Value</f>
        <v>BioC_Vertė</v>
      </c>
      <c r="AN728" s="596"/>
      <c r="AO728" s="601" t="str">
        <f>IF(AC728=TRUE,IF(COUNTIF(MSPara_SourceStreamCategory,V728)=0,"",INDEX(MSPara_CalcFactorsMatrix,MATCH(V728,MSPara_SourceStreamCategory,0),MATCH(AM728&amp;"_"&amp;2,MSPara_CalcFactors,0))),"")</f>
        <v/>
      </c>
      <c r="AP728" s="598"/>
      <c r="AQ728" s="602" t="str">
        <f>IF(OR(AA728="",AO728=EUconst_NA),"",AO728)</f>
        <v/>
      </c>
      <c r="AR728" s="594">
        <f>IF(AC728=TRUE,IF(COUNT(K728:L728)=0,0,IF(L728="",K728,L728)),0)</f>
        <v>0</v>
      </c>
      <c r="AS728" s="603" t="b">
        <f>AND(AC728=TRUE,OR(AND(F728&lt;&gt;"",NOT(ISNUMBER(AA728))),L728&lt;&gt;"",F728="",AQ728=""))</f>
        <v>0</v>
      </c>
      <c r="AT728" s="603" t="b">
        <f t="shared" si="170"/>
        <v>0</v>
      </c>
      <c r="AU728" s="30"/>
      <c r="AV728" s="604" t="b">
        <f t="shared" si="171"/>
        <v>0</v>
      </c>
      <c r="AW728" s="605" t="b">
        <f t="shared" si="172"/>
        <v>0</v>
      </c>
      <c r="AX728" s="30"/>
      <c r="AY728" s="570" t="b">
        <f t="shared" si="173"/>
        <v>0</v>
      </c>
      <c r="AZ728" s="571" t="b">
        <f>OR(AR727&gt;100%,(AR727+AR728)&gt;100%)</f>
        <v>0</v>
      </c>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571" t="b">
        <f>OR(BZ720,Y728=EUconst_NA)</f>
        <v>1</v>
      </c>
    </row>
    <row r="729" spans="1:78" s="140" customFormat="1" ht="5.0999999999999996" customHeight="1" x14ac:dyDescent="0.2">
      <c r="A729" s="777"/>
      <c r="B729" s="1248"/>
      <c r="C729" s="164"/>
      <c r="D729" s="178"/>
      <c r="O729" s="1305"/>
      <c r="P729" s="33"/>
      <c r="Q729" s="33"/>
      <c r="R729" s="33"/>
      <c r="S729" s="172"/>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row>
    <row r="730" spans="1:78" s="140" customFormat="1" ht="12.75" customHeight="1" x14ac:dyDescent="0.2">
      <c r="A730" s="777"/>
      <c r="B730" s="1248"/>
      <c r="C730" s="164"/>
      <c r="D730" s="1629" t="str">
        <f>Translations!$B$674</f>
        <v>Pakopos galioja nuo:</v>
      </c>
      <c r="E730" s="1629"/>
      <c r="F730" s="1630"/>
      <c r="G730" s="1014"/>
      <c r="H730" s="606" t="str">
        <f>Translations!$B$675</f>
        <v>iki:</v>
      </c>
      <c r="I730" s="1014"/>
      <c r="J730" s="1620" t="str">
        <f>Translations!$B$676</f>
        <v>Atliekų katalogo numeris (jeigu taikytina):</v>
      </c>
      <c r="K730" s="1621"/>
      <c r="L730" s="1621"/>
      <c r="M730" s="1622"/>
      <c r="N730" s="1232"/>
      <c r="O730" s="1305"/>
      <c r="P730" s="33"/>
      <c r="Q730" s="33"/>
      <c r="R730" s="33"/>
      <c r="S730" s="1233"/>
      <c r="T730" s="483"/>
      <c r="U730" s="483"/>
      <c r="V730" s="48" t="b">
        <f>IF(V720="",FALSE,INDEX(CNTR_IsWaste,MATCH(V720,MSParameters!$A$218:$A$376,0)))</f>
        <v>0</v>
      </c>
      <c r="W730" s="1233" t="s">
        <v>1689</v>
      </c>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2" t="b">
        <f>BZ720</f>
        <v>1</v>
      </c>
    </row>
    <row r="731" spans="1:78" s="140" customFormat="1" ht="5.0999999999999996" customHeight="1" x14ac:dyDescent="0.2">
      <c r="A731" s="777"/>
      <c r="B731" s="1248"/>
      <c r="C731" s="164"/>
      <c r="D731" s="606"/>
      <c r="E731" s="486"/>
      <c r="F731" s="486"/>
      <c r="G731" s="486"/>
      <c r="H731" s="486"/>
      <c r="I731" s="486"/>
      <c r="J731" s="486"/>
      <c r="K731" s="486"/>
      <c r="L731" s="486"/>
      <c r="M731" s="486"/>
      <c r="N731" s="486"/>
      <c r="O731" s="1305"/>
      <c r="P731" s="33"/>
      <c r="Q731" s="33"/>
      <c r="R731" s="33"/>
      <c r="S731" s="172"/>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row>
    <row r="732" spans="1:78" s="140" customFormat="1" ht="12.75" customHeight="1" x14ac:dyDescent="0.2">
      <c r="A732" s="777"/>
      <c r="B732" s="1248"/>
      <c r="C732" s="164"/>
      <c r="D732" s="486"/>
      <c r="E732" s="486"/>
      <c r="F732" s="486"/>
      <c r="G732" s="486"/>
      <c r="H732" s="486"/>
      <c r="I732" s="486"/>
      <c r="J732" s="486"/>
      <c r="K732" s="486"/>
      <c r="L732" s="486"/>
      <c r="M732" s="606" t="str">
        <f>Translations!$B$677</f>
        <v>Stebėsenos plane šiam sukėlikliui suteiktas identifikatorius:</v>
      </c>
      <c r="N732" s="705"/>
      <c r="O732" s="1305"/>
      <c r="P732" s="33"/>
      <c r="Q732" s="33"/>
      <c r="R732" s="33"/>
      <c r="S732" s="172"/>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2" t="b">
        <f>BZ730</f>
        <v>1</v>
      </c>
    </row>
    <row r="733" spans="1:78" s="140" customFormat="1" ht="5.0999999999999996" customHeight="1" x14ac:dyDescent="0.2">
      <c r="A733" s="784"/>
      <c r="B733" s="1316"/>
      <c r="D733" s="178"/>
      <c r="O733" s="1317"/>
      <c r="P733" s="488"/>
      <c r="Q733" s="488"/>
      <c r="R733" s="488"/>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row>
    <row r="734" spans="1:78" s="140" customFormat="1" x14ac:dyDescent="0.2">
      <c r="A734" s="784"/>
      <c r="B734" s="1316"/>
      <c r="D734" s="1618" t="str">
        <f>Translations!$B$160</f>
        <v>Pastabos:</v>
      </c>
      <c r="E734" s="1619"/>
      <c r="F734" s="1605"/>
      <c r="G734" s="1606"/>
      <c r="H734" s="1606"/>
      <c r="I734" s="1606"/>
      <c r="J734" s="1606"/>
      <c r="K734" s="1606"/>
      <c r="L734" s="1606"/>
      <c r="M734" s="1606"/>
      <c r="N734" s="1607"/>
      <c r="O734" s="1317"/>
      <c r="P734" s="488"/>
      <c r="Q734" s="488"/>
      <c r="R734" s="488"/>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2" t="b">
        <f>BZ730</f>
        <v>1</v>
      </c>
    </row>
    <row r="735" spans="1:78" s="28" customFormat="1" ht="12.75" customHeight="1" thickBot="1" x14ac:dyDescent="0.25">
      <c r="A735" s="777"/>
      <c r="B735" s="1312"/>
      <c r="C735" s="490"/>
      <c r="D735" s="491"/>
      <c r="E735" s="492"/>
      <c r="F735" s="490"/>
      <c r="G735" s="493"/>
      <c r="H735" s="493"/>
      <c r="I735" s="493"/>
      <c r="J735" s="493"/>
      <c r="K735" s="493"/>
      <c r="L735" s="493"/>
      <c r="M735" s="493"/>
      <c r="N735" s="493"/>
      <c r="O735" s="1313"/>
      <c r="P735" s="485"/>
      <c r="Q735" s="485"/>
      <c r="R735" s="485"/>
      <c r="S735" s="58"/>
      <c r="T735" s="58"/>
      <c r="U735" s="489"/>
      <c r="V735" s="58"/>
      <c r="W735" s="58"/>
      <c r="X735" s="489"/>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30"/>
      <c r="BJ735" s="30"/>
      <c r="BK735" s="30"/>
      <c r="BL735" s="58"/>
      <c r="BM735" s="58"/>
      <c r="BN735" s="58"/>
      <c r="BO735" s="58"/>
      <c r="BP735" s="58"/>
      <c r="BQ735" s="58"/>
      <c r="BR735" s="58"/>
      <c r="BS735" s="58"/>
      <c r="BT735" s="58"/>
      <c r="BU735" s="58"/>
      <c r="BV735" s="58"/>
      <c r="BW735" s="58"/>
      <c r="BX735" s="58"/>
      <c r="BY735" s="58"/>
      <c r="BZ735" s="58"/>
    </row>
    <row r="736" spans="1:78" s="28" customFormat="1" ht="12.75" customHeight="1" thickBot="1" x14ac:dyDescent="0.25">
      <c r="A736" s="782"/>
      <c r="B736" s="1312"/>
      <c r="C736" s="486"/>
      <c r="D736" s="178"/>
      <c r="E736" s="487"/>
      <c r="F736" s="486"/>
      <c r="G736" s="478"/>
      <c r="H736" s="478"/>
      <c r="I736" s="478"/>
      <c r="J736" s="478"/>
      <c r="K736" s="486"/>
      <c r="L736" s="478"/>
      <c r="M736" s="478"/>
      <c r="N736" s="478"/>
      <c r="O736" s="1313"/>
      <c r="P736" s="485"/>
      <c r="Q736" s="485"/>
      <c r="R736" s="485"/>
      <c r="S736" s="23"/>
      <c r="T736" s="27" t="str">
        <f>IF(ISBLANK(E737),"",MATCH(E737,CNTR_SourceStreamNames,0))</f>
        <v/>
      </c>
      <c r="U736" s="609" t="str">
        <f>IF(ISBLANK(E737),"",INDEX(B_InstallationDescription!$D$71:$D$145,MATCH(E737,CNTR_SourceStreamNames,0)))</f>
        <v/>
      </c>
      <c r="V736" s="76"/>
      <c r="W736" s="56"/>
      <c r="X736" s="56"/>
      <c r="Y736" s="56"/>
      <c r="Z736" s="58"/>
      <c r="AA736" s="58"/>
      <c r="AB736" s="58"/>
      <c r="AC736" s="58"/>
      <c r="AD736" s="58"/>
      <c r="AE736" s="58"/>
      <c r="AF736" s="58"/>
      <c r="AG736" s="58"/>
      <c r="AH736" s="58"/>
      <c r="AI736" s="58"/>
      <c r="AJ736" s="58"/>
      <c r="AK736" s="482"/>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6"/>
      <c r="BI736" s="56"/>
      <c r="BJ736" s="56"/>
      <c r="BK736" s="56"/>
      <c r="BL736" s="56"/>
      <c r="BM736" s="56"/>
      <c r="BN736" s="56"/>
      <c r="BO736" s="56"/>
      <c r="BP736" s="56"/>
      <c r="BQ736" s="56"/>
      <c r="BR736" s="56"/>
      <c r="BS736" s="56"/>
      <c r="BT736" s="56"/>
      <c r="BU736" s="56"/>
      <c r="BV736" s="56"/>
      <c r="BW736" s="56"/>
      <c r="BX736" s="56"/>
      <c r="BY736" s="56"/>
      <c r="BZ736" s="484" t="s">
        <v>259</v>
      </c>
    </row>
    <row r="737" spans="1:78" s="140" customFormat="1" ht="15" customHeight="1" thickBot="1" x14ac:dyDescent="0.25">
      <c r="A737" s="1302" t="str">
        <f>IF(E737="","","PRINT")</f>
        <v/>
      </c>
      <c r="B737" s="1248"/>
      <c r="C737" s="608">
        <f>C710+1</f>
        <v>26</v>
      </c>
      <c r="D737" s="164"/>
      <c r="E737" s="1610"/>
      <c r="F737" s="1611"/>
      <c r="G737" s="1611"/>
      <c r="H737" s="1611"/>
      <c r="I737" s="1611"/>
      <c r="J737" s="1612"/>
      <c r="K737" s="1623" t="str">
        <f>IF(E738="","",INDEX(EUwideConstants!$F$353:$F$394,MATCH(E738,EUConst_TierActivityListNames,0)))</f>
        <v/>
      </c>
      <c r="L737" s="1624"/>
      <c r="M737" s="494" t="str">
        <f>Translations!$B$665</f>
        <v>CO2, iškastinio kuro kilmės:</v>
      </c>
      <c r="N737" s="1012" t="str">
        <f>IF(OR(K737="",T738=TRUE),"",INDEX(BC751:BE751,MATCH(K737,BC747:BE747,0)))</f>
        <v/>
      </c>
      <c r="O737" s="1314" t="s">
        <v>257</v>
      </c>
      <c r="P737" s="1303" t="str">
        <f>IF(AND(E737&lt;&gt;"",COUNTIF(P738:$P$2089,"PRINT")=0),"PRINT","")</f>
        <v/>
      </c>
      <c r="Q737" s="343" t="str">
        <f>EUconst_SumCO2 &amp; "_" &amp; K737</f>
        <v>SUM_CO2_</v>
      </c>
      <c r="R737" s="485"/>
      <c r="S737" s="23"/>
      <c r="T737" s="500" t="s">
        <v>387</v>
      </c>
      <c r="U737" s="23"/>
      <c r="V737" s="76"/>
      <c r="W737" s="56"/>
      <c r="X737" s="58"/>
      <c r="Y737" s="58"/>
      <c r="Z737" s="58"/>
      <c r="AA737" s="58"/>
      <c r="AB737" s="58"/>
      <c r="AC737" s="58"/>
      <c r="AD737" s="58"/>
      <c r="AE737" s="58"/>
      <c r="AF737" s="58"/>
      <c r="AG737" s="58"/>
      <c r="AH737" s="58"/>
      <c r="AI737" s="333"/>
      <c r="AJ737" s="333"/>
      <c r="AK737" s="333"/>
      <c r="AL737" s="333"/>
      <c r="AM737" s="333"/>
      <c r="AN737" s="333"/>
      <c r="AO737" s="333"/>
      <c r="AP737" s="333"/>
      <c r="AQ737" s="333"/>
      <c r="AR737" s="333"/>
      <c r="AS737" s="333"/>
      <c r="AT737" s="333"/>
      <c r="AU737" s="333"/>
      <c r="AV737" s="333"/>
      <c r="AW737" s="333"/>
      <c r="AX737" s="333"/>
      <c r="AY737" s="333"/>
      <c r="AZ737" s="333"/>
      <c r="BA737" s="333"/>
      <c r="BB737" s="333"/>
      <c r="BC737" s="333"/>
      <c r="BD737" s="333"/>
      <c r="BE737" s="333"/>
      <c r="BF737" s="333"/>
      <c r="BG737" s="333"/>
      <c r="BH737" s="834">
        <f>AR747</f>
        <v>0</v>
      </c>
      <c r="BI737" s="834" t="str">
        <f>AJ747</f>
        <v/>
      </c>
      <c r="BJ737" s="834">
        <f>AR749</f>
        <v>0</v>
      </c>
      <c r="BK737" s="834" t="str">
        <f>AJ749</f>
        <v/>
      </c>
      <c r="BL737" s="834">
        <f>AR750</f>
        <v>0</v>
      </c>
      <c r="BM737" s="834" t="str">
        <f>AJ750</f>
        <v/>
      </c>
      <c r="BN737" s="834">
        <f>AR751</f>
        <v>1</v>
      </c>
      <c r="BO737" s="834">
        <f>AR752</f>
        <v>1</v>
      </c>
      <c r="BP737" s="834">
        <f>AR753</f>
        <v>0</v>
      </c>
      <c r="BQ737" s="834" t="str">
        <f>AJ753</f>
        <v/>
      </c>
      <c r="BR737" s="834">
        <f>AR754</f>
        <v>0</v>
      </c>
      <c r="BS737" s="834">
        <f>AR755</f>
        <v>0</v>
      </c>
      <c r="BT737" s="834" t="str">
        <f>N737</f>
        <v/>
      </c>
      <c r="BU737" s="834" t="str">
        <f>N738</f>
        <v/>
      </c>
      <c r="BV737" s="834" t="str">
        <f>R740</f>
        <v/>
      </c>
      <c r="BW737" s="834" t="str">
        <f>R746</f>
        <v/>
      </c>
      <c r="BX737" s="834" t="str">
        <f>R747</f>
        <v/>
      </c>
      <c r="BY737" s="56"/>
      <c r="BZ737" s="610" t="b">
        <f>CNTR_CalcRelevant=EUconst_NotRelevant</f>
        <v>0</v>
      </c>
    </row>
    <row r="738" spans="1:78" s="140" customFormat="1" ht="15" customHeight="1" thickBot="1" x14ac:dyDescent="0.25">
      <c r="A738" s="777"/>
      <c r="B738" s="1248"/>
      <c r="C738" s="164"/>
      <c r="D738" s="164"/>
      <c r="E738" s="1625" t="str">
        <f>IF(ISBLANK(E737),"",IF(INDEX(B_InstallationDescription!$E$71:$E$145,MATCH(U736,B_InstallationDescription!$D$71:$D$145,0))&gt;0,INDEX(B_InstallationDescription!$E$71:$E$145,MATCH(U736,B_InstallationDescription!$D$71:$D$145,0)),""))</f>
        <v/>
      </c>
      <c r="F738" s="1626"/>
      <c r="G738" s="1626"/>
      <c r="H738" s="1626"/>
      <c r="I738" s="1626"/>
      <c r="J738" s="1627"/>
      <c r="M738" s="337" t="str">
        <f>Translations!$B$666</f>
        <v>CO2, biomasės kilmės.:</v>
      </c>
      <c r="N738" s="1013" t="str">
        <f>IF(OR(K737="",T738=TRUE),"",INDEX(BC750:BE750,MATCH(K737,BC747:BE747,0)))</f>
        <v/>
      </c>
      <c r="O738" s="1315" t="s">
        <v>257</v>
      </c>
      <c r="P738" s="485"/>
      <c r="Q738" s="343" t="str">
        <f>EUconst_SumBioCO2 &amp; "_" &amp; K737</f>
        <v>SUM_bioCO2_</v>
      </c>
      <c r="R738" s="485"/>
      <c r="S738" s="23"/>
      <c r="T738" s="48" t="str">
        <f>IF(E738="","",MATCH(E738,EUConst_TierActivityListNames,0)&gt;40)</f>
        <v/>
      </c>
      <c r="U738" s="23"/>
      <c r="V738" s="76"/>
      <c r="W738" s="56"/>
      <c r="X738" s="58"/>
      <c r="Y738" s="27" t="s">
        <v>91</v>
      </c>
      <c r="Z738" s="30"/>
      <c r="AA738" s="30"/>
      <c r="AB738" s="30"/>
      <c r="AC738" s="30"/>
      <c r="AD738" s="30"/>
      <c r="AE738" s="27" t="s">
        <v>297</v>
      </c>
      <c r="AF738" s="58"/>
      <c r="AG738" s="495"/>
      <c r="AH738" s="30"/>
      <c r="AI738" s="30"/>
      <c r="AJ738" s="495"/>
      <c r="AK738" s="495"/>
      <c r="AL738" s="333"/>
      <c r="AM738" s="27" t="s">
        <v>303</v>
      </c>
      <c r="AN738" s="496"/>
      <c r="AO738" s="496"/>
      <c r="AP738" s="30"/>
      <c r="AQ738" s="30"/>
      <c r="AR738" s="30"/>
      <c r="AS738" s="30"/>
      <c r="AT738" s="30"/>
      <c r="AU738" s="30"/>
      <c r="AV738" s="27" t="s">
        <v>310</v>
      </c>
      <c r="AW738" s="30"/>
      <c r="AX738" s="483"/>
      <c r="AY738" s="30"/>
      <c r="AZ738" s="30"/>
      <c r="BA738" s="30"/>
      <c r="BB738" s="27" t="s">
        <v>217</v>
      </c>
      <c r="BC738" s="30"/>
      <c r="BD738" s="30"/>
      <c r="BE738" s="30"/>
      <c r="BF738" s="30"/>
      <c r="BG738" s="27" t="s">
        <v>486</v>
      </c>
      <c r="BH738" s="833" t="s">
        <v>552</v>
      </c>
      <c r="BI738" s="833" t="s">
        <v>487</v>
      </c>
      <c r="BJ738" s="833" t="s">
        <v>211</v>
      </c>
      <c r="BK738" s="833" t="s">
        <v>488</v>
      </c>
      <c r="BL738" s="833" t="s">
        <v>68</v>
      </c>
      <c r="BM738" s="833" t="s">
        <v>489</v>
      </c>
      <c r="BN738" s="833" t="s">
        <v>490</v>
      </c>
      <c r="BO738" s="833" t="s">
        <v>491</v>
      </c>
      <c r="BP738" s="833" t="s">
        <v>214</v>
      </c>
      <c r="BQ738" s="833" t="s">
        <v>492</v>
      </c>
      <c r="BR738" s="833" t="s">
        <v>493</v>
      </c>
      <c r="BS738" s="833" t="s">
        <v>494</v>
      </c>
      <c r="BT738" s="833" t="s">
        <v>287</v>
      </c>
      <c r="BU738" s="833" t="s">
        <v>495</v>
      </c>
      <c r="BV738" s="833" t="s">
        <v>498</v>
      </c>
      <c r="BW738" s="833" t="s">
        <v>496</v>
      </c>
      <c r="BX738" s="833" t="s">
        <v>497</v>
      </c>
      <c r="BY738" s="30"/>
      <c r="BZ738" s="30"/>
    </row>
    <row r="739" spans="1:78" s="140" customFormat="1" ht="5.0999999999999996" customHeight="1" thickBot="1" x14ac:dyDescent="0.25">
      <c r="A739" s="777"/>
      <c r="B739" s="1248"/>
      <c r="C739" s="164"/>
      <c r="D739" s="164"/>
      <c r="E739" s="164"/>
      <c r="F739" s="164"/>
      <c r="G739" s="164"/>
      <c r="M739" s="141"/>
      <c r="N739" s="141"/>
      <c r="O739" s="1305"/>
      <c r="P739" s="33"/>
      <c r="Q739" s="33"/>
      <c r="R739" s="33"/>
      <c r="S739" s="23"/>
      <c r="T739" s="23"/>
      <c r="U739" s="23"/>
      <c r="V739" s="76"/>
      <c r="W739" s="30"/>
      <c r="X739" s="30"/>
      <c r="Y739" s="485"/>
      <c r="Z739" s="30"/>
      <c r="AA739" s="30"/>
      <c r="AB739" s="30"/>
      <c r="AC739" s="30"/>
      <c r="AD739" s="30"/>
      <c r="AE739" s="30"/>
      <c r="AF739" s="58"/>
      <c r="AG739" s="30"/>
      <c r="AH739" s="30"/>
      <c r="AI739" s="30"/>
      <c r="AJ739" s="495"/>
      <c r="AK739" s="495"/>
      <c r="AL739" s="333"/>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row>
    <row r="740" spans="1:78" s="140" customFormat="1" ht="12.75" customHeight="1" thickBot="1" x14ac:dyDescent="0.25">
      <c r="A740" s="777"/>
      <c r="B740" s="1248"/>
      <c r="C740" s="164"/>
      <c r="D740" s="164"/>
      <c r="E740" s="1628" t="str">
        <f>IF(E737="","",IF(T738=TRUE,HYPERLINK("#JUMP_14",EUconst_MsgGoOnPFC),HYPERLINK("#JUMP_E_8",EUconst_FurtherGuidancePoint1)))</f>
        <v/>
      </c>
      <c r="F740" s="1628"/>
      <c r="G740" s="1628"/>
      <c r="H740" s="1628"/>
      <c r="I740" s="1628"/>
      <c r="J740" s="1628"/>
      <c r="K740" s="1628"/>
      <c r="L740" s="1628"/>
      <c r="M740" s="1628"/>
      <c r="N740" s="141"/>
      <c r="O740" s="1305"/>
      <c r="P740" s="33"/>
      <c r="Q740" s="343" t="str">
        <f>EUconst_SumNonSustBioCO2 &amp; "_" &amp; K737</f>
        <v>SUM_bioNonSustCO2_</v>
      </c>
      <c r="R740" s="698" t="str">
        <f>IF(OR(K737="",T738=TRUE),"",ROUND(INDEX(BC749:BE749,MATCH(K737,BC747:BE747,0)),0))</f>
        <v/>
      </c>
      <c r="S740" s="23"/>
      <c r="T740" s="23"/>
      <c r="U740" s="23"/>
      <c r="V740" s="30"/>
      <c r="W740" s="30"/>
      <c r="X740" s="30"/>
      <c r="Y740" s="58"/>
      <c r="Z740" s="30"/>
      <c r="AA740" s="30"/>
      <c r="AB740" s="30"/>
      <c r="AC740" s="30"/>
      <c r="AD740" s="30"/>
      <c r="AE740" s="30"/>
      <c r="AF740" s="58"/>
      <c r="AG740" s="30"/>
      <c r="AH740" s="30"/>
      <c r="AI740" s="30"/>
      <c r="AJ740" s="495"/>
      <c r="AK740" s="495"/>
      <c r="AL740" s="333"/>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row>
    <row r="741" spans="1:78" s="140" customFormat="1" ht="5.0999999999999996" customHeight="1" thickBot="1" x14ac:dyDescent="0.25">
      <c r="A741" s="777"/>
      <c r="B741" s="1248"/>
      <c r="C741" s="164"/>
      <c r="D741" s="164"/>
      <c r="E741" s="164"/>
      <c r="F741" s="164"/>
      <c r="G741" s="164"/>
      <c r="M741" s="141"/>
      <c r="N741" s="141"/>
      <c r="O741" s="1305"/>
      <c r="P741" s="23"/>
      <c r="Q741" s="23"/>
      <c r="R741" s="23"/>
      <c r="S741" s="23"/>
      <c r="T741" s="23"/>
      <c r="U741" s="23"/>
      <c r="V741" s="30"/>
      <c r="W741" s="30"/>
      <c r="X741" s="30"/>
      <c r="Y741" s="485"/>
      <c r="Z741" s="30"/>
      <c r="AA741" s="30"/>
      <c r="AB741" s="30"/>
      <c r="AC741" s="30"/>
      <c r="AD741" s="30"/>
      <c r="AE741" s="30"/>
      <c r="AF741" s="58"/>
      <c r="AG741" s="30"/>
      <c r="AH741" s="30"/>
      <c r="AI741" s="30"/>
      <c r="AJ741" s="495"/>
      <c r="AK741" s="495"/>
      <c r="AL741" s="333"/>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row>
    <row r="742" spans="1:78" s="140" customFormat="1" ht="12.75" customHeight="1" thickBot="1" x14ac:dyDescent="0.25">
      <c r="A742" s="777"/>
      <c r="B742" s="1248"/>
      <c r="C742" s="783" t="s">
        <v>4</v>
      </c>
      <c r="D742" s="503" t="str">
        <f>Translations!$B$622</f>
        <v>VD:</v>
      </c>
      <c r="E742" s="1631" t="str">
        <f>Translations!$B$667</f>
        <v>Ar veiklos duomenys gaunami sudedant išmatuotus kiekius (t. y. ne atliekant nuolatinius matavimus)?</v>
      </c>
      <c r="F742" s="1631"/>
      <c r="G742" s="1631"/>
      <c r="H742" s="1631"/>
      <c r="I742" s="1631"/>
      <c r="J742" s="1631"/>
      <c r="K742" s="1631"/>
      <c r="L742" s="1122"/>
      <c r="M742" s="498"/>
      <c r="O742" s="1305"/>
      <c r="P742" s="23"/>
      <c r="Q742" s="23"/>
      <c r="R742" s="23"/>
      <c r="S742" s="23"/>
      <c r="T742" s="23"/>
      <c r="U742" s="23"/>
      <c r="V742" s="30"/>
      <c r="W742" s="30"/>
      <c r="X742" s="30"/>
      <c r="Y742" s="485"/>
      <c r="Z742" s="30"/>
      <c r="AA742" s="30"/>
      <c r="AB742" s="30"/>
      <c r="AC742" s="1115" t="b">
        <f>AND(E737&lt;&gt;"",T738&lt;&gt;TRUE)</f>
        <v>0</v>
      </c>
      <c r="AD742" s="30"/>
      <c r="AE742" s="30"/>
      <c r="AF742" s="58"/>
      <c r="AG742" s="30"/>
      <c r="AH742" s="30"/>
      <c r="AI742" s="30"/>
      <c r="AJ742" s="495"/>
      <c r="AK742" s="495"/>
      <c r="AL742" s="333"/>
      <c r="AM742" s="30"/>
      <c r="AN742" s="30"/>
      <c r="AO742" s="30"/>
      <c r="AP742" s="30"/>
      <c r="AQ742" s="30"/>
      <c r="AR742" s="30"/>
      <c r="AS742" s="30"/>
      <c r="AT742" s="1115" t="b">
        <f>MSPara_BatchReportingMandatory&lt;&gt;TRUE</f>
        <v>0</v>
      </c>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1115" t="b">
        <f>OR(CNTR_CalcRelevant=EUconst_NotRelevant,AND(COUNTA(CNTR_ListRelevantSections)&gt;0,OR(T738=TRUE,E737="")))</f>
        <v>1</v>
      </c>
    </row>
    <row r="743" spans="1:78" s="140" customFormat="1" ht="5.0999999999999996" customHeight="1" thickBot="1" x14ac:dyDescent="0.25">
      <c r="A743" s="777"/>
      <c r="B743" s="1248"/>
      <c r="C743" s="164"/>
      <c r="D743" s="164"/>
      <c r="E743" s="164"/>
      <c r="F743" s="164"/>
      <c r="G743" s="164"/>
      <c r="H743" s="486"/>
      <c r="I743" s="486"/>
      <c r="J743" s="486"/>
      <c r="K743" s="486"/>
      <c r="L743" s="486"/>
      <c r="M743" s="498"/>
      <c r="O743" s="1305"/>
      <c r="P743" s="23"/>
      <c r="Q743" s="23"/>
      <c r="R743" s="23"/>
      <c r="S743" s="23"/>
      <c r="T743" s="23"/>
      <c r="U743" s="23"/>
      <c r="V743" s="30"/>
      <c r="W743" s="30"/>
      <c r="X743" s="30"/>
      <c r="Y743" s="485"/>
      <c r="Z743" s="30"/>
      <c r="AA743" s="30"/>
      <c r="AB743" s="30"/>
      <c r="AC743" s="483"/>
      <c r="AD743" s="30"/>
      <c r="AE743" s="30"/>
      <c r="AF743" s="58"/>
      <c r="AG743" s="30"/>
      <c r="AH743" s="30"/>
      <c r="AI743" s="30"/>
      <c r="AJ743" s="495"/>
      <c r="AK743" s="495"/>
      <c r="AL743" s="333"/>
      <c r="AM743" s="30"/>
      <c r="AN743" s="30"/>
      <c r="AO743" s="30"/>
      <c r="AP743" s="30"/>
      <c r="AQ743" s="30"/>
      <c r="AR743" s="30"/>
      <c r="AS743" s="30"/>
      <c r="AT743" s="483"/>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483"/>
    </row>
    <row r="744" spans="1:78" s="140" customFormat="1" ht="12.75" customHeight="1" thickBot="1" x14ac:dyDescent="0.25">
      <c r="A744" s="777"/>
      <c r="B744" s="1248"/>
      <c r="C744" s="783" t="s">
        <v>5</v>
      </c>
      <c r="D744" s="503" t="str">
        <f>Translations!$B$622</f>
        <v>VD:</v>
      </c>
      <c r="E744" s="1105" t="str">
        <f>Translations!$B$668</f>
        <v>Pradinis kiekis:</v>
      </c>
      <c r="F744" s="1123"/>
      <c r="G744" s="1106" t="str">
        <f>Translations!$B$669</f>
        <v>Galutinis kiekis:</v>
      </c>
      <c r="H744" s="1123"/>
      <c r="I744" s="1106" t="str">
        <f>Translations!$B$670</f>
        <v>Įsigytas kiekis:</v>
      </c>
      <c r="J744" s="1123"/>
      <c r="K744" s="1106" t="str">
        <f>Translations!$B$671</f>
        <v>Perduotas kiekis:</v>
      </c>
      <c r="L744" s="1123"/>
      <c r="M744" s="1107" t="str">
        <f>IF(AND(L742=TRUE,COUNT(F744,H744,J744,L744)&lt;4),EUconst_ERR_Incomplete,"")</f>
        <v/>
      </c>
      <c r="O744" s="1305"/>
      <c r="P744" s="23"/>
      <c r="Q744" s="23"/>
      <c r="R744" s="23"/>
      <c r="S744" s="23"/>
      <c r="T744" s="23"/>
      <c r="U744" s="23"/>
      <c r="V744" s="30"/>
      <c r="W744" s="30"/>
      <c r="X744" s="30"/>
      <c r="Y744" s="485"/>
      <c r="Z744" s="30"/>
      <c r="AA744" s="30"/>
      <c r="AB744" s="30"/>
      <c r="AC744" s="1115" t="b">
        <f>AC742</f>
        <v>0</v>
      </c>
      <c r="AD744" s="30"/>
      <c r="AE744" s="30"/>
      <c r="AF744" s="58"/>
      <c r="AG744" s="30"/>
      <c r="AH744" s="30"/>
      <c r="AI744" s="30"/>
      <c r="AJ744" s="495"/>
      <c r="AK744" s="495"/>
      <c r="AL744" s="333"/>
      <c r="AM744" s="30"/>
      <c r="AN744" s="30"/>
      <c r="AO744" s="30"/>
      <c r="AP744" s="30"/>
      <c r="AQ744" s="30"/>
      <c r="AR744" s="30"/>
      <c r="AS744" s="30"/>
      <c r="AT744" s="1115" t="b">
        <f>AND(AT742=TRUE,L742="")</f>
        <v>0</v>
      </c>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1115" t="b">
        <f>OR(BZ742,AND(NOT(ISBLANK(L742)),L742=FALSE))</f>
        <v>1</v>
      </c>
    </row>
    <row r="745" spans="1:78" s="140" customFormat="1" ht="5.0999999999999996" customHeight="1" thickBot="1" x14ac:dyDescent="0.25">
      <c r="A745" s="777"/>
      <c r="B745" s="1248"/>
      <c r="C745" s="164"/>
      <c r="D745" s="164"/>
      <c r="E745" s="164"/>
      <c r="F745" s="164"/>
      <c r="G745" s="164"/>
      <c r="M745" s="141"/>
      <c r="N745" s="141"/>
      <c r="O745" s="1305"/>
      <c r="P745" s="23"/>
      <c r="Q745" s="23"/>
      <c r="R745" s="23"/>
      <c r="S745" s="23"/>
      <c r="T745" s="23"/>
      <c r="U745" s="23"/>
      <c r="V745" s="30"/>
      <c r="W745" s="30"/>
      <c r="X745" s="30"/>
      <c r="Y745" s="485"/>
      <c r="Z745" s="30"/>
      <c r="AA745" s="30"/>
      <c r="AB745" s="30"/>
      <c r="AC745" s="30"/>
      <c r="AD745" s="30"/>
      <c r="AE745" s="30"/>
      <c r="AF745" s="58"/>
      <c r="AG745" s="30"/>
      <c r="AH745" s="30"/>
      <c r="AI745" s="30"/>
      <c r="AJ745" s="495"/>
      <c r="AK745" s="495"/>
      <c r="AL745" s="333"/>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row>
    <row r="746" spans="1:78" s="140" customFormat="1" ht="12.75" customHeight="1" thickBot="1" x14ac:dyDescent="0.25">
      <c r="A746" s="777"/>
      <c r="B746" s="1248"/>
      <c r="C746" s="164"/>
      <c r="D746" s="164"/>
      <c r="E746" s="164"/>
      <c r="F746" s="497" t="str">
        <f>Translations!$B$333</f>
        <v>Pakopa</v>
      </c>
      <c r="G746" s="1613" t="str">
        <f>Translations!$B$672</f>
        <v>pakopos aprašas</v>
      </c>
      <c r="H746" s="1613"/>
      <c r="I746" s="1608" t="str">
        <f>Translations!$B$158</f>
        <v>Vienetas</v>
      </c>
      <c r="J746" s="1608"/>
      <c r="K746" s="1608" t="str">
        <f>Translations!$B$673</f>
        <v>Vertė</v>
      </c>
      <c r="L746" s="1608"/>
      <c r="M746" s="498" t="str">
        <f>Translations!$B$610</f>
        <v>klaida</v>
      </c>
      <c r="O746" s="1305"/>
      <c r="P746" s="499"/>
      <c r="Q746" s="343" t="str">
        <f>EUconst_SumEnergyIN &amp; "_" &amp; K737</f>
        <v>SUM_EnergyIN_</v>
      </c>
      <c r="R746" s="390" t="str">
        <f>IF(OR(K737="",T738)=TRUE,"",INDEX(BC752:BE752,MATCH(K737,BC747:BE747,0)))</f>
        <v/>
      </c>
      <c r="S746" s="30"/>
      <c r="T746" s="480"/>
      <c r="U746" s="30"/>
      <c r="V746" s="500" t="s">
        <v>298</v>
      </c>
      <c r="W746" s="30"/>
      <c r="X746" s="30"/>
      <c r="Y746" s="485" t="s">
        <v>560</v>
      </c>
      <c r="Z746" s="485" t="s">
        <v>313</v>
      </c>
      <c r="AA746" s="30"/>
      <c r="AB746" s="30"/>
      <c r="AC746" s="496" t="s">
        <v>304</v>
      </c>
      <c r="AD746" s="30"/>
      <c r="AE746" s="30"/>
      <c r="AF746" s="483" t="s">
        <v>300</v>
      </c>
      <c r="AG746" s="483" t="s">
        <v>301</v>
      </c>
      <c r="AH746" s="485" t="s">
        <v>299</v>
      </c>
      <c r="AI746" s="495" t="s">
        <v>302</v>
      </c>
      <c r="AJ746" s="495" t="s">
        <v>561</v>
      </c>
      <c r="AK746" s="501" t="s">
        <v>306</v>
      </c>
      <c r="AL746" s="333"/>
      <c r="AM746" s="30"/>
      <c r="AN746" s="483" t="s">
        <v>300</v>
      </c>
      <c r="AO746" s="483" t="s">
        <v>301</v>
      </c>
      <c r="AP746" s="502" t="s">
        <v>305</v>
      </c>
      <c r="AQ746" s="495" t="s">
        <v>563</v>
      </c>
      <c r="AR746" s="495" t="s">
        <v>562</v>
      </c>
      <c r="AS746" s="501" t="s">
        <v>599</v>
      </c>
      <c r="AT746" s="501" t="s">
        <v>599</v>
      </c>
      <c r="AU746" s="30"/>
      <c r="AV746" s="483"/>
      <c r="AW746" s="483"/>
      <c r="AX746" s="483" t="s">
        <v>316</v>
      </c>
      <c r="AY746" s="483"/>
      <c r="AZ746" s="483"/>
      <c r="BA746" s="483"/>
      <c r="BB746" s="483"/>
      <c r="BC746" s="483"/>
      <c r="BD746" s="483"/>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484" t="s">
        <v>259</v>
      </c>
    </row>
    <row r="747" spans="1:78" s="140" customFormat="1" ht="12.75" customHeight="1" thickBot="1" x14ac:dyDescent="0.25">
      <c r="A747" s="777"/>
      <c r="B747" s="1248"/>
      <c r="C747" s="753" t="s">
        <v>194</v>
      </c>
      <c r="D747" s="503" t="str">
        <f>Translations!$B$622</f>
        <v>VD:</v>
      </c>
      <c r="E747" s="504"/>
      <c r="F747" s="393"/>
      <c r="G747" s="1603" t="str">
        <f>IF(OR(ISBLANK(F747),F747=EUconst_NoTier),"",IF(Z747=0,EUconst_NA,IF(ISERROR(Z747),"",Z747)))</f>
        <v/>
      </c>
      <c r="H747" s="1604"/>
      <c r="I747" s="1108" t="str">
        <f>IF(J747&lt;&gt;"","",AI747)</f>
        <v/>
      </c>
      <c r="J747" s="1109"/>
      <c r="K747" s="1116" t="str">
        <f>IF(L747="",AQ747,"")</f>
        <v/>
      </c>
      <c r="L747" s="1199"/>
      <c r="M747" s="700" t="str">
        <f>IF(AND(E738&lt;&gt;"",OR(F747="",COUNT(K747:L747)=0),Y747&lt;&gt;EUconst_NA,T738&lt;&gt;TRUE),EUconst_ERR_Incomplete,IF(COUNTIF(AX747:AZ747,TRUE)&gt;0,EUconst_ERR_Inconsistent,""))</f>
        <v/>
      </c>
      <c r="O747" s="1305"/>
      <c r="P747" s="635"/>
      <c r="Q747" s="343" t="str">
        <f>EUconst_SumBioEnergyIN &amp; "_" &amp; K737</f>
        <v>SUM_BioEnergyIN_</v>
      </c>
      <c r="R747" s="390" t="str">
        <f>IF(OR(K737="",T738)=TRUE,"",INDEX(BC753:BE753,MATCH(K737,BC747:BE747,0)))</f>
        <v/>
      </c>
      <c r="S747" s="30"/>
      <c r="T747" s="505" t="str">
        <f>EUconst_CNTR_ActivityData&amp;E738</f>
        <v>ActivityData_</v>
      </c>
      <c r="U747" s="488"/>
      <c r="V747" s="505" t="str">
        <f>IF(E737="","",INDEX(B_InstallationDescription!$I$71:$I$145,MATCH(U736,B_InstallationDescription!$D$71:$D$145,0)))</f>
        <v/>
      </c>
      <c r="W747" s="495" t="s">
        <v>533</v>
      </c>
      <c r="X747" s="488"/>
      <c r="Y747" s="506" t="str">
        <f>IF(OR(T738=TRUE,E738=""),"",INDEX(EUwideConstants!$N:$N,MATCH(T747,EUwideConstants!$Q:$Q,0)))</f>
        <v/>
      </c>
      <c r="Z747" s="507" t="str">
        <f>IF(ISBLANK(F747),"",IF(F747=EUconst_NA,"",INDEX(EUwideConstants!$H:$M,MATCH(T747,EUwideConstants!$Q:$Q,0),MATCH(F747,CNTR_TierList,0))))</f>
        <v/>
      </c>
      <c r="AA747" s="508" t="s">
        <v>299</v>
      </c>
      <c r="AB747" s="495"/>
      <c r="AC747" s="509" t="b">
        <f>AC742</f>
        <v>0</v>
      </c>
      <c r="AD747" s="30"/>
      <c r="AE747" s="510" t="str">
        <f>EUconst_CNTR_ActivityData&amp;EUconst_Unit</f>
        <v>ActivityData_Vienetas</v>
      </c>
      <c r="AF747" s="511" t="str">
        <f>IF(AC747=TRUE, IF(COUNTIF(MSPara_SourceStreamCategory,V747)=0,"",INDEX(MSPara_CalcFactorsMatrix,MATCH(V747,MSPara_SourceStreamCategory,0),MATCH(AE747&amp;"_"&amp;2,MSPara_CalcFactors,0))),"")</f>
        <v/>
      </c>
      <c r="AG747" s="512" t="str">
        <f>IF(AC747=TRUE, IF(COUNTIF(MSPara_SourceStreamCategory,V747)=0,"",INDEX(MSPara_CalcFactorsMatrix,MATCH(V747,MSPara_SourceStreamCategory,0),MATCH(AE747&amp;"_"&amp;1,MSPara_CalcFactors,0))),"")</f>
        <v/>
      </c>
      <c r="AH747" s="509" t="str">
        <f>IF(OR(AF747="",AF747=EUconst_NA),IF(OR(AG747=EUconst_NA,AG747=""),"",AG747),AF747)</f>
        <v/>
      </c>
      <c r="AI747" s="506" t="str">
        <f>IF(AC747=TRUE,IF(AH747="",EUconst_t,AH747),"")</f>
        <v/>
      </c>
      <c r="AJ747" s="513" t="str">
        <f>IF(J747="",AI747,J747)</f>
        <v/>
      </c>
      <c r="AK747" s="514" t="b">
        <f>IF(K737=EUconst_Fuel,J747&lt;&gt;"",FALSE)</f>
        <v>0</v>
      </c>
      <c r="AL747" s="333"/>
      <c r="AM747" s="505" t="str">
        <f>EUconst_CNTR_ActivityData&amp;EUconst_Value</f>
        <v>ActivityData_Vertė</v>
      </c>
      <c r="AN747" s="496"/>
      <c r="AO747" s="496"/>
      <c r="AP747" s="509" t="b">
        <f>AND(AND(AH747&lt;&gt;"",AJ747&lt;&gt;""),AJ747=AH747)</f>
        <v>0</v>
      </c>
      <c r="AQ747" s="610" t="str">
        <f>IF(L742=TRUE,SUM(F744)-SUM(H744)+SUM(J744)-SUM(L744),"")</f>
        <v/>
      </c>
      <c r="AR747" s="509">
        <f>IF(Y747=EUconst_NA,0,IF(COUNT(K747:L747)=0,0,IF(L747="",K747,L747)))</f>
        <v>0</v>
      </c>
      <c r="AS747" s="1115" t="b">
        <f>AND(AC747=TRUE,OR(L747&lt;&gt;"",AQ747=""))</f>
        <v>0</v>
      </c>
      <c r="AT747" s="1115" t="b">
        <f>AND(AC747=TRUE,NOT(AS747))</f>
        <v>0</v>
      </c>
      <c r="AU747" s="30"/>
      <c r="AV747" s="483" t="s">
        <v>309</v>
      </c>
      <c r="AW747" s="483" t="s">
        <v>314</v>
      </c>
      <c r="AX747" s="515"/>
      <c r="AY747" s="30" t="s">
        <v>536</v>
      </c>
      <c r="AZ747" s="30"/>
      <c r="BA747" s="30"/>
      <c r="BB747" s="495"/>
      <c r="BC747" s="484" t="str">
        <f>EUconst_Fuel</f>
        <v>Degimas</v>
      </c>
      <c r="BD747" s="484" t="str">
        <f>EUconst_ProcessCarbonate</f>
        <v>Proceso metu išsiskiriančios ŠESD</v>
      </c>
      <c r="BE747" s="484" t="str">
        <f>EUconst_MassBalance</f>
        <v>Masės balansas</v>
      </c>
      <c r="BF747" s="30"/>
      <c r="BG747" s="30"/>
      <c r="BH747" s="30"/>
      <c r="BI747" s="30"/>
      <c r="BJ747" s="30"/>
      <c r="BK747" s="30"/>
      <c r="BL747" s="30"/>
      <c r="BM747" s="30"/>
      <c r="BN747" s="30"/>
      <c r="BO747" s="30"/>
      <c r="BP747" s="30"/>
      <c r="BQ747" s="30"/>
      <c r="BR747" s="30"/>
      <c r="BS747" s="30"/>
      <c r="BT747" s="30"/>
      <c r="BU747" s="30"/>
      <c r="BV747" s="30"/>
      <c r="BW747" s="30"/>
      <c r="BX747" s="30"/>
      <c r="BY747" s="30"/>
      <c r="BZ747" s="515" t="b">
        <f>BZ742</f>
        <v>1</v>
      </c>
    </row>
    <row r="748" spans="1:78" s="140" customFormat="1" ht="5.0999999999999996" customHeight="1" thickBot="1" x14ac:dyDescent="0.25">
      <c r="A748" s="777"/>
      <c r="B748" s="1248"/>
      <c r="C748" s="783"/>
      <c r="D748" s="298"/>
      <c r="F748" s="141"/>
      <c r="G748" s="141"/>
      <c r="H748" s="141" t="s">
        <v>233</v>
      </c>
      <c r="I748" s="516"/>
      <c r="J748" s="516"/>
      <c r="K748" s="141"/>
      <c r="L748" s="141"/>
      <c r="M748" s="701"/>
      <c r="O748" s="1305"/>
      <c r="P748" s="33"/>
      <c r="Q748" s="33"/>
      <c r="R748" s="33"/>
      <c r="S748" s="30"/>
      <c r="T748" s="153"/>
      <c r="U748" s="488"/>
      <c r="V748" s="30"/>
      <c r="W748" s="30"/>
      <c r="X748" s="488"/>
      <c r="Y748" s="517"/>
      <c r="Z748" s="30"/>
      <c r="AA748" s="30"/>
      <c r="AB748" s="30"/>
      <c r="AC748" s="30"/>
      <c r="AD748" s="30"/>
      <c r="AE748" s="30"/>
      <c r="AF748" s="30"/>
      <c r="AG748" s="30"/>
      <c r="AH748" s="30"/>
      <c r="AI748" s="30"/>
      <c r="AJ748" s="30"/>
      <c r="AK748" s="30"/>
      <c r="AL748" s="333"/>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484"/>
    </row>
    <row r="749" spans="1:78" s="140" customFormat="1" ht="12.75" customHeight="1" thickBot="1" x14ac:dyDescent="0.25">
      <c r="A749" s="777"/>
      <c r="B749" s="1248"/>
      <c r="C749" s="783" t="s">
        <v>195</v>
      </c>
      <c r="D749" s="503" t="str">
        <f>Translations!$B$634</f>
        <v>(prelim.) ITF:</v>
      </c>
      <c r="E749" s="504"/>
      <c r="F749" s="518"/>
      <c r="G749" s="1603" t="str">
        <f t="shared" ref="G749:G755" si="175">IF(OR(ISBLANK(F749),F749=EUconst_NoTier),"",IF(Z749=0,EUconst_NotApplicable,IF(ISERROR(Z749),"",Z749)))</f>
        <v/>
      </c>
      <c r="H749" s="1609"/>
      <c r="I749" s="1110" t="str">
        <f>IF(J749&lt;&gt;"","",AI749)</f>
        <v/>
      </c>
      <c r="J749" s="1111"/>
      <c r="K749" s="519" t="str">
        <f t="shared" ref="K749:K755" si="176">IF(L749="",AQ749,"")</f>
        <v/>
      </c>
      <c r="L749" s="520"/>
      <c r="M749" s="700" t="str">
        <f>IF(AND(E738&lt;&gt;"",OR(F749="",COUNT(K749:L749)=0),Y749&lt;&gt;EUconst_NA,T738&lt;&gt;TRUE),EUconst_ERR_Incomplete,IF(COUNTIF(AX749:AZ749,TRUE)&gt;0,EUconst_ERR_Inconsistent,""))</f>
        <v/>
      </c>
      <c r="N749" s="486"/>
      <c r="O749" s="1305"/>
      <c r="P749" s="33"/>
      <c r="Q749" s="33"/>
      <c r="R749" s="33"/>
      <c r="S749" s="30"/>
      <c r="T749" s="521" t="str">
        <f>EUconst_CNTR_EF&amp;E738</f>
        <v>EF_</v>
      </c>
      <c r="U749" s="488"/>
      <c r="V749" s="522" t="str">
        <f>V747</f>
        <v/>
      </c>
      <c r="W749" s="30"/>
      <c r="X749" s="488"/>
      <c r="Y749" s="523" t="str">
        <f>IF(OR(T738=TRUE,E738=""),"",IF(F749=EUconst_NA,EUconst_NA,INDEX(EUwideConstants!$N:$N,MATCH(T749,EUwideConstants!$Q:$Q,0))))</f>
        <v/>
      </c>
      <c r="Z749" s="524" t="str">
        <f>IF(ISBLANK(F749),"",IF(F749=EUconst_NA,"",INDEX(EUwideConstants!$H:$M,MATCH(T749,EUwideConstants!$Q:$Q,0),MATCH(F749,CNTR_TierList,0))))</f>
        <v/>
      </c>
      <c r="AA749" s="525" t="str">
        <f>IF(COUNTIF(EUconst_DefaultValues,Z749)&gt;0,MATCH(Z749,EUconst_DefaultValues,0),"")</f>
        <v/>
      </c>
      <c r="AB749" s="30"/>
      <c r="AC749" s="526" t="b">
        <f>AND(AC747,Y749&lt;&gt;EUconst_NA)</f>
        <v>0</v>
      </c>
      <c r="AD749" s="30"/>
      <c r="AE749" s="510" t="str">
        <f>EUconst_CNTR_EF&amp;EUconst_Unit</f>
        <v>EF_Vienetas</v>
      </c>
      <c r="AF749" s="527" t="str">
        <f>IF(AC749=TRUE, IF(COUNTIF(MSPara_SourceStreamCategory,V749)=0,"",INDEX(MSPara_CalcFactorsMatrix,MATCH(V749,MSPara_SourceStreamCategory,0),MATCH(AE749&amp;"_"&amp;2,MSPara_CalcFactors,0))),"")</f>
        <v/>
      </c>
      <c r="AG749" s="528" t="str">
        <f>IF(AC749=TRUE, IF(COUNTIF(MSPara_SourceStreamCategory,V749)=0,"",INDEX(MSPara_CalcFactorsMatrix,MATCH(V749,MSPara_SourceStreamCategory,0),MATCH(AE749&amp;"_"&amp;1,MSPara_CalcFactors,0))),"")</f>
        <v/>
      </c>
      <c r="AH749" s="529" t="str">
        <f>IF(AA749="","",INDEX(AF749:AG749,3-AA749))</f>
        <v/>
      </c>
      <c r="AI749" s="530" t="str">
        <f>IF(AC749=TRUE,IF(OR(AH749="",AH749=EUconst_NA),IF(K737=EUconst_Fuel,EUconst_tCO2pTJ,EUconst_tCO2pt),AH749),"")</f>
        <v/>
      </c>
      <c r="AJ749" s="526" t="str">
        <f>IF(J749="",AI749,J749)</f>
        <v/>
      </c>
      <c r="AK749" s="531" t="b">
        <f>IF(K737=EUconst_Fuel,J749&lt;&gt;"",FALSE)</f>
        <v>0</v>
      </c>
      <c r="AL749" s="333"/>
      <c r="AM749" s="510" t="str">
        <f>EUconst_CNTR_EF&amp;EUconst_Value</f>
        <v>EF_Vertė</v>
      </c>
      <c r="AN749" s="532" t="str">
        <f>IF(AC749=TRUE,IF(COUNTIF(MSPara_SourceStreamCategory,V749)=0,"",INDEX(MSPara_CalcFactorsMatrix,MATCH(V749,MSPara_SourceStreamCategory,0),MATCH(AM749&amp;"_"&amp;2,MSPara_CalcFactors,0))),"")</f>
        <v/>
      </c>
      <c r="AO749" s="533" t="str">
        <f>IF(AC749=TRUE,IF(COUNTIF(MSPara_SourceStreamCategory,V749)=0,"",INDEX(MSPara_CalcFactorsMatrix,MATCH(V749,MSPara_SourceStreamCategory,0),MATCH(AM749&amp;"_"&amp;1,MSPara_CalcFactors,0))),"")</f>
        <v/>
      </c>
      <c r="AP749" s="526" t="b">
        <f>AND(AND(AH749&lt;&gt;"",AJ749&lt;&gt;""),AJ749=AH749)</f>
        <v>0</v>
      </c>
      <c r="AQ749" s="534" t="str">
        <f>IF(AND(AA749&lt;&gt;"",AP749=TRUE),IF(OR(INDEX(AN749:AO749,3-AA749)=EUconst_NA,INDEX(AN749:AO749,3-AA749)=0),"",INDEX(AN749:AO749,3-AA749)),"")</f>
        <v/>
      </c>
      <c r="AR749" s="526">
        <f>IF(AC749=TRUE,IF(COUNT(K749:L749)=0,0,IF(L749="",K749,L749)),0)</f>
        <v>0</v>
      </c>
      <c r="AS749" s="522" t="b">
        <f>AND(AC749=TRUE,OR(AND(F749&lt;&gt;"",NOT(ISNUMBER(AA749))),L749&lt;&gt;"",F749="",AQ749=""))</f>
        <v>0</v>
      </c>
      <c r="AT749" s="522" t="b">
        <f t="shared" ref="AT749:AT755" si="177">AND(AC749=TRUE,NOT(AS749))</f>
        <v>0</v>
      </c>
      <c r="AU749" s="30"/>
      <c r="AV749" s="535" t="b">
        <f t="shared" ref="AV749:AV755" si="178">AND(ISNUMBER(AA749),AQ749="")</f>
        <v>0</v>
      </c>
      <c r="AW749" s="536" t="b">
        <f t="shared" ref="AW749:AW755" si="179">AND(ISNUMBER(AA749),AQ749&lt;&gt;AR749)</f>
        <v>0</v>
      </c>
      <c r="AX749" s="537" t="b">
        <f>OR(AND(AJ747=EUconst_kNm3,AJ749=EUconst_tCO2pt),AND(AJ747=EUconst_t,AJ749=EUconst_tCO2pkNm3))</f>
        <v>0</v>
      </c>
      <c r="AY749" s="522" t="b">
        <f t="shared" ref="AY749:AY755" si="180">AND(L749&lt;&gt;"",Y749=EUconst_NA)</f>
        <v>0</v>
      </c>
      <c r="AZ749" s="30"/>
      <c r="BA749" s="30"/>
      <c r="BB749" s="538" t="s">
        <v>588</v>
      </c>
      <c r="BC749" s="537" t="str">
        <f>IF(K737=BC747,AR747*IF(AJ749=EUconst_tCO2pTJ,(AR750/1000),1)*AR749*AR751*AR755,"")</f>
        <v/>
      </c>
      <c r="BD749" s="515" t="str">
        <f>IF(K737=BD747,AR747*AR749*AR752*AR755,"")</f>
        <v/>
      </c>
      <c r="BE749" s="514" t="str">
        <f>IF(K737=BE747,3.664*AR747*AR753*AR755,"")</f>
        <v/>
      </c>
      <c r="BF749" s="30"/>
      <c r="BG749" s="30"/>
      <c r="BH749" s="30"/>
      <c r="BI749" s="30"/>
      <c r="BJ749" s="30"/>
      <c r="BK749" s="30"/>
      <c r="BL749" s="30"/>
      <c r="BM749" s="30"/>
      <c r="BN749" s="30"/>
      <c r="BO749" s="30"/>
      <c r="BP749" s="30"/>
      <c r="BQ749" s="30"/>
      <c r="BR749" s="30"/>
      <c r="BS749" s="30"/>
      <c r="BT749" s="30"/>
      <c r="BU749" s="30"/>
      <c r="BV749" s="30"/>
      <c r="BW749" s="30"/>
      <c r="BX749" s="30"/>
      <c r="BY749" s="30"/>
      <c r="BZ749" s="522" t="b">
        <f>OR(BZ747,Y749=EUconst_NA)</f>
        <v>1</v>
      </c>
    </row>
    <row r="750" spans="1:78" s="140" customFormat="1" ht="12.75" customHeight="1" thickBot="1" x14ac:dyDescent="0.25">
      <c r="A750" s="777"/>
      <c r="B750" s="1248"/>
      <c r="C750" s="783" t="s">
        <v>196</v>
      </c>
      <c r="D750" s="503" t="str">
        <f>Translations!$B$636</f>
        <v>GŠV:</v>
      </c>
      <c r="E750" s="504"/>
      <c r="F750" s="539"/>
      <c r="G750" s="1603" t="str">
        <f t="shared" si="175"/>
        <v/>
      </c>
      <c r="H750" s="1604"/>
      <c r="I750" s="1112" t="str">
        <f>AJ750</f>
        <v/>
      </c>
      <c r="J750" s="540"/>
      <c r="K750" s="541" t="str">
        <f t="shared" si="176"/>
        <v/>
      </c>
      <c r="L750" s="542"/>
      <c r="M750" s="700" t="str">
        <f>IF(AND(E738&lt;&gt;"",OR(F750="",COUNT(K750:L750)=0),Y750&lt;&gt;EUconst_NA,T738&lt;&gt;TRUE),EUconst_ERR_Incomplete,IF(COUNTIF(AX750:AZ750,TRUE)&gt;0,EUconst_ERR_Inconsistent,""))</f>
        <v/>
      </c>
      <c r="O750" s="1305"/>
      <c r="P750" s="33"/>
      <c r="Q750" s="33"/>
      <c r="R750" s="33"/>
      <c r="S750" s="30"/>
      <c r="T750" s="543" t="str">
        <f>EUconst_CNTR_NCV&amp;E738</f>
        <v>NCV_</v>
      </c>
      <c r="U750" s="488"/>
      <c r="V750" s="544" t="str">
        <f t="shared" ref="V750:V755" si="181">V749</f>
        <v/>
      </c>
      <c r="W750" s="30"/>
      <c r="X750" s="488"/>
      <c r="Y750" s="545" t="str">
        <f>IF(OR(T738=TRUE,E738=""),"",IF(F750=EUconst_NA,EUconst_NA,INDEX(EUwideConstants!$N:$N,MATCH(T750,EUwideConstants!$Q:$Q,0))))</f>
        <v/>
      </c>
      <c r="Z750" s="546" t="str">
        <f>IF(ISBLANK(F750),"",IF(F750=EUconst_NA,"",INDEX(EUwideConstants!$H:$M,MATCH(T750,EUwideConstants!$Q:$Q,0),MATCH(F750,CNTR_TierList,0))))</f>
        <v/>
      </c>
      <c r="AA750" s="547" t="str">
        <f>IF(COUNTIF(EUconst_DefaultValues,Z750)&gt;0,MATCH(Z750,EUconst_DefaultValues,0),"")</f>
        <v/>
      </c>
      <c r="AB750" s="30"/>
      <c r="AC750" s="548" t="b">
        <f>AND(AC747,Y750&lt;&gt;EUconst_NA)</f>
        <v>0</v>
      </c>
      <c r="AD750" s="30"/>
      <c r="AE750" s="549" t="str">
        <f>EUconst_CNTR_NCV&amp;EUconst_Unit</f>
        <v>NCV_Vienetas</v>
      </c>
      <c r="AF750" s="550" t="str">
        <f>IF(AC750=TRUE, IF(COUNTIF(MSPara_SourceStreamCategory,V750)=0,"",INDEX(MSPara_CalcFactorsMatrix,MATCH(V750,MSPara_SourceStreamCategory,0),MATCH(AE750&amp;"_"&amp;2,MSPara_CalcFactors,0))),"")</f>
        <v/>
      </c>
      <c r="AG750" s="551" t="str">
        <f>IF(AC750=TRUE, IF(COUNTIF(MSPara_SourceStreamCategory,V750)=0,"",INDEX(MSPara_CalcFactorsMatrix,MATCH(V750,MSPara_SourceStreamCategory,0),MATCH(AE750&amp;"_"&amp;1,MSPara_CalcFactors,0))),"")</f>
        <v/>
      </c>
      <c r="AH750" s="552" t="str">
        <f>IF(AA750="","",INDEX(AF750:AG750,3-AA750))</f>
        <v/>
      </c>
      <c r="AI750" s="553"/>
      <c r="AJ750" s="548" t="str">
        <f>IF(AC750=TRUE,IF(AJ747="","",IF(AJ747=EUconst_kNm3,EUconst_GJpkNm3,EUconst_GJpt)),"")</f>
        <v/>
      </c>
      <c r="AK750" s="554"/>
      <c r="AL750" s="333"/>
      <c r="AM750" s="549" t="str">
        <f>EUconst_CNTR_NCV&amp;EUconst_Value</f>
        <v>NCV_Vertė</v>
      </c>
      <c r="AN750" s="555" t="str">
        <f>IF(AC750=TRUE,IF(COUNTIF(MSPara_SourceStreamCategory,V750)=0,"",INDEX(MSPara_CalcFactorsMatrix,MATCH(V750,MSPara_SourceStreamCategory,0),MATCH(AM750&amp;"_"&amp;2,MSPara_CalcFactors,0))),"")</f>
        <v/>
      </c>
      <c r="AO750" s="556" t="str">
        <f>IF(AC750=TRUE,IF(COUNTIF(MSPara_SourceStreamCategory,V750)=0,"",INDEX(MSPara_CalcFactorsMatrix,MATCH(V750,MSPara_SourceStreamCategory,0),MATCH(AM750&amp;"_"&amp;1,MSPara_CalcFactors,0))),"")</f>
        <v/>
      </c>
      <c r="AP750" s="548" t="b">
        <f>AND(AND(AH750&lt;&gt;"",AJ750&lt;&gt;""),AJ750=AH750)</f>
        <v>0</v>
      </c>
      <c r="AQ750" s="557" t="str">
        <f>IF(AND(AA750&lt;&gt;"",AP750=TRUE),IF(OR(INDEX(AN750:AO750,3-AA750)=EUconst_NA,INDEX(AN750:AO750,3-AA750)=0),"",INDEX(AN750:AO750,3-AA750)),"")</f>
        <v/>
      </c>
      <c r="AR750" s="548">
        <f>IF(AC750=TRUE,IF(COUNT(K750:L750)=0,0,IF(L750="",K750,L750)),0)</f>
        <v>0</v>
      </c>
      <c r="AS750" s="544" t="b">
        <f>AND(AC750=TRUE,OR(AND(F750&lt;&gt;"",NOT(ISNUMBER(AA750))),L750&lt;&gt;"",F750="",AQ750=""))</f>
        <v>0</v>
      </c>
      <c r="AT750" s="544" t="b">
        <f t="shared" si="177"/>
        <v>0</v>
      </c>
      <c r="AU750" s="30"/>
      <c r="AV750" s="558" t="b">
        <f t="shared" si="178"/>
        <v>0</v>
      </c>
      <c r="AW750" s="559" t="b">
        <f t="shared" si="179"/>
        <v>0</v>
      </c>
      <c r="AX750" s="30"/>
      <c r="AY750" s="544" t="b">
        <f t="shared" si="180"/>
        <v>0</v>
      </c>
      <c r="AZ750" s="30"/>
      <c r="BA750" s="30"/>
      <c r="BB750" s="538" t="s">
        <v>589</v>
      </c>
      <c r="BC750" s="537" t="str">
        <f>IF(K737=BC747,AR747*IF(AJ749=EUconst_tCO2pTJ,(AR750/1000),1)*AR749*AR751*AR754,"")</f>
        <v/>
      </c>
      <c r="BD750" s="515" t="str">
        <f>IF(K737=BD747,AR747*AR749*AR752*AR754,"")</f>
        <v/>
      </c>
      <c r="BE750" s="514" t="str">
        <f>IF(K737=BE747,3.664*AR747*AR753*AR754,"")</f>
        <v/>
      </c>
      <c r="BF750" s="30"/>
      <c r="BG750" s="30"/>
      <c r="BH750" s="30"/>
      <c r="BI750" s="30"/>
      <c r="BJ750" s="30"/>
      <c r="BK750" s="30"/>
      <c r="BL750" s="30"/>
      <c r="BM750" s="30"/>
      <c r="BN750" s="30"/>
      <c r="BO750" s="30"/>
      <c r="BP750" s="30"/>
      <c r="BQ750" s="30"/>
      <c r="BR750" s="30"/>
      <c r="BS750" s="30"/>
      <c r="BT750" s="30"/>
      <c r="BU750" s="30"/>
      <c r="BV750" s="30"/>
      <c r="BW750" s="30"/>
      <c r="BX750" s="30"/>
      <c r="BY750" s="30"/>
      <c r="BZ750" s="544" t="b">
        <f>OR(BZ747,Y750=EUconst_NA)</f>
        <v>1</v>
      </c>
    </row>
    <row r="751" spans="1:78" s="140" customFormat="1" ht="12.75" customHeight="1" thickBot="1" x14ac:dyDescent="0.25">
      <c r="A751" s="777"/>
      <c r="B751" s="1248"/>
      <c r="C751" s="783" t="s">
        <v>197</v>
      </c>
      <c r="D751" s="503" t="str">
        <f>Translations!$B$638</f>
        <v>Oksidacijos koef.:</v>
      </c>
      <c r="E751" s="504"/>
      <c r="F751" s="539"/>
      <c r="G751" s="1603" t="str">
        <f t="shared" si="175"/>
        <v/>
      </c>
      <c r="H751" s="1604"/>
      <c r="I751" s="1113" t="str">
        <f>IF(OR(AC751=FALSE,Y751=EUconst_NA),"","-")</f>
        <v/>
      </c>
      <c r="J751" s="560"/>
      <c r="K751" s="561" t="str">
        <f t="shared" si="176"/>
        <v/>
      </c>
      <c r="L751" s="694"/>
      <c r="M751" s="700" t="str">
        <f>IF(AND(E738&lt;&gt;"",OR(F751="",COUNT(K751:L751)=0),Y751&lt;&gt;EUconst_NA,T738&lt;&gt;TRUE),EUconst_ERR_Incomplete,IF(COUNTIF(AX751:AZ751,TRUE)&gt;0,EUconst_ERR_Inconsistent,""))</f>
        <v/>
      </c>
      <c r="O751" s="1305"/>
      <c r="P751" s="33"/>
      <c r="Q751" s="33"/>
      <c r="R751" s="33"/>
      <c r="S751" s="30"/>
      <c r="T751" s="543" t="str">
        <f>EUconst_CNTR_OxidationFactor&amp;E738</f>
        <v>OxF_</v>
      </c>
      <c r="U751" s="488"/>
      <c r="V751" s="544" t="str">
        <f t="shared" si="181"/>
        <v/>
      </c>
      <c r="W751" s="30"/>
      <c r="X751" s="488"/>
      <c r="Y751" s="545" t="str">
        <f>IF(OR(T738=TRUE,E738=""),"",INDEX(EUwideConstants!$N:$N,MATCH(T751,EUwideConstants!$Q:$Q,0)))</f>
        <v/>
      </c>
      <c r="Z751" s="546" t="str">
        <f>IF(ISBLANK(F751),"",IF(F751=EUconst_NA,"",INDEX(EUwideConstants!$H:$M,MATCH(T751,EUwideConstants!$Q:$Q,0),MATCH(F751,CNTR_TierList,0))))</f>
        <v/>
      </c>
      <c r="AA751" s="525" t="str">
        <f>IF(F751=1,1,"")</f>
        <v/>
      </c>
      <c r="AB751" s="30"/>
      <c r="AC751" s="548" t="b">
        <f>AND(AC747,Y751&lt;&gt;EUconst_NA)</f>
        <v>0</v>
      </c>
      <c r="AD751" s="30"/>
      <c r="AE751" s="563"/>
      <c r="AG751" s="564"/>
      <c r="AH751" s="553"/>
      <c r="AI751" s="565"/>
      <c r="AJ751" s="553"/>
      <c r="AK751" s="566"/>
      <c r="AL751" s="333"/>
      <c r="AM751" s="549" t="str">
        <f>EUconst_CNTR_OxidationFactor&amp;EUconst_Value</f>
        <v>OxF_Vertė</v>
      </c>
      <c r="AN751" s="567"/>
      <c r="AO751" s="525">
        <v>1</v>
      </c>
      <c r="AP751" s="553"/>
      <c r="AQ751" s="568" t="str">
        <f>IF(AA751="","",AO751)</f>
        <v/>
      </c>
      <c r="AR751" s="548">
        <f>IF(AC751=TRUE,IF(COUNT(K751:L751)=0,0,IF(L751="",K751,L751)),1)</f>
        <v>1</v>
      </c>
      <c r="AS751" s="544" t="b">
        <f>AND(AC751=TRUE,OR(ISNUMBER(L751),NOT(ISNUMBER(AA751))))</f>
        <v>0</v>
      </c>
      <c r="AT751" s="544" t="b">
        <f t="shared" si="177"/>
        <v>0</v>
      </c>
      <c r="AU751" s="30"/>
      <c r="AV751" s="558" t="b">
        <f t="shared" si="178"/>
        <v>0</v>
      </c>
      <c r="AW751" s="559" t="b">
        <f t="shared" si="179"/>
        <v>0</v>
      </c>
      <c r="AX751" s="30"/>
      <c r="AY751" s="585" t="b">
        <f t="shared" si="180"/>
        <v>0</v>
      </c>
      <c r="AZ751" s="522" t="b">
        <f>AR751&gt;100%</f>
        <v>0</v>
      </c>
      <c r="BA751" s="30"/>
      <c r="BB751" s="538" t="s">
        <v>287</v>
      </c>
      <c r="BC751" s="537" t="str">
        <f>IF(K737=BC747,AR747*IF(AJ749=EUconst_tCO2pTJ,(AR750/1000),1)*AR749*AR751*(1-AR754),"")</f>
        <v/>
      </c>
      <c r="BD751" s="515" t="str">
        <f>IF(K737=BD747,AR747*AR749*AR752*(1-AR754),"")</f>
        <v/>
      </c>
      <c r="BE751" s="514" t="str">
        <f>IF(K737=BE747,3.664*AR747*AR753*(1-AR754),"")</f>
        <v/>
      </c>
      <c r="BF751" s="30"/>
      <c r="BG751" s="30"/>
      <c r="BH751" s="30"/>
      <c r="BI751" s="30"/>
      <c r="BJ751" s="30"/>
      <c r="BK751" s="30"/>
      <c r="BL751" s="30"/>
      <c r="BM751" s="30"/>
      <c r="BN751" s="30"/>
      <c r="BO751" s="30"/>
      <c r="BP751" s="30"/>
      <c r="BQ751" s="30"/>
      <c r="BR751" s="30"/>
      <c r="BS751" s="30"/>
      <c r="BT751" s="30"/>
      <c r="BU751" s="30"/>
      <c r="BV751" s="30"/>
      <c r="BW751" s="30"/>
      <c r="BX751" s="30"/>
      <c r="BY751" s="30"/>
      <c r="BZ751" s="544" t="b">
        <f>OR(BZ747,Y751=EUconst_NA)</f>
        <v>1</v>
      </c>
    </row>
    <row r="752" spans="1:78" s="140" customFormat="1" ht="12.75" customHeight="1" thickBot="1" x14ac:dyDescent="0.25">
      <c r="A752" s="777"/>
      <c r="B752" s="1248"/>
      <c r="C752" s="783" t="s">
        <v>198</v>
      </c>
      <c r="D752" s="503" t="str">
        <f>Translations!$B$639</f>
        <v>Konversijos koef.:</v>
      </c>
      <c r="E752" s="504"/>
      <c r="F752" s="539"/>
      <c r="G752" s="1603" t="str">
        <f t="shared" si="175"/>
        <v/>
      </c>
      <c r="H752" s="1604"/>
      <c r="I752" s="1113" t="str">
        <f>IF(OR(AC752=FALSE,Y752=EUconst_NA),"","-")</f>
        <v/>
      </c>
      <c r="J752" s="560"/>
      <c r="K752" s="561" t="str">
        <f t="shared" si="176"/>
        <v/>
      </c>
      <c r="L752" s="694"/>
      <c r="M752" s="700" t="str">
        <f>IF(AND(E738&lt;&gt;"",OR(F752="",COUNT(K752:L752)=0),Y752&lt;&gt;EUconst_NA,T738&lt;&gt;TRUE),EUconst_ERR_Incomplete,IF(COUNTIF(AX752:AZ752,TRUE)&gt;0,EUconst_ERR_Inconsistent,""))</f>
        <v/>
      </c>
      <c r="O752" s="1305"/>
      <c r="P752" s="33"/>
      <c r="Q752" s="33"/>
      <c r="R752" s="33"/>
      <c r="S752" s="30"/>
      <c r="T752" s="543" t="str">
        <f>EUconst_CNTR_ConversionFactor&amp;E738</f>
        <v>ConvF_</v>
      </c>
      <c r="U752" s="488"/>
      <c r="V752" s="544" t="str">
        <f t="shared" si="181"/>
        <v/>
      </c>
      <c r="W752" s="30"/>
      <c r="X752" s="488"/>
      <c r="Y752" s="545" t="str">
        <f>IF(OR(T738=TRUE,E738=""),"",INDEX(EUwideConstants!$N:$N,MATCH(T752,EUwideConstants!$Q:$Q,0)))</f>
        <v/>
      </c>
      <c r="Z752" s="546" t="str">
        <f>IF(ISBLANK(F752),"",IF(F752=EUconst_NA,"",INDEX(EUwideConstants!$H:$M,MATCH(T752,EUwideConstants!$Q:$Q,0),MATCH(F752,CNTR_TierList,0))))</f>
        <v/>
      </c>
      <c r="AA752" s="573" t="str">
        <f>IF(F752=1,1,"")</f>
        <v/>
      </c>
      <c r="AB752" s="30"/>
      <c r="AC752" s="548" t="b">
        <f>AND(AC747,Y752&lt;&gt;EUconst_NA)</f>
        <v>0</v>
      </c>
      <c r="AD752" s="30"/>
      <c r="AE752" s="563"/>
      <c r="AG752" s="564"/>
      <c r="AH752" s="574"/>
      <c r="AI752" s="565"/>
      <c r="AJ752" s="574"/>
      <c r="AK752" s="566"/>
      <c r="AL752" s="333"/>
      <c r="AM752" s="549" t="str">
        <f>EUconst_CNTR_ConversionFactor&amp;EUconst_Value</f>
        <v>ConvF_Vertė</v>
      </c>
      <c r="AN752" s="575"/>
      <c r="AO752" s="573">
        <v>1</v>
      </c>
      <c r="AP752" s="574"/>
      <c r="AQ752" s="576" t="str">
        <f>IF(AA752="","",AO752)</f>
        <v/>
      </c>
      <c r="AR752" s="548">
        <f>IF(AC752=TRUE,IF(COUNT(K752:L752)=0,0,IF(L752="",K752,L752)),1)</f>
        <v>1</v>
      </c>
      <c r="AS752" s="544" t="b">
        <f>AND(AC752=TRUE,OR(ISNUMBER(L752),NOT(ISNUMBER(AA752))))</f>
        <v>0</v>
      </c>
      <c r="AT752" s="544" t="b">
        <f t="shared" si="177"/>
        <v>0</v>
      </c>
      <c r="AU752" s="30"/>
      <c r="AV752" s="558" t="b">
        <f t="shared" si="178"/>
        <v>0</v>
      </c>
      <c r="AW752" s="559" t="b">
        <f t="shared" si="179"/>
        <v>0</v>
      </c>
      <c r="AX752" s="30"/>
      <c r="AY752" s="585" t="b">
        <f t="shared" si="180"/>
        <v>0</v>
      </c>
      <c r="AZ752" s="571" t="b">
        <f>AR752&gt;100%</f>
        <v>0</v>
      </c>
      <c r="BA752" s="30"/>
      <c r="BB752" s="569" t="s">
        <v>481</v>
      </c>
      <c r="BC752" s="570">
        <f>AR747*AR750/1000*(1-AR754)</f>
        <v>0</v>
      </c>
      <c r="BD752" s="571">
        <f>BC752</f>
        <v>0</v>
      </c>
      <c r="BE752" s="572">
        <f>BC752</f>
        <v>0</v>
      </c>
      <c r="BF752" s="30"/>
      <c r="BG752" s="30"/>
      <c r="BH752" s="30"/>
      <c r="BI752" s="30"/>
      <c r="BJ752" s="30"/>
      <c r="BK752" s="30"/>
      <c r="BL752" s="30"/>
      <c r="BM752" s="30"/>
      <c r="BN752" s="30"/>
      <c r="BO752" s="30"/>
      <c r="BP752" s="30"/>
      <c r="BQ752" s="30"/>
      <c r="BR752" s="30"/>
      <c r="BS752" s="30"/>
      <c r="BT752" s="30"/>
      <c r="BU752" s="30"/>
      <c r="BV752" s="30"/>
      <c r="BW752" s="30"/>
      <c r="BX752" s="30"/>
      <c r="BY752" s="30"/>
      <c r="BZ752" s="544" t="b">
        <f>OR(BZ747,Y752=EUconst_NA)</f>
        <v>1</v>
      </c>
    </row>
    <row r="753" spans="1:78" s="140" customFormat="1" ht="12.75" customHeight="1" thickBot="1" x14ac:dyDescent="0.25">
      <c r="A753" s="777"/>
      <c r="B753" s="1248"/>
      <c r="C753" s="783" t="s">
        <v>324</v>
      </c>
      <c r="D753" s="503" t="str">
        <f>Translations!$B$640</f>
        <v>Anglies kiekis (C):</v>
      </c>
      <c r="E753" s="504"/>
      <c r="F753" s="539"/>
      <c r="G753" s="1603" t="str">
        <f t="shared" si="175"/>
        <v/>
      </c>
      <c r="H753" s="1604"/>
      <c r="I753" s="1113" t="str">
        <f>AJ753</f>
        <v/>
      </c>
      <c r="J753" s="577"/>
      <c r="K753" s="578" t="str">
        <f t="shared" si="176"/>
        <v/>
      </c>
      <c r="L753" s="579"/>
      <c r="M753" s="700" t="str">
        <f>IF(AND(E738&lt;&gt;"",OR(F753="",COUNT(K753:L753)=0),Y753&lt;&gt;EUconst_NA,T738&lt;&gt;TRUE),EUconst_ERR_Incomplete,IF(COUNTIF(AX753:AZ753,TRUE)&gt;0,EUconst_ERR_Inconsistent,""))</f>
        <v/>
      </c>
      <c r="O753" s="1305"/>
      <c r="P753" s="33"/>
      <c r="Q753" s="33"/>
      <c r="R753" s="33"/>
      <c r="S753" s="30"/>
      <c r="T753" s="543" t="str">
        <f>EUconst_CNTR_CarbonContent&amp;E738</f>
        <v>CarbC_</v>
      </c>
      <c r="U753" s="488"/>
      <c r="V753" s="544" t="str">
        <f t="shared" si="181"/>
        <v/>
      </c>
      <c r="W753" s="30"/>
      <c r="X753" s="488"/>
      <c r="Y753" s="545" t="str">
        <f>IF(OR(T738=TRUE,E738=""),"",INDEX(EUwideConstants!$N:$N,MATCH(T753,EUwideConstants!$Q:$Q,0)))</f>
        <v/>
      </c>
      <c r="Z753" s="546" t="str">
        <f>IF(ISBLANK(F753),"",IF(F753=EUconst_NA,"",INDEX(EUwideConstants!$H:$M,MATCH(T753,EUwideConstants!$Q:$Q,0),MATCH(F753,CNTR_TierList,0))))</f>
        <v/>
      </c>
      <c r="AA753" s="580" t="str">
        <f>IF(COUNTIF(EUconst_DefaultValues,Z753)&gt;0,MATCH(Z753,EUconst_DefaultValues,0),"")</f>
        <v/>
      </c>
      <c r="AB753" s="30"/>
      <c r="AC753" s="548" t="b">
        <f>AND(AC747,Y753&lt;&gt;EUconst_NA)</f>
        <v>0</v>
      </c>
      <c r="AD753" s="30"/>
      <c r="AE753" s="549" t="str">
        <f>EUconst_CNTR_CarbonContent&amp;EUconst_Unit</f>
        <v>CarbC_Vienetas</v>
      </c>
      <c r="AF753" s="550" t="str">
        <f>IF(AC753=TRUE, IF(COUNTIF(MSPara_SourceStreamCategory,V753)=0,"",INDEX(MSPara_CalcFactorsMatrix,MATCH(V753,MSPara_SourceStreamCategory,0),MATCH(AE753&amp;"_"&amp;2,MSPara_CalcFactors,0))),"")</f>
        <v/>
      </c>
      <c r="AG753" s="551" t="str">
        <f>IF(AC753=TRUE, IF(COUNTIF(MSPara_SourceStreamCategory,V753)=0,"",INDEX(MSPara_CalcFactorsMatrix,MATCH(V753,MSPara_SourceStreamCategory,0),MATCH(AE753&amp;"_"&amp;1,MSPara_CalcFactors,0))),"")</f>
        <v/>
      </c>
      <c r="AH753" s="581" t="str">
        <f>IF(AA753="","",INDEX(AF753:AG753,3-AA753))</f>
        <v/>
      </c>
      <c r="AI753" s="565"/>
      <c r="AJ753" s="582" t="str">
        <f>IF(AC753=TRUE,IF(AJ747="","",IF(AJ747=EUconst_kNm3,EUconst_tCpkNm3,EUconst_tCpt)),"")</f>
        <v/>
      </c>
      <c r="AK753" s="566"/>
      <c r="AL753" s="333"/>
      <c r="AM753" s="549" t="str">
        <f>EUconst_CNTR_CarbonContent&amp;EUconst_Value</f>
        <v>CarbC_Vertė</v>
      </c>
      <c r="AN753" s="555" t="str">
        <f>IF(AC753=TRUE,IF(COUNTIF(MSPara_SourceStreamCategory,V753)=0,"",INDEX(MSPara_CalcFactorsMatrix,MATCH(V753,MSPara_SourceStreamCategory,0),MATCH(AM753&amp;"_"&amp;2,MSPara_CalcFactors,0))),"")</f>
        <v/>
      </c>
      <c r="AO753" s="583" t="str">
        <f>IF(AC753=TRUE,IF(COUNTIF(MSPara_SourceStreamCategory,V753)=0,"",INDEX(MSPara_CalcFactorsMatrix,MATCH(V753,MSPara_SourceStreamCategory,0),MATCH(AM753&amp;"_"&amp;1,MSPara_CalcFactors,0))),"")</f>
        <v/>
      </c>
      <c r="AP753" s="548" t="b">
        <f>AND(AND(AH753&lt;&gt;"",AJ753&lt;&gt;""),AJ753=AH753)</f>
        <v>0</v>
      </c>
      <c r="AQ753" s="584" t="str">
        <f>IF(AND(AA753&lt;&gt;"",AP753=TRUE),IF(OR(INDEX(AN753:AO753,3-AA753)=EUconst_NA,INDEX(AN753:AO753,3-AA753)=0),"",INDEX(AN753:AO753,3-AA753)),"")</f>
        <v/>
      </c>
      <c r="AR753" s="548">
        <f>IF(AC753=TRUE,IF(COUNT(K753:L753)=0,0,IF(L753="",K753,L753)),0)</f>
        <v>0</v>
      </c>
      <c r="AS753" s="544" t="b">
        <f>AND(AC753=TRUE,OR(AND(F753&lt;&gt;"",NOT(ISNUMBER(AA753))),L753&lt;&gt;"",F753="",AQ753=""))</f>
        <v>0</v>
      </c>
      <c r="AT753" s="544" t="b">
        <f t="shared" si="177"/>
        <v>0</v>
      </c>
      <c r="AU753" s="30"/>
      <c r="AV753" s="558" t="b">
        <f t="shared" si="178"/>
        <v>0</v>
      </c>
      <c r="AW753" s="559" t="b">
        <f t="shared" si="179"/>
        <v>0</v>
      </c>
      <c r="AX753" s="537" t="b">
        <f>OR(AND(AJ747=EUconst_kNm3,AJ753=EUconst_tCpt),AND(AJ747=EUconst_t,AJ753=EUconst_tCpkNm3))</f>
        <v>0</v>
      </c>
      <c r="AY753" s="544" t="b">
        <f t="shared" si="180"/>
        <v>0</v>
      </c>
      <c r="AZ753" s="30"/>
      <c r="BA753" s="30"/>
      <c r="BB753" s="569" t="s">
        <v>482</v>
      </c>
      <c r="BC753" s="570">
        <f>AR747*AR750/1000*AR754</f>
        <v>0</v>
      </c>
      <c r="BD753" s="571">
        <f>BC753</f>
        <v>0</v>
      </c>
      <c r="BE753" s="572">
        <f>BC753</f>
        <v>0</v>
      </c>
      <c r="BF753" s="30"/>
      <c r="BG753" s="30"/>
      <c r="BH753" s="30"/>
      <c r="BI753" s="30"/>
      <c r="BJ753" s="30"/>
      <c r="BK753" s="30"/>
      <c r="BL753" s="30"/>
      <c r="BM753" s="30"/>
      <c r="BN753" s="30"/>
      <c r="BO753" s="30"/>
      <c r="BP753" s="30"/>
      <c r="BQ753" s="30"/>
      <c r="BR753" s="30"/>
      <c r="BS753" s="30"/>
      <c r="BT753" s="30"/>
      <c r="BU753" s="30"/>
      <c r="BV753" s="30"/>
      <c r="BW753" s="30"/>
      <c r="BX753" s="30"/>
      <c r="BY753" s="30"/>
      <c r="BZ753" s="544" t="b">
        <f>OR(BZ747,Y753=EUconst_NA)</f>
        <v>1</v>
      </c>
    </row>
    <row r="754" spans="1:78" s="140" customFormat="1" ht="12.75" customHeight="1" x14ac:dyDescent="0.2">
      <c r="A754" s="777"/>
      <c r="B754" s="1248"/>
      <c r="C754" s="753" t="s">
        <v>325</v>
      </c>
      <c r="D754" s="503" t="str">
        <f>Translations!$B$641</f>
        <v>Biomasės dalis (BioC):</v>
      </c>
      <c r="E754" s="504"/>
      <c r="F754" s="539"/>
      <c r="G754" s="1603" t="str">
        <f t="shared" si="175"/>
        <v/>
      </c>
      <c r="H754" s="1604"/>
      <c r="I754" s="1113" t="str">
        <f>IF(OR(AC754=FALSE,Y754=EUconst_NA),"","-")</f>
        <v/>
      </c>
      <c r="J754" s="560"/>
      <c r="K754" s="561" t="str">
        <f t="shared" si="176"/>
        <v/>
      </c>
      <c r="L754" s="694"/>
      <c r="M754" s="700" t="str">
        <f>IF(AND(E738&lt;&gt;"",OR(F754="",COUNT(K754:L754)=0),Y754&lt;&gt;EUconst_NA,T738&lt;&gt;TRUE),EUconst_ERR_Incomplete,IF(COUNTIF(AX754:AZ754,TRUE)&gt;0,EUconst_ERR_Inconsistent,""))</f>
        <v/>
      </c>
      <c r="O754" s="1305"/>
      <c r="P754" s="635"/>
      <c r="Q754" s="635"/>
      <c r="R754" s="635"/>
      <c r="S754" s="30"/>
      <c r="T754" s="543" t="str">
        <f>EUconst_CNTR_BiomassContent&amp;E738</f>
        <v>BioC_</v>
      </c>
      <c r="U754" s="488"/>
      <c r="V754" s="585" t="str">
        <f t="shared" si="181"/>
        <v/>
      </c>
      <c r="W754" s="522" t="str">
        <f>IF(COUNTIF(MSPara_SourceStreamCategory,V754)=0,"",INDEX(MSPara_IsFossil,MATCH(V754,MSPara_SourceStreamCategory,0)))</f>
        <v/>
      </c>
      <c r="X754" s="488"/>
      <c r="Y754" s="545" t="str">
        <f>IF(OR(T738=TRUE,E738=""),"",IF(OR(W754=TRUE,F754=EUconst_NA),EUconst_NA,INDEX(EUwideConstants!$N:$N,MATCH(T754,EUwideConstants!$Q:$Q,0))))</f>
        <v/>
      </c>
      <c r="Z754" s="546" t="str">
        <f>IF(ISBLANK(F754),"",IF(F754=EUconst_NA,"",INDEX(EUwideConstants!$H:$M,MATCH(T754,EUwideConstants!$Q:$Q,0),MATCH(F754,CNTR_TierList,0))))</f>
        <v/>
      </c>
      <c r="AA754" s="586" t="str">
        <f>IF(F754=1,1,"")</f>
        <v/>
      </c>
      <c r="AB754" s="30"/>
      <c r="AC754" s="548" t="b">
        <f>AND(AC747,Y754&lt;&gt;EUconst_NA)</f>
        <v>0</v>
      </c>
      <c r="AD754" s="30"/>
      <c r="AE754" s="563"/>
      <c r="AG754" s="564"/>
      <c r="AH754" s="553"/>
      <c r="AI754" s="565"/>
      <c r="AJ754" s="553"/>
      <c r="AK754" s="566"/>
      <c r="AL754" s="333"/>
      <c r="AM754" s="549" t="str">
        <f>EUconst_CNTR_BiomassContent&amp;EUconst_Value</f>
        <v>BioC_Vertė</v>
      </c>
      <c r="AO754" s="587" t="str">
        <f>IF(AC754=TRUE,IF(COUNTIF(MSPara_SourceStreamCategory,V754)=0,"",INDEX(MSPara_CalcFactorsMatrix,MATCH(V754,MSPara_SourceStreamCategory,0),MATCH(AM754&amp;"_"&amp;2,MSPara_CalcFactors,0))),"")</f>
        <v/>
      </c>
      <c r="AP754" s="553"/>
      <c r="AQ754" s="568" t="str">
        <f>IF(OR(AA754="",AO754=EUconst_NA),"",AO754)</f>
        <v/>
      </c>
      <c r="AR754" s="548">
        <f>IF(AC754=TRUE,IF(COUNT(K754:L754)=0,0,IF(L754="",K754,L754)),0)</f>
        <v>0</v>
      </c>
      <c r="AS754" s="544" t="b">
        <f>AND(AC754=TRUE,OR(AND(F754&lt;&gt;"",NOT(ISNUMBER(AA754))),L754&lt;&gt;"",F754="",AQ754=""))</f>
        <v>0</v>
      </c>
      <c r="AT754" s="544" t="b">
        <f t="shared" si="177"/>
        <v>0</v>
      </c>
      <c r="AU754" s="30"/>
      <c r="AV754" s="558" t="b">
        <f t="shared" si="178"/>
        <v>0</v>
      </c>
      <c r="AW754" s="559" t="b">
        <f t="shared" si="179"/>
        <v>0</v>
      </c>
      <c r="AX754" s="30"/>
      <c r="AY754" s="585" t="b">
        <f t="shared" si="180"/>
        <v>0</v>
      </c>
      <c r="AZ754" s="522" t="b">
        <f>OR(AR754&gt;100%,(AR754+AR755)&gt;100%)</f>
        <v>0</v>
      </c>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544" t="b">
        <f>OR(BZ747,Y754=EUconst_NA)</f>
        <v>1</v>
      </c>
    </row>
    <row r="755" spans="1:78" s="140" customFormat="1" ht="12.75" customHeight="1" thickBot="1" x14ac:dyDescent="0.25">
      <c r="A755" s="777"/>
      <c r="B755" s="1248"/>
      <c r="C755" s="753" t="s">
        <v>448</v>
      </c>
      <c r="D755" s="503" t="str">
        <f>Translations!$B$647</f>
        <v>Netvarios BioC dalis:</v>
      </c>
      <c r="E755" s="504"/>
      <c r="F755" s="588"/>
      <c r="G755" s="1603" t="str">
        <f t="shared" si="175"/>
        <v/>
      </c>
      <c r="H755" s="1604"/>
      <c r="I755" s="1114" t="str">
        <f>IF(OR(AC755=FALSE,Y755=EUconst_NA),"","-")</f>
        <v/>
      </c>
      <c r="J755" s="560"/>
      <c r="K755" s="589" t="str">
        <f t="shared" si="176"/>
        <v/>
      </c>
      <c r="L755" s="1100"/>
      <c r="M755" s="700" t="str">
        <f>IF(AND(E738&lt;&gt;"",OR(F755="",COUNT(K755:L755)=0),Y755&lt;&gt;EUconst_NA,T738&lt;&gt;TRUE),EUconst_ERR_Incomplete,IF(COUNTIF(AX755:AZ755,TRUE)&gt;0,EUconst_ERR_Inconsistent,""))</f>
        <v/>
      </c>
      <c r="O755" s="1305"/>
      <c r="P755" s="635"/>
      <c r="Q755" s="635"/>
      <c r="R755" s="635"/>
      <c r="S755" s="30"/>
      <c r="T755" s="590" t="str">
        <f>EUconst_CNTR_BiomassContent&amp;E738</f>
        <v>BioC_</v>
      </c>
      <c r="U755" s="488"/>
      <c r="V755" s="570" t="str">
        <f t="shared" si="181"/>
        <v/>
      </c>
      <c r="W755" s="571" t="str">
        <f>IF(COUNTIF(MSPara_SourceStreamCategory,V755)=0,"",INDEX(MSPara_IsFossil,MATCH(V755,MSPara_SourceStreamCategory,0)))</f>
        <v/>
      </c>
      <c r="X755" s="488"/>
      <c r="Y755" s="591" t="str">
        <f>IF(OR(T738=TRUE,E738=""),"",IF(OR(W755=TRUE,F755=EUconst_NA),EUconst_NA,INDEX(EUwideConstants!$N:$N,MATCH(T755,EUwideConstants!$Q:$Q,0))))</f>
        <v/>
      </c>
      <c r="Z755" s="592" t="str">
        <f>IF(ISBLANK(F755),"",IF(F755=EUconst_NA,"",INDEX(EUwideConstants!$H:$M,MATCH(T755,EUwideConstants!$Q:$Q,0),MATCH(F755,CNTR_TierList,0))))</f>
        <v/>
      </c>
      <c r="AA755" s="593" t="str">
        <f>IF(F755=1,1,"")</f>
        <v/>
      </c>
      <c r="AB755" s="30"/>
      <c r="AC755" s="594" t="b">
        <f>AND(AC747,Y755&lt;&gt;EUconst_NA)</f>
        <v>0</v>
      </c>
      <c r="AD755" s="30"/>
      <c r="AE755" s="595"/>
      <c r="AF755" s="596"/>
      <c r="AG755" s="597"/>
      <c r="AH755" s="598"/>
      <c r="AI755" s="598"/>
      <c r="AJ755" s="598"/>
      <c r="AK755" s="599"/>
      <c r="AL755" s="333"/>
      <c r="AM755" s="600" t="str">
        <f>EUconst_CNTR_BiomassContent&amp;EUconst_Value</f>
        <v>BioC_Vertė</v>
      </c>
      <c r="AN755" s="596"/>
      <c r="AO755" s="601" t="str">
        <f>IF(AC755=TRUE,IF(COUNTIF(MSPara_SourceStreamCategory,V755)=0,"",INDEX(MSPara_CalcFactorsMatrix,MATCH(V755,MSPara_SourceStreamCategory,0),MATCH(AM755&amp;"_"&amp;2,MSPara_CalcFactors,0))),"")</f>
        <v/>
      </c>
      <c r="AP755" s="598"/>
      <c r="AQ755" s="602" t="str">
        <f>IF(OR(AA755="",AO755=EUconst_NA),"",AO755)</f>
        <v/>
      </c>
      <c r="AR755" s="594">
        <f>IF(AC755=TRUE,IF(COUNT(K755:L755)=0,0,IF(L755="",K755,L755)),0)</f>
        <v>0</v>
      </c>
      <c r="AS755" s="603" t="b">
        <f>AND(AC755=TRUE,OR(AND(F755&lt;&gt;"",NOT(ISNUMBER(AA755))),L755&lt;&gt;"",F755="",AQ755=""))</f>
        <v>0</v>
      </c>
      <c r="AT755" s="603" t="b">
        <f t="shared" si="177"/>
        <v>0</v>
      </c>
      <c r="AU755" s="30"/>
      <c r="AV755" s="604" t="b">
        <f t="shared" si="178"/>
        <v>0</v>
      </c>
      <c r="AW755" s="605" t="b">
        <f t="shared" si="179"/>
        <v>0</v>
      </c>
      <c r="AX755" s="30"/>
      <c r="AY755" s="570" t="b">
        <f t="shared" si="180"/>
        <v>0</v>
      </c>
      <c r="AZ755" s="571" t="b">
        <f>OR(AR754&gt;100%,(AR754+AR755)&gt;100%)</f>
        <v>0</v>
      </c>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571" t="b">
        <f>OR(BZ747,Y755=EUconst_NA)</f>
        <v>1</v>
      </c>
    </row>
    <row r="756" spans="1:78" s="140" customFormat="1" ht="5.0999999999999996" customHeight="1" x14ac:dyDescent="0.2">
      <c r="A756" s="777"/>
      <c r="B756" s="1248"/>
      <c r="C756" s="164"/>
      <c r="D756" s="178"/>
      <c r="O756" s="1305"/>
      <c r="P756" s="33"/>
      <c r="Q756" s="33"/>
      <c r="R756" s="33"/>
      <c r="S756" s="172"/>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row>
    <row r="757" spans="1:78" s="140" customFormat="1" ht="12.75" customHeight="1" x14ac:dyDescent="0.2">
      <c r="A757" s="777"/>
      <c r="B757" s="1248"/>
      <c r="C757" s="164"/>
      <c r="D757" s="1629" t="str">
        <f>Translations!$B$674</f>
        <v>Pakopos galioja nuo:</v>
      </c>
      <c r="E757" s="1629"/>
      <c r="F757" s="1630"/>
      <c r="G757" s="1014"/>
      <c r="H757" s="606" t="str">
        <f>Translations!$B$675</f>
        <v>iki:</v>
      </c>
      <c r="I757" s="1014"/>
      <c r="J757" s="1620" t="str">
        <f>Translations!$B$676</f>
        <v>Atliekų katalogo numeris (jeigu taikytina):</v>
      </c>
      <c r="K757" s="1621"/>
      <c r="L757" s="1621"/>
      <c r="M757" s="1622"/>
      <c r="N757" s="1232"/>
      <c r="O757" s="1305"/>
      <c r="P757" s="33"/>
      <c r="Q757" s="33"/>
      <c r="R757" s="33"/>
      <c r="S757" s="1233"/>
      <c r="T757" s="483"/>
      <c r="U757" s="483"/>
      <c r="V757" s="48" t="b">
        <f>IF(V747="",FALSE,INDEX(CNTR_IsWaste,MATCH(V747,MSParameters!$A$218:$A$376,0)))</f>
        <v>0</v>
      </c>
      <c r="W757" s="1233" t="s">
        <v>1689</v>
      </c>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2" t="b">
        <f>BZ747</f>
        <v>1</v>
      </c>
    </row>
    <row r="758" spans="1:78" s="140" customFormat="1" ht="5.0999999999999996" customHeight="1" x14ac:dyDescent="0.2">
      <c r="A758" s="777"/>
      <c r="B758" s="1248"/>
      <c r="C758" s="164"/>
      <c r="D758" s="606"/>
      <c r="E758" s="486"/>
      <c r="F758" s="486"/>
      <c r="G758" s="486"/>
      <c r="H758" s="486"/>
      <c r="I758" s="486"/>
      <c r="J758" s="486"/>
      <c r="K758" s="486"/>
      <c r="L758" s="486"/>
      <c r="M758" s="486"/>
      <c r="N758" s="486"/>
      <c r="O758" s="1305"/>
      <c r="P758" s="33"/>
      <c r="Q758" s="33"/>
      <c r="R758" s="33"/>
      <c r="S758" s="172"/>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row>
    <row r="759" spans="1:78" s="140" customFormat="1" ht="12.75" customHeight="1" x14ac:dyDescent="0.2">
      <c r="A759" s="777"/>
      <c r="B759" s="1248"/>
      <c r="C759" s="164"/>
      <c r="D759" s="486"/>
      <c r="E759" s="486"/>
      <c r="F759" s="486"/>
      <c r="G759" s="486"/>
      <c r="H759" s="486"/>
      <c r="I759" s="486"/>
      <c r="J759" s="486"/>
      <c r="K759" s="486"/>
      <c r="L759" s="486"/>
      <c r="M759" s="606" t="str">
        <f>Translations!$B$677</f>
        <v>Stebėsenos plane šiam sukėlikliui suteiktas identifikatorius:</v>
      </c>
      <c r="N759" s="705"/>
      <c r="O759" s="1305"/>
      <c r="P759" s="33"/>
      <c r="Q759" s="33"/>
      <c r="R759" s="33"/>
      <c r="S759" s="172"/>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2" t="b">
        <f>BZ757</f>
        <v>1</v>
      </c>
    </row>
    <row r="760" spans="1:78" s="140" customFormat="1" ht="5.0999999999999996" customHeight="1" x14ac:dyDescent="0.2">
      <c r="A760" s="784"/>
      <c r="B760" s="1316"/>
      <c r="D760" s="178"/>
      <c r="O760" s="1317"/>
      <c r="P760" s="488"/>
      <c r="Q760" s="488"/>
      <c r="R760" s="488"/>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row>
    <row r="761" spans="1:78" s="140" customFormat="1" x14ac:dyDescent="0.2">
      <c r="A761" s="784"/>
      <c r="B761" s="1316"/>
      <c r="D761" s="1618" t="str">
        <f>Translations!$B$160</f>
        <v>Pastabos:</v>
      </c>
      <c r="E761" s="1619"/>
      <c r="F761" s="1605"/>
      <c r="G761" s="1606"/>
      <c r="H761" s="1606"/>
      <c r="I761" s="1606"/>
      <c r="J761" s="1606"/>
      <c r="K761" s="1606"/>
      <c r="L761" s="1606"/>
      <c r="M761" s="1606"/>
      <c r="N761" s="1607"/>
      <c r="O761" s="1317"/>
      <c r="P761" s="488"/>
      <c r="Q761" s="488"/>
      <c r="R761" s="488"/>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2" t="b">
        <f>BZ757</f>
        <v>1</v>
      </c>
    </row>
    <row r="762" spans="1:78" s="28" customFormat="1" ht="12.75" customHeight="1" thickBot="1" x14ac:dyDescent="0.25">
      <c r="A762" s="777"/>
      <c r="B762" s="1312"/>
      <c r="C762" s="490"/>
      <c r="D762" s="491"/>
      <c r="E762" s="492"/>
      <c r="F762" s="490"/>
      <c r="G762" s="493"/>
      <c r="H762" s="493"/>
      <c r="I762" s="493"/>
      <c r="J762" s="493"/>
      <c r="K762" s="493"/>
      <c r="L762" s="493"/>
      <c r="M762" s="493"/>
      <c r="N762" s="493"/>
      <c r="O762" s="1313"/>
      <c r="P762" s="485"/>
      <c r="Q762" s="485"/>
      <c r="R762" s="485"/>
      <c r="S762" s="58"/>
      <c r="T762" s="58"/>
      <c r="U762" s="489"/>
      <c r="V762" s="58"/>
      <c r="W762" s="58"/>
      <c r="X762" s="489"/>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30"/>
      <c r="BJ762" s="30"/>
      <c r="BK762" s="30"/>
      <c r="BL762" s="58"/>
      <c r="BM762" s="58"/>
      <c r="BN762" s="58"/>
      <c r="BO762" s="58"/>
      <c r="BP762" s="58"/>
      <c r="BQ762" s="58"/>
      <c r="BR762" s="58"/>
      <c r="BS762" s="58"/>
      <c r="BT762" s="58"/>
      <c r="BU762" s="58"/>
      <c r="BV762" s="58"/>
      <c r="BW762" s="58"/>
      <c r="BX762" s="58"/>
      <c r="BY762" s="58"/>
      <c r="BZ762" s="58"/>
    </row>
    <row r="763" spans="1:78" s="28" customFormat="1" ht="12.75" customHeight="1" thickBot="1" x14ac:dyDescent="0.25">
      <c r="A763" s="782"/>
      <c r="B763" s="1312"/>
      <c r="C763" s="486"/>
      <c r="D763" s="178"/>
      <c r="E763" s="487"/>
      <c r="F763" s="486"/>
      <c r="G763" s="478"/>
      <c r="H763" s="478"/>
      <c r="I763" s="478"/>
      <c r="J763" s="478"/>
      <c r="K763" s="486"/>
      <c r="L763" s="478"/>
      <c r="M763" s="478"/>
      <c r="N763" s="478"/>
      <c r="O763" s="1313"/>
      <c r="P763" s="485"/>
      <c r="Q763" s="485"/>
      <c r="R763" s="485"/>
      <c r="S763" s="23"/>
      <c r="T763" s="27" t="str">
        <f>IF(ISBLANK(E764),"",MATCH(E764,CNTR_SourceStreamNames,0))</f>
        <v/>
      </c>
      <c r="U763" s="609" t="str">
        <f>IF(ISBLANK(E764),"",INDEX(B_InstallationDescription!$D$71:$D$145,MATCH(E764,CNTR_SourceStreamNames,0)))</f>
        <v/>
      </c>
      <c r="V763" s="76"/>
      <c r="W763" s="56"/>
      <c r="X763" s="56"/>
      <c r="Y763" s="56"/>
      <c r="Z763" s="58"/>
      <c r="AA763" s="58"/>
      <c r="AB763" s="58"/>
      <c r="AC763" s="58"/>
      <c r="AD763" s="58"/>
      <c r="AE763" s="58"/>
      <c r="AF763" s="58"/>
      <c r="AG763" s="58"/>
      <c r="AH763" s="58"/>
      <c r="AI763" s="58"/>
      <c r="AJ763" s="58"/>
      <c r="AK763" s="482"/>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6"/>
      <c r="BI763" s="56"/>
      <c r="BJ763" s="56"/>
      <c r="BK763" s="56"/>
      <c r="BL763" s="56"/>
      <c r="BM763" s="56"/>
      <c r="BN763" s="56"/>
      <c r="BO763" s="56"/>
      <c r="BP763" s="56"/>
      <c r="BQ763" s="56"/>
      <c r="BR763" s="56"/>
      <c r="BS763" s="56"/>
      <c r="BT763" s="56"/>
      <c r="BU763" s="56"/>
      <c r="BV763" s="56"/>
      <c r="BW763" s="56"/>
      <c r="BX763" s="56"/>
      <c r="BY763" s="56"/>
      <c r="BZ763" s="484" t="s">
        <v>259</v>
      </c>
    </row>
    <row r="764" spans="1:78" s="140" customFormat="1" ht="15" customHeight="1" thickBot="1" x14ac:dyDescent="0.25">
      <c r="A764" s="1302" t="str">
        <f>IF(E764="","","PRINT")</f>
        <v/>
      </c>
      <c r="B764" s="1248"/>
      <c r="C764" s="608">
        <f>C737+1</f>
        <v>27</v>
      </c>
      <c r="D764" s="164"/>
      <c r="E764" s="1610"/>
      <c r="F764" s="1611"/>
      <c r="G764" s="1611"/>
      <c r="H764" s="1611"/>
      <c r="I764" s="1611"/>
      <c r="J764" s="1612"/>
      <c r="K764" s="1623" t="str">
        <f>IF(E765="","",INDEX(EUwideConstants!$F$353:$F$394,MATCH(E765,EUConst_TierActivityListNames,0)))</f>
        <v/>
      </c>
      <c r="L764" s="1624"/>
      <c r="M764" s="494" t="str">
        <f>Translations!$B$665</f>
        <v>CO2, iškastinio kuro kilmės:</v>
      </c>
      <c r="N764" s="1012" t="str">
        <f>IF(OR(K764="",T765=TRUE),"",INDEX(BC778:BE778,MATCH(K764,BC774:BE774,0)))</f>
        <v/>
      </c>
      <c r="O764" s="1314" t="s">
        <v>257</v>
      </c>
      <c r="P764" s="1303" t="str">
        <f>IF(AND(E764&lt;&gt;"",COUNTIF(P765:$P$2089,"PRINT")=0),"PRINT","")</f>
        <v/>
      </c>
      <c r="Q764" s="343" t="str">
        <f>EUconst_SumCO2 &amp; "_" &amp; K764</f>
        <v>SUM_CO2_</v>
      </c>
      <c r="R764" s="485"/>
      <c r="S764" s="23"/>
      <c r="T764" s="500" t="s">
        <v>387</v>
      </c>
      <c r="U764" s="23"/>
      <c r="V764" s="76"/>
      <c r="W764" s="56"/>
      <c r="X764" s="58"/>
      <c r="Y764" s="58"/>
      <c r="Z764" s="58"/>
      <c r="AA764" s="58"/>
      <c r="AB764" s="58"/>
      <c r="AC764" s="58"/>
      <c r="AD764" s="58"/>
      <c r="AE764" s="58"/>
      <c r="AF764" s="58"/>
      <c r="AG764" s="58"/>
      <c r="AH764" s="58"/>
      <c r="AI764" s="333"/>
      <c r="AJ764" s="333"/>
      <c r="AK764" s="333"/>
      <c r="AL764" s="333"/>
      <c r="AM764" s="333"/>
      <c r="AN764" s="333"/>
      <c r="AO764" s="333"/>
      <c r="AP764" s="333"/>
      <c r="AQ764" s="333"/>
      <c r="AR764" s="333"/>
      <c r="AS764" s="333"/>
      <c r="AT764" s="333"/>
      <c r="AU764" s="333"/>
      <c r="AV764" s="333"/>
      <c r="AW764" s="333"/>
      <c r="AX764" s="333"/>
      <c r="AY764" s="333"/>
      <c r="AZ764" s="333"/>
      <c r="BA764" s="333"/>
      <c r="BB764" s="333"/>
      <c r="BC764" s="333"/>
      <c r="BD764" s="333"/>
      <c r="BE764" s="333"/>
      <c r="BF764" s="333"/>
      <c r="BG764" s="333"/>
      <c r="BH764" s="834">
        <f>AR774</f>
        <v>0</v>
      </c>
      <c r="BI764" s="834" t="str">
        <f>AJ774</f>
        <v/>
      </c>
      <c r="BJ764" s="834">
        <f>AR776</f>
        <v>0</v>
      </c>
      <c r="BK764" s="834" t="str">
        <f>AJ776</f>
        <v/>
      </c>
      <c r="BL764" s="834">
        <f>AR777</f>
        <v>0</v>
      </c>
      <c r="BM764" s="834" t="str">
        <f>AJ777</f>
        <v/>
      </c>
      <c r="BN764" s="834">
        <f>AR778</f>
        <v>1</v>
      </c>
      <c r="BO764" s="834">
        <f>AR779</f>
        <v>1</v>
      </c>
      <c r="BP764" s="834">
        <f>AR780</f>
        <v>0</v>
      </c>
      <c r="BQ764" s="834" t="str">
        <f>AJ780</f>
        <v/>
      </c>
      <c r="BR764" s="834">
        <f>AR781</f>
        <v>0</v>
      </c>
      <c r="BS764" s="834">
        <f>AR782</f>
        <v>0</v>
      </c>
      <c r="BT764" s="834" t="str">
        <f>N764</f>
        <v/>
      </c>
      <c r="BU764" s="834" t="str">
        <f>N765</f>
        <v/>
      </c>
      <c r="BV764" s="834" t="str">
        <f>R767</f>
        <v/>
      </c>
      <c r="BW764" s="834" t="str">
        <f>R773</f>
        <v/>
      </c>
      <c r="BX764" s="834" t="str">
        <f>R774</f>
        <v/>
      </c>
      <c r="BY764" s="56"/>
      <c r="BZ764" s="610" t="b">
        <f>CNTR_CalcRelevant=EUconst_NotRelevant</f>
        <v>0</v>
      </c>
    </row>
    <row r="765" spans="1:78" s="140" customFormat="1" ht="15" customHeight="1" thickBot="1" x14ac:dyDescent="0.25">
      <c r="A765" s="777"/>
      <c r="B765" s="1248"/>
      <c r="C765" s="164"/>
      <c r="D765" s="164"/>
      <c r="E765" s="1625" t="str">
        <f>IF(ISBLANK(E764),"",IF(INDEX(B_InstallationDescription!$E$71:$E$145,MATCH(U763,B_InstallationDescription!$D$71:$D$145,0))&gt;0,INDEX(B_InstallationDescription!$E$71:$E$145,MATCH(U763,B_InstallationDescription!$D$71:$D$145,0)),""))</f>
        <v/>
      </c>
      <c r="F765" s="1626"/>
      <c r="G765" s="1626"/>
      <c r="H765" s="1626"/>
      <c r="I765" s="1626"/>
      <c r="J765" s="1627"/>
      <c r="M765" s="337" t="str">
        <f>Translations!$B$666</f>
        <v>CO2, biomasės kilmės.:</v>
      </c>
      <c r="N765" s="1013" t="str">
        <f>IF(OR(K764="",T765=TRUE),"",INDEX(BC777:BE777,MATCH(K764,BC774:BE774,0)))</f>
        <v/>
      </c>
      <c r="O765" s="1315" t="s">
        <v>257</v>
      </c>
      <c r="P765" s="485"/>
      <c r="Q765" s="343" t="str">
        <f>EUconst_SumBioCO2 &amp; "_" &amp; K764</f>
        <v>SUM_bioCO2_</v>
      </c>
      <c r="R765" s="485"/>
      <c r="S765" s="23"/>
      <c r="T765" s="48" t="str">
        <f>IF(E765="","",MATCH(E765,EUConst_TierActivityListNames,0)&gt;40)</f>
        <v/>
      </c>
      <c r="U765" s="23"/>
      <c r="V765" s="76"/>
      <c r="W765" s="56"/>
      <c r="X765" s="58"/>
      <c r="Y765" s="27" t="s">
        <v>91</v>
      </c>
      <c r="Z765" s="30"/>
      <c r="AA765" s="30"/>
      <c r="AB765" s="30"/>
      <c r="AC765" s="30"/>
      <c r="AD765" s="30"/>
      <c r="AE765" s="27" t="s">
        <v>297</v>
      </c>
      <c r="AF765" s="58"/>
      <c r="AG765" s="495"/>
      <c r="AH765" s="30"/>
      <c r="AI765" s="30"/>
      <c r="AJ765" s="495"/>
      <c r="AK765" s="495"/>
      <c r="AL765" s="333"/>
      <c r="AM765" s="27" t="s">
        <v>303</v>
      </c>
      <c r="AN765" s="496"/>
      <c r="AO765" s="496"/>
      <c r="AP765" s="30"/>
      <c r="AQ765" s="30"/>
      <c r="AR765" s="30"/>
      <c r="AS765" s="30"/>
      <c r="AT765" s="30"/>
      <c r="AU765" s="30"/>
      <c r="AV765" s="27" t="s">
        <v>310</v>
      </c>
      <c r="AW765" s="30"/>
      <c r="AX765" s="483"/>
      <c r="AY765" s="30"/>
      <c r="AZ765" s="30"/>
      <c r="BA765" s="30"/>
      <c r="BB765" s="27" t="s">
        <v>217</v>
      </c>
      <c r="BC765" s="30"/>
      <c r="BD765" s="30"/>
      <c r="BE765" s="30"/>
      <c r="BF765" s="30"/>
      <c r="BG765" s="27" t="s">
        <v>486</v>
      </c>
      <c r="BH765" s="833" t="s">
        <v>552</v>
      </c>
      <c r="BI765" s="833" t="s">
        <v>487</v>
      </c>
      <c r="BJ765" s="833" t="s">
        <v>211</v>
      </c>
      <c r="BK765" s="833" t="s">
        <v>488</v>
      </c>
      <c r="BL765" s="833" t="s">
        <v>68</v>
      </c>
      <c r="BM765" s="833" t="s">
        <v>489</v>
      </c>
      <c r="BN765" s="833" t="s">
        <v>490</v>
      </c>
      <c r="BO765" s="833" t="s">
        <v>491</v>
      </c>
      <c r="BP765" s="833" t="s">
        <v>214</v>
      </c>
      <c r="BQ765" s="833" t="s">
        <v>492</v>
      </c>
      <c r="BR765" s="833" t="s">
        <v>493</v>
      </c>
      <c r="BS765" s="833" t="s">
        <v>494</v>
      </c>
      <c r="BT765" s="833" t="s">
        <v>287</v>
      </c>
      <c r="BU765" s="833" t="s">
        <v>495</v>
      </c>
      <c r="BV765" s="833" t="s">
        <v>498</v>
      </c>
      <c r="BW765" s="833" t="s">
        <v>496</v>
      </c>
      <c r="BX765" s="833" t="s">
        <v>497</v>
      </c>
      <c r="BY765" s="30"/>
      <c r="BZ765" s="30"/>
    </row>
    <row r="766" spans="1:78" s="140" customFormat="1" ht="5.0999999999999996" customHeight="1" thickBot="1" x14ac:dyDescent="0.25">
      <c r="A766" s="777"/>
      <c r="B766" s="1248"/>
      <c r="C766" s="164"/>
      <c r="D766" s="164"/>
      <c r="E766" s="164"/>
      <c r="F766" s="164"/>
      <c r="G766" s="164"/>
      <c r="M766" s="141"/>
      <c r="N766" s="141"/>
      <c r="O766" s="1305"/>
      <c r="P766" s="33"/>
      <c r="Q766" s="33"/>
      <c r="R766" s="33"/>
      <c r="S766" s="23"/>
      <c r="T766" s="23"/>
      <c r="U766" s="23"/>
      <c r="V766" s="76"/>
      <c r="W766" s="30"/>
      <c r="X766" s="30"/>
      <c r="Y766" s="485"/>
      <c r="Z766" s="30"/>
      <c r="AA766" s="30"/>
      <c r="AB766" s="30"/>
      <c r="AC766" s="30"/>
      <c r="AD766" s="30"/>
      <c r="AE766" s="30"/>
      <c r="AF766" s="58"/>
      <c r="AG766" s="30"/>
      <c r="AH766" s="30"/>
      <c r="AI766" s="30"/>
      <c r="AJ766" s="495"/>
      <c r="AK766" s="495"/>
      <c r="AL766" s="333"/>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row>
    <row r="767" spans="1:78" s="140" customFormat="1" ht="12.75" customHeight="1" thickBot="1" x14ac:dyDescent="0.25">
      <c r="A767" s="777"/>
      <c r="B767" s="1248"/>
      <c r="C767" s="164"/>
      <c r="D767" s="164"/>
      <c r="E767" s="1628" t="str">
        <f>IF(E764="","",IF(T765=TRUE,HYPERLINK("#JUMP_14",EUconst_MsgGoOnPFC),HYPERLINK("#JUMP_E_8",EUconst_FurtherGuidancePoint1)))</f>
        <v/>
      </c>
      <c r="F767" s="1628"/>
      <c r="G767" s="1628"/>
      <c r="H767" s="1628"/>
      <c r="I767" s="1628"/>
      <c r="J767" s="1628"/>
      <c r="K767" s="1628"/>
      <c r="L767" s="1628"/>
      <c r="M767" s="1628"/>
      <c r="N767" s="141"/>
      <c r="O767" s="1305"/>
      <c r="P767" s="33"/>
      <c r="Q767" s="343" t="str">
        <f>EUconst_SumNonSustBioCO2 &amp; "_" &amp; K764</f>
        <v>SUM_bioNonSustCO2_</v>
      </c>
      <c r="R767" s="698" t="str">
        <f>IF(OR(K764="",T765=TRUE),"",ROUND(INDEX(BC776:BE776,MATCH(K764,BC774:BE774,0)),0))</f>
        <v/>
      </c>
      <c r="S767" s="23"/>
      <c r="T767" s="23"/>
      <c r="U767" s="23"/>
      <c r="V767" s="30"/>
      <c r="W767" s="30"/>
      <c r="X767" s="30"/>
      <c r="Y767" s="58"/>
      <c r="Z767" s="30"/>
      <c r="AA767" s="30"/>
      <c r="AB767" s="30"/>
      <c r="AC767" s="30"/>
      <c r="AD767" s="30"/>
      <c r="AE767" s="30"/>
      <c r="AF767" s="58"/>
      <c r="AG767" s="30"/>
      <c r="AH767" s="30"/>
      <c r="AI767" s="30"/>
      <c r="AJ767" s="495"/>
      <c r="AK767" s="495"/>
      <c r="AL767" s="333"/>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row>
    <row r="768" spans="1:78" s="140" customFormat="1" ht="5.0999999999999996" customHeight="1" thickBot="1" x14ac:dyDescent="0.25">
      <c r="A768" s="777"/>
      <c r="B768" s="1248"/>
      <c r="C768" s="164"/>
      <c r="D768" s="164"/>
      <c r="E768" s="164"/>
      <c r="F768" s="164"/>
      <c r="G768" s="164"/>
      <c r="M768" s="141"/>
      <c r="N768" s="141"/>
      <c r="O768" s="1305"/>
      <c r="P768" s="23"/>
      <c r="Q768" s="23"/>
      <c r="R768" s="23"/>
      <c r="S768" s="23"/>
      <c r="T768" s="23"/>
      <c r="U768" s="23"/>
      <c r="V768" s="30"/>
      <c r="W768" s="30"/>
      <c r="X768" s="30"/>
      <c r="Y768" s="485"/>
      <c r="Z768" s="30"/>
      <c r="AA768" s="30"/>
      <c r="AB768" s="30"/>
      <c r="AC768" s="30"/>
      <c r="AD768" s="30"/>
      <c r="AE768" s="30"/>
      <c r="AF768" s="58"/>
      <c r="AG768" s="30"/>
      <c r="AH768" s="30"/>
      <c r="AI768" s="30"/>
      <c r="AJ768" s="495"/>
      <c r="AK768" s="495"/>
      <c r="AL768" s="333"/>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row>
    <row r="769" spans="1:78" s="140" customFormat="1" ht="12.75" customHeight="1" thickBot="1" x14ac:dyDescent="0.25">
      <c r="A769" s="777"/>
      <c r="B769" s="1248"/>
      <c r="C769" s="783" t="s">
        <v>4</v>
      </c>
      <c r="D769" s="503" t="str">
        <f>Translations!$B$622</f>
        <v>VD:</v>
      </c>
      <c r="E769" s="1631" t="str">
        <f>Translations!$B$667</f>
        <v>Ar veiklos duomenys gaunami sudedant išmatuotus kiekius (t. y. ne atliekant nuolatinius matavimus)?</v>
      </c>
      <c r="F769" s="1631"/>
      <c r="G769" s="1631"/>
      <c r="H769" s="1631"/>
      <c r="I769" s="1631"/>
      <c r="J769" s="1631"/>
      <c r="K769" s="1631"/>
      <c r="L769" s="1122"/>
      <c r="M769" s="498"/>
      <c r="O769" s="1305"/>
      <c r="P769" s="23"/>
      <c r="Q769" s="23"/>
      <c r="R769" s="23"/>
      <c r="S769" s="23"/>
      <c r="T769" s="23"/>
      <c r="U769" s="23"/>
      <c r="V769" s="30"/>
      <c r="W769" s="30"/>
      <c r="X769" s="30"/>
      <c r="Y769" s="485"/>
      <c r="Z769" s="30"/>
      <c r="AA769" s="30"/>
      <c r="AB769" s="30"/>
      <c r="AC769" s="1115" t="b">
        <f>AND(E764&lt;&gt;"",T765&lt;&gt;TRUE)</f>
        <v>0</v>
      </c>
      <c r="AD769" s="30"/>
      <c r="AE769" s="30"/>
      <c r="AF769" s="58"/>
      <c r="AG769" s="30"/>
      <c r="AH769" s="30"/>
      <c r="AI769" s="30"/>
      <c r="AJ769" s="495"/>
      <c r="AK769" s="495"/>
      <c r="AL769" s="333"/>
      <c r="AM769" s="30"/>
      <c r="AN769" s="30"/>
      <c r="AO769" s="30"/>
      <c r="AP769" s="30"/>
      <c r="AQ769" s="30"/>
      <c r="AR769" s="30"/>
      <c r="AS769" s="30"/>
      <c r="AT769" s="1115" t="b">
        <f>MSPara_BatchReportingMandatory&lt;&gt;TRUE</f>
        <v>0</v>
      </c>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1115" t="b">
        <f>OR(CNTR_CalcRelevant=EUconst_NotRelevant,AND(COUNTA(CNTR_ListRelevantSections)&gt;0,OR(T765=TRUE,E764="")))</f>
        <v>1</v>
      </c>
    </row>
    <row r="770" spans="1:78" s="140" customFormat="1" ht="5.0999999999999996" customHeight="1" thickBot="1" x14ac:dyDescent="0.25">
      <c r="A770" s="777"/>
      <c r="B770" s="1248"/>
      <c r="C770" s="164"/>
      <c r="D770" s="164"/>
      <c r="E770" s="164"/>
      <c r="F770" s="164"/>
      <c r="G770" s="164"/>
      <c r="H770" s="486"/>
      <c r="I770" s="486"/>
      <c r="J770" s="486"/>
      <c r="K770" s="486"/>
      <c r="L770" s="486"/>
      <c r="M770" s="498"/>
      <c r="O770" s="1305"/>
      <c r="P770" s="23"/>
      <c r="Q770" s="23"/>
      <c r="R770" s="23"/>
      <c r="S770" s="23"/>
      <c r="T770" s="23"/>
      <c r="U770" s="23"/>
      <c r="V770" s="30"/>
      <c r="W770" s="30"/>
      <c r="X770" s="30"/>
      <c r="Y770" s="485"/>
      <c r="Z770" s="30"/>
      <c r="AA770" s="30"/>
      <c r="AB770" s="30"/>
      <c r="AC770" s="483"/>
      <c r="AD770" s="30"/>
      <c r="AE770" s="30"/>
      <c r="AF770" s="58"/>
      <c r="AG770" s="30"/>
      <c r="AH770" s="30"/>
      <c r="AI770" s="30"/>
      <c r="AJ770" s="495"/>
      <c r="AK770" s="495"/>
      <c r="AL770" s="333"/>
      <c r="AM770" s="30"/>
      <c r="AN770" s="30"/>
      <c r="AO770" s="30"/>
      <c r="AP770" s="30"/>
      <c r="AQ770" s="30"/>
      <c r="AR770" s="30"/>
      <c r="AS770" s="30"/>
      <c r="AT770" s="483"/>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483"/>
    </row>
    <row r="771" spans="1:78" s="140" customFormat="1" ht="12.75" customHeight="1" thickBot="1" x14ac:dyDescent="0.25">
      <c r="A771" s="777"/>
      <c r="B771" s="1248"/>
      <c r="C771" s="783" t="s">
        <v>5</v>
      </c>
      <c r="D771" s="503" t="str">
        <f>Translations!$B$622</f>
        <v>VD:</v>
      </c>
      <c r="E771" s="1105" t="str">
        <f>Translations!$B$668</f>
        <v>Pradinis kiekis:</v>
      </c>
      <c r="F771" s="1123"/>
      <c r="G771" s="1106" t="str">
        <f>Translations!$B$669</f>
        <v>Galutinis kiekis:</v>
      </c>
      <c r="H771" s="1123"/>
      <c r="I771" s="1106" t="str">
        <f>Translations!$B$670</f>
        <v>Įsigytas kiekis:</v>
      </c>
      <c r="J771" s="1123"/>
      <c r="K771" s="1106" t="str">
        <f>Translations!$B$671</f>
        <v>Perduotas kiekis:</v>
      </c>
      <c r="L771" s="1123"/>
      <c r="M771" s="1107" t="str">
        <f>IF(AND(L769=TRUE,COUNT(F771,H771,J771,L771)&lt;4),EUconst_ERR_Incomplete,"")</f>
        <v/>
      </c>
      <c r="O771" s="1305"/>
      <c r="P771" s="23"/>
      <c r="Q771" s="23"/>
      <c r="R771" s="23"/>
      <c r="S771" s="23"/>
      <c r="T771" s="23"/>
      <c r="U771" s="23"/>
      <c r="V771" s="30"/>
      <c r="W771" s="30"/>
      <c r="X771" s="30"/>
      <c r="Y771" s="485"/>
      <c r="Z771" s="30"/>
      <c r="AA771" s="30"/>
      <c r="AB771" s="30"/>
      <c r="AC771" s="1115" t="b">
        <f>AC769</f>
        <v>0</v>
      </c>
      <c r="AD771" s="30"/>
      <c r="AE771" s="30"/>
      <c r="AF771" s="58"/>
      <c r="AG771" s="30"/>
      <c r="AH771" s="30"/>
      <c r="AI771" s="30"/>
      <c r="AJ771" s="495"/>
      <c r="AK771" s="495"/>
      <c r="AL771" s="333"/>
      <c r="AM771" s="30"/>
      <c r="AN771" s="30"/>
      <c r="AO771" s="30"/>
      <c r="AP771" s="30"/>
      <c r="AQ771" s="30"/>
      <c r="AR771" s="30"/>
      <c r="AS771" s="30"/>
      <c r="AT771" s="1115" t="b">
        <f>AND(AT769=TRUE,L769="")</f>
        <v>0</v>
      </c>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1115" t="b">
        <f>OR(BZ769,AND(NOT(ISBLANK(L769)),L769=FALSE))</f>
        <v>1</v>
      </c>
    </row>
    <row r="772" spans="1:78" s="140" customFormat="1" ht="5.0999999999999996" customHeight="1" thickBot="1" x14ac:dyDescent="0.25">
      <c r="A772" s="777"/>
      <c r="B772" s="1248"/>
      <c r="C772" s="164"/>
      <c r="D772" s="164"/>
      <c r="E772" s="164"/>
      <c r="F772" s="164"/>
      <c r="G772" s="164"/>
      <c r="M772" s="141"/>
      <c r="N772" s="141"/>
      <c r="O772" s="1305"/>
      <c r="P772" s="23"/>
      <c r="Q772" s="23"/>
      <c r="R772" s="23"/>
      <c r="S772" s="23"/>
      <c r="T772" s="23"/>
      <c r="U772" s="23"/>
      <c r="V772" s="30"/>
      <c r="W772" s="30"/>
      <c r="X772" s="30"/>
      <c r="Y772" s="485"/>
      <c r="Z772" s="30"/>
      <c r="AA772" s="30"/>
      <c r="AB772" s="30"/>
      <c r="AC772" s="30"/>
      <c r="AD772" s="30"/>
      <c r="AE772" s="30"/>
      <c r="AF772" s="58"/>
      <c r="AG772" s="30"/>
      <c r="AH772" s="30"/>
      <c r="AI772" s="30"/>
      <c r="AJ772" s="495"/>
      <c r="AK772" s="495"/>
      <c r="AL772" s="333"/>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row>
    <row r="773" spans="1:78" s="140" customFormat="1" ht="12.75" customHeight="1" thickBot="1" x14ac:dyDescent="0.25">
      <c r="A773" s="777"/>
      <c r="B773" s="1248"/>
      <c r="C773" s="164"/>
      <c r="D773" s="164"/>
      <c r="E773" s="164"/>
      <c r="F773" s="497" t="str">
        <f>Translations!$B$333</f>
        <v>Pakopa</v>
      </c>
      <c r="G773" s="1613" t="str">
        <f>Translations!$B$672</f>
        <v>pakopos aprašas</v>
      </c>
      <c r="H773" s="1613"/>
      <c r="I773" s="1608" t="str">
        <f>Translations!$B$158</f>
        <v>Vienetas</v>
      </c>
      <c r="J773" s="1608"/>
      <c r="K773" s="1608" t="str">
        <f>Translations!$B$673</f>
        <v>Vertė</v>
      </c>
      <c r="L773" s="1608"/>
      <c r="M773" s="498" t="str">
        <f>Translations!$B$610</f>
        <v>klaida</v>
      </c>
      <c r="O773" s="1305"/>
      <c r="P773" s="499"/>
      <c r="Q773" s="343" t="str">
        <f>EUconst_SumEnergyIN &amp; "_" &amp; K764</f>
        <v>SUM_EnergyIN_</v>
      </c>
      <c r="R773" s="390" t="str">
        <f>IF(OR(K764="",T765)=TRUE,"",INDEX(BC779:BE779,MATCH(K764,BC774:BE774,0)))</f>
        <v/>
      </c>
      <c r="S773" s="30"/>
      <c r="T773" s="480"/>
      <c r="U773" s="30"/>
      <c r="V773" s="500" t="s">
        <v>298</v>
      </c>
      <c r="W773" s="30"/>
      <c r="X773" s="30"/>
      <c r="Y773" s="485" t="s">
        <v>560</v>
      </c>
      <c r="Z773" s="485" t="s">
        <v>313</v>
      </c>
      <c r="AA773" s="30"/>
      <c r="AB773" s="30"/>
      <c r="AC773" s="496" t="s">
        <v>304</v>
      </c>
      <c r="AD773" s="30"/>
      <c r="AE773" s="30"/>
      <c r="AF773" s="483" t="s">
        <v>300</v>
      </c>
      <c r="AG773" s="483" t="s">
        <v>301</v>
      </c>
      <c r="AH773" s="485" t="s">
        <v>299</v>
      </c>
      <c r="AI773" s="495" t="s">
        <v>302</v>
      </c>
      <c r="AJ773" s="495" t="s">
        <v>561</v>
      </c>
      <c r="AK773" s="501" t="s">
        <v>306</v>
      </c>
      <c r="AL773" s="333"/>
      <c r="AM773" s="30"/>
      <c r="AN773" s="483" t="s">
        <v>300</v>
      </c>
      <c r="AO773" s="483" t="s">
        <v>301</v>
      </c>
      <c r="AP773" s="502" t="s">
        <v>305</v>
      </c>
      <c r="AQ773" s="495" t="s">
        <v>563</v>
      </c>
      <c r="AR773" s="495" t="s">
        <v>562</v>
      </c>
      <c r="AS773" s="501" t="s">
        <v>599</v>
      </c>
      <c r="AT773" s="501" t="s">
        <v>599</v>
      </c>
      <c r="AU773" s="30"/>
      <c r="AV773" s="483"/>
      <c r="AW773" s="483"/>
      <c r="AX773" s="483" t="s">
        <v>316</v>
      </c>
      <c r="AY773" s="483"/>
      <c r="AZ773" s="483"/>
      <c r="BA773" s="483"/>
      <c r="BB773" s="483"/>
      <c r="BC773" s="483"/>
      <c r="BD773" s="483"/>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484" t="s">
        <v>259</v>
      </c>
    </row>
    <row r="774" spans="1:78" s="140" customFormat="1" ht="12.75" customHeight="1" thickBot="1" x14ac:dyDescent="0.25">
      <c r="A774" s="777"/>
      <c r="B774" s="1248"/>
      <c r="C774" s="753" t="s">
        <v>194</v>
      </c>
      <c r="D774" s="503" t="str">
        <f>Translations!$B$622</f>
        <v>VD:</v>
      </c>
      <c r="E774" s="504"/>
      <c r="F774" s="393"/>
      <c r="G774" s="1603" t="str">
        <f>IF(OR(ISBLANK(F774),F774=EUconst_NoTier),"",IF(Z774=0,EUconst_NA,IF(ISERROR(Z774),"",Z774)))</f>
        <v/>
      </c>
      <c r="H774" s="1604"/>
      <c r="I774" s="1108" t="str">
        <f>IF(J774&lt;&gt;"","",AI774)</f>
        <v/>
      </c>
      <c r="J774" s="1109"/>
      <c r="K774" s="1116" t="str">
        <f>IF(L774="",AQ774,"")</f>
        <v/>
      </c>
      <c r="L774" s="1199"/>
      <c r="M774" s="700" t="str">
        <f>IF(AND(E765&lt;&gt;"",OR(F774="",COUNT(K774:L774)=0),Y774&lt;&gt;EUconst_NA,T765&lt;&gt;TRUE),EUconst_ERR_Incomplete,IF(COUNTIF(AX774:AZ774,TRUE)&gt;0,EUconst_ERR_Inconsistent,""))</f>
        <v/>
      </c>
      <c r="O774" s="1305"/>
      <c r="P774" s="635"/>
      <c r="Q774" s="343" t="str">
        <f>EUconst_SumBioEnergyIN &amp; "_" &amp; K764</f>
        <v>SUM_BioEnergyIN_</v>
      </c>
      <c r="R774" s="390" t="str">
        <f>IF(OR(K764="",T765)=TRUE,"",INDEX(BC780:BE780,MATCH(K764,BC774:BE774,0)))</f>
        <v/>
      </c>
      <c r="S774" s="30"/>
      <c r="T774" s="505" t="str">
        <f>EUconst_CNTR_ActivityData&amp;E765</f>
        <v>ActivityData_</v>
      </c>
      <c r="U774" s="488"/>
      <c r="V774" s="505" t="str">
        <f>IF(E764="","",INDEX(B_InstallationDescription!$I$71:$I$145,MATCH(U763,B_InstallationDescription!$D$71:$D$145,0)))</f>
        <v/>
      </c>
      <c r="W774" s="495" t="s">
        <v>533</v>
      </c>
      <c r="X774" s="488"/>
      <c r="Y774" s="506" t="str">
        <f>IF(OR(T765=TRUE,E765=""),"",INDEX(EUwideConstants!$N:$N,MATCH(T774,EUwideConstants!$Q:$Q,0)))</f>
        <v/>
      </c>
      <c r="Z774" s="507" t="str">
        <f>IF(ISBLANK(F774),"",IF(F774=EUconst_NA,"",INDEX(EUwideConstants!$H:$M,MATCH(T774,EUwideConstants!$Q:$Q,0),MATCH(F774,CNTR_TierList,0))))</f>
        <v/>
      </c>
      <c r="AA774" s="508" t="s">
        <v>299</v>
      </c>
      <c r="AB774" s="495"/>
      <c r="AC774" s="509" t="b">
        <f>AC769</f>
        <v>0</v>
      </c>
      <c r="AD774" s="30"/>
      <c r="AE774" s="510" t="str">
        <f>EUconst_CNTR_ActivityData&amp;EUconst_Unit</f>
        <v>ActivityData_Vienetas</v>
      </c>
      <c r="AF774" s="511" t="str">
        <f>IF(AC774=TRUE, IF(COUNTIF(MSPara_SourceStreamCategory,V774)=0,"",INDEX(MSPara_CalcFactorsMatrix,MATCH(V774,MSPara_SourceStreamCategory,0),MATCH(AE774&amp;"_"&amp;2,MSPara_CalcFactors,0))),"")</f>
        <v/>
      </c>
      <c r="AG774" s="512" t="str">
        <f>IF(AC774=TRUE, IF(COUNTIF(MSPara_SourceStreamCategory,V774)=0,"",INDEX(MSPara_CalcFactorsMatrix,MATCH(V774,MSPara_SourceStreamCategory,0),MATCH(AE774&amp;"_"&amp;1,MSPara_CalcFactors,0))),"")</f>
        <v/>
      </c>
      <c r="AH774" s="509" t="str">
        <f>IF(OR(AF774="",AF774=EUconst_NA),IF(OR(AG774=EUconst_NA,AG774=""),"",AG774),AF774)</f>
        <v/>
      </c>
      <c r="AI774" s="506" t="str">
        <f>IF(AC774=TRUE,IF(AH774="",EUconst_t,AH774),"")</f>
        <v/>
      </c>
      <c r="AJ774" s="513" t="str">
        <f>IF(J774="",AI774,J774)</f>
        <v/>
      </c>
      <c r="AK774" s="514" t="b">
        <f>IF(K764=EUconst_Fuel,J774&lt;&gt;"",FALSE)</f>
        <v>0</v>
      </c>
      <c r="AL774" s="333"/>
      <c r="AM774" s="505" t="str">
        <f>EUconst_CNTR_ActivityData&amp;EUconst_Value</f>
        <v>ActivityData_Vertė</v>
      </c>
      <c r="AN774" s="496"/>
      <c r="AO774" s="496"/>
      <c r="AP774" s="509" t="b">
        <f>AND(AND(AH774&lt;&gt;"",AJ774&lt;&gt;""),AJ774=AH774)</f>
        <v>0</v>
      </c>
      <c r="AQ774" s="610" t="str">
        <f>IF(L769=TRUE,SUM(F771)-SUM(H771)+SUM(J771)-SUM(L771),"")</f>
        <v/>
      </c>
      <c r="AR774" s="509">
        <f>IF(Y774=EUconst_NA,0,IF(COUNT(K774:L774)=0,0,IF(L774="",K774,L774)))</f>
        <v>0</v>
      </c>
      <c r="AS774" s="1115" t="b">
        <f>AND(AC774=TRUE,OR(L774&lt;&gt;"",AQ774=""))</f>
        <v>0</v>
      </c>
      <c r="AT774" s="1115" t="b">
        <f>AND(AC774=TRUE,NOT(AS774))</f>
        <v>0</v>
      </c>
      <c r="AU774" s="30"/>
      <c r="AV774" s="483" t="s">
        <v>309</v>
      </c>
      <c r="AW774" s="483" t="s">
        <v>314</v>
      </c>
      <c r="AX774" s="515"/>
      <c r="AY774" s="30" t="s">
        <v>536</v>
      </c>
      <c r="AZ774" s="30"/>
      <c r="BA774" s="30"/>
      <c r="BB774" s="495"/>
      <c r="BC774" s="484" t="str">
        <f>EUconst_Fuel</f>
        <v>Degimas</v>
      </c>
      <c r="BD774" s="484" t="str">
        <f>EUconst_ProcessCarbonate</f>
        <v>Proceso metu išsiskiriančios ŠESD</v>
      </c>
      <c r="BE774" s="484" t="str">
        <f>EUconst_MassBalance</f>
        <v>Masės balansas</v>
      </c>
      <c r="BF774" s="30"/>
      <c r="BG774" s="30"/>
      <c r="BH774" s="30"/>
      <c r="BI774" s="30"/>
      <c r="BJ774" s="30"/>
      <c r="BK774" s="30"/>
      <c r="BL774" s="30"/>
      <c r="BM774" s="30"/>
      <c r="BN774" s="30"/>
      <c r="BO774" s="30"/>
      <c r="BP774" s="30"/>
      <c r="BQ774" s="30"/>
      <c r="BR774" s="30"/>
      <c r="BS774" s="30"/>
      <c r="BT774" s="30"/>
      <c r="BU774" s="30"/>
      <c r="BV774" s="30"/>
      <c r="BW774" s="30"/>
      <c r="BX774" s="30"/>
      <c r="BY774" s="30"/>
      <c r="BZ774" s="515" t="b">
        <f>BZ769</f>
        <v>1</v>
      </c>
    </row>
    <row r="775" spans="1:78" s="140" customFormat="1" ht="5.0999999999999996" customHeight="1" thickBot="1" x14ac:dyDescent="0.25">
      <c r="A775" s="777"/>
      <c r="B775" s="1248"/>
      <c r="C775" s="783"/>
      <c r="D775" s="298"/>
      <c r="F775" s="141"/>
      <c r="G775" s="141"/>
      <c r="H775" s="141" t="s">
        <v>233</v>
      </c>
      <c r="I775" s="516"/>
      <c r="J775" s="516"/>
      <c r="K775" s="141"/>
      <c r="L775" s="141"/>
      <c r="M775" s="701"/>
      <c r="O775" s="1305"/>
      <c r="P775" s="33"/>
      <c r="Q775" s="33"/>
      <c r="R775" s="33"/>
      <c r="S775" s="30"/>
      <c r="T775" s="153"/>
      <c r="U775" s="488"/>
      <c r="V775" s="30"/>
      <c r="W775" s="30"/>
      <c r="X775" s="488"/>
      <c r="Y775" s="517"/>
      <c r="Z775" s="30"/>
      <c r="AA775" s="30"/>
      <c r="AB775" s="30"/>
      <c r="AC775" s="30"/>
      <c r="AD775" s="30"/>
      <c r="AE775" s="30"/>
      <c r="AF775" s="30"/>
      <c r="AG775" s="30"/>
      <c r="AH775" s="30"/>
      <c r="AI775" s="30"/>
      <c r="AJ775" s="30"/>
      <c r="AK775" s="30"/>
      <c r="AL775" s="333"/>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484"/>
    </row>
    <row r="776" spans="1:78" s="140" customFormat="1" ht="12.75" customHeight="1" thickBot="1" x14ac:dyDescent="0.25">
      <c r="A776" s="777"/>
      <c r="B776" s="1248"/>
      <c r="C776" s="783" t="s">
        <v>195</v>
      </c>
      <c r="D776" s="503" t="str">
        <f>Translations!$B$634</f>
        <v>(prelim.) ITF:</v>
      </c>
      <c r="E776" s="504"/>
      <c r="F776" s="518"/>
      <c r="G776" s="1603" t="str">
        <f t="shared" ref="G776:G782" si="182">IF(OR(ISBLANK(F776),F776=EUconst_NoTier),"",IF(Z776=0,EUconst_NotApplicable,IF(ISERROR(Z776),"",Z776)))</f>
        <v/>
      </c>
      <c r="H776" s="1609"/>
      <c r="I776" s="1110" t="str">
        <f>IF(J776&lt;&gt;"","",AI776)</f>
        <v/>
      </c>
      <c r="J776" s="1111"/>
      <c r="K776" s="519" t="str">
        <f t="shared" ref="K776:K782" si="183">IF(L776="",AQ776,"")</f>
        <v/>
      </c>
      <c r="L776" s="520"/>
      <c r="M776" s="700" t="str">
        <f>IF(AND(E765&lt;&gt;"",OR(F776="",COUNT(K776:L776)=0),Y776&lt;&gt;EUconst_NA,T765&lt;&gt;TRUE),EUconst_ERR_Incomplete,IF(COUNTIF(AX776:AZ776,TRUE)&gt;0,EUconst_ERR_Inconsistent,""))</f>
        <v/>
      </c>
      <c r="N776" s="486"/>
      <c r="O776" s="1305"/>
      <c r="P776" s="33"/>
      <c r="Q776" s="33"/>
      <c r="R776" s="33"/>
      <c r="S776" s="30"/>
      <c r="T776" s="521" t="str">
        <f>EUconst_CNTR_EF&amp;E765</f>
        <v>EF_</v>
      </c>
      <c r="U776" s="488"/>
      <c r="V776" s="522" t="str">
        <f>V774</f>
        <v/>
      </c>
      <c r="W776" s="30"/>
      <c r="X776" s="488"/>
      <c r="Y776" s="523" t="str">
        <f>IF(OR(T765=TRUE,E765=""),"",IF(F776=EUconst_NA,EUconst_NA,INDEX(EUwideConstants!$N:$N,MATCH(T776,EUwideConstants!$Q:$Q,0))))</f>
        <v/>
      </c>
      <c r="Z776" s="524" t="str">
        <f>IF(ISBLANK(F776),"",IF(F776=EUconst_NA,"",INDEX(EUwideConstants!$H:$M,MATCH(T776,EUwideConstants!$Q:$Q,0),MATCH(F776,CNTR_TierList,0))))</f>
        <v/>
      </c>
      <c r="AA776" s="525" t="str">
        <f>IF(COUNTIF(EUconst_DefaultValues,Z776)&gt;0,MATCH(Z776,EUconst_DefaultValues,0),"")</f>
        <v/>
      </c>
      <c r="AB776" s="30"/>
      <c r="AC776" s="526" t="b">
        <f>AND(AC774,Y776&lt;&gt;EUconst_NA)</f>
        <v>0</v>
      </c>
      <c r="AD776" s="30"/>
      <c r="AE776" s="510" t="str">
        <f>EUconst_CNTR_EF&amp;EUconst_Unit</f>
        <v>EF_Vienetas</v>
      </c>
      <c r="AF776" s="527" t="str">
        <f>IF(AC776=TRUE, IF(COUNTIF(MSPara_SourceStreamCategory,V776)=0,"",INDEX(MSPara_CalcFactorsMatrix,MATCH(V776,MSPara_SourceStreamCategory,0),MATCH(AE776&amp;"_"&amp;2,MSPara_CalcFactors,0))),"")</f>
        <v/>
      </c>
      <c r="AG776" s="528" t="str">
        <f>IF(AC776=TRUE, IF(COUNTIF(MSPara_SourceStreamCategory,V776)=0,"",INDEX(MSPara_CalcFactorsMatrix,MATCH(V776,MSPara_SourceStreamCategory,0),MATCH(AE776&amp;"_"&amp;1,MSPara_CalcFactors,0))),"")</f>
        <v/>
      </c>
      <c r="AH776" s="529" t="str">
        <f>IF(AA776="","",INDEX(AF776:AG776,3-AA776))</f>
        <v/>
      </c>
      <c r="AI776" s="530" t="str">
        <f>IF(AC776=TRUE,IF(OR(AH776="",AH776=EUconst_NA),IF(K764=EUconst_Fuel,EUconst_tCO2pTJ,EUconst_tCO2pt),AH776),"")</f>
        <v/>
      </c>
      <c r="AJ776" s="526" t="str">
        <f>IF(J776="",AI776,J776)</f>
        <v/>
      </c>
      <c r="AK776" s="531" t="b">
        <f>IF(K764=EUconst_Fuel,J776&lt;&gt;"",FALSE)</f>
        <v>0</v>
      </c>
      <c r="AL776" s="333"/>
      <c r="AM776" s="510" t="str">
        <f>EUconst_CNTR_EF&amp;EUconst_Value</f>
        <v>EF_Vertė</v>
      </c>
      <c r="AN776" s="532" t="str">
        <f>IF(AC776=TRUE,IF(COUNTIF(MSPara_SourceStreamCategory,V776)=0,"",INDEX(MSPara_CalcFactorsMatrix,MATCH(V776,MSPara_SourceStreamCategory,0),MATCH(AM776&amp;"_"&amp;2,MSPara_CalcFactors,0))),"")</f>
        <v/>
      </c>
      <c r="AO776" s="533" t="str">
        <f>IF(AC776=TRUE,IF(COUNTIF(MSPara_SourceStreamCategory,V776)=0,"",INDEX(MSPara_CalcFactorsMatrix,MATCH(V776,MSPara_SourceStreamCategory,0),MATCH(AM776&amp;"_"&amp;1,MSPara_CalcFactors,0))),"")</f>
        <v/>
      </c>
      <c r="AP776" s="526" t="b">
        <f>AND(AND(AH776&lt;&gt;"",AJ776&lt;&gt;""),AJ776=AH776)</f>
        <v>0</v>
      </c>
      <c r="AQ776" s="534" t="str">
        <f>IF(AND(AA776&lt;&gt;"",AP776=TRUE),IF(OR(INDEX(AN776:AO776,3-AA776)=EUconst_NA,INDEX(AN776:AO776,3-AA776)=0),"",INDEX(AN776:AO776,3-AA776)),"")</f>
        <v/>
      </c>
      <c r="AR776" s="526">
        <f>IF(AC776=TRUE,IF(COUNT(K776:L776)=0,0,IF(L776="",K776,L776)),0)</f>
        <v>0</v>
      </c>
      <c r="AS776" s="522" t="b">
        <f>AND(AC776=TRUE,OR(AND(F776&lt;&gt;"",NOT(ISNUMBER(AA776))),L776&lt;&gt;"",F776="",AQ776=""))</f>
        <v>0</v>
      </c>
      <c r="AT776" s="522" t="b">
        <f t="shared" ref="AT776:AT782" si="184">AND(AC776=TRUE,NOT(AS776))</f>
        <v>0</v>
      </c>
      <c r="AU776" s="30"/>
      <c r="AV776" s="535" t="b">
        <f t="shared" ref="AV776:AV782" si="185">AND(ISNUMBER(AA776),AQ776="")</f>
        <v>0</v>
      </c>
      <c r="AW776" s="536" t="b">
        <f t="shared" ref="AW776:AW782" si="186">AND(ISNUMBER(AA776),AQ776&lt;&gt;AR776)</f>
        <v>0</v>
      </c>
      <c r="AX776" s="537" t="b">
        <f>OR(AND(AJ774=EUconst_kNm3,AJ776=EUconst_tCO2pt),AND(AJ774=EUconst_t,AJ776=EUconst_tCO2pkNm3))</f>
        <v>0</v>
      </c>
      <c r="AY776" s="522" t="b">
        <f t="shared" ref="AY776:AY782" si="187">AND(L776&lt;&gt;"",Y776=EUconst_NA)</f>
        <v>0</v>
      </c>
      <c r="AZ776" s="30"/>
      <c r="BA776" s="30"/>
      <c r="BB776" s="538" t="s">
        <v>588</v>
      </c>
      <c r="BC776" s="537" t="str">
        <f>IF(K764=BC774,AR774*IF(AJ776=EUconst_tCO2pTJ,(AR777/1000),1)*AR776*AR778*AR782,"")</f>
        <v/>
      </c>
      <c r="BD776" s="515" t="str">
        <f>IF(K764=BD774,AR774*AR776*AR779*AR782,"")</f>
        <v/>
      </c>
      <c r="BE776" s="514" t="str">
        <f>IF(K764=BE774,3.664*AR774*AR780*AR782,"")</f>
        <v/>
      </c>
      <c r="BF776" s="30"/>
      <c r="BG776" s="30"/>
      <c r="BH776" s="30"/>
      <c r="BI776" s="30"/>
      <c r="BJ776" s="30"/>
      <c r="BK776" s="30"/>
      <c r="BL776" s="30"/>
      <c r="BM776" s="30"/>
      <c r="BN776" s="30"/>
      <c r="BO776" s="30"/>
      <c r="BP776" s="30"/>
      <c r="BQ776" s="30"/>
      <c r="BR776" s="30"/>
      <c r="BS776" s="30"/>
      <c r="BT776" s="30"/>
      <c r="BU776" s="30"/>
      <c r="BV776" s="30"/>
      <c r="BW776" s="30"/>
      <c r="BX776" s="30"/>
      <c r="BY776" s="30"/>
      <c r="BZ776" s="522" t="b">
        <f>OR(BZ774,Y776=EUconst_NA)</f>
        <v>1</v>
      </c>
    </row>
    <row r="777" spans="1:78" s="140" customFormat="1" ht="12.75" customHeight="1" thickBot="1" x14ac:dyDescent="0.25">
      <c r="A777" s="777"/>
      <c r="B777" s="1248"/>
      <c r="C777" s="783" t="s">
        <v>196</v>
      </c>
      <c r="D777" s="503" t="str">
        <f>Translations!$B$636</f>
        <v>GŠV:</v>
      </c>
      <c r="E777" s="504"/>
      <c r="F777" s="539"/>
      <c r="G777" s="1603" t="str">
        <f t="shared" si="182"/>
        <v/>
      </c>
      <c r="H777" s="1604"/>
      <c r="I777" s="1112" t="str">
        <f>AJ777</f>
        <v/>
      </c>
      <c r="J777" s="540"/>
      <c r="K777" s="541" t="str">
        <f t="shared" si="183"/>
        <v/>
      </c>
      <c r="L777" s="542"/>
      <c r="M777" s="700" t="str">
        <f>IF(AND(E765&lt;&gt;"",OR(F777="",COUNT(K777:L777)=0),Y777&lt;&gt;EUconst_NA,T765&lt;&gt;TRUE),EUconst_ERR_Incomplete,IF(COUNTIF(AX777:AZ777,TRUE)&gt;0,EUconst_ERR_Inconsistent,""))</f>
        <v/>
      </c>
      <c r="O777" s="1305"/>
      <c r="P777" s="33"/>
      <c r="Q777" s="33"/>
      <c r="R777" s="33"/>
      <c r="S777" s="30"/>
      <c r="T777" s="543" t="str">
        <f>EUconst_CNTR_NCV&amp;E765</f>
        <v>NCV_</v>
      </c>
      <c r="U777" s="488"/>
      <c r="V777" s="544" t="str">
        <f t="shared" ref="V777:V782" si="188">V776</f>
        <v/>
      </c>
      <c r="W777" s="30"/>
      <c r="X777" s="488"/>
      <c r="Y777" s="545" t="str">
        <f>IF(OR(T765=TRUE,E765=""),"",IF(F777=EUconst_NA,EUconst_NA,INDEX(EUwideConstants!$N:$N,MATCH(T777,EUwideConstants!$Q:$Q,0))))</f>
        <v/>
      </c>
      <c r="Z777" s="546" t="str">
        <f>IF(ISBLANK(F777),"",IF(F777=EUconst_NA,"",INDEX(EUwideConstants!$H:$M,MATCH(T777,EUwideConstants!$Q:$Q,0),MATCH(F777,CNTR_TierList,0))))</f>
        <v/>
      </c>
      <c r="AA777" s="547" t="str">
        <f>IF(COUNTIF(EUconst_DefaultValues,Z777)&gt;0,MATCH(Z777,EUconst_DefaultValues,0),"")</f>
        <v/>
      </c>
      <c r="AB777" s="30"/>
      <c r="AC777" s="548" t="b">
        <f>AND(AC774,Y777&lt;&gt;EUconst_NA)</f>
        <v>0</v>
      </c>
      <c r="AD777" s="30"/>
      <c r="AE777" s="549" t="str">
        <f>EUconst_CNTR_NCV&amp;EUconst_Unit</f>
        <v>NCV_Vienetas</v>
      </c>
      <c r="AF777" s="550" t="str">
        <f>IF(AC777=TRUE, IF(COUNTIF(MSPara_SourceStreamCategory,V777)=0,"",INDEX(MSPara_CalcFactorsMatrix,MATCH(V777,MSPara_SourceStreamCategory,0),MATCH(AE777&amp;"_"&amp;2,MSPara_CalcFactors,0))),"")</f>
        <v/>
      </c>
      <c r="AG777" s="551" t="str">
        <f>IF(AC777=TRUE, IF(COUNTIF(MSPara_SourceStreamCategory,V777)=0,"",INDEX(MSPara_CalcFactorsMatrix,MATCH(V777,MSPara_SourceStreamCategory,0),MATCH(AE777&amp;"_"&amp;1,MSPara_CalcFactors,0))),"")</f>
        <v/>
      </c>
      <c r="AH777" s="552" t="str">
        <f>IF(AA777="","",INDEX(AF777:AG777,3-AA777))</f>
        <v/>
      </c>
      <c r="AI777" s="553"/>
      <c r="AJ777" s="548" t="str">
        <f>IF(AC777=TRUE,IF(AJ774="","",IF(AJ774=EUconst_kNm3,EUconst_GJpkNm3,EUconst_GJpt)),"")</f>
        <v/>
      </c>
      <c r="AK777" s="554"/>
      <c r="AL777" s="333"/>
      <c r="AM777" s="549" t="str">
        <f>EUconst_CNTR_NCV&amp;EUconst_Value</f>
        <v>NCV_Vertė</v>
      </c>
      <c r="AN777" s="555" t="str">
        <f>IF(AC777=TRUE,IF(COUNTIF(MSPara_SourceStreamCategory,V777)=0,"",INDEX(MSPara_CalcFactorsMatrix,MATCH(V777,MSPara_SourceStreamCategory,0),MATCH(AM777&amp;"_"&amp;2,MSPara_CalcFactors,0))),"")</f>
        <v/>
      </c>
      <c r="AO777" s="556" t="str">
        <f>IF(AC777=TRUE,IF(COUNTIF(MSPara_SourceStreamCategory,V777)=0,"",INDEX(MSPara_CalcFactorsMatrix,MATCH(V777,MSPara_SourceStreamCategory,0),MATCH(AM777&amp;"_"&amp;1,MSPara_CalcFactors,0))),"")</f>
        <v/>
      </c>
      <c r="AP777" s="548" t="b">
        <f>AND(AND(AH777&lt;&gt;"",AJ777&lt;&gt;""),AJ777=AH777)</f>
        <v>0</v>
      </c>
      <c r="AQ777" s="557" t="str">
        <f>IF(AND(AA777&lt;&gt;"",AP777=TRUE),IF(OR(INDEX(AN777:AO777,3-AA777)=EUconst_NA,INDEX(AN777:AO777,3-AA777)=0),"",INDEX(AN777:AO777,3-AA777)),"")</f>
        <v/>
      </c>
      <c r="AR777" s="548">
        <f>IF(AC777=TRUE,IF(COUNT(K777:L777)=0,0,IF(L777="",K777,L777)),0)</f>
        <v>0</v>
      </c>
      <c r="AS777" s="544" t="b">
        <f>AND(AC777=TRUE,OR(AND(F777&lt;&gt;"",NOT(ISNUMBER(AA777))),L777&lt;&gt;"",F777="",AQ777=""))</f>
        <v>0</v>
      </c>
      <c r="AT777" s="544" t="b">
        <f t="shared" si="184"/>
        <v>0</v>
      </c>
      <c r="AU777" s="30"/>
      <c r="AV777" s="558" t="b">
        <f t="shared" si="185"/>
        <v>0</v>
      </c>
      <c r="AW777" s="559" t="b">
        <f t="shared" si="186"/>
        <v>0</v>
      </c>
      <c r="AX777" s="30"/>
      <c r="AY777" s="544" t="b">
        <f t="shared" si="187"/>
        <v>0</v>
      </c>
      <c r="AZ777" s="30"/>
      <c r="BA777" s="30"/>
      <c r="BB777" s="538" t="s">
        <v>589</v>
      </c>
      <c r="BC777" s="537" t="str">
        <f>IF(K764=BC774,AR774*IF(AJ776=EUconst_tCO2pTJ,(AR777/1000),1)*AR776*AR778*AR781,"")</f>
        <v/>
      </c>
      <c r="BD777" s="515" t="str">
        <f>IF(K764=BD774,AR774*AR776*AR779*AR781,"")</f>
        <v/>
      </c>
      <c r="BE777" s="514" t="str">
        <f>IF(K764=BE774,3.664*AR774*AR780*AR781,"")</f>
        <v/>
      </c>
      <c r="BF777" s="30"/>
      <c r="BG777" s="30"/>
      <c r="BH777" s="30"/>
      <c r="BI777" s="30"/>
      <c r="BJ777" s="30"/>
      <c r="BK777" s="30"/>
      <c r="BL777" s="30"/>
      <c r="BM777" s="30"/>
      <c r="BN777" s="30"/>
      <c r="BO777" s="30"/>
      <c r="BP777" s="30"/>
      <c r="BQ777" s="30"/>
      <c r="BR777" s="30"/>
      <c r="BS777" s="30"/>
      <c r="BT777" s="30"/>
      <c r="BU777" s="30"/>
      <c r="BV777" s="30"/>
      <c r="BW777" s="30"/>
      <c r="BX777" s="30"/>
      <c r="BY777" s="30"/>
      <c r="BZ777" s="544" t="b">
        <f>OR(BZ774,Y777=EUconst_NA)</f>
        <v>1</v>
      </c>
    </row>
    <row r="778" spans="1:78" s="140" customFormat="1" ht="12.75" customHeight="1" thickBot="1" x14ac:dyDescent="0.25">
      <c r="A778" s="777"/>
      <c r="B778" s="1248"/>
      <c r="C778" s="783" t="s">
        <v>197</v>
      </c>
      <c r="D778" s="503" t="str">
        <f>Translations!$B$638</f>
        <v>Oksidacijos koef.:</v>
      </c>
      <c r="E778" s="504"/>
      <c r="F778" s="539"/>
      <c r="G778" s="1603" t="str">
        <f t="shared" si="182"/>
        <v/>
      </c>
      <c r="H778" s="1604"/>
      <c r="I778" s="1113" t="str">
        <f>IF(OR(AC778=FALSE,Y778=EUconst_NA),"","-")</f>
        <v/>
      </c>
      <c r="J778" s="560"/>
      <c r="K778" s="561" t="str">
        <f t="shared" si="183"/>
        <v/>
      </c>
      <c r="L778" s="694"/>
      <c r="M778" s="700" t="str">
        <f>IF(AND(E765&lt;&gt;"",OR(F778="",COUNT(K778:L778)=0),Y778&lt;&gt;EUconst_NA,T765&lt;&gt;TRUE),EUconst_ERR_Incomplete,IF(COUNTIF(AX778:AZ778,TRUE)&gt;0,EUconst_ERR_Inconsistent,""))</f>
        <v/>
      </c>
      <c r="O778" s="1305"/>
      <c r="P778" s="33"/>
      <c r="Q778" s="33"/>
      <c r="R778" s="33"/>
      <c r="S778" s="30"/>
      <c r="T778" s="543" t="str">
        <f>EUconst_CNTR_OxidationFactor&amp;E765</f>
        <v>OxF_</v>
      </c>
      <c r="U778" s="488"/>
      <c r="V778" s="544" t="str">
        <f t="shared" si="188"/>
        <v/>
      </c>
      <c r="W778" s="30"/>
      <c r="X778" s="488"/>
      <c r="Y778" s="545" t="str">
        <f>IF(OR(T765=TRUE,E765=""),"",INDEX(EUwideConstants!$N:$N,MATCH(T778,EUwideConstants!$Q:$Q,0)))</f>
        <v/>
      </c>
      <c r="Z778" s="546" t="str">
        <f>IF(ISBLANK(F778),"",IF(F778=EUconst_NA,"",INDEX(EUwideConstants!$H:$M,MATCH(T778,EUwideConstants!$Q:$Q,0),MATCH(F778,CNTR_TierList,0))))</f>
        <v/>
      </c>
      <c r="AA778" s="525" t="str">
        <f>IF(F778=1,1,"")</f>
        <v/>
      </c>
      <c r="AB778" s="30"/>
      <c r="AC778" s="548" t="b">
        <f>AND(AC774,Y778&lt;&gt;EUconst_NA)</f>
        <v>0</v>
      </c>
      <c r="AD778" s="30"/>
      <c r="AE778" s="563"/>
      <c r="AG778" s="564"/>
      <c r="AH778" s="553"/>
      <c r="AI778" s="565"/>
      <c r="AJ778" s="553"/>
      <c r="AK778" s="566"/>
      <c r="AL778" s="333"/>
      <c r="AM778" s="549" t="str">
        <f>EUconst_CNTR_OxidationFactor&amp;EUconst_Value</f>
        <v>OxF_Vertė</v>
      </c>
      <c r="AN778" s="567"/>
      <c r="AO778" s="525">
        <v>1</v>
      </c>
      <c r="AP778" s="553"/>
      <c r="AQ778" s="568" t="str">
        <f>IF(AA778="","",AO778)</f>
        <v/>
      </c>
      <c r="AR778" s="548">
        <f>IF(AC778=TRUE,IF(COUNT(K778:L778)=0,0,IF(L778="",K778,L778)),1)</f>
        <v>1</v>
      </c>
      <c r="AS778" s="544" t="b">
        <f>AND(AC778=TRUE,OR(ISNUMBER(L778),NOT(ISNUMBER(AA778))))</f>
        <v>0</v>
      </c>
      <c r="AT778" s="544" t="b">
        <f t="shared" si="184"/>
        <v>0</v>
      </c>
      <c r="AU778" s="30"/>
      <c r="AV778" s="558" t="b">
        <f t="shared" si="185"/>
        <v>0</v>
      </c>
      <c r="AW778" s="559" t="b">
        <f t="shared" si="186"/>
        <v>0</v>
      </c>
      <c r="AX778" s="30"/>
      <c r="AY778" s="585" t="b">
        <f t="shared" si="187"/>
        <v>0</v>
      </c>
      <c r="AZ778" s="522" t="b">
        <f>AR778&gt;100%</f>
        <v>0</v>
      </c>
      <c r="BA778" s="30"/>
      <c r="BB778" s="538" t="s">
        <v>287</v>
      </c>
      <c r="BC778" s="537" t="str">
        <f>IF(K764=BC774,AR774*IF(AJ776=EUconst_tCO2pTJ,(AR777/1000),1)*AR776*AR778*(1-AR781),"")</f>
        <v/>
      </c>
      <c r="BD778" s="515" t="str">
        <f>IF(K764=BD774,AR774*AR776*AR779*(1-AR781),"")</f>
        <v/>
      </c>
      <c r="BE778" s="514" t="str">
        <f>IF(K764=BE774,3.664*AR774*AR780*(1-AR781),"")</f>
        <v/>
      </c>
      <c r="BF778" s="30"/>
      <c r="BG778" s="30"/>
      <c r="BH778" s="30"/>
      <c r="BI778" s="30"/>
      <c r="BJ778" s="30"/>
      <c r="BK778" s="30"/>
      <c r="BL778" s="30"/>
      <c r="BM778" s="30"/>
      <c r="BN778" s="30"/>
      <c r="BO778" s="30"/>
      <c r="BP778" s="30"/>
      <c r="BQ778" s="30"/>
      <c r="BR778" s="30"/>
      <c r="BS778" s="30"/>
      <c r="BT778" s="30"/>
      <c r="BU778" s="30"/>
      <c r="BV778" s="30"/>
      <c r="BW778" s="30"/>
      <c r="BX778" s="30"/>
      <c r="BY778" s="30"/>
      <c r="BZ778" s="544" t="b">
        <f>OR(BZ774,Y778=EUconst_NA)</f>
        <v>1</v>
      </c>
    </row>
    <row r="779" spans="1:78" s="140" customFormat="1" ht="12.75" customHeight="1" thickBot="1" x14ac:dyDescent="0.25">
      <c r="A779" s="777"/>
      <c r="B779" s="1248"/>
      <c r="C779" s="783" t="s">
        <v>198</v>
      </c>
      <c r="D779" s="503" t="str">
        <f>Translations!$B$639</f>
        <v>Konversijos koef.:</v>
      </c>
      <c r="E779" s="504"/>
      <c r="F779" s="539"/>
      <c r="G779" s="1603" t="str">
        <f t="shared" si="182"/>
        <v/>
      </c>
      <c r="H779" s="1604"/>
      <c r="I779" s="1113" t="str">
        <f>IF(OR(AC779=FALSE,Y779=EUconst_NA),"","-")</f>
        <v/>
      </c>
      <c r="J779" s="560"/>
      <c r="K779" s="561" t="str">
        <f t="shared" si="183"/>
        <v/>
      </c>
      <c r="L779" s="694"/>
      <c r="M779" s="700" t="str">
        <f>IF(AND(E765&lt;&gt;"",OR(F779="",COUNT(K779:L779)=0),Y779&lt;&gt;EUconst_NA,T765&lt;&gt;TRUE),EUconst_ERR_Incomplete,IF(COUNTIF(AX779:AZ779,TRUE)&gt;0,EUconst_ERR_Inconsistent,""))</f>
        <v/>
      </c>
      <c r="O779" s="1305"/>
      <c r="P779" s="33"/>
      <c r="Q779" s="33"/>
      <c r="R779" s="33"/>
      <c r="S779" s="30"/>
      <c r="T779" s="543" t="str">
        <f>EUconst_CNTR_ConversionFactor&amp;E765</f>
        <v>ConvF_</v>
      </c>
      <c r="U779" s="488"/>
      <c r="V779" s="544" t="str">
        <f t="shared" si="188"/>
        <v/>
      </c>
      <c r="W779" s="30"/>
      <c r="X779" s="488"/>
      <c r="Y779" s="545" t="str">
        <f>IF(OR(T765=TRUE,E765=""),"",INDEX(EUwideConstants!$N:$N,MATCH(T779,EUwideConstants!$Q:$Q,0)))</f>
        <v/>
      </c>
      <c r="Z779" s="546" t="str">
        <f>IF(ISBLANK(F779),"",IF(F779=EUconst_NA,"",INDEX(EUwideConstants!$H:$M,MATCH(T779,EUwideConstants!$Q:$Q,0),MATCH(F779,CNTR_TierList,0))))</f>
        <v/>
      </c>
      <c r="AA779" s="573" t="str">
        <f>IF(F779=1,1,"")</f>
        <v/>
      </c>
      <c r="AB779" s="30"/>
      <c r="AC779" s="548" t="b">
        <f>AND(AC774,Y779&lt;&gt;EUconst_NA)</f>
        <v>0</v>
      </c>
      <c r="AD779" s="30"/>
      <c r="AE779" s="563"/>
      <c r="AG779" s="564"/>
      <c r="AH779" s="574"/>
      <c r="AI779" s="565"/>
      <c r="AJ779" s="574"/>
      <c r="AK779" s="566"/>
      <c r="AL779" s="333"/>
      <c r="AM779" s="549" t="str">
        <f>EUconst_CNTR_ConversionFactor&amp;EUconst_Value</f>
        <v>ConvF_Vertė</v>
      </c>
      <c r="AN779" s="575"/>
      <c r="AO779" s="573">
        <v>1</v>
      </c>
      <c r="AP779" s="574"/>
      <c r="AQ779" s="576" t="str">
        <f>IF(AA779="","",AO779)</f>
        <v/>
      </c>
      <c r="AR779" s="548">
        <f>IF(AC779=TRUE,IF(COUNT(K779:L779)=0,0,IF(L779="",K779,L779)),1)</f>
        <v>1</v>
      </c>
      <c r="AS779" s="544" t="b">
        <f>AND(AC779=TRUE,OR(ISNUMBER(L779),NOT(ISNUMBER(AA779))))</f>
        <v>0</v>
      </c>
      <c r="AT779" s="544" t="b">
        <f t="shared" si="184"/>
        <v>0</v>
      </c>
      <c r="AU779" s="30"/>
      <c r="AV779" s="558" t="b">
        <f t="shared" si="185"/>
        <v>0</v>
      </c>
      <c r="AW779" s="559" t="b">
        <f t="shared" si="186"/>
        <v>0</v>
      </c>
      <c r="AX779" s="30"/>
      <c r="AY779" s="585" t="b">
        <f t="shared" si="187"/>
        <v>0</v>
      </c>
      <c r="AZ779" s="571" t="b">
        <f>AR779&gt;100%</f>
        <v>0</v>
      </c>
      <c r="BA779" s="30"/>
      <c r="BB779" s="569" t="s">
        <v>481</v>
      </c>
      <c r="BC779" s="570">
        <f>AR774*AR777/1000*(1-AR781)</f>
        <v>0</v>
      </c>
      <c r="BD779" s="571">
        <f>BC779</f>
        <v>0</v>
      </c>
      <c r="BE779" s="572">
        <f>BC779</f>
        <v>0</v>
      </c>
      <c r="BF779" s="30"/>
      <c r="BG779" s="30"/>
      <c r="BH779" s="30"/>
      <c r="BI779" s="30"/>
      <c r="BJ779" s="30"/>
      <c r="BK779" s="30"/>
      <c r="BL779" s="30"/>
      <c r="BM779" s="30"/>
      <c r="BN779" s="30"/>
      <c r="BO779" s="30"/>
      <c r="BP779" s="30"/>
      <c r="BQ779" s="30"/>
      <c r="BR779" s="30"/>
      <c r="BS779" s="30"/>
      <c r="BT779" s="30"/>
      <c r="BU779" s="30"/>
      <c r="BV779" s="30"/>
      <c r="BW779" s="30"/>
      <c r="BX779" s="30"/>
      <c r="BY779" s="30"/>
      <c r="BZ779" s="544" t="b">
        <f>OR(BZ774,Y779=EUconst_NA)</f>
        <v>1</v>
      </c>
    </row>
    <row r="780" spans="1:78" s="140" customFormat="1" ht="12.75" customHeight="1" thickBot="1" x14ac:dyDescent="0.25">
      <c r="A780" s="777"/>
      <c r="B780" s="1248"/>
      <c r="C780" s="783" t="s">
        <v>324</v>
      </c>
      <c r="D780" s="503" t="str">
        <f>Translations!$B$640</f>
        <v>Anglies kiekis (C):</v>
      </c>
      <c r="E780" s="504"/>
      <c r="F780" s="539"/>
      <c r="G780" s="1603" t="str">
        <f t="shared" si="182"/>
        <v/>
      </c>
      <c r="H780" s="1604"/>
      <c r="I780" s="1113" t="str">
        <f>AJ780</f>
        <v/>
      </c>
      <c r="J780" s="577"/>
      <c r="K780" s="578" t="str">
        <f t="shared" si="183"/>
        <v/>
      </c>
      <c r="L780" s="579"/>
      <c r="M780" s="700" t="str">
        <f>IF(AND(E765&lt;&gt;"",OR(F780="",COUNT(K780:L780)=0),Y780&lt;&gt;EUconst_NA,T765&lt;&gt;TRUE),EUconst_ERR_Incomplete,IF(COUNTIF(AX780:AZ780,TRUE)&gt;0,EUconst_ERR_Inconsistent,""))</f>
        <v/>
      </c>
      <c r="O780" s="1305"/>
      <c r="P780" s="33"/>
      <c r="Q780" s="33"/>
      <c r="R780" s="33"/>
      <c r="S780" s="30"/>
      <c r="T780" s="543" t="str">
        <f>EUconst_CNTR_CarbonContent&amp;E765</f>
        <v>CarbC_</v>
      </c>
      <c r="U780" s="488"/>
      <c r="V780" s="544" t="str">
        <f t="shared" si="188"/>
        <v/>
      </c>
      <c r="W780" s="30"/>
      <c r="X780" s="488"/>
      <c r="Y780" s="545" t="str">
        <f>IF(OR(T765=TRUE,E765=""),"",INDEX(EUwideConstants!$N:$N,MATCH(T780,EUwideConstants!$Q:$Q,0)))</f>
        <v/>
      </c>
      <c r="Z780" s="546" t="str">
        <f>IF(ISBLANK(F780),"",IF(F780=EUconst_NA,"",INDEX(EUwideConstants!$H:$M,MATCH(T780,EUwideConstants!$Q:$Q,0),MATCH(F780,CNTR_TierList,0))))</f>
        <v/>
      </c>
      <c r="AA780" s="580" t="str">
        <f>IF(COUNTIF(EUconst_DefaultValues,Z780)&gt;0,MATCH(Z780,EUconst_DefaultValues,0),"")</f>
        <v/>
      </c>
      <c r="AB780" s="30"/>
      <c r="AC780" s="548" t="b">
        <f>AND(AC774,Y780&lt;&gt;EUconst_NA)</f>
        <v>0</v>
      </c>
      <c r="AD780" s="30"/>
      <c r="AE780" s="549" t="str">
        <f>EUconst_CNTR_CarbonContent&amp;EUconst_Unit</f>
        <v>CarbC_Vienetas</v>
      </c>
      <c r="AF780" s="550" t="str">
        <f>IF(AC780=TRUE, IF(COUNTIF(MSPara_SourceStreamCategory,V780)=0,"",INDEX(MSPara_CalcFactorsMatrix,MATCH(V780,MSPara_SourceStreamCategory,0),MATCH(AE780&amp;"_"&amp;2,MSPara_CalcFactors,0))),"")</f>
        <v/>
      </c>
      <c r="AG780" s="551" t="str">
        <f>IF(AC780=TRUE, IF(COUNTIF(MSPara_SourceStreamCategory,V780)=0,"",INDEX(MSPara_CalcFactorsMatrix,MATCH(V780,MSPara_SourceStreamCategory,0),MATCH(AE780&amp;"_"&amp;1,MSPara_CalcFactors,0))),"")</f>
        <v/>
      </c>
      <c r="AH780" s="581" t="str">
        <f>IF(AA780="","",INDEX(AF780:AG780,3-AA780))</f>
        <v/>
      </c>
      <c r="AI780" s="565"/>
      <c r="AJ780" s="582" t="str">
        <f>IF(AC780=TRUE,IF(AJ774="","",IF(AJ774=EUconst_kNm3,EUconst_tCpkNm3,EUconst_tCpt)),"")</f>
        <v/>
      </c>
      <c r="AK780" s="566"/>
      <c r="AL780" s="333"/>
      <c r="AM780" s="549" t="str">
        <f>EUconst_CNTR_CarbonContent&amp;EUconst_Value</f>
        <v>CarbC_Vertė</v>
      </c>
      <c r="AN780" s="555" t="str">
        <f>IF(AC780=TRUE,IF(COUNTIF(MSPara_SourceStreamCategory,V780)=0,"",INDEX(MSPara_CalcFactorsMatrix,MATCH(V780,MSPara_SourceStreamCategory,0),MATCH(AM780&amp;"_"&amp;2,MSPara_CalcFactors,0))),"")</f>
        <v/>
      </c>
      <c r="AO780" s="583" t="str">
        <f>IF(AC780=TRUE,IF(COUNTIF(MSPara_SourceStreamCategory,V780)=0,"",INDEX(MSPara_CalcFactorsMatrix,MATCH(V780,MSPara_SourceStreamCategory,0),MATCH(AM780&amp;"_"&amp;1,MSPara_CalcFactors,0))),"")</f>
        <v/>
      </c>
      <c r="AP780" s="548" t="b">
        <f>AND(AND(AH780&lt;&gt;"",AJ780&lt;&gt;""),AJ780=AH780)</f>
        <v>0</v>
      </c>
      <c r="AQ780" s="584" t="str">
        <f>IF(AND(AA780&lt;&gt;"",AP780=TRUE),IF(OR(INDEX(AN780:AO780,3-AA780)=EUconst_NA,INDEX(AN780:AO780,3-AA780)=0),"",INDEX(AN780:AO780,3-AA780)),"")</f>
        <v/>
      </c>
      <c r="AR780" s="548">
        <f>IF(AC780=TRUE,IF(COUNT(K780:L780)=0,0,IF(L780="",K780,L780)),0)</f>
        <v>0</v>
      </c>
      <c r="AS780" s="544" t="b">
        <f>AND(AC780=TRUE,OR(AND(F780&lt;&gt;"",NOT(ISNUMBER(AA780))),L780&lt;&gt;"",F780="",AQ780=""))</f>
        <v>0</v>
      </c>
      <c r="AT780" s="544" t="b">
        <f t="shared" si="184"/>
        <v>0</v>
      </c>
      <c r="AU780" s="30"/>
      <c r="AV780" s="558" t="b">
        <f t="shared" si="185"/>
        <v>0</v>
      </c>
      <c r="AW780" s="559" t="b">
        <f t="shared" si="186"/>
        <v>0</v>
      </c>
      <c r="AX780" s="537" t="b">
        <f>OR(AND(AJ774=EUconst_kNm3,AJ780=EUconst_tCpt),AND(AJ774=EUconst_t,AJ780=EUconst_tCpkNm3))</f>
        <v>0</v>
      </c>
      <c r="AY780" s="544" t="b">
        <f t="shared" si="187"/>
        <v>0</v>
      </c>
      <c r="AZ780" s="30"/>
      <c r="BA780" s="30"/>
      <c r="BB780" s="569" t="s">
        <v>482</v>
      </c>
      <c r="BC780" s="570">
        <f>AR774*AR777/1000*AR781</f>
        <v>0</v>
      </c>
      <c r="BD780" s="571">
        <f>BC780</f>
        <v>0</v>
      </c>
      <c r="BE780" s="572">
        <f>BC780</f>
        <v>0</v>
      </c>
      <c r="BF780" s="30"/>
      <c r="BG780" s="30"/>
      <c r="BH780" s="30"/>
      <c r="BI780" s="30"/>
      <c r="BJ780" s="30"/>
      <c r="BK780" s="30"/>
      <c r="BL780" s="30"/>
      <c r="BM780" s="30"/>
      <c r="BN780" s="30"/>
      <c r="BO780" s="30"/>
      <c r="BP780" s="30"/>
      <c r="BQ780" s="30"/>
      <c r="BR780" s="30"/>
      <c r="BS780" s="30"/>
      <c r="BT780" s="30"/>
      <c r="BU780" s="30"/>
      <c r="BV780" s="30"/>
      <c r="BW780" s="30"/>
      <c r="BX780" s="30"/>
      <c r="BY780" s="30"/>
      <c r="BZ780" s="544" t="b">
        <f>OR(BZ774,Y780=EUconst_NA)</f>
        <v>1</v>
      </c>
    </row>
    <row r="781" spans="1:78" s="140" customFormat="1" ht="12.75" customHeight="1" x14ac:dyDescent="0.2">
      <c r="A781" s="777"/>
      <c r="B781" s="1248"/>
      <c r="C781" s="753" t="s">
        <v>325</v>
      </c>
      <c r="D781" s="503" t="str">
        <f>Translations!$B$641</f>
        <v>Biomasės dalis (BioC):</v>
      </c>
      <c r="E781" s="504"/>
      <c r="F781" s="539"/>
      <c r="G781" s="1603" t="str">
        <f t="shared" si="182"/>
        <v/>
      </c>
      <c r="H781" s="1604"/>
      <c r="I781" s="1113" t="str">
        <f>IF(OR(AC781=FALSE,Y781=EUconst_NA),"","-")</f>
        <v/>
      </c>
      <c r="J781" s="560"/>
      <c r="K781" s="561" t="str">
        <f t="shared" si="183"/>
        <v/>
      </c>
      <c r="L781" s="694"/>
      <c r="M781" s="700" t="str">
        <f>IF(AND(E765&lt;&gt;"",OR(F781="",COUNT(K781:L781)=0),Y781&lt;&gt;EUconst_NA,T765&lt;&gt;TRUE),EUconst_ERR_Incomplete,IF(COUNTIF(AX781:AZ781,TRUE)&gt;0,EUconst_ERR_Inconsistent,""))</f>
        <v/>
      </c>
      <c r="O781" s="1305"/>
      <c r="P781" s="635"/>
      <c r="Q781" s="635"/>
      <c r="R781" s="635"/>
      <c r="S781" s="30"/>
      <c r="T781" s="543" t="str">
        <f>EUconst_CNTR_BiomassContent&amp;E765</f>
        <v>BioC_</v>
      </c>
      <c r="U781" s="488"/>
      <c r="V781" s="585" t="str">
        <f t="shared" si="188"/>
        <v/>
      </c>
      <c r="W781" s="522" t="str">
        <f>IF(COUNTIF(MSPara_SourceStreamCategory,V781)=0,"",INDEX(MSPara_IsFossil,MATCH(V781,MSPara_SourceStreamCategory,0)))</f>
        <v/>
      </c>
      <c r="X781" s="488"/>
      <c r="Y781" s="545" t="str">
        <f>IF(OR(T765=TRUE,E765=""),"",IF(OR(W781=TRUE,F781=EUconst_NA),EUconst_NA,INDEX(EUwideConstants!$N:$N,MATCH(T781,EUwideConstants!$Q:$Q,0))))</f>
        <v/>
      </c>
      <c r="Z781" s="546" t="str">
        <f>IF(ISBLANK(F781),"",IF(F781=EUconst_NA,"",INDEX(EUwideConstants!$H:$M,MATCH(T781,EUwideConstants!$Q:$Q,0),MATCH(F781,CNTR_TierList,0))))</f>
        <v/>
      </c>
      <c r="AA781" s="586" t="str">
        <f>IF(F781=1,1,"")</f>
        <v/>
      </c>
      <c r="AB781" s="30"/>
      <c r="AC781" s="548" t="b">
        <f>AND(AC774,Y781&lt;&gt;EUconst_NA)</f>
        <v>0</v>
      </c>
      <c r="AD781" s="30"/>
      <c r="AE781" s="563"/>
      <c r="AG781" s="564"/>
      <c r="AH781" s="553"/>
      <c r="AI781" s="565"/>
      <c r="AJ781" s="553"/>
      <c r="AK781" s="566"/>
      <c r="AL781" s="333"/>
      <c r="AM781" s="549" t="str">
        <f>EUconst_CNTR_BiomassContent&amp;EUconst_Value</f>
        <v>BioC_Vertė</v>
      </c>
      <c r="AO781" s="587" t="str">
        <f>IF(AC781=TRUE,IF(COUNTIF(MSPara_SourceStreamCategory,V781)=0,"",INDEX(MSPara_CalcFactorsMatrix,MATCH(V781,MSPara_SourceStreamCategory,0),MATCH(AM781&amp;"_"&amp;2,MSPara_CalcFactors,0))),"")</f>
        <v/>
      </c>
      <c r="AP781" s="553"/>
      <c r="AQ781" s="568" t="str">
        <f>IF(OR(AA781="",AO781=EUconst_NA),"",AO781)</f>
        <v/>
      </c>
      <c r="AR781" s="548">
        <f>IF(AC781=TRUE,IF(COUNT(K781:L781)=0,0,IF(L781="",K781,L781)),0)</f>
        <v>0</v>
      </c>
      <c r="AS781" s="544" t="b">
        <f>AND(AC781=TRUE,OR(AND(F781&lt;&gt;"",NOT(ISNUMBER(AA781))),L781&lt;&gt;"",F781="",AQ781=""))</f>
        <v>0</v>
      </c>
      <c r="AT781" s="544" t="b">
        <f t="shared" si="184"/>
        <v>0</v>
      </c>
      <c r="AU781" s="30"/>
      <c r="AV781" s="558" t="b">
        <f t="shared" si="185"/>
        <v>0</v>
      </c>
      <c r="AW781" s="559" t="b">
        <f t="shared" si="186"/>
        <v>0</v>
      </c>
      <c r="AX781" s="30"/>
      <c r="AY781" s="585" t="b">
        <f t="shared" si="187"/>
        <v>0</v>
      </c>
      <c r="AZ781" s="522" t="b">
        <f>OR(AR781&gt;100%,(AR781+AR782)&gt;100%)</f>
        <v>0</v>
      </c>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544" t="b">
        <f>OR(BZ774,Y781=EUconst_NA)</f>
        <v>1</v>
      </c>
    </row>
    <row r="782" spans="1:78" s="140" customFormat="1" ht="12.75" customHeight="1" thickBot="1" x14ac:dyDescent="0.25">
      <c r="A782" s="777"/>
      <c r="B782" s="1248"/>
      <c r="C782" s="753" t="s">
        <v>448</v>
      </c>
      <c r="D782" s="503" t="str">
        <f>Translations!$B$647</f>
        <v>Netvarios BioC dalis:</v>
      </c>
      <c r="E782" s="504"/>
      <c r="F782" s="588"/>
      <c r="G782" s="1603" t="str">
        <f t="shared" si="182"/>
        <v/>
      </c>
      <c r="H782" s="1604"/>
      <c r="I782" s="1114" t="str">
        <f>IF(OR(AC782=FALSE,Y782=EUconst_NA),"","-")</f>
        <v/>
      </c>
      <c r="J782" s="560"/>
      <c r="K782" s="589" t="str">
        <f t="shared" si="183"/>
        <v/>
      </c>
      <c r="L782" s="1100"/>
      <c r="M782" s="700" t="str">
        <f>IF(AND(E765&lt;&gt;"",OR(F782="",COUNT(K782:L782)=0),Y782&lt;&gt;EUconst_NA,T765&lt;&gt;TRUE),EUconst_ERR_Incomplete,IF(COUNTIF(AX782:AZ782,TRUE)&gt;0,EUconst_ERR_Inconsistent,""))</f>
        <v/>
      </c>
      <c r="O782" s="1305"/>
      <c r="P782" s="635"/>
      <c r="Q782" s="635"/>
      <c r="R782" s="635"/>
      <c r="S782" s="30"/>
      <c r="T782" s="590" t="str">
        <f>EUconst_CNTR_BiomassContent&amp;E765</f>
        <v>BioC_</v>
      </c>
      <c r="U782" s="488"/>
      <c r="V782" s="570" t="str">
        <f t="shared" si="188"/>
        <v/>
      </c>
      <c r="W782" s="571" t="str">
        <f>IF(COUNTIF(MSPara_SourceStreamCategory,V782)=0,"",INDEX(MSPara_IsFossil,MATCH(V782,MSPara_SourceStreamCategory,0)))</f>
        <v/>
      </c>
      <c r="X782" s="488"/>
      <c r="Y782" s="591" t="str">
        <f>IF(OR(T765=TRUE,E765=""),"",IF(OR(W782=TRUE,F782=EUconst_NA),EUconst_NA,INDEX(EUwideConstants!$N:$N,MATCH(T782,EUwideConstants!$Q:$Q,0))))</f>
        <v/>
      </c>
      <c r="Z782" s="592" t="str">
        <f>IF(ISBLANK(F782),"",IF(F782=EUconst_NA,"",INDEX(EUwideConstants!$H:$M,MATCH(T782,EUwideConstants!$Q:$Q,0),MATCH(F782,CNTR_TierList,0))))</f>
        <v/>
      </c>
      <c r="AA782" s="593" t="str">
        <f>IF(F782=1,1,"")</f>
        <v/>
      </c>
      <c r="AB782" s="30"/>
      <c r="AC782" s="594" t="b">
        <f>AND(AC774,Y782&lt;&gt;EUconst_NA)</f>
        <v>0</v>
      </c>
      <c r="AD782" s="30"/>
      <c r="AE782" s="595"/>
      <c r="AF782" s="596"/>
      <c r="AG782" s="597"/>
      <c r="AH782" s="598"/>
      <c r="AI782" s="598"/>
      <c r="AJ782" s="598"/>
      <c r="AK782" s="599"/>
      <c r="AL782" s="333"/>
      <c r="AM782" s="600" t="str">
        <f>EUconst_CNTR_BiomassContent&amp;EUconst_Value</f>
        <v>BioC_Vertė</v>
      </c>
      <c r="AN782" s="596"/>
      <c r="AO782" s="601" t="str">
        <f>IF(AC782=TRUE,IF(COUNTIF(MSPara_SourceStreamCategory,V782)=0,"",INDEX(MSPara_CalcFactorsMatrix,MATCH(V782,MSPara_SourceStreamCategory,0),MATCH(AM782&amp;"_"&amp;2,MSPara_CalcFactors,0))),"")</f>
        <v/>
      </c>
      <c r="AP782" s="598"/>
      <c r="AQ782" s="602" t="str">
        <f>IF(OR(AA782="",AO782=EUconst_NA),"",AO782)</f>
        <v/>
      </c>
      <c r="AR782" s="594">
        <f>IF(AC782=TRUE,IF(COUNT(K782:L782)=0,0,IF(L782="",K782,L782)),0)</f>
        <v>0</v>
      </c>
      <c r="AS782" s="603" t="b">
        <f>AND(AC782=TRUE,OR(AND(F782&lt;&gt;"",NOT(ISNUMBER(AA782))),L782&lt;&gt;"",F782="",AQ782=""))</f>
        <v>0</v>
      </c>
      <c r="AT782" s="603" t="b">
        <f t="shared" si="184"/>
        <v>0</v>
      </c>
      <c r="AU782" s="30"/>
      <c r="AV782" s="604" t="b">
        <f t="shared" si="185"/>
        <v>0</v>
      </c>
      <c r="AW782" s="605" t="b">
        <f t="shared" si="186"/>
        <v>0</v>
      </c>
      <c r="AX782" s="30"/>
      <c r="AY782" s="570" t="b">
        <f t="shared" si="187"/>
        <v>0</v>
      </c>
      <c r="AZ782" s="571" t="b">
        <f>OR(AR781&gt;100%,(AR781+AR782)&gt;100%)</f>
        <v>0</v>
      </c>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571" t="b">
        <f>OR(BZ774,Y782=EUconst_NA)</f>
        <v>1</v>
      </c>
    </row>
    <row r="783" spans="1:78" s="140" customFormat="1" ht="5.0999999999999996" customHeight="1" x14ac:dyDescent="0.2">
      <c r="A783" s="777"/>
      <c r="B783" s="1248"/>
      <c r="C783" s="164"/>
      <c r="D783" s="178"/>
      <c r="O783" s="1305"/>
      <c r="P783" s="33"/>
      <c r="Q783" s="33"/>
      <c r="R783" s="33"/>
      <c r="S783" s="172"/>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row>
    <row r="784" spans="1:78" s="140" customFormat="1" ht="12.75" customHeight="1" x14ac:dyDescent="0.2">
      <c r="A784" s="777"/>
      <c r="B784" s="1248"/>
      <c r="C784" s="164"/>
      <c r="D784" s="1629" t="str">
        <f>Translations!$B$674</f>
        <v>Pakopos galioja nuo:</v>
      </c>
      <c r="E784" s="1629"/>
      <c r="F784" s="1630"/>
      <c r="G784" s="1014"/>
      <c r="H784" s="606" t="str">
        <f>Translations!$B$675</f>
        <v>iki:</v>
      </c>
      <c r="I784" s="1014"/>
      <c r="J784" s="1620" t="str">
        <f>Translations!$B$676</f>
        <v>Atliekų katalogo numeris (jeigu taikytina):</v>
      </c>
      <c r="K784" s="1621"/>
      <c r="L784" s="1621"/>
      <c r="M784" s="1622"/>
      <c r="N784" s="1232"/>
      <c r="O784" s="1305"/>
      <c r="P784" s="33"/>
      <c r="Q784" s="33"/>
      <c r="R784" s="33"/>
      <c r="S784" s="1233"/>
      <c r="T784" s="483"/>
      <c r="U784" s="483"/>
      <c r="V784" s="48" t="b">
        <f>IF(V774="",FALSE,INDEX(CNTR_IsWaste,MATCH(V774,MSParameters!$A$218:$A$376,0)))</f>
        <v>0</v>
      </c>
      <c r="W784" s="1233" t="s">
        <v>1689</v>
      </c>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2" t="b">
        <f>BZ774</f>
        <v>1</v>
      </c>
    </row>
    <row r="785" spans="1:78" s="140" customFormat="1" ht="5.0999999999999996" customHeight="1" x14ac:dyDescent="0.2">
      <c r="A785" s="777"/>
      <c r="B785" s="1248"/>
      <c r="C785" s="164"/>
      <c r="D785" s="606"/>
      <c r="E785" s="486"/>
      <c r="F785" s="486"/>
      <c r="G785" s="486"/>
      <c r="H785" s="486"/>
      <c r="I785" s="486"/>
      <c r="J785" s="486"/>
      <c r="K785" s="486"/>
      <c r="L785" s="486"/>
      <c r="M785" s="486"/>
      <c r="N785" s="486"/>
      <c r="O785" s="1305"/>
      <c r="P785" s="33"/>
      <c r="Q785" s="33"/>
      <c r="R785" s="33"/>
      <c r="S785" s="172"/>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row>
    <row r="786" spans="1:78" s="140" customFormat="1" ht="12.75" customHeight="1" x14ac:dyDescent="0.2">
      <c r="A786" s="777"/>
      <c r="B786" s="1248"/>
      <c r="C786" s="164"/>
      <c r="D786" s="486"/>
      <c r="E786" s="486"/>
      <c r="F786" s="486"/>
      <c r="G786" s="486"/>
      <c r="H786" s="486"/>
      <c r="I786" s="486"/>
      <c r="J786" s="486"/>
      <c r="K786" s="486"/>
      <c r="L786" s="486"/>
      <c r="M786" s="606" t="str">
        <f>Translations!$B$677</f>
        <v>Stebėsenos plane šiam sukėlikliui suteiktas identifikatorius:</v>
      </c>
      <c r="N786" s="705"/>
      <c r="O786" s="1305"/>
      <c r="P786" s="33"/>
      <c r="Q786" s="33"/>
      <c r="R786" s="33"/>
      <c r="S786" s="172"/>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2" t="b">
        <f>BZ784</f>
        <v>1</v>
      </c>
    </row>
    <row r="787" spans="1:78" s="140" customFormat="1" ht="5.0999999999999996" customHeight="1" x14ac:dyDescent="0.2">
      <c r="A787" s="784"/>
      <c r="B787" s="1316"/>
      <c r="D787" s="178"/>
      <c r="O787" s="1317"/>
      <c r="P787" s="488"/>
      <c r="Q787" s="488"/>
      <c r="R787" s="488"/>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row>
    <row r="788" spans="1:78" s="140" customFormat="1" x14ac:dyDescent="0.2">
      <c r="A788" s="784"/>
      <c r="B788" s="1316"/>
      <c r="D788" s="1618" t="str">
        <f>Translations!$B$160</f>
        <v>Pastabos:</v>
      </c>
      <c r="E788" s="1619"/>
      <c r="F788" s="1605"/>
      <c r="G788" s="1606"/>
      <c r="H788" s="1606"/>
      <c r="I788" s="1606"/>
      <c r="J788" s="1606"/>
      <c r="K788" s="1606"/>
      <c r="L788" s="1606"/>
      <c r="M788" s="1606"/>
      <c r="N788" s="1607"/>
      <c r="O788" s="1317"/>
      <c r="P788" s="488"/>
      <c r="Q788" s="488"/>
      <c r="R788" s="488"/>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2" t="b">
        <f>BZ784</f>
        <v>1</v>
      </c>
    </row>
    <row r="789" spans="1:78" s="28" customFormat="1" ht="12.75" customHeight="1" thickBot="1" x14ac:dyDescent="0.25">
      <c r="A789" s="777"/>
      <c r="B789" s="1312"/>
      <c r="C789" s="490"/>
      <c r="D789" s="491"/>
      <c r="E789" s="492"/>
      <c r="F789" s="490"/>
      <c r="G789" s="493"/>
      <c r="H789" s="493"/>
      <c r="I789" s="493"/>
      <c r="J789" s="493"/>
      <c r="K789" s="493"/>
      <c r="L789" s="493"/>
      <c r="M789" s="493"/>
      <c r="N789" s="493"/>
      <c r="O789" s="1313"/>
      <c r="P789" s="485"/>
      <c r="Q789" s="485"/>
      <c r="R789" s="485"/>
      <c r="S789" s="58"/>
      <c r="T789" s="58"/>
      <c r="U789" s="489"/>
      <c r="V789" s="58"/>
      <c r="W789" s="58"/>
      <c r="X789" s="489"/>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30"/>
      <c r="BJ789" s="30"/>
      <c r="BK789" s="30"/>
      <c r="BL789" s="58"/>
      <c r="BM789" s="58"/>
      <c r="BN789" s="58"/>
      <c r="BO789" s="58"/>
      <c r="BP789" s="58"/>
      <c r="BQ789" s="58"/>
      <c r="BR789" s="58"/>
      <c r="BS789" s="58"/>
      <c r="BT789" s="58"/>
      <c r="BU789" s="58"/>
      <c r="BV789" s="58"/>
      <c r="BW789" s="58"/>
      <c r="BX789" s="58"/>
      <c r="BY789" s="58"/>
      <c r="BZ789" s="58"/>
    </row>
    <row r="790" spans="1:78" s="28" customFormat="1" ht="12.75" customHeight="1" thickBot="1" x14ac:dyDescent="0.25">
      <c r="A790" s="782"/>
      <c r="B790" s="1312"/>
      <c r="C790" s="486"/>
      <c r="D790" s="178"/>
      <c r="E790" s="487"/>
      <c r="F790" s="486"/>
      <c r="G790" s="478"/>
      <c r="H790" s="478"/>
      <c r="I790" s="478"/>
      <c r="J790" s="478"/>
      <c r="K790" s="486"/>
      <c r="L790" s="478"/>
      <c r="M790" s="478"/>
      <c r="N790" s="478"/>
      <c r="O790" s="1313"/>
      <c r="P790" s="485"/>
      <c r="Q790" s="485"/>
      <c r="R790" s="485"/>
      <c r="S790" s="23"/>
      <c r="T790" s="27" t="str">
        <f>IF(ISBLANK(E791),"",MATCH(E791,CNTR_SourceStreamNames,0))</f>
        <v/>
      </c>
      <c r="U790" s="609" t="str">
        <f>IF(ISBLANK(E791),"",INDEX(B_InstallationDescription!$D$71:$D$145,MATCH(E791,CNTR_SourceStreamNames,0)))</f>
        <v/>
      </c>
      <c r="V790" s="76"/>
      <c r="W790" s="56"/>
      <c r="X790" s="56"/>
      <c r="Y790" s="56"/>
      <c r="Z790" s="58"/>
      <c r="AA790" s="58"/>
      <c r="AB790" s="58"/>
      <c r="AC790" s="58"/>
      <c r="AD790" s="58"/>
      <c r="AE790" s="58"/>
      <c r="AF790" s="58"/>
      <c r="AG790" s="58"/>
      <c r="AH790" s="58"/>
      <c r="AI790" s="58"/>
      <c r="AJ790" s="58"/>
      <c r="AK790" s="482"/>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6"/>
      <c r="BI790" s="56"/>
      <c r="BJ790" s="56"/>
      <c r="BK790" s="56"/>
      <c r="BL790" s="56"/>
      <c r="BM790" s="56"/>
      <c r="BN790" s="56"/>
      <c r="BO790" s="56"/>
      <c r="BP790" s="56"/>
      <c r="BQ790" s="56"/>
      <c r="BR790" s="56"/>
      <c r="BS790" s="56"/>
      <c r="BT790" s="56"/>
      <c r="BU790" s="56"/>
      <c r="BV790" s="56"/>
      <c r="BW790" s="56"/>
      <c r="BX790" s="56"/>
      <c r="BY790" s="56"/>
      <c r="BZ790" s="484" t="s">
        <v>259</v>
      </c>
    </row>
    <row r="791" spans="1:78" s="140" customFormat="1" ht="15" customHeight="1" thickBot="1" x14ac:dyDescent="0.25">
      <c r="A791" s="1302" t="str">
        <f>IF(E791="","","PRINT")</f>
        <v/>
      </c>
      <c r="B791" s="1248"/>
      <c r="C791" s="608">
        <f>C764+1</f>
        <v>28</v>
      </c>
      <c r="D791" s="164"/>
      <c r="E791" s="1610"/>
      <c r="F791" s="1611"/>
      <c r="G791" s="1611"/>
      <c r="H791" s="1611"/>
      <c r="I791" s="1611"/>
      <c r="J791" s="1612"/>
      <c r="K791" s="1623" t="str">
        <f>IF(E792="","",INDEX(EUwideConstants!$F$353:$F$394,MATCH(E792,EUConst_TierActivityListNames,0)))</f>
        <v/>
      </c>
      <c r="L791" s="1624"/>
      <c r="M791" s="494" t="str">
        <f>Translations!$B$665</f>
        <v>CO2, iškastinio kuro kilmės:</v>
      </c>
      <c r="N791" s="1012" t="str">
        <f>IF(OR(K791="",T792=TRUE),"",INDEX(BC805:BE805,MATCH(K791,BC801:BE801,0)))</f>
        <v/>
      </c>
      <c r="O791" s="1314" t="s">
        <v>257</v>
      </c>
      <c r="P791" s="1303" t="str">
        <f>IF(AND(E791&lt;&gt;"",COUNTIF(P792:$P$2089,"PRINT")=0),"PRINT","")</f>
        <v/>
      </c>
      <c r="Q791" s="343" t="str">
        <f>EUconst_SumCO2 &amp; "_" &amp; K791</f>
        <v>SUM_CO2_</v>
      </c>
      <c r="R791" s="485"/>
      <c r="S791" s="23"/>
      <c r="T791" s="500" t="s">
        <v>387</v>
      </c>
      <c r="U791" s="23"/>
      <c r="V791" s="76"/>
      <c r="W791" s="56"/>
      <c r="X791" s="58"/>
      <c r="Y791" s="58"/>
      <c r="Z791" s="58"/>
      <c r="AA791" s="58"/>
      <c r="AB791" s="58"/>
      <c r="AC791" s="58"/>
      <c r="AD791" s="58"/>
      <c r="AE791" s="58"/>
      <c r="AF791" s="58"/>
      <c r="AG791" s="58"/>
      <c r="AH791" s="58"/>
      <c r="AI791" s="333"/>
      <c r="AJ791" s="333"/>
      <c r="AK791" s="333"/>
      <c r="AL791" s="333"/>
      <c r="AM791" s="333"/>
      <c r="AN791" s="333"/>
      <c r="AO791" s="333"/>
      <c r="AP791" s="333"/>
      <c r="AQ791" s="333"/>
      <c r="AR791" s="333"/>
      <c r="AS791" s="333"/>
      <c r="AT791" s="333"/>
      <c r="AU791" s="333"/>
      <c r="AV791" s="333"/>
      <c r="AW791" s="333"/>
      <c r="AX791" s="333"/>
      <c r="AY791" s="333"/>
      <c r="AZ791" s="333"/>
      <c r="BA791" s="333"/>
      <c r="BB791" s="333"/>
      <c r="BC791" s="333"/>
      <c r="BD791" s="333"/>
      <c r="BE791" s="333"/>
      <c r="BF791" s="333"/>
      <c r="BG791" s="333"/>
      <c r="BH791" s="834">
        <f>AR801</f>
        <v>0</v>
      </c>
      <c r="BI791" s="834" t="str">
        <f>AJ801</f>
        <v/>
      </c>
      <c r="BJ791" s="834">
        <f>AR803</f>
        <v>0</v>
      </c>
      <c r="BK791" s="834" t="str">
        <f>AJ803</f>
        <v/>
      </c>
      <c r="BL791" s="834">
        <f>AR804</f>
        <v>0</v>
      </c>
      <c r="BM791" s="834" t="str">
        <f>AJ804</f>
        <v/>
      </c>
      <c r="BN791" s="834">
        <f>AR805</f>
        <v>1</v>
      </c>
      <c r="BO791" s="834">
        <f>AR806</f>
        <v>1</v>
      </c>
      <c r="BP791" s="834">
        <f>AR807</f>
        <v>0</v>
      </c>
      <c r="BQ791" s="834" t="str">
        <f>AJ807</f>
        <v/>
      </c>
      <c r="BR791" s="834">
        <f>AR808</f>
        <v>0</v>
      </c>
      <c r="BS791" s="834">
        <f>AR809</f>
        <v>0</v>
      </c>
      <c r="BT791" s="834" t="str">
        <f>N791</f>
        <v/>
      </c>
      <c r="BU791" s="834" t="str">
        <f>N792</f>
        <v/>
      </c>
      <c r="BV791" s="834" t="str">
        <f>R794</f>
        <v/>
      </c>
      <c r="BW791" s="834" t="str">
        <f>R800</f>
        <v/>
      </c>
      <c r="BX791" s="834" t="str">
        <f>R801</f>
        <v/>
      </c>
      <c r="BY791" s="56"/>
      <c r="BZ791" s="610" t="b">
        <f>CNTR_CalcRelevant=EUconst_NotRelevant</f>
        <v>0</v>
      </c>
    </row>
    <row r="792" spans="1:78" s="140" customFormat="1" ht="15" customHeight="1" thickBot="1" x14ac:dyDescent="0.25">
      <c r="A792" s="777"/>
      <c r="B792" s="1248"/>
      <c r="C792" s="164"/>
      <c r="D792" s="164"/>
      <c r="E792" s="1625" t="str">
        <f>IF(ISBLANK(E791),"",IF(INDEX(B_InstallationDescription!$E$71:$E$145,MATCH(U790,B_InstallationDescription!$D$71:$D$145,0))&gt;0,INDEX(B_InstallationDescription!$E$71:$E$145,MATCH(U790,B_InstallationDescription!$D$71:$D$145,0)),""))</f>
        <v/>
      </c>
      <c r="F792" s="1626"/>
      <c r="G792" s="1626"/>
      <c r="H792" s="1626"/>
      <c r="I792" s="1626"/>
      <c r="J792" s="1627"/>
      <c r="M792" s="337" t="str">
        <f>Translations!$B$666</f>
        <v>CO2, biomasės kilmės.:</v>
      </c>
      <c r="N792" s="1013" t="str">
        <f>IF(OR(K791="",T792=TRUE),"",INDEX(BC804:BE804,MATCH(K791,BC801:BE801,0)))</f>
        <v/>
      </c>
      <c r="O792" s="1315" t="s">
        <v>257</v>
      </c>
      <c r="P792" s="485"/>
      <c r="Q792" s="343" t="str">
        <f>EUconst_SumBioCO2 &amp; "_" &amp; K791</f>
        <v>SUM_bioCO2_</v>
      </c>
      <c r="R792" s="485"/>
      <c r="S792" s="23"/>
      <c r="T792" s="48" t="str">
        <f>IF(E792="","",MATCH(E792,EUConst_TierActivityListNames,0)&gt;40)</f>
        <v/>
      </c>
      <c r="U792" s="23"/>
      <c r="V792" s="76"/>
      <c r="W792" s="56"/>
      <c r="X792" s="58"/>
      <c r="Y792" s="27" t="s">
        <v>91</v>
      </c>
      <c r="Z792" s="30"/>
      <c r="AA792" s="30"/>
      <c r="AB792" s="30"/>
      <c r="AC792" s="30"/>
      <c r="AD792" s="30"/>
      <c r="AE792" s="27" t="s">
        <v>297</v>
      </c>
      <c r="AF792" s="58"/>
      <c r="AG792" s="495"/>
      <c r="AH792" s="30"/>
      <c r="AI792" s="30"/>
      <c r="AJ792" s="495"/>
      <c r="AK792" s="495"/>
      <c r="AL792" s="333"/>
      <c r="AM792" s="27" t="s">
        <v>303</v>
      </c>
      <c r="AN792" s="496"/>
      <c r="AO792" s="496"/>
      <c r="AP792" s="30"/>
      <c r="AQ792" s="30"/>
      <c r="AR792" s="30"/>
      <c r="AS792" s="30"/>
      <c r="AT792" s="30"/>
      <c r="AU792" s="30"/>
      <c r="AV792" s="27" t="s">
        <v>310</v>
      </c>
      <c r="AW792" s="30"/>
      <c r="AX792" s="483"/>
      <c r="AY792" s="30"/>
      <c r="AZ792" s="30"/>
      <c r="BA792" s="30"/>
      <c r="BB792" s="27" t="s">
        <v>217</v>
      </c>
      <c r="BC792" s="30"/>
      <c r="BD792" s="30"/>
      <c r="BE792" s="30"/>
      <c r="BF792" s="30"/>
      <c r="BG792" s="27" t="s">
        <v>486</v>
      </c>
      <c r="BH792" s="833" t="s">
        <v>552</v>
      </c>
      <c r="BI792" s="833" t="s">
        <v>487</v>
      </c>
      <c r="BJ792" s="833" t="s">
        <v>211</v>
      </c>
      <c r="BK792" s="833" t="s">
        <v>488</v>
      </c>
      <c r="BL792" s="833" t="s">
        <v>68</v>
      </c>
      <c r="BM792" s="833" t="s">
        <v>489</v>
      </c>
      <c r="BN792" s="833" t="s">
        <v>490</v>
      </c>
      <c r="BO792" s="833" t="s">
        <v>491</v>
      </c>
      <c r="BP792" s="833" t="s">
        <v>214</v>
      </c>
      <c r="BQ792" s="833" t="s">
        <v>492</v>
      </c>
      <c r="BR792" s="833" t="s">
        <v>493</v>
      </c>
      <c r="BS792" s="833" t="s">
        <v>494</v>
      </c>
      <c r="BT792" s="833" t="s">
        <v>287</v>
      </c>
      <c r="BU792" s="833" t="s">
        <v>495</v>
      </c>
      <c r="BV792" s="833" t="s">
        <v>498</v>
      </c>
      <c r="BW792" s="833" t="s">
        <v>496</v>
      </c>
      <c r="BX792" s="833" t="s">
        <v>497</v>
      </c>
      <c r="BY792" s="30"/>
      <c r="BZ792" s="30"/>
    </row>
    <row r="793" spans="1:78" s="140" customFormat="1" ht="5.0999999999999996" customHeight="1" thickBot="1" x14ac:dyDescent="0.25">
      <c r="A793" s="777"/>
      <c r="B793" s="1248"/>
      <c r="C793" s="164"/>
      <c r="D793" s="164"/>
      <c r="E793" s="164"/>
      <c r="F793" s="164"/>
      <c r="G793" s="164"/>
      <c r="M793" s="141"/>
      <c r="N793" s="141"/>
      <c r="O793" s="1305"/>
      <c r="P793" s="33"/>
      <c r="Q793" s="33"/>
      <c r="R793" s="33"/>
      <c r="S793" s="23"/>
      <c r="T793" s="23"/>
      <c r="U793" s="23"/>
      <c r="V793" s="76"/>
      <c r="W793" s="30"/>
      <c r="X793" s="30"/>
      <c r="Y793" s="485"/>
      <c r="Z793" s="30"/>
      <c r="AA793" s="30"/>
      <c r="AB793" s="30"/>
      <c r="AC793" s="30"/>
      <c r="AD793" s="30"/>
      <c r="AE793" s="30"/>
      <c r="AF793" s="58"/>
      <c r="AG793" s="30"/>
      <c r="AH793" s="30"/>
      <c r="AI793" s="30"/>
      <c r="AJ793" s="495"/>
      <c r="AK793" s="495"/>
      <c r="AL793" s="333"/>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row>
    <row r="794" spans="1:78" s="140" customFormat="1" ht="12.75" customHeight="1" thickBot="1" x14ac:dyDescent="0.25">
      <c r="A794" s="777"/>
      <c r="B794" s="1248"/>
      <c r="C794" s="164"/>
      <c r="D794" s="164"/>
      <c r="E794" s="1628" t="str">
        <f>IF(E791="","",IF(T792=TRUE,HYPERLINK("#JUMP_14",EUconst_MsgGoOnPFC),HYPERLINK("#JUMP_E_8",EUconst_FurtherGuidancePoint1)))</f>
        <v/>
      </c>
      <c r="F794" s="1628"/>
      <c r="G794" s="1628"/>
      <c r="H794" s="1628"/>
      <c r="I794" s="1628"/>
      <c r="J794" s="1628"/>
      <c r="K794" s="1628"/>
      <c r="L794" s="1628"/>
      <c r="M794" s="1628"/>
      <c r="N794" s="141"/>
      <c r="O794" s="1305"/>
      <c r="P794" s="33"/>
      <c r="Q794" s="343" t="str">
        <f>EUconst_SumNonSustBioCO2 &amp; "_" &amp; K791</f>
        <v>SUM_bioNonSustCO2_</v>
      </c>
      <c r="R794" s="698" t="str">
        <f>IF(OR(K791="",T792=TRUE),"",ROUND(INDEX(BC803:BE803,MATCH(K791,BC801:BE801,0)),0))</f>
        <v/>
      </c>
      <c r="S794" s="23"/>
      <c r="T794" s="23"/>
      <c r="U794" s="23"/>
      <c r="V794" s="30"/>
      <c r="W794" s="30"/>
      <c r="X794" s="30"/>
      <c r="Y794" s="58"/>
      <c r="Z794" s="30"/>
      <c r="AA794" s="30"/>
      <c r="AB794" s="30"/>
      <c r="AC794" s="30"/>
      <c r="AD794" s="30"/>
      <c r="AE794" s="30"/>
      <c r="AF794" s="58"/>
      <c r="AG794" s="30"/>
      <c r="AH794" s="30"/>
      <c r="AI794" s="30"/>
      <c r="AJ794" s="495"/>
      <c r="AK794" s="495"/>
      <c r="AL794" s="333"/>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row>
    <row r="795" spans="1:78" s="140" customFormat="1" ht="5.0999999999999996" customHeight="1" thickBot="1" x14ac:dyDescent="0.25">
      <c r="A795" s="777"/>
      <c r="B795" s="1248"/>
      <c r="C795" s="164"/>
      <c r="D795" s="164"/>
      <c r="E795" s="164"/>
      <c r="F795" s="164"/>
      <c r="G795" s="164"/>
      <c r="M795" s="141"/>
      <c r="N795" s="141"/>
      <c r="O795" s="1305"/>
      <c r="P795" s="23"/>
      <c r="Q795" s="23"/>
      <c r="R795" s="23"/>
      <c r="S795" s="23"/>
      <c r="T795" s="23"/>
      <c r="U795" s="23"/>
      <c r="V795" s="30"/>
      <c r="W795" s="30"/>
      <c r="X795" s="30"/>
      <c r="Y795" s="485"/>
      <c r="Z795" s="30"/>
      <c r="AA795" s="30"/>
      <c r="AB795" s="30"/>
      <c r="AC795" s="30"/>
      <c r="AD795" s="30"/>
      <c r="AE795" s="30"/>
      <c r="AF795" s="58"/>
      <c r="AG795" s="30"/>
      <c r="AH795" s="30"/>
      <c r="AI795" s="30"/>
      <c r="AJ795" s="495"/>
      <c r="AK795" s="495"/>
      <c r="AL795" s="333"/>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row>
    <row r="796" spans="1:78" s="140" customFormat="1" ht="12.75" customHeight="1" thickBot="1" x14ac:dyDescent="0.25">
      <c r="A796" s="777"/>
      <c r="B796" s="1248"/>
      <c r="C796" s="783" t="s">
        <v>4</v>
      </c>
      <c r="D796" s="503" t="str">
        <f>Translations!$B$622</f>
        <v>VD:</v>
      </c>
      <c r="E796" s="1631" t="str">
        <f>Translations!$B$667</f>
        <v>Ar veiklos duomenys gaunami sudedant išmatuotus kiekius (t. y. ne atliekant nuolatinius matavimus)?</v>
      </c>
      <c r="F796" s="1631"/>
      <c r="G796" s="1631"/>
      <c r="H796" s="1631"/>
      <c r="I796" s="1631"/>
      <c r="J796" s="1631"/>
      <c r="K796" s="1631"/>
      <c r="L796" s="1122"/>
      <c r="M796" s="498"/>
      <c r="O796" s="1305"/>
      <c r="P796" s="23"/>
      <c r="Q796" s="23"/>
      <c r="R796" s="23"/>
      <c r="S796" s="23"/>
      <c r="T796" s="23"/>
      <c r="U796" s="23"/>
      <c r="V796" s="30"/>
      <c r="W796" s="30"/>
      <c r="X796" s="30"/>
      <c r="Y796" s="485"/>
      <c r="Z796" s="30"/>
      <c r="AA796" s="30"/>
      <c r="AB796" s="30"/>
      <c r="AC796" s="1115" t="b">
        <f>AND(E791&lt;&gt;"",T792&lt;&gt;TRUE)</f>
        <v>0</v>
      </c>
      <c r="AD796" s="30"/>
      <c r="AE796" s="30"/>
      <c r="AF796" s="58"/>
      <c r="AG796" s="30"/>
      <c r="AH796" s="30"/>
      <c r="AI796" s="30"/>
      <c r="AJ796" s="495"/>
      <c r="AK796" s="495"/>
      <c r="AL796" s="333"/>
      <c r="AM796" s="30"/>
      <c r="AN796" s="30"/>
      <c r="AO796" s="30"/>
      <c r="AP796" s="30"/>
      <c r="AQ796" s="30"/>
      <c r="AR796" s="30"/>
      <c r="AS796" s="30"/>
      <c r="AT796" s="1115" t="b">
        <f>MSPara_BatchReportingMandatory&lt;&gt;TRUE</f>
        <v>0</v>
      </c>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1115" t="b">
        <f>OR(CNTR_CalcRelevant=EUconst_NotRelevant,AND(COUNTA(CNTR_ListRelevantSections)&gt;0,OR(T792=TRUE,E791="")))</f>
        <v>1</v>
      </c>
    </row>
    <row r="797" spans="1:78" s="140" customFormat="1" ht="5.0999999999999996" customHeight="1" thickBot="1" x14ac:dyDescent="0.25">
      <c r="A797" s="777"/>
      <c r="B797" s="1248"/>
      <c r="C797" s="164"/>
      <c r="D797" s="164"/>
      <c r="E797" s="164"/>
      <c r="F797" s="164"/>
      <c r="G797" s="164"/>
      <c r="H797" s="486"/>
      <c r="I797" s="486"/>
      <c r="J797" s="486"/>
      <c r="K797" s="486"/>
      <c r="L797" s="486"/>
      <c r="M797" s="498"/>
      <c r="O797" s="1305"/>
      <c r="P797" s="23"/>
      <c r="Q797" s="23"/>
      <c r="R797" s="23"/>
      <c r="S797" s="23"/>
      <c r="T797" s="23"/>
      <c r="U797" s="23"/>
      <c r="V797" s="30"/>
      <c r="W797" s="30"/>
      <c r="X797" s="30"/>
      <c r="Y797" s="485"/>
      <c r="Z797" s="30"/>
      <c r="AA797" s="30"/>
      <c r="AB797" s="30"/>
      <c r="AC797" s="483"/>
      <c r="AD797" s="30"/>
      <c r="AE797" s="30"/>
      <c r="AF797" s="58"/>
      <c r="AG797" s="30"/>
      <c r="AH797" s="30"/>
      <c r="AI797" s="30"/>
      <c r="AJ797" s="495"/>
      <c r="AK797" s="495"/>
      <c r="AL797" s="333"/>
      <c r="AM797" s="30"/>
      <c r="AN797" s="30"/>
      <c r="AO797" s="30"/>
      <c r="AP797" s="30"/>
      <c r="AQ797" s="30"/>
      <c r="AR797" s="30"/>
      <c r="AS797" s="30"/>
      <c r="AT797" s="483"/>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483"/>
    </row>
    <row r="798" spans="1:78" s="140" customFormat="1" ht="12.75" customHeight="1" thickBot="1" x14ac:dyDescent="0.25">
      <c r="A798" s="777"/>
      <c r="B798" s="1248"/>
      <c r="C798" s="783" t="s">
        <v>5</v>
      </c>
      <c r="D798" s="503" t="str">
        <f>Translations!$B$622</f>
        <v>VD:</v>
      </c>
      <c r="E798" s="1105" t="str">
        <f>Translations!$B$668</f>
        <v>Pradinis kiekis:</v>
      </c>
      <c r="F798" s="1123"/>
      <c r="G798" s="1106" t="str">
        <f>Translations!$B$669</f>
        <v>Galutinis kiekis:</v>
      </c>
      <c r="H798" s="1123"/>
      <c r="I798" s="1106" t="str">
        <f>Translations!$B$670</f>
        <v>Įsigytas kiekis:</v>
      </c>
      <c r="J798" s="1123"/>
      <c r="K798" s="1106" t="str">
        <f>Translations!$B$671</f>
        <v>Perduotas kiekis:</v>
      </c>
      <c r="L798" s="1123"/>
      <c r="M798" s="1107" t="str">
        <f>IF(AND(L796=TRUE,COUNT(F798,H798,J798,L798)&lt;4),EUconst_ERR_Incomplete,"")</f>
        <v/>
      </c>
      <c r="O798" s="1305"/>
      <c r="P798" s="23"/>
      <c r="Q798" s="23"/>
      <c r="R798" s="23"/>
      <c r="S798" s="23"/>
      <c r="T798" s="23"/>
      <c r="U798" s="23"/>
      <c r="V798" s="30"/>
      <c r="W798" s="30"/>
      <c r="X798" s="30"/>
      <c r="Y798" s="485"/>
      <c r="Z798" s="30"/>
      <c r="AA798" s="30"/>
      <c r="AB798" s="30"/>
      <c r="AC798" s="1115" t="b">
        <f>AC796</f>
        <v>0</v>
      </c>
      <c r="AD798" s="30"/>
      <c r="AE798" s="30"/>
      <c r="AF798" s="58"/>
      <c r="AG798" s="30"/>
      <c r="AH798" s="30"/>
      <c r="AI798" s="30"/>
      <c r="AJ798" s="495"/>
      <c r="AK798" s="495"/>
      <c r="AL798" s="333"/>
      <c r="AM798" s="30"/>
      <c r="AN798" s="30"/>
      <c r="AO798" s="30"/>
      <c r="AP798" s="30"/>
      <c r="AQ798" s="30"/>
      <c r="AR798" s="30"/>
      <c r="AS798" s="30"/>
      <c r="AT798" s="1115" t="b">
        <f>AND(AT796=TRUE,L796="")</f>
        <v>0</v>
      </c>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1115" t="b">
        <f>OR(BZ796,AND(NOT(ISBLANK(L796)),L796=FALSE))</f>
        <v>1</v>
      </c>
    </row>
    <row r="799" spans="1:78" s="140" customFormat="1" ht="5.0999999999999996" customHeight="1" thickBot="1" x14ac:dyDescent="0.25">
      <c r="A799" s="777"/>
      <c r="B799" s="1248"/>
      <c r="C799" s="164"/>
      <c r="D799" s="164"/>
      <c r="E799" s="164"/>
      <c r="F799" s="164"/>
      <c r="G799" s="164"/>
      <c r="M799" s="141"/>
      <c r="N799" s="141"/>
      <c r="O799" s="1305"/>
      <c r="P799" s="23"/>
      <c r="Q799" s="23"/>
      <c r="R799" s="23"/>
      <c r="S799" s="23"/>
      <c r="T799" s="23"/>
      <c r="U799" s="23"/>
      <c r="V799" s="30"/>
      <c r="W799" s="30"/>
      <c r="X799" s="30"/>
      <c r="Y799" s="485"/>
      <c r="Z799" s="30"/>
      <c r="AA799" s="30"/>
      <c r="AB799" s="30"/>
      <c r="AC799" s="30"/>
      <c r="AD799" s="30"/>
      <c r="AE799" s="30"/>
      <c r="AF799" s="58"/>
      <c r="AG799" s="30"/>
      <c r="AH799" s="30"/>
      <c r="AI799" s="30"/>
      <c r="AJ799" s="495"/>
      <c r="AK799" s="495"/>
      <c r="AL799" s="333"/>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row>
    <row r="800" spans="1:78" s="140" customFormat="1" ht="12.75" customHeight="1" thickBot="1" x14ac:dyDescent="0.25">
      <c r="A800" s="777"/>
      <c r="B800" s="1248"/>
      <c r="C800" s="164"/>
      <c r="D800" s="164"/>
      <c r="E800" s="164"/>
      <c r="F800" s="497" t="str">
        <f>Translations!$B$333</f>
        <v>Pakopa</v>
      </c>
      <c r="G800" s="1613" t="str">
        <f>Translations!$B$672</f>
        <v>pakopos aprašas</v>
      </c>
      <c r="H800" s="1613"/>
      <c r="I800" s="1608" t="str">
        <f>Translations!$B$158</f>
        <v>Vienetas</v>
      </c>
      <c r="J800" s="1608"/>
      <c r="K800" s="1608" t="str">
        <f>Translations!$B$673</f>
        <v>Vertė</v>
      </c>
      <c r="L800" s="1608"/>
      <c r="M800" s="498" t="str">
        <f>Translations!$B$610</f>
        <v>klaida</v>
      </c>
      <c r="O800" s="1305"/>
      <c r="P800" s="499"/>
      <c r="Q800" s="343" t="str">
        <f>EUconst_SumEnergyIN &amp; "_" &amp; K791</f>
        <v>SUM_EnergyIN_</v>
      </c>
      <c r="R800" s="390" t="str">
        <f>IF(OR(K791="",T792)=TRUE,"",INDEX(BC806:BE806,MATCH(K791,BC801:BE801,0)))</f>
        <v/>
      </c>
      <c r="S800" s="30"/>
      <c r="T800" s="480"/>
      <c r="U800" s="30"/>
      <c r="V800" s="500" t="s">
        <v>298</v>
      </c>
      <c r="W800" s="30"/>
      <c r="X800" s="30"/>
      <c r="Y800" s="485" t="s">
        <v>560</v>
      </c>
      <c r="Z800" s="485" t="s">
        <v>313</v>
      </c>
      <c r="AA800" s="30"/>
      <c r="AB800" s="30"/>
      <c r="AC800" s="496" t="s">
        <v>304</v>
      </c>
      <c r="AD800" s="30"/>
      <c r="AE800" s="30"/>
      <c r="AF800" s="483" t="s">
        <v>300</v>
      </c>
      <c r="AG800" s="483" t="s">
        <v>301</v>
      </c>
      <c r="AH800" s="485" t="s">
        <v>299</v>
      </c>
      <c r="AI800" s="495" t="s">
        <v>302</v>
      </c>
      <c r="AJ800" s="495" t="s">
        <v>561</v>
      </c>
      <c r="AK800" s="501" t="s">
        <v>306</v>
      </c>
      <c r="AL800" s="333"/>
      <c r="AM800" s="30"/>
      <c r="AN800" s="483" t="s">
        <v>300</v>
      </c>
      <c r="AO800" s="483" t="s">
        <v>301</v>
      </c>
      <c r="AP800" s="502" t="s">
        <v>305</v>
      </c>
      <c r="AQ800" s="495" t="s">
        <v>563</v>
      </c>
      <c r="AR800" s="495" t="s">
        <v>562</v>
      </c>
      <c r="AS800" s="501" t="s">
        <v>599</v>
      </c>
      <c r="AT800" s="501" t="s">
        <v>599</v>
      </c>
      <c r="AU800" s="30"/>
      <c r="AV800" s="483"/>
      <c r="AW800" s="483"/>
      <c r="AX800" s="483" t="s">
        <v>316</v>
      </c>
      <c r="AY800" s="483"/>
      <c r="AZ800" s="483"/>
      <c r="BA800" s="483"/>
      <c r="BB800" s="483"/>
      <c r="BC800" s="483"/>
      <c r="BD800" s="483"/>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484" t="s">
        <v>259</v>
      </c>
    </row>
    <row r="801" spans="1:78" s="140" customFormat="1" ht="12.75" customHeight="1" thickBot="1" x14ac:dyDescent="0.25">
      <c r="A801" s="777"/>
      <c r="B801" s="1248"/>
      <c r="C801" s="753" t="s">
        <v>194</v>
      </c>
      <c r="D801" s="503" t="str">
        <f>Translations!$B$622</f>
        <v>VD:</v>
      </c>
      <c r="E801" s="504"/>
      <c r="F801" s="393"/>
      <c r="G801" s="1603" t="str">
        <f>IF(OR(ISBLANK(F801),F801=EUconst_NoTier),"",IF(Z801=0,EUconst_NA,IF(ISERROR(Z801),"",Z801)))</f>
        <v/>
      </c>
      <c r="H801" s="1604"/>
      <c r="I801" s="1108" t="str">
        <f>IF(J801&lt;&gt;"","",AI801)</f>
        <v/>
      </c>
      <c r="J801" s="1109"/>
      <c r="K801" s="1116" t="str">
        <f>IF(L801="",AQ801,"")</f>
        <v/>
      </c>
      <c r="L801" s="1199"/>
      <c r="M801" s="700" t="str">
        <f>IF(AND(E792&lt;&gt;"",OR(F801="",COUNT(K801:L801)=0),Y801&lt;&gt;EUconst_NA,T792&lt;&gt;TRUE),EUconst_ERR_Incomplete,IF(COUNTIF(AX801:AZ801,TRUE)&gt;0,EUconst_ERR_Inconsistent,""))</f>
        <v/>
      </c>
      <c r="O801" s="1305"/>
      <c r="P801" s="635"/>
      <c r="Q801" s="343" t="str">
        <f>EUconst_SumBioEnergyIN &amp; "_" &amp; K791</f>
        <v>SUM_BioEnergyIN_</v>
      </c>
      <c r="R801" s="390" t="str">
        <f>IF(OR(K791="",T792)=TRUE,"",INDEX(BC807:BE807,MATCH(K791,BC801:BE801,0)))</f>
        <v/>
      </c>
      <c r="S801" s="30"/>
      <c r="T801" s="505" t="str">
        <f>EUconst_CNTR_ActivityData&amp;E792</f>
        <v>ActivityData_</v>
      </c>
      <c r="U801" s="488"/>
      <c r="V801" s="505" t="str">
        <f>IF(E791="","",INDEX(B_InstallationDescription!$I$71:$I$145,MATCH(U790,B_InstallationDescription!$D$71:$D$145,0)))</f>
        <v/>
      </c>
      <c r="W801" s="495" t="s">
        <v>533</v>
      </c>
      <c r="X801" s="488"/>
      <c r="Y801" s="506" t="str">
        <f>IF(OR(T792=TRUE,E792=""),"",INDEX(EUwideConstants!$N:$N,MATCH(T801,EUwideConstants!$Q:$Q,0)))</f>
        <v/>
      </c>
      <c r="Z801" s="507" t="str">
        <f>IF(ISBLANK(F801),"",IF(F801=EUconst_NA,"",INDEX(EUwideConstants!$H:$M,MATCH(T801,EUwideConstants!$Q:$Q,0),MATCH(F801,CNTR_TierList,0))))</f>
        <v/>
      </c>
      <c r="AA801" s="508" t="s">
        <v>299</v>
      </c>
      <c r="AB801" s="495"/>
      <c r="AC801" s="509" t="b">
        <f>AC796</f>
        <v>0</v>
      </c>
      <c r="AD801" s="30"/>
      <c r="AE801" s="510" t="str">
        <f>EUconst_CNTR_ActivityData&amp;EUconst_Unit</f>
        <v>ActivityData_Vienetas</v>
      </c>
      <c r="AF801" s="511" t="str">
        <f>IF(AC801=TRUE, IF(COUNTIF(MSPara_SourceStreamCategory,V801)=0,"",INDEX(MSPara_CalcFactorsMatrix,MATCH(V801,MSPara_SourceStreamCategory,0),MATCH(AE801&amp;"_"&amp;2,MSPara_CalcFactors,0))),"")</f>
        <v/>
      </c>
      <c r="AG801" s="512" t="str">
        <f>IF(AC801=TRUE, IF(COUNTIF(MSPara_SourceStreamCategory,V801)=0,"",INDEX(MSPara_CalcFactorsMatrix,MATCH(V801,MSPara_SourceStreamCategory,0),MATCH(AE801&amp;"_"&amp;1,MSPara_CalcFactors,0))),"")</f>
        <v/>
      </c>
      <c r="AH801" s="509" t="str">
        <f>IF(OR(AF801="",AF801=EUconst_NA),IF(OR(AG801=EUconst_NA,AG801=""),"",AG801),AF801)</f>
        <v/>
      </c>
      <c r="AI801" s="506" t="str">
        <f>IF(AC801=TRUE,IF(AH801="",EUconst_t,AH801),"")</f>
        <v/>
      </c>
      <c r="AJ801" s="513" t="str">
        <f>IF(J801="",AI801,J801)</f>
        <v/>
      </c>
      <c r="AK801" s="514" t="b">
        <f>IF(K791=EUconst_Fuel,J801&lt;&gt;"",FALSE)</f>
        <v>0</v>
      </c>
      <c r="AL801" s="333"/>
      <c r="AM801" s="505" t="str">
        <f>EUconst_CNTR_ActivityData&amp;EUconst_Value</f>
        <v>ActivityData_Vertė</v>
      </c>
      <c r="AN801" s="496"/>
      <c r="AO801" s="496"/>
      <c r="AP801" s="509" t="b">
        <f>AND(AND(AH801&lt;&gt;"",AJ801&lt;&gt;""),AJ801=AH801)</f>
        <v>0</v>
      </c>
      <c r="AQ801" s="610" t="str">
        <f>IF(L796=TRUE,SUM(F798)-SUM(H798)+SUM(J798)-SUM(L798),"")</f>
        <v/>
      </c>
      <c r="AR801" s="509">
        <f>IF(Y801=EUconst_NA,0,IF(COUNT(K801:L801)=0,0,IF(L801="",K801,L801)))</f>
        <v>0</v>
      </c>
      <c r="AS801" s="1115" t="b">
        <f>AND(AC801=TRUE,OR(L801&lt;&gt;"",AQ801=""))</f>
        <v>0</v>
      </c>
      <c r="AT801" s="1115" t="b">
        <f>AND(AC801=TRUE,NOT(AS801))</f>
        <v>0</v>
      </c>
      <c r="AU801" s="30"/>
      <c r="AV801" s="483" t="s">
        <v>309</v>
      </c>
      <c r="AW801" s="483" t="s">
        <v>314</v>
      </c>
      <c r="AX801" s="515"/>
      <c r="AY801" s="30" t="s">
        <v>536</v>
      </c>
      <c r="AZ801" s="30"/>
      <c r="BA801" s="30"/>
      <c r="BB801" s="495"/>
      <c r="BC801" s="484" t="str">
        <f>EUconst_Fuel</f>
        <v>Degimas</v>
      </c>
      <c r="BD801" s="484" t="str">
        <f>EUconst_ProcessCarbonate</f>
        <v>Proceso metu išsiskiriančios ŠESD</v>
      </c>
      <c r="BE801" s="484" t="str">
        <f>EUconst_MassBalance</f>
        <v>Masės balansas</v>
      </c>
      <c r="BF801" s="30"/>
      <c r="BG801" s="30"/>
      <c r="BH801" s="30"/>
      <c r="BI801" s="30"/>
      <c r="BJ801" s="30"/>
      <c r="BK801" s="30"/>
      <c r="BL801" s="30"/>
      <c r="BM801" s="30"/>
      <c r="BN801" s="30"/>
      <c r="BO801" s="30"/>
      <c r="BP801" s="30"/>
      <c r="BQ801" s="30"/>
      <c r="BR801" s="30"/>
      <c r="BS801" s="30"/>
      <c r="BT801" s="30"/>
      <c r="BU801" s="30"/>
      <c r="BV801" s="30"/>
      <c r="BW801" s="30"/>
      <c r="BX801" s="30"/>
      <c r="BY801" s="30"/>
      <c r="BZ801" s="515" t="b">
        <f>BZ796</f>
        <v>1</v>
      </c>
    </row>
    <row r="802" spans="1:78" s="140" customFormat="1" ht="5.0999999999999996" customHeight="1" thickBot="1" x14ac:dyDescent="0.25">
      <c r="A802" s="777"/>
      <c r="B802" s="1248"/>
      <c r="C802" s="783"/>
      <c r="D802" s="298"/>
      <c r="F802" s="141"/>
      <c r="G802" s="141"/>
      <c r="H802" s="141" t="s">
        <v>233</v>
      </c>
      <c r="I802" s="516"/>
      <c r="J802" s="516"/>
      <c r="K802" s="141"/>
      <c r="L802" s="141"/>
      <c r="M802" s="701"/>
      <c r="O802" s="1305"/>
      <c r="P802" s="33"/>
      <c r="Q802" s="33"/>
      <c r="R802" s="33"/>
      <c r="S802" s="30"/>
      <c r="T802" s="153"/>
      <c r="U802" s="488"/>
      <c r="V802" s="30"/>
      <c r="W802" s="30"/>
      <c r="X802" s="488"/>
      <c r="Y802" s="517"/>
      <c r="Z802" s="30"/>
      <c r="AA802" s="30"/>
      <c r="AB802" s="30"/>
      <c r="AC802" s="30"/>
      <c r="AD802" s="30"/>
      <c r="AE802" s="30"/>
      <c r="AF802" s="30"/>
      <c r="AG802" s="30"/>
      <c r="AH802" s="30"/>
      <c r="AI802" s="30"/>
      <c r="AJ802" s="30"/>
      <c r="AK802" s="30"/>
      <c r="AL802" s="333"/>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484"/>
    </row>
    <row r="803" spans="1:78" s="140" customFormat="1" ht="12.75" customHeight="1" thickBot="1" x14ac:dyDescent="0.25">
      <c r="A803" s="777"/>
      <c r="B803" s="1248"/>
      <c r="C803" s="783" t="s">
        <v>195</v>
      </c>
      <c r="D803" s="503" t="str">
        <f>Translations!$B$634</f>
        <v>(prelim.) ITF:</v>
      </c>
      <c r="E803" s="504"/>
      <c r="F803" s="518"/>
      <c r="G803" s="1603" t="str">
        <f t="shared" ref="G803:G809" si="189">IF(OR(ISBLANK(F803),F803=EUconst_NoTier),"",IF(Z803=0,EUconst_NotApplicable,IF(ISERROR(Z803),"",Z803)))</f>
        <v/>
      </c>
      <c r="H803" s="1609"/>
      <c r="I803" s="1110" t="str">
        <f>IF(J803&lt;&gt;"","",AI803)</f>
        <v/>
      </c>
      <c r="J803" s="1111"/>
      <c r="K803" s="519" t="str">
        <f t="shared" ref="K803:K809" si="190">IF(L803="",AQ803,"")</f>
        <v/>
      </c>
      <c r="L803" s="520"/>
      <c r="M803" s="700" t="str">
        <f>IF(AND(E792&lt;&gt;"",OR(F803="",COUNT(K803:L803)=0),Y803&lt;&gt;EUconst_NA,T792&lt;&gt;TRUE),EUconst_ERR_Incomplete,IF(COUNTIF(AX803:AZ803,TRUE)&gt;0,EUconst_ERR_Inconsistent,""))</f>
        <v/>
      </c>
      <c r="N803" s="486"/>
      <c r="O803" s="1305"/>
      <c r="P803" s="33"/>
      <c r="Q803" s="33"/>
      <c r="R803" s="33"/>
      <c r="S803" s="30"/>
      <c r="T803" s="521" t="str">
        <f>EUconst_CNTR_EF&amp;E792</f>
        <v>EF_</v>
      </c>
      <c r="U803" s="488"/>
      <c r="V803" s="522" t="str">
        <f>V801</f>
        <v/>
      </c>
      <c r="W803" s="30"/>
      <c r="X803" s="488"/>
      <c r="Y803" s="523" t="str">
        <f>IF(OR(T792=TRUE,E792=""),"",IF(F803=EUconst_NA,EUconst_NA,INDEX(EUwideConstants!$N:$N,MATCH(T803,EUwideConstants!$Q:$Q,0))))</f>
        <v/>
      </c>
      <c r="Z803" s="524" t="str">
        <f>IF(ISBLANK(F803),"",IF(F803=EUconst_NA,"",INDEX(EUwideConstants!$H:$M,MATCH(T803,EUwideConstants!$Q:$Q,0),MATCH(F803,CNTR_TierList,0))))</f>
        <v/>
      </c>
      <c r="AA803" s="525" t="str">
        <f>IF(COUNTIF(EUconst_DefaultValues,Z803)&gt;0,MATCH(Z803,EUconst_DefaultValues,0),"")</f>
        <v/>
      </c>
      <c r="AB803" s="30"/>
      <c r="AC803" s="526" t="b">
        <f>AND(AC801,Y803&lt;&gt;EUconst_NA)</f>
        <v>0</v>
      </c>
      <c r="AD803" s="30"/>
      <c r="AE803" s="510" t="str">
        <f>EUconst_CNTR_EF&amp;EUconst_Unit</f>
        <v>EF_Vienetas</v>
      </c>
      <c r="AF803" s="527" t="str">
        <f>IF(AC803=TRUE, IF(COUNTIF(MSPara_SourceStreamCategory,V803)=0,"",INDEX(MSPara_CalcFactorsMatrix,MATCH(V803,MSPara_SourceStreamCategory,0),MATCH(AE803&amp;"_"&amp;2,MSPara_CalcFactors,0))),"")</f>
        <v/>
      </c>
      <c r="AG803" s="528" t="str">
        <f>IF(AC803=TRUE, IF(COUNTIF(MSPara_SourceStreamCategory,V803)=0,"",INDEX(MSPara_CalcFactorsMatrix,MATCH(V803,MSPara_SourceStreamCategory,0),MATCH(AE803&amp;"_"&amp;1,MSPara_CalcFactors,0))),"")</f>
        <v/>
      </c>
      <c r="AH803" s="529" t="str">
        <f>IF(AA803="","",INDEX(AF803:AG803,3-AA803))</f>
        <v/>
      </c>
      <c r="AI803" s="530" t="str">
        <f>IF(AC803=TRUE,IF(OR(AH803="",AH803=EUconst_NA),IF(K791=EUconst_Fuel,EUconst_tCO2pTJ,EUconst_tCO2pt),AH803),"")</f>
        <v/>
      </c>
      <c r="AJ803" s="526" t="str">
        <f>IF(J803="",AI803,J803)</f>
        <v/>
      </c>
      <c r="AK803" s="531" t="b">
        <f>IF(K791=EUconst_Fuel,J803&lt;&gt;"",FALSE)</f>
        <v>0</v>
      </c>
      <c r="AL803" s="333"/>
      <c r="AM803" s="510" t="str">
        <f>EUconst_CNTR_EF&amp;EUconst_Value</f>
        <v>EF_Vertė</v>
      </c>
      <c r="AN803" s="532" t="str">
        <f>IF(AC803=TRUE,IF(COUNTIF(MSPara_SourceStreamCategory,V803)=0,"",INDEX(MSPara_CalcFactorsMatrix,MATCH(V803,MSPara_SourceStreamCategory,0),MATCH(AM803&amp;"_"&amp;2,MSPara_CalcFactors,0))),"")</f>
        <v/>
      </c>
      <c r="AO803" s="533" t="str">
        <f>IF(AC803=TRUE,IF(COUNTIF(MSPara_SourceStreamCategory,V803)=0,"",INDEX(MSPara_CalcFactorsMatrix,MATCH(V803,MSPara_SourceStreamCategory,0),MATCH(AM803&amp;"_"&amp;1,MSPara_CalcFactors,0))),"")</f>
        <v/>
      </c>
      <c r="AP803" s="526" t="b">
        <f>AND(AND(AH803&lt;&gt;"",AJ803&lt;&gt;""),AJ803=AH803)</f>
        <v>0</v>
      </c>
      <c r="AQ803" s="534" t="str">
        <f>IF(AND(AA803&lt;&gt;"",AP803=TRUE),IF(OR(INDEX(AN803:AO803,3-AA803)=EUconst_NA,INDEX(AN803:AO803,3-AA803)=0),"",INDEX(AN803:AO803,3-AA803)),"")</f>
        <v/>
      </c>
      <c r="AR803" s="526">
        <f>IF(AC803=TRUE,IF(COUNT(K803:L803)=0,0,IF(L803="",K803,L803)),0)</f>
        <v>0</v>
      </c>
      <c r="AS803" s="522" t="b">
        <f>AND(AC803=TRUE,OR(AND(F803&lt;&gt;"",NOT(ISNUMBER(AA803))),L803&lt;&gt;"",F803="",AQ803=""))</f>
        <v>0</v>
      </c>
      <c r="AT803" s="522" t="b">
        <f t="shared" ref="AT803:AT809" si="191">AND(AC803=TRUE,NOT(AS803))</f>
        <v>0</v>
      </c>
      <c r="AU803" s="30"/>
      <c r="AV803" s="535" t="b">
        <f t="shared" ref="AV803:AV809" si="192">AND(ISNUMBER(AA803),AQ803="")</f>
        <v>0</v>
      </c>
      <c r="AW803" s="536" t="b">
        <f t="shared" ref="AW803:AW809" si="193">AND(ISNUMBER(AA803),AQ803&lt;&gt;AR803)</f>
        <v>0</v>
      </c>
      <c r="AX803" s="537" t="b">
        <f>OR(AND(AJ801=EUconst_kNm3,AJ803=EUconst_tCO2pt),AND(AJ801=EUconst_t,AJ803=EUconst_tCO2pkNm3))</f>
        <v>0</v>
      </c>
      <c r="AY803" s="522" t="b">
        <f t="shared" ref="AY803:AY809" si="194">AND(L803&lt;&gt;"",Y803=EUconst_NA)</f>
        <v>0</v>
      </c>
      <c r="AZ803" s="30"/>
      <c r="BA803" s="30"/>
      <c r="BB803" s="538" t="s">
        <v>588</v>
      </c>
      <c r="BC803" s="537" t="str">
        <f>IF(K791=BC801,AR801*IF(AJ803=EUconst_tCO2pTJ,(AR804/1000),1)*AR803*AR805*AR809,"")</f>
        <v/>
      </c>
      <c r="BD803" s="515" t="str">
        <f>IF(K791=BD801,AR801*AR803*AR806*AR809,"")</f>
        <v/>
      </c>
      <c r="BE803" s="514" t="str">
        <f>IF(K791=BE801,3.664*AR801*AR807*AR809,"")</f>
        <v/>
      </c>
      <c r="BF803" s="30"/>
      <c r="BG803" s="30"/>
      <c r="BH803" s="30"/>
      <c r="BI803" s="30"/>
      <c r="BJ803" s="30"/>
      <c r="BK803" s="30"/>
      <c r="BL803" s="30"/>
      <c r="BM803" s="30"/>
      <c r="BN803" s="30"/>
      <c r="BO803" s="30"/>
      <c r="BP803" s="30"/>
      <c r="BQ803" s="30"/>
      <c r="BR803" s="30"/>
      <c r="BS803" s="30"/>
      <c r="BT803" s="30"/>
      <c r="BU803" s="30"/>
      <c r="BV803" s="30"/>
      <c r="BW803" s="30"/>
      <c r="BX803" s="30"/>
      <c r="BY803" s="30"/>
      <c r="BZ803" s="522" t="b">
        <f>OR(BZ801,Y803=EUconst_NA)</f>
        <v>1</v>
      </c>
    </row>
    <row r="804" spans="1:78" s="140" customFormat="1" ht="12.75" customHeight="1" thickBot="1" x14ac:dyDescent="0.25">
      <c r="A804" s="777"/>
      <c r="B804" s="1248"/>
      <c r="C804" s="783" t="s">
        <v>196</v>
      </c>
      <c r="D804" s="503" t="str">
        <f>Translations!$B$636</f>
        <v>GŠV:</v>
      </c>
      <c r="E804" s="504"/>
      <c r="F804" s="539"/>
      <c r="G804" s="1603" t="str">
        <f t="shared" si="189"/>
        <v/>
      </c>
      <c r="H804" s="1604"/>
      <c r="I804" s="1112" t="str">
        <f>AJ804</f>
        <v/>
      </c>
      <c r="J804" s="540"/>
      <c r="K804" s="541" t="str">
        <f t="shared" si="190"/>
        <v/>
      </c>
      <c r="L804" s="542"/>
      <c r="M804" s="700" t="str">
        <f>IF(AND(E792&lt;&gt;"",OR(F804="",COUNT(K804:L804)=0),Y804&lt;&gt;EUconst_NA,T792&lt;&gt;TRUE),EUconst_ERR_Incomplete,IF(COUNTIF(AX804:AZ804,TRUE)&gt;0,EUconst_ERR_Inconsistent,""))</f>
        <v/>
      </c>
      <c r="O804" s="1305"/>
      <c r="P804" s="33"/>
      <c r="Q804" s="33"/>
      <c r="R804" s="33"/>
      <c r="S804" s="30"/>
      <c r="T804" s="543" t="str">
        <f>EUconst_CNTR_NCV&amp;E792</f>
        <v>NCV_</v>
      </c>
      <c r="U804" s="488"/>
      <c r="V804" s="544" t="str">
        <f t="shared" ref="V804:V809" si="195">V803</f>
        <v/>
      </c>
      <c r="W804" s="30"/>
      <c r="X804" s="488"/>
      <c r="Y804" s="545" t="str">
        <f>IF(OR(T792=TRUE,E792=""),"",IF(F804=EUconst_NA,EUconst_NA,INDEX(EUwideConstants!$N:$N,MATCH(T804,EUwideConstants!$Q:$Q,0))))</f>
        <v/>
      </c>
      <c r="Z804" s="546" t="str">
        <f>IF(ISBLANK(F804),"",IF(F804=EUconst_NA,"",INDEX(EUwideConstants!$H:$M,MATCH(T804,EUwideConstants!$Q:$Q,0),MATCH(F804,CNTR_TierList,0))))</f>
        <v/>
      </c>
      <c r="AA804" s="547" t="str">
        <f>IF(COUNTIF(EUconst_DefaultValues,Z804)&gt;0,MATCH(Z804,EUconst_DefaultValues,0),"")</f>
        <v/>
      </c>
      <c r="AB804" s="30"/>
      <c r="AC804" s="548" t="b">
        <f>AND(AC801,Y804&lt;&gt;EUconst_NA)</f>
        <v>0</v>
      </c>
      <c r="AD804" s="30"/>
      <c r="AE804" s="549" t="str">
        <f>EUconst_CNTR_NCV&amp;EUconst_Unit</f>
        <v>NCV_Vienetas</v>
      </c>
      <c r="AF804" s="550" t="str">
        <f>IF(AC804=TRUE, IF(COUNTIF(MSPara_SourceStreamCategory,V804)=0,"",INDEX(MSPara_CalcFactorsMatrix,MATCH(V804,MSPara_SourceStreamCategory,0),MATCH(AE804&amp;"_"&amp;2,MSPara_CalcFactors,0))),"")</f>
        <v/>
      </c>
      <c r="AG804" s="551" t="str">
        <f>IF(AC804=TRUE, IF(COUNTIF(MSPara_SourceStreamCategory,V804)=0,"",INDEX(MSPara_CalcFactorsMatrix,MATCH(V804,MSPara_SourceStreamCategory,0),MATCH(AE804&amp;"_"&amp;1,MSPara_CalcFactors,0))),"")</f>
        <v/>
      </c>
      <c r="AH804" s="552" t="str">
        <f>IF(AA804="","",INDEX(AF804:AG804,3-AA804))</f>
        <v/>
      </c>
      <c r="AI804" s="553"/>
      <c r="AJ804" s="548" t="str">
        <f>IF(AC804=TRUE,IF(AJ801="","",IF(AJ801=EUconst_kNm3,EUconst_GJpkNm3,EUconst_GJpt)),"")</f>
        <v/>
      </c>
      <c r="AK804" s="554"/>
      <c r="AL804" s="333"/>
      <c r="AM804" s="549" t="str">
        <f>EUconst_CNTR_NCV&amp;EUconst_Value</f>
        <v>NCV_Vertė</v>
      </c>
      <c r="AN804" s="555" t="str">
        <f>IF(AC804=TRUE,IF(COUNTIF(MSPara_SourceStreamCategory,V804)=0,"",INDEX(MSPara_CalcFactorsMatrix,MATCH(V804,MSPara_SourceStreamCategory,0),MATCH(AM804&amp;"_"&amp;2,MSPara_CalcFactors,0))),"")</f>
        <v/>
      </c>
      <c r="AO804" s="556" t="str">
        <f>IF(AC804=TRUE,IF(COUNTIF(MSPara_SourceStreamCategory,V804)=0,"",INDEX(MSPara_CalcFactorsMatrix,MATCH(V804,MSPara_SourceStreamCategory,0),MATCH(AM804&amp;"_"&amp;1,MSPara_CalcFactors,0))),"")</f>
        <v/>
      </c>
      <c r="AP804" s="548" t="b">
        <f>AND(AND(AH804&lt;&gt;"",AJ804&lt;&gt;""),AJ804=AH804)</f>
        <v>0</v>
      </c>
      <c r="AQ804" s="557" t="str">
        <f>IF(AND(AA804&lt;&gt;"",AP804=TRUE),IF(OR(INDEX(AN804:AO804,3-AA804)=EUconst_NA,INDEX(AN804:AO804,3-AA804)=0),"",INDEX(AN804:AO804,3-AA804)),"")</f>
        <v/>
      </c>
      <c r="AR804" s="548">
        <f>IF(AC804=TRUE,IF(COUNT(K804:L804)=0,0,IF(L804="",K804,L804)),0)</f>
        <v>0</v>
      </c>
      <c r="AS804" s="544" t="b">
        <f>AND(AC804=TRUE,OR(AND(F804&lt;&gt;"",NOT(ISNUMBER(AA804))),L804&lt;&gt;"",F804="",AQ804=""))</f>
        <v>0</v>
      </c>
      <c r="AT804" s="544" t="b">
        <f t="shared" si="191"/>
        <v>0</v>
      </c>
      <c r="AU804" s="30"/>
      <c r="AV804" s="558" t="b">
        <f t="shared" si="192"/>
        <v>0</v>
      </c>
      <c r="AW804" s="559" t="b">
        <f t="shared" si="193"/>
        <v>0</v>
      </c>
      <c r="AX804" s="30"/>
      <c r="AY804" s="544" t="b">
        <f t="shared" si="194"/>
        <v>0</v>
      </c>
      <c r="AZ804" s="30"/>
      <c r="BA804" s="30"/>
      <c r="BB804" s="538" t="s">
        <v>589</v>
      </c>
      <c r="BC804" s="537" t="str">
        <f>IF(K791=BC801,AR801*IF(AJ803=EUconst_tCO2pTJ,(AR804/1000),1)*AR803*AR805*AR808,"")</f>
        <v/>
      </c>
      <c r="BD804" s="515" t="str">
        <f>IF(K791=BD801,AR801*AR803*AR806*AR808,"")</f>
        <v/>
      </c>
      <c r="BE804" s="514" t="str">
        <f>IF(K791=BE801,3.664*AR801*AR807*AR808,"")</f>
        <v/>
      </c>
      <c r="BF804" s="30"/>
      <c r="BG804" s="30"/>
      <c r="BH804" s="30"/>
      <c r="BI804" s="30"/>
      <c r="BJ804" s="30"/>
      <c r="BK804" s="30"/>
      <c r="BL804" s="30"/>
      <c r="BM804" s="30"/>
      <c r="BN804" s="30"/>
      <c r="BO804" s="30"/>
      <c r="BP804" s="30"/>
      <c r="BQ804" s="30"/>
      <c r="BR804" s="30"/>
      <c r="BS804" s="30"/>
      <c r="BT804" s="30"/>
      <c r="BU804" s="30"/>
      <c r="BV804" s="30"/>
      <c r="BW804" s="30"/>
      <c r="BX804" s="30"/>
      <c r="BY804" s="30"/>
      <c r="BZ804" s="544" t="b">
        <f>OR(BZ801,Y804=EUconst_NA)</f>
        <v>1</v>
      </c>
    </row>
    <row r="805" spans="1:78" s="140" customFormat="1" ht="12.75" customHeight="1" thickBot="1" x14ac:dyDescent="0.25">
      <c r="A805" s="777"/>
      <c r="B805" s="1248"/>
      <c r="C805" s="783" t="s">
        <v>197</v>
      </c>
      <c r="D805" s="503" t="str">
        <f>Translations!$B$638</f>
        <v>Oksidacijos koef.:</v>
      </c>
      <c r="E805" s="504"/>
      <c r="F805" s="539"/>
      <c r="G805" s="1603" t="str">
        <f t="shared" si="189"/>
        <v/>
      </c>
      <c r="H805" s="1604"/>
      <c r="I805" s="1113" t="str">
        <f>IF(OR(AC805=FALSE,Y805=EUconst_NA),"","-")</f>
        <v/>
      </c>
      <c r="J805" s="560"/>
      <c r="K805" s="561" t="str">
        <f t="shared" si="190"/>
        <v/>
      </c>
      <c r="L805" s="694"/>
      <c r="M805" s="700" t="str">
        <f>IF(AND(E792&lt;&gt;"",OR(F805="",COUNT(K805:L805)=0),Y805&lt;&gt;EUconst_NA,T792&lt;&gt;TRUE),EUconst_ERR_Incomplete,IF(COUNTIF(AX805:AZ805,TRUE)&gt;0,EUconst_ERR_Inconsistent,""))</f>
        <v/>
      </c>
      <c r="O805" s="1305"/>
      <c r="P805" s="33"/>
      <c r="Q805" s="33"/>
      <c r="R805" s="33"/>
      <c r="S805" s="30"/>
      <c r="T805" s="543" t="str">
        <f>EUconst_CNTR_OxidationFactor&amp;E792</f>
        <v>OxF_</v>
      </c>
      <c r="U805" s="488"/>
      <c r="V805" s="544" t="str">
        <f t="shared" si="195"/>
        <v/>
      </c>
      <c r="W805" s="30"/>
      <c r="X805" s="488"/>
      <c r="Y805" s="545" t="str">
        <f>IF(OR(T792=TRUE,E792=""),"",INDEX(EUwideConstants!$N:$N,MATCH(T805,EUwideConstants!$Q:$Q,0)))</f>
        <v/>
      </c>
      <c r="Z805" s="546" t="str">
        <f>IF(ISBLANK(F805),"",IF(F805=EUconst_NA,"",INDEX(EUwideConstants!$H:$M,MATCH(T805,EUwideConstants!$Q:$Q,0),MATCH(F805,CNTR_TierList,0))))</f>
        <v/>
      </c>
      <c r="AA805" s="525" t="str">
        <f>IF(F805=1,1,"")</f>
        <v/>
      </c>
      <c r="AB805" s="30"/>
      <c r="AC805" s="548" t="b">
        <f>AND(AC801,Y805&lt;&gt;EUconst_NA)</f>
        <v>0</v>
      </c>
      <c r="AD805" s="30"/>
      <c r="AE805" s="563"/>
      <c r="AG805" s="564"/>
      <c r="AH805" s="553"/>
      <c r="AI805" s="565"/>
      <c r="AJ805" s="553"/>
      <c r="AK805" s="566"/>
      <c r="AL805" s="333"/>
      <c r="AM805" s="549" t="str">
        <f>EUconst_CNTR_OxidationFactor&amp;EUconst_Value</f>
        <v>OxF_Vertė</v>
      </c>
      <c r="AN805" s="567"/>
      <c r="AO805" s="525">
        <v>1</v>
      </c>
      <c r="AP805" s="553"/>
      <c r="AQ805" s="568" t="str">
        <f>IF(AA805="","",AO805)</f>
        <v/>
      </c>
      <c r="AR805" s="548">
        <f>IF(AC805=TRUE,IF(COUNT(K805:L805)=0,0,IF(L805="",K805,L805)),1)</f>
        <v>1</v>
      </c>
      <c r="AS805" s="544" t="b">
        <f>AND(AC805=TRUE,OR(ISNUMBER(L805),NOT(ISNUMBER(AA805))))</f>
        <v>0</v>
      </c>
      <c r="AT805" s="544" t="b">
        <f t="shared" si="191"/>
        <v>0</v>
      </c>
      <c r="AU805" s="30"/>
      <c r="AV805" s="558" t="b">
        <f t="shared" si="192"/>
        <v>0</v>
      </c>
      <c r="AW805" s="559" t="b">
        <f t="shared" si="193"/>
        <v>0</v>
      </c>
      <c r="AX805" s="30"/>
      <c r="AY805" s="585" t="b">
        <f t="shared" si="194"/>
        <v>0</v>
      </c>
      <c r="AZ805" s="522" t="b">
        <f>AR805&gt;100%</f>
        <v>0</v>
      </c>
      <c r="BA805" s="30"/>
      <c r="BB805" s="538" t="s">
        <v>287</v>
      </c>
      <c r="BC805" s="537" t="str">
        <f>IF(K791=BC801,AR801*IF(AJ803=EUconst_tCO2pTJ,(AR804/1000),1)*AR803*AR805*(1-AR808),"")</f>
        <v/>
      </c>
      <c r="BD805" s="515" t="str">
        <f>IF(K791=BD801,AR801*AR803*AR806*(1-AR808),"")</f>
        <v/>
      </c>
      <c r="BE805" s="514" t="str">
        <f>IF(K791=BE801,3.664*AR801*AR807*(1-AR808),"")</f>
        <v/>
      </c>
      <c r="BF805" s="30"/>
      <c r="BG805" s="30"/>
      <c r="BH805" s="30"/>
      <c r="BI805" s="30"/>
      <c r="BJ805" s="30"/>
      <c r="BK805" s="30"/>
      <c r="BL805" s="30"/>
      <c r="BM805" s="30"/>
      <c r="BN805" s="30"/>
      <c r="BO805" s="30"/>
      <c r="BP805" s="30"/>
      <c r="BQ805" s="30"/>
      <c r="BR805" s="30"/>
      <c r="BS805" s="30"/>
      <c r="BT805" s="30"/>
      <c r="BU805" s="30"/>
      <c r="BV805" s="30"/>
      <c r="BW805" s="30"/>
      <c r="BX805" s="30"/>
      <c r="BY805" s="30"/>
      <c r="BZ805" s="544" t="b">
        <f>OR(BZ801,Y805=EUconst_NA)</f>
        <v>1</v>
      </c>
    </row>
    <row r="806" spans="1:78" s="140" customFormat="1" ht="12.75" customHeight="1" thickBot="1" x14ac:dyDescent="0.25">
      <c r="A806" s="777"/>
      <c r="B806" s="1248"/>
      <c r="C806" s="783" t="s">
        <v>198</v>
      </c>
      <c r="D806" s="503" t="str">
        <f>Translations!$B$639</f>
        <v>Konversijos koef.:</v>
      </c>
      <c r="E806" s="504"/>
      <c r="F806" s="539"/>
      <c r="G806" s="1603" t="str">
        <f t="shared" si="189"/>
        <v/>
      </c>
      <c r="H806" s="1604"/>
      <c r="I806" s="1113" t="str">
        <f>IF(OR(AC806=FALSE,Y806=EUconst_NA),"","-")</f>
        <v/>
      </c>
      <c r="J806" s="560"/>
      <c r="K806" s="561" t="str">
        <f t="shared" si="190"/>
        <v/>
      </c>
      <c r="L806" s="694"/>
      <c r="M806" s="700" t="str">
        <f>IF(AND(E792&lt;&gt;"",OR(F806="",COUNT(K806:L806)=0),Y806&lt;&gt;EUconst_NA,T792&lt;&gt;TRUE),EUconst_ERR_Incomplete,IF(COUNTIF(AX806:AZ806,TRUE)&gt;0,EUconst_ERR_Inconsistent,""))</f>
        <v/>
      </c>
      <c r="O806" s="1305"/>
      <c r="P806" s="33"/>
      <c r="Q806" s="33"/>
      <c r="R806" s="33"/>
      <c r="S806" s="30"/>
      <c r="T806" s="543" t="str">
        <f>EUconst_CNTR_ConversionFactor&amp;E792</f>
        <v>ConvF_</v>
      </c>
      <c r="U806" s="488"/>
      <c r="V806" s="544" t="str">
        <f t="shared" si="195"/>
        <v/>
      </c>
      <c r="W806" s="30"/>
      <c r="X806" s="488"/>
      <c r="Y806" s="545" t="str">
        <f>IF(OR(T792=TRUE,E792=""),"",INDEX(EUwideConstants!$N:$N,MATCH(T806,EUwideConstants!$Q:$Q,0)))</f>
        <v/>
      </c>
      <c r="Z806" s="546" t="str">
        <f>IF(ISBLANK(F806),"",IF(F806=EUconst_NA,"",INDEX(EUwideConstants!$H:$M,MATCH(T806,EUwideConstants!$Q:$Q,0),MATCH(F806,CNTR_TierList,0))))</f>
        <v/>
      </c>
      <c r="AA806" s="573" t="str">
        <f>IF(F806=1,1,"")</f>
        <v/>
      </c>
      <c r="AB806" s="30"/>
      <c r="AC806" s="548" t="b">
        <f>AND(AC801,Y806&lt;&gt;EUconst_NA)</f>
        <v>0</v>
      </c>
      <c r="AD806" s="30"/>
      <c r="AE806" s="563"/>
      <c r="AG806" s="564"/>
      <c r="AH806" s="574"/>
      <c r="AI806" s="565"/>
      <c r="AJ806" s="574"/>
      <c r="AK806" s="566"/>
      <c r="AL806" s="333"/>
      <c r="AM806" s="549" t="str">
        <f>EUconst_CNTR_ConversionFactor&amp;EUconst_Value</f>
        <v>ConvF_Vertė</v>
      </c>
      <c r="AN806" s="575"/>
      <c r="AO806" s="573">
        <v>1</v>
      </c>
      <c r="AP806" s="574"/>
      <c r="AQ806" s="576" t="str">
        <f>IF(AA806="","",AO806)</f>
        <v/>
      </c>
      <c r="AR806" s="548">
        <f>IF(AC806=TRUE,IF(COUNT(K806:L806)=0,0,IF(L806="",K806,L806)),1)</f>
        <v>1</v>
      </c>
      <c r="AS806" s="544" t="b">
        <f>AND(AC806=TRUE,OR(ISNUMBER(L806),NOT(ISNUMBER(AA806))))</f>
        <v>0</v>
      </c>
      <c r="AT806" s="544" t="b">
        <f t="shared" si="191"/>
        <v>0</v>
      </c>
      <c r="AU806" s="30"/>
      <c r="AV806" s="558" t="b">
        <f t="shared" si="192"/>
        <v>0</v>
      </c>
      <c r="AW806" s="559" t="b">
        <f t="shared" si="193"/>
        <v>0</v>
      </c>
      <c r="AX806" s="30"/>
      <c r="AY806" s="585" t="b">
        <f t="shared" si="194"/>
        <v>0</v>
      </c>
      <c r="AZ806" s="571" t="b">
        <f>AR806&gt;100%</f>
        <v>0</v>
      </c>
      <c r="BA806" s="30"/>
      <c r="BB806" s="569" t="s">
        <v>481</v>
      </c>
      <c r="BC806" s="570">
        <f>AR801*AR804/1000*(1-AR808)</f>
        <v>0</v>
      </c>
      <c r="BD806" s="571">
        <f>BC806</f>
        <v>0</v>
      </c>
      <c r="BE806" s="572">
        <f>BC806</f>
        <v>0</v>
      </c>
      <c r="BF806" s="30"/>
      <c r="BG806" s="30"/>
      <c r="BH806" s="30"/>
      <c r="BI806" s="30"/>
      <c r="BJ806" s="30"/>
      <c r="BK806" s="30"/>
      <c r="BL806" s="30"/>
      <c r="BM806" s="30"/>
      <c r="BN806" s="30"/>
      <c r="BO806" s="30"/>
      <c r="BP806" s="30"/>
      <c r="BQ806" s="30"/>
      <c r="BR806" s="30"/>
      <c r="BS806" s="30"/>
      <c r="BT806" s="30"/>
      <c r="BU806" s="30"/>
      <c r="BV806" s="30"/>
      <c r="BW806" s="30"/>
      <c r="BX806" s="30"/>
      <c r="BY806" s="30"/>
      <c r="BZ806" s="544" t="b">
        <f>OR(BZ801,Y806=EUconst_NA)</f>
        <v>1</v>
      </c>
    </row>
    <row r="807" spans="1:78" s="140" customFormat="1" ht="12.75" customHeight="1" thickBot="1" x14ac:dyDescent="0.25">
      <c r="A807" s="777"/>
      <c r="B807" s="1248"/>
      <c r="C807" s="783" t="s">
        <v>324</v>
      </c>
      <c r="D807" s="503" t="str">
        <f>Translations!$B$640</f>
        <v>Anglies kiekis (C):</v>
      </c>
      <c r="E807" s="504"/>
      <c r="F807" s="539"/>
      <c r="G807" s="1603" t="str">
        <f t="shared" si="189"/>
        <v/>
      </c>
      <c r="H807" s="1604"/>
      <c r="I807" s="1113" t="str">
        <f>AJ807</f>
        <v/>
      </c>
      <c r="J807" s="577"/>
      <c r="K807" s="578" t="str">
        <f t="shared" si="190"/>
        <v/>
      </c>
      <c r="L807" s="579"/>
      <c r="M807" s="700" t="str">
        <f>IF(AND(E792&lt;&gt;"",OR(F807="",COUNT(K807:L807)=0),Y807&lt;&gt;EUconst_NA,T792&lt;&gt;TRUE),EUconst_ERR_Incomplete,IF(COUNTIF(AX807:AZ807,TRUE)&gt;0,EUconst_ERR_Inconsistent,""))</f>
        <v/>
      </c>
      <c r="O807" s="1305"/>
      <c r="P807" s="33"/>
      <c r="Q807" s="33"/>
      <c r="R807" s="33"/>
      <c r="S807" s="30"/>
      <c r="T807" s="543" t="str">
        <f>EUconst_CNTR_CarbonContent&amp;E792</f>
        <v>CarbC_</v>
      </c>
      <c r="U807" s="488"/>
      <c r="V807" s="544" t="str">
        <f t="shared" si="195"/>
        <v/>
      </c>
      <c r="W807" s="30"/>
      <c r="X807" s="488"/>
      <c r="Y807" s="545" t="str">
        <f>IF(OR(T792=TRUE,E792=""),"",INDEX(EUwideConstants!$N:$N,MATCH(T807,EUwideConstants!$Q:$Q,0)))</f>
        <v/>
      </c>
      <c r="Z807" s="546" t="str">
        <f>IF(ISBLANK(F807),"",IF(F807=EUconst_NA,"",INDEX(EUwideConstants!$H:$M,MATCH(T807,EUwideConstants!$Q:$Q,0),MATCH(F807,CNTR_TierList,0))))</f>
        <v/>
      </c>
      <c r="AA807" s="580" t="str">
        <f>IF(COUNTIF(EUconst_DefaultValues,Z807)&gt;0,MATCH(Z807,EUconst_DefaultValues,0),"")</f>
        <v/>
      </c>
      <c r="AB807" s="30"/>
      <c r="AC807" s="548" t="b">
        <f>AND(AC801,Y807&lt;&gt;EUconst_NA)</f>
        <v>0</v>
      </c>
      <c r="AD807" s="30"/>
      <c r="AE807" s="549" t="str">
        <f>EUconst_CNTR_CarbonContent&amp;EUconst_Unit</f>
        <v>CarbC_Vienetas</v>
      </c>
      <c r="AF807" s="550" t="str">
        <f>IF(AC807=TRUE, IF(COUNTIF(MSPara_SourceStreamCategory,V807)=0,"",INDEX(MSPara_CalcFactorsMatrix,MATCH(V807,MSPara_SourceStreamCategory,0),MATCH(AE807&amp;"_"&amp;2,MSPara_CalcFactors,0))),"")</f>
        <v/>
      </c>
      <c r="AG807" s="551" t="str">
        <f>IF(AC807=TRUE, IF(COUNTIF(MSPara_SourceStreamCategory,V807)=0,"",INDEX(MSPara_CalcFactorsMatrix,MATCH(V807,MSPara_SourceStreamCategory,0),MATCH(AE807&amp;"_"&amp;1,MSPara_CalcFactors,0))),"")</f>
        <v/>
      </c>
      <c r="AH807" s="581" t="str">
        <f>IF(AA807="","",INDEX(AF807:AG807,3-AA807))</f>
        <v/>
      </c>
      <c r="AI807" s="565"/>
      <c r="AJ807" s="582" t="str">
        <f>IF(AC807=TRUE,IF(AJ801="","",IF(AJ801=EUconst_kNm3,EUconst_tCpkNm3,EUconst_tCpt)),"")</f>
        <v/>
      </c>
      <c r="AK807" s="566"/>
      <c r="AL807" s="333"/>
      <c r="AM807" s="549" t="str">
        <f>EUconst_CNTR_CarbonContent&amp;EUconst_Value</f>
        <v>CarbC_Vertė</v>
      </c>
      <c r="AN807" s="555" t="str">
        <f>IF(AC807=TRUE,IF(COUNTIF(MSPara_SourceStreamCategory,V807)=0,"",INDEX(MSPara_CalcFactorsMatrix,MATCH(V807,MSPara_SourceStreamCategory,0),MATCH(AM807&amp;"_"&amp;2,MSPara_CalcFactors,0))),"")</f>
        <v/>
      </c>
      <c r="AO807" s="583" t="str">
        <f>IF(AC807=TRUE,IF(COUNTIF(MSPara_SourceStreamCategory,V807)=0,"",INDEX(MSPara_CalcFactorsMatrix,MATCH(V807,MSPara_SourceStreamCategory,0),MATCH(AM807&amp;"_"&amp;1,MSPara_CalcFactors,0))),"")</f>
        <v/>
      </c>
      <c r="AP807" s="548" t="b">
        <f>AND(AND(AH807&lt;&gt;"",AJ807&lt;&gt;""),AJ807=AH807)</f>
        <v>0</v>
      </c>
      <c r="AQ807" s="584" t="str">
        <f>IF(AND(AA807&lt;&gt;"",AP807=TRUE),IF(OR(INDEX(AN807:AO807,3-AA807)=EUconst_NA,INDEX(AN807:AO807,3-AA807)=0),"",INDEX(AN807:AO807,3-AA807)),"")</f>
        <v/>
      </c>
      <c r="AR807" s="548">
        <f>IF(AC807=TRUE,IF(COUNT(K807:L807)=0,0,IF(L807="",K807,L807)),0)</f>
        <v>0</v>
      </c>
      <c r="AS807" s="544" t="b">
        <f>AND(AC807=TRUE,OR(AND(F807&lt;&gt;"",NOT(ISNUMBER(AA807))),L807&lt;&gt;"",F807="",AQ807=""))</f>
        <v>0</v>
      </c>
      <c r="AT807" s="544" t="b">
        <f t="shared" si="191"/>
        <v>0</v>
      </c>
      <c r="AU807" s="30"/>
      <c r="AV807" s="558" t="b">
        <f t="shared" si="192"/>
        <v>0</v>
      </c>
      <c r="AW807" s="559" t="b">
        <f t="shared" si="193"/>
        <v>0</v>
      </c>
      <c r="AX807" s="537" t="b">
        <f>OR(AND(AJ801=EUconst_kNm3,AJ807=EUconst_tCpt),AND(AJ801=EUconst_t,AJ807=EUconst_tCpkNm3))</f>
        <v>0</v>
      </c>
      <c r="AY807" s="544" t="b">
        <f t="shared" si="194"/>
        <v>0</v>
      </c>
      <c r="AZ807" s="30"/>
      <c r="BA807" s="30"/>
      <c r="BB807" s="569" t="s">
        <v>482</v>
      </c>
      <c r="BC807" s="570">
        <f>AR801*AR804/1000*AR808</f>
        <v>0</v>
      </c>
      <c r="BD807" s="571">
        <f>BC807</f>
        <v>0</v>
      </c>
      <c r="BE807" s="572">
        <f>BC807</f>
        <v>0</v>
      </c>
      <c r="BF807" s="30"/>
      <c r="BG807" s="30"/>
      <c r="BH807" s="30"/>
      <c r="BI807" s="30"/>
      <c r="BJ807" s="30"/>
      <c r="BK807" s="30"/>
      <c r="BL807" s="30"/>
      <c r="BM807" s="30"/>
      <c r="BN807" s="30"/>
      <c r="BO807" s="30"/>
      <c r="BP807" s="30"/>
      <c r="BQ807" s="30"/>
      <c r="BR807" s="30"/>
      <c r="BS807" s="30"/>
      <c r="BT807" s="30"/>
      <c r="BU807" s="30"/>
      <c r="BV807" s="30"/>
      <c r="BW807" s="30"/>
      <c r="BX807" s="30"/>
      <c r="BY807" s="30"/>
      <c r="BZ807" s="544" t="b">
        <f>OR(BZ801,Y807=EUconst_NA)</f>
        <v>1</v>
      </c>
    </row>
    <row r="808" spans="1:78" s="140" customFormat="1" ht="12.75" customHeight="1" x14ac:dyDescent="0.2">
      <c r="A808" s="777"/>
      <c r="B808" s="1248"/>
      <c r="C808" s="753" t="s">
        <v>325</v>
      </c>
      <c r="D808" s="503" t="str">
        <f>Translations!$B$641</f>
        <v>Biomasės dalis (BioC):</v>
      </c>
      <c r="E808" s="504"/>
      <c r="F808" s="539"/>
      <c r="G808" s="1603" t="str">
        <f t="shared" si="189"/>
        <v/>
      </c>
      <c r="H808" s="1604"/>
      <c r="I808" s="1113" t="str">
        <f>IF(OR(AC808=FALSE,Y808=EUconst_NA),"","-")</f>
        <v/>
      </c>
      <c r="J808" s="560"/>
      <c r="K808" s="561" t="str">
        <f t="shared" si="190"/>
        <v/>
      </c>
      <c r="L808" s="694"/>
      <c r="M808" s="700" t="str">
        <f>IF(AND(E792&lt;&gt;"",OR(F808="",COUNT(K808:L808)=0),Y808&lt;&gt;EUconst_NA,T792&lt;&gt;TRUE),EUconst_ERR_Incomplete,IF(COUNTIF(AX808:AZ808,TRUE)&gt;0,EUconst_ERR_Inconsistent,""))</f>
        <v/>
      </c>
      <c r="O808" s="1305"/>
      <c r="P808" s="635"/>
      <c r="Q808" s="635"/>
      <c r="R808" s="635"/>
      <c r="S808" s="30"/>
      <c r="T808" s="543" t="str">
        <f>EUconst_CNTR_BiomassContent&amp;E792</f>
        <v>BioC_</v>
      </c>
      <c r="U808" s="488"/>
      <c r="V808" s="585" t="str">
        <f t="shared" si="195"/>
        <v/>
      </c>
      <c r="W808" s="522" t="str">
        <f>IF(COUNTIF(MSPara_SourceStreamCategory,V808)=0,"",INDEX(MSPara_IsFossil,MATCH(V808,MSPara_SourceStreamCategory,0)))</f>
        <v/>
      </c>
      <c r="X808" s="488"/>
      <c r="Y808" s="545" t="str">
        <f>IF(OR(T792=TRUE,E792=""),"",IF(OR(W808=TRUE,F808=EUconst_NA),EUconst_NA,INDEX(EUwideConstants!$N:$N,MATCH(T808,EUwideConstants!$Q:$Q,0))))</f>
        <v/>
      </c>
      <c r="Z808" s="546" t="str">
        <f>IF(ISBLANK(F808),"",IF(F808=EUconst_NA,"",INDEX(EUwideConstants!$H:$M,MATCH(T808,EUwideConstants!$Q:$Q,0),MATCH(F808,CNTR_TierList,0))))</f>
        <v/>
      </c>
      <c r="AA808" s="586" t="str">
        <f>IF(F808=1,1,"")</f>
        <v/>
      </c>
      <c r="AB808" s="30"/>
      <c r="AC808" s="548" t="b">
        <f>AND(AC801,Y808&lt;&gt;EUconst_NA)</f>
        <v>0</v>
      </c>
      <c r="AD808" s="30"/>
      <c r="AE808" s="563"/>
      <c r="AG808" s="564"/>
      <c r="AH808" s="553"/>
      <c r="AI808" s="565"/>
      <c r="AJ808" s="553"/>
      <c r="AK808" s="566"/>
      <c r="AL808" s="333"/>
      <c r="AM808" s="549" t="str">
        <f>EUconst_CNTR_BiomassContent&amp;EUconst_Value</f>
        <v>BioC_Vertė</v>
      </c>
      <c r="AO808" s="587" t="str">
        <f>IF(AC808=TRUE,IF(COUNTIF(MSPara_SourceStreamCategory,V808)=0,"",INDEX(MSPara_CalcFactorsMatrix,MATCH(V808,MSPara_SourceStreamCategory,0),MATCH(AM808&amp;"_"&amp;2,MSPara_CalcFactors,0))),"")</f>
        <v/>
      </c>
      <c r="AP808" s="553"/>
      <c r="AQ808" s="568" t="str">
        <f>IF(OR(AA808="",AO808=EUconst_NA),"",AO808)</f>
        <v/>
      </c>
      <c r="AR808" s="548">
        <f>IF(AC808=TRUE,IF(COUNT(K808:L808)=0,0,IF(L808="",K808,L808)),0)</f>
        <v>0</v>
      </c>
      <c r="AS808" s="544" t="b">
        <f>AND(AC808=TRUE,OR(AND(F808&lt;&gt;"",NOT(ISNUMBER(AA808))),L808&lt;&gt;"",F808="",AQ808=""))</f>
        <v>0</v>
      </c>
      <c r="AT808" s="544" t="b">
        <f t="shared" si="191"/>
        <v>0</v>
      </c>
      <c r="AU808" s="30"/>
      <c r="AV808" s="558" t="b">
        <f t="shared" si="192"/>
        <v>0</v>
      </c>
      <c r="AW808" s="559" t="b">
        <f t="shared" si="193"/>
        <v>0</v>
      </c>
      <c r="AX808" s="30"/>
      <c r="AY808" s="585" t="b">
        <f t="shared" si="194"/>
        <v>0</v>
      </c>
      <c r="AZ808" s="522" t="b">
        <f>OR(AR808&gt;100%,(AR808+AR809)&gt;100%)</f>
        <v>0</v>
      </c>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544" t="b">
        <f>OR(BZ801,Y808=EUconst_NA)</f>
        <v>1</v>
      </c>
    </row>
    <row r="809" spans="1:78" s="140" customFormat="1" ht="12.75" customHeight="1" thickBot="1" x14ac:dyDescent="0.25">
      <c r="A809" s="777"/>
      <c r="B809" s="1248"/>
      <c r="C809" s="753" t="s">
        <v>448</v>
      </c>
      <c r="D809" s="503" t="str">
        <f>Translations!$B$647</f>
        <v>Netvarios BioC dalis:</v>
      </c>
      <c r="E809" s="504"/>
      <c r="F809" s="588"/>
      <c r="G809" s="1603" t="str">
        <f t="shared" si="189"/>
        <v/>
      </c>
      <c r="H809" s="1604"/>
      <c r="I809" s="1114" t="str">
        <f>IF(OR(AC809=FALSE,Y809=EUconst_NA),"","-")</f>
        <v/>
      </c>
      <c r="J809" s="560"/>
      <c r="K809" s="589" t="str">
        <f t="shared" si="190"/>
        <v/>
      </c>
      <c r="L809" s="1100"/>
      <c r="M809" s="700" t="str">
        <f>IF(AND(E792&lt;&gt;"",OR(F809="",COUNT(K809:L809)=0),Y809&lt;&gt;EUconst_NA,T792&lt;&gt;TRUE),EUconst_ERR_Incomplete,IF(COUNTIF(AX809:AZ809,TRUE)&gt;0,EUconst_ERR_Inconsistent,""))</f>
        <v/>
      </c>
      <c r="O809" s="1305"/>
      <c r="P809" s="635"/>
      <c r="Q809" s="635"/>
      <c r="R809" s="635"/>
      <c r="S809" s="30"/>
      <c r="T809" s="590" t="str">
        <f>EUconst_CNTR_BiomassContent&amp;E792</f>
        <v>BioC_</v>
      </c>
      <c r="U809" s="488"/>
      <c r="V809" s="570" t="str">
        <f t="shared" si="195"/>
        <v/>
      </c>
      <c r="W809" s="571" t="str">
        <f>IF(COUNTIF(MSPara_SourceStreamCategory,V809)=0,"",INDEX(MSPara_IsFossil,MATCH(V809,MSPara_SourceStreamCategory,0)))</f>
        <v/>
      </c>
      <c r="X809" s="488"/>
      <c r="Y809" s="591" t="str">
        <f>IF(OR(T792=TRUE,E792=""),"",IF(OR(W809=TRUE,F809=EUconst_NA),EUconst_NA,INDEX(EUwideConstants!$N:$N,MATCH(T809,EUwideConstants!$Q:$Q,0))))</f>
        <v/>
      </c>
      <c r="Z809" s="592" t="str">
        <f>IF(ISBLANK(F809),"",IF(F809=EUconst_NA,"",INDEX(EUwideConstants!$H:$M,MATCH(T809,EUwideConstants!$Q:$Q,0),MATCH(F809,CNTR_TierList,0))))</f>
        <v/>
      </c>
      <c r="AA809" s="593" t="str">
        <f>IF(F809=1,1,"")</f>
        <v/>
      </c>
      <c r="AB809" s="30"/>
      <c r="AC809" s="594" t="b">
        <f>AND(AC801,Y809&lt;&gt;EUconst_NA)</f>
        <v>0</v>
      </c>
      <c r="AD809" s="30"/>
      <c r="AE809" s="595"/>
      <c r="AF809" s="596"/>
      <c r="AG809" s="597"/>
      <c r="AH809" s="598"/>
      <c r="AI809" s="598"/>
      <c r="AJ809" s="598"/>
      <c r="AK809" s="599"/>
      <c r="AL809" s="333"/>
      <c r="AM809" s="600" t="str">
        <f>EUconst_CNTR_BiomassContent&amp;EUconst_Value</f>
        <v>BioC_Vertė</v>
      </c>
      <c r="AN809" s="596"/>
      <c r="AO809" s="601" t="str">
        <f>IF(AC809=TRUE,IF(COUNTIF(MSPara_SourceStreamCategory,V809)=0,"",INDEX(MSPara_CalcFactorsMatrix,MATCH(V809,MSPara_SourceStreamCategory,0),MATCH(AM809&amp;"_"&amp;2,MSPara_CalcFactors,0))),"")</f>
        <v/>
      </c>
      <c r="AP809" s="598"/>
      <c r="AQ809" s="602" t="str">
        <f>IF(OR(AA809="",AO809=EUconst_NA),"",AO809)</f>
        <v/>
      </c>
      <c r="AR809" s="594">
        <f>IF(AC809=TRUE,IF(COUNT(K809:L809)=0,0,IF(L809="",K809,L809)),0)</f>
        <v>0</v>
      </c>
      <c r="AS809" s="603" t="b">
        <f>AND(AC809=TRUE,OR(AND(F809&lt;&gt;"",NOT(ISNUMBER(AA809))),L809&lt;&gt;"",F809="",AQ809=""))</f>
        <v>0</v>
      </c>
      <c r="AT809" s="603" t="b">
        <f t="shared" si="191"/>
        <v>0</v>
      </c>
      <c r="AU809" s="30"/>
      <c r="AV809" s="604" t="b">
        <f t="shared" si="192"/>
        <v>0</v>
      </c>
      <c r="AW809" s="605" t="b">
        <f t="shared" si="193"/>
        <v>0</v>
      </c>
      <c r="AX809" s="30"/>
      <c r="AY809" s="570" t="b">
        <f t="shared" si="194"/>
        <v>0</v>
      </c>
      <c r="AZ809" s="571" t="b">
        <f>OR(AR808&gt;100%,(AR808+AR809)&gt;100%)</f>
        <v>0</v>
      </c>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571" t="b">
        <f>OR(BZ801,Y809=EUconst_NA)</f>
        <v>1</v>
      </c>
    </row>
    <row r="810" spans="1:78" s="140" customFormat="1" ht="5.0999999999999996" customHeight="1" x14ac:dyDescent="0.2">
      <c r="A810" s="777"/>
      <c r="B810" s="1248"/>
      <c r="C810" s="164"/>
      <c r="D810" s="178"/>
      <c r="O810" s="1305"/>
      <c r="P810" s="33"/>
      <c r="Q810" s="33"/>
      <c r="R810" s="33"/>
      <c r="S810" s="172"/>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row>
    <row r="811" spans="1:78" s="140" customFormat="1" ht="12.75" customHeight="1" x14ac:dyDescent="0.2">
      <c r="A811" s="777"/>
      <c r="B811" s="1248"/>
      <c r="C811" s="164"/>
      <c r="D811" s="1629" t="str">
        <f>Translations!$B$674</f>
        <v>Pakopos galioja nuo:</v>
      </c>
      <c r="E811" s="1629"/>
      <c r="F811" s="1630"/>
      <c r="G811" s="1014"/>
      <c r="H811" s="606" t="str">
        <f>Translations!$B$675</f>
        <v>iki:</v>
      </c>
      <c r="I811" s="1014"/>
      <c r="J811" s="1620" t="str">
        <f>Translations!$B$676</f>
        <v>Atliekų katalogo numeris (jeigu taikytina):</v>
      </c>
      <c r="K811" s="1621"/>
      <c r="L811" s="1621"/>
      <c r="M811" s="1622"/>
      <c r="N811" s="1232"/>
      <c r="O811" s="1305"/>
      <c r="P811" s="33"/>
      <c r="Q811" s="33"/>
      <c r="R811" s="33"/>
      <c r="S811" s="1233"/>
      <c r="T811" s="483"/>
      <c r="U811" s="483"/>
      <c r="V811" s="48" t="b">
        <f>IF(V801="",FALSE,INDEX(CNTR_IsWaste,MATCH(V801,MSParameters!$A$218:$A$376,0)))</f>
        <v>0</v>
      </c>
      <c r="W811" s="1233" t="s">
        <v>1689</v>
      </c>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2" t="b">
        <f>BZ801</f>
        <v>1</v>
      </c>
    </row>
    <row r="812" spans="1:78" s="140" customFormat="1" ht="5.0999999999999996" customHeight="1" x14ac:dyDescent="0.2">
      <c r="A812" s="777"/>
      <c r="B812" s="1248"/>
      <c r="C812" s="164"/>
      <c r="D812" s="606"/>
      <c r="E812" s="486"/>
      <c r="F812" s="486"/>
      <c r="G812" s="486"/>
      <c r="H812" s="486"/>
      <c r="I812" s="486"/>
      <c r="J812" s="486"/>
      <c r="K812" s="486"/>
      <c r="L812" s="486"/>
      <c r="M812" s="486"/>
      <c r="N812" s="486"/>
      <c r="O812" s="1305"/>
      <c r="P812" s="33"/>
      <c r="Q812" s="33"/>
      <c r="R812" s="33"/>
      <c r="S812" s="172"/>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row>
    <row r="813" spans="1:78" s="140" customFormat="1" ht="12.75" customHeight="1" x14ac:dyDescent="0.2">
      <c r="A813" s="777"/>
      <c r="B813" s="1248"/>
      <c r="C813" s="164"/>
      <c r="D813" s="486"/>
      <c r="E813" s="486"/>
      <c r="F813" s="486"/>
      <c r="G813" s="486"/>
      <c r="H813" s="486"/>
      <c r="I813" s="486"/>
      <c r="J813" s="486"/>
      <c r="K813" s="486"/>
      <c r="L813" s="486"/>
      <c r="M813" s="606" t="str">
        <f>Translations!$B$677</f>
        <v>Stebėsenos plane šiam sukėlikliui suteiktas identifikatorius:</v>
      </c>
      <c r="N813" s="705"/>
      <c r="O813" s="1305"/>
      <c r="P813" s="33"/>
      <c r="Q813" s="33"/>
      <c r="R813" s="33"/>
      <c r="S813" s="172"/>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2" t="b">
        <f>BZ811</f>
        <v>1</v>
      </c>
    </row>
    <row r="814" spans="1:78" s="140" customFormat="1" ht="5.0999999999999996" customHeight="1" x14ac:dyDescent="0.2">
      <c r="A814" s="784"/>
      <c r="B814" s="1316"/>
      <c r="D814" s="178"/>
      <c r="O814" s="1317"/>
      <c r="P814" s="488"/>
      <c r="Q814" s="488"/>
      <c r="R814" s="488"/>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row>
    <row r="815" spans="1:78" s="140" customFormat="1" x14ac:dyDescent="0.2">
      <c r="A815" s="784"/>
      <c r="B815" s="1316"/>
      <c r="D815" s="1618" t="str">
        <f>Translations!$B$160</f>
        <v>Pastabos:</v>
      </c>
      <c r="E815" s="1619"/>
      <c r="F815" s="1605"/>
      <c r="G815" s="1606"/>
      <c r="H815" s="1606"/>
      <c r="I815" s="1606"/>
      <c r="J815" s="1606"/>
      <c r="K815" s="1606"/>
      <c r="L815" s="1606"/>
      <c r="M815" s="1606"/>
      <c r="N815" s="1607"/>
      <c r="O815" s="1317"/>
      <c r="P815" s="488"/>
      <c r="Q815" s="488"/>
      <c r="R815" s="488"/>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2" t="b">
        <f>BZ811</f>
        <v>1</v>
      </c>
    </row>
    <row r="816" spans="1:78" s="28" customFormat="1" ht="12.75" customHeight="1" thickBot="1" x14ac:dyDescent="0.25">
      <c r="A816" s="777"/>
      <c r="B816" s="1312"/>
      <c r="C816" s="490"/>
      <c r="D816" s="491"/>
      <c r="E816" s="492"/>
      <c r="F816" s="490"/>
      <c r="G816" s="493"/>
      <c r="H816" s="493"/>
      <c r="I816" s="493"/>
      <c r="J816" s="493"/>
      <c r="K816" s="493"/>
      <c r="L816" s="493"/>
      <c r="M816" s="493"/>
      <c r="N816" s="493"/>
      <c r="O816" s="1313"/>
      <c r="P816" s="485"/>
      <c r="Q816" s="485"/>
      <c r="R816" s="485"/>
      <c r="S816" s="58"/>
      <c r="T816" s="58"/>
      <c r="U816" s="489"/>
      <c r="V816" s="58"/>
      <c r="W816" s="58"/>
      <c r="X816" s="489"/>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30"/>
      <c r="BJ816" s="30"/>
      <c r="BK816" s="30"/>
      <c r="BL816" s="58"/>
      <c r="BM816" s="58"/>
      <c r="BN816" s="58"/>
      <c r="BO816" s="58"/>
      <c r="BP816" s="58"/>
      <c r="BQ816" s="58"/>
      <c r="BR816" s="58"/>
      <c r="BS816" s="58"/>
      <c r="BT816" s="58"/>
      <c r="BU816" s="58"/>
      <c r="BV816" s="58"/>
      <c r="BW816" s="58"/>
      <c r="BX816" s="58"/>
      <c r="BY816" s="58"/>
      <c r="BZ816" s="58"/>
    </row>
    <row r="817" spans="1:78" s="28" customFormat="1" ht="12.75" customHeight="1" thickBot="1" x14ac:dyDescent="0.25">
      <c r="A817" s="782"/>
      <c r="B817" s="1312"/>
      <c r="C817" s="486"/>
      <c r="D817" s="178"/>
      <c r="E817" s="487"/>
      <c r="F817" s="486"/>
      <c r="G817" s="478"/>
      <c r="H817" s="478"/>
      <c r="I817" s="478"/>
      <c r="J817" s="478"/>
      <c r="K817" s="486"/>
      <c r="L817" s="478"/>
      <c r="M817" s="478"/>
      <c r="N817" s="478"/>
      <c r="O817" s="1313"/>
      <c r="P817" s="485"/>
      <c r="Q817" s="485"/>
      <c r="R817" s="485"/>
      <c r="S817" s="23"/>
      <c r="T817" s="27" t="str">
        <f>IF(ISBLANK(E818),"",MATCH(E818,CNTR_SourceStreamNames,0))</f>
        <v/>
      </c>
      <c r="U817" s="609" t="str">
        <f>IF(ISBLANK(E818),"",INDEX(B_InstallationDescription!$D$71:$D$145,MATCH(E818,CNTR_SourceStreamNames,0)))</f>
        <v/>
      </c>
      <c r="V817" s="76"/>
      <c r="W817" s="56"/>
      <c r="X817" s="56"/>
      <c r="Y817" s="56"/>
      <c r="Z817" s="58"/>
      <c r="AA817" s="58"/>
      <c r="AB817" s="58"/>
      <c r="AC817" s="58"/>
      <c r="AD817" s="58"/>
      <c r="AE817" s="58"/>
      <c r="AF817" s="58"/>
      <c r="AG817" s="58"/>
      <c r="AH817" s="58"/>
      <c r="AI817" s="58"/>
      <c r="AJ817" s="58"/>
      <c r="AK817" s="482"/>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6"/>
      <c r="BI817" s="56"/>
      <c r="BJ817" s="56"/>
      <c r="BK817" s="56"/>
      <c r="BL817" s="56"/>
      <c r="BM817" s="56"/>
      <c r="BN817" s="56"/>
      <c r="BO817" s="56"/>
      <c r="BP817" s="56"/>
      <c r="BQ817" s="56"/>
      <c r="BR817" s="56"/>
      <c r="BS817" s="56"/>
      <c r="BT817" s="56"/>
      <c r="BU817" s="56"/>
      <c r="BV817" s="56"/>
      <c r="BW817" s="56"/>
      <c r="BX817" s="56"/>
      <c r="BY817" s="56"/>
      <c r="BZ817" s="484" t="s">
        <v>259</v>
      </c>
    </row>
    <row r="818" spans="1:78" s="140" customFormat="1" ht="15" customHeight="1" thickBot="1" x14ac:dyDescent="0.25">
      <c r="A818" s="1302" t="str">
        <f>IF(E818="","","PRINT")</f>
        <v/>
      </c>
      <c r="B818" s="1248"/>
      <c r="C818" s="608">
        <f>C791+1</f>
        <v>29</v>
      </c>
      <c r="D818" s="164"/>
      <c r="E818" s="1610"/>
      <c r="F818" s="1611"/>
      <c r="G818" s="1611"/>
      <c r="H818" s="1611"/>
      <c r="I818" s="1611"/>
      <c r="J818" s="1612"/>
      <c r="K818" s="1623" t="str">
        <f>IF(E819="","",INDEX(EUwideConstants!$F$353:$F$394,MATCH(E819,EUConst_TierActivityListNames,0)))</f>
        <v/>
      </c>
      <c r="L818" s="1624"/>
      <c r="M818" s="494" t="str">
        <f>Translations!$B$665</f>
        <v>CO2, iškastinio kuro kilmės:</v>
      </c>
      <c r="N818" s="1012" t="str">
        <f>IF(OR(K818="",T819=TRUE),"",INDEX(BC832:BE832,MATCH(K818,BC828:BE828,0)))</f>
        <v/>
      </c>
      <c r="O818" s="1314" t="s">
        <v>257</v>
      </c>
      <c r="P818" s="1303" t="str">
        <f>IF(AND(E818&lt;&gt;"",COUNTIF(P819:$P$2089,"PRINT")=0),"PRINT","")</f>
        <v/>
      </c>
      <c r="Q818" s="343" t="str">
        <f>EUconst_SumCO2 &amp; "_" &amp; K818</f>
        <v>SUM_CO2_</v>
      </c>
      <c r="R818" s="485"/>
      <c r="S818" s="23"/>
      <c r="T818" s="500" t="s">
        <v>387</v>
      </c>
      <c r="U818" s="23"/>
      <c r="V818" s="76"/>
      <c r="W818" s="56"/>
      <c r="X818" s="58"/>
      <c r="Y818" s="58"/>
      <c r="Z818" s="58"/>
      <c r="AA818" s="58"/>
      <c r="AB818" s="58"/>
      <c r="AC818" s="58"/>
      <c r="AD818" s="58"/>
      <c r="AE818" s="58"/>
      <c r="AF818" s="58"/>
      <c r="AG818" s="58"/>
      <c r="AH818" s="58"/>
      <c r="AI818" s="333"/>
      <c r="AJ818" s="333"/>
      <c r="AK818" s="333"/>
      <c r="AL818" s="333"/>
      <c r="AM818" s="333"/>
      <c r="AN818" s="333"/>
      <c r="AO818" s="333"/>
      <c r="AP818" s="333"/>
      <c r="AQ818" s="333"/>
      <c r="AR818" s="333"/>
      <c r="AS818" s="333"/>
      <c r="AT818" s="333"/>
      <c r="AU818" s="333"/>
      <c r="AV818" s="333"/>
      <c r="AW818" s="333"/>
      <c r="AX818" s="333"/>
      <c r="AY818" s="333"/>
      <c r="AZ818" s="333"/>
      <c r="BA818" s="333"/>
      <c r="BB818" s="333"/>
      <c r="BC818" s="333"/>
      <c r="BD818" s="333"/>
      <c r="BE818" s="333"/>
      <c r="BF818" s="333"/>
      <c r="BG818" s="333"/>
      <c r="BH818" s="834">
        <f>AR828</f>
        <v>0</v>
      </c>
      <c r="BI818" s="834" t="str">
        <f>AJ828</f>
        <v/>
      </c>
      <c r="BJ818" s="834">
        <f>AR830</f>
        <v>0</v>
      </c>
      <c r="BK818" s="834" t="str">
        <f>AJ830</f>
        <v/>
      </c>
      <c r="BL818" s="834">
        <f>AR831</f>
        <v>0</v>
      </c>
      <c r="BM818" s="834" t="str">
        <f>AJ831</f>
        <v/>
      </c>
      <c r="BN818" s="834">
        <f>AR832</f>
        <v>1</v>
      </c>
      <c r="BO818" s="834">
        <f>AR833</f>
        <v>1</v>
      </c>
      <c r="BP818" s="834">
        <f>AR834</f>
        <v>0</v>
      </c>
      <c r="BQ818" s="834" t="str">
        <f>AJ834</f>
        <v/>
      </c>
      <c r="BR818" s="834">
        <f>AR835</f>
        <v>0</v>
      </c>
      <c r="BS818" s="834">
        <f>AR836</f>
        <v>0</v>
      </c>
      <c r="BT818" s="834" t="str">
        <f>N818</f>
        <v/>
      </c>
      <c r="BU818" s="834" t="str">
        <f>N819</f>
        <v/>
      </c>
      <c r="BV818" s="834" t="str">
        <f>R821</f>
        <v/>
      </c>
      <c r="BW818" s="834" t="str">
        <f>R827</f>
        <v/>
      </c>
      <c r="BX818" s="834" t="str">
        <f>R828</f>
        <v/>
      </c>
      <c r="BY818" s="56"/>
      <c r="BZ818" s="610" t="b">
        <f>CNTR_CalcRelevant=EUconst_NotRelevant</f>
        <v>0</v>
      </c>
    </row>
    <row r="819" spans="1:78" s="140" customFormat="1" ht="15" customHeight="1" thickBot="1" x14ac:dyDescent="0.25">
      <c r="A819" s="777"/>
      <c r="B819" s="1248"/>
      <c r="C819" s="164"/>
      <c r="D819" s="164"/>
      <c r="E819" s="1625" t="str">
        <f>IF(ISBLANK(E818),"",IF(INDEX(B_InstallationDescription!$E$71:$E$145,MATCH(U817,B_InstallationDescription!$D$71:$D$145,0))&gt;0,INDEX(B_InstallationDescription!$E$71:$E$145,MATCH(U817,B_InstallationDescription!$D$71:$D$145,0)),""))</f>
        <v/>
      </c>
      <c r="F819" s="1626"/>
      <c r="G819" s="1626"/>
      <c r="H819" s="1626"/>
      <c r="I819" s="1626"/>
      <c r="J819" s="1627"/>
      <c r="M819" s="337" t="str">
        <f>Translations!$B$666</f>
        <v>CO2, biomasės kilmės.:</v>
      </c>
      <c r="N819" s="1013" t="str">
        <f>IF(OR(K818="",T819=TRUE),"",INDEX(BC831:BE831,MATCH(K818,BC828:BE828,0)))</f>
        <v/>
      </c>
      <c r="O819" s="1315" t="s">
        <v>257</v>
      </c>
      <c r="P819" s="485"/>
      <c r="Q819" s="343" t="str">
        <f>EUconst_SumBioCO2 &amp; "_" &amp; K818</f>
        <v>SUM_bioCO2_</v>
      </c>
      <c r="R819" s="485"/>
      <c r="S819" s="23"/>
      <c r="T819" s="48" t="str">
        <f>IF(E819="","",MATCH(E819,EUConst_TierActivityListNames,0)&gt;40)</f>
        <v/>
      </c>
      <c r="U819" s="23"/>
      <c r="V819" s="76"/>
      <c r="W819" s="56"/>
      <c r="X819" s="58"/>
      <c r="Y819" s="27" t="s">
        <v>91</v>
      </c>
      <c r="Z819" s="30"/>
      <c r="AA819" s="30"/>
      <c r="AB819" s="30"/>
      <c r="AC819" s="30"/>
      <c r="AD819" s="30"/>
      <c r="AE819" s="27" t="s">
        <v>297</v>
      </c>
      <c r="AF819" s="58"/>
      <c r="AG819" s="495"/>
      <c r="AH819" s="30"/>
      <c r="AI819" s="30"/>
      <c r="AJ819" s="495"/>
      <c r="AK819" s="495"/>
      <c r="AL819" s="333"/>
      <c r="AM819" s="27" t="s">
        <v>303</v>
      </c>
      <c r="AN819" s="496"/>
      <c r="AO819" s="496"/>
      <c r="AP819" s="30"/>
      <c r="AQ819" s="30"/>
      <c r="AR819" s="30"/>
      <c r="AS819" s="30"/>
      <c r="AT819" s="30"/>
      <c r="AU819" s="30"/>
      <c r="AV819" s="27" t="s">
        <v>310</v>
      </c>
      <c r="AW819" s="30"/>
      <c r="AX819" s="483"/>
      <c r="AY819" s="30"/>
      <c r="AZ819" s="30"/>
      <c r="BA819" s="30"/>
      <c r="BB819" s="27" t="s">
        <v>217</v>
      </c>
      <c r="BC819" s="30"/>
      <c r="BD819" s="30"/>
      <c r="BE819" s="30"/>
      <c r="BF819" s="30"/>
      <c r="BG819" s="27" t="s">
        <v>486</v>
      </c>
      <c r="BH819" s="833" t="s">
        <v>552</v>
      </c>
      <c r="BI819" s="833" t="s">
        <v>487</v>
      </c>
      <c r="BJ819" s="833" t="s">
        <v>211</v>
      </c>
      <c r="BK819" s="833" t="s">
        <v>488</v>
      </c>
      <c r="BL819" s="833" t="s">
        <v>68</v>
      </c>
      <c r="BM819" s="833" t="s">
        <v>489</v>
      </c>
      <c r="BN819" s="833" t="s">
        <v>490</v>
      </c>
      <c r="BO819" s="833" t="s">
        <v>491</v>
      </c>
      <c r="BP819" s="833" t="s">
        <v>214</v>
      </c>
      <c r="BQ819" s="833" t="s">
        <v>492</v>
      </c>
      <c r="BR819" s="833" t="s">
        <v>493</v>
      </c>
      <c r="BS819" s="833" t="s">
        <v>494</v>
      </c>
      <c r="BT819" s="833" t="s">
        <v>287</v>
      </c>
      <c r="BU819" s="833" t="s">
        <v>495</v>
      </c>
      <c r="BV819" s="833" t="s">
        <v>498</v>
      </c>
      <c r="BW819" s="833" t="s">
        <v>496</v>
      </c>
      <c r="BX819" s="833" t="s">
        <v>497</v>
      </c>
      <c r="BY819" s="30"/>
      <c r="BZ819" s="30"/>
    </row>
    <row r="820" spans="1:78" s="140" customFormat="1" ht="5.0999999999999996" customHeight="1" thickBot="1" x14ac:dyDescent="0.25">
      <c r="A820" s="777"/>
      <c r="B820" s="1248"/>
      <c r="C820" s="164"/>
      <c r="D820" s="164"/>
      <c r="E820" s="164"/>
      <c r="F820" s="164"/>
      <c r="G820" s="164"/>
      <c r="M820" s="141"/>
      <c r="N820" s="141"/>
      <c r="O820" s="1305"/>
      <c r="P820" s="33"/>
      <c r="Q820" s="33"/>
      <c r="R820" s="33"/>
      <c r="S820" s="23"/>
      <c r="T820" s="23"/>
      <c r="U820" s="23"/>
      <c r="V820" s="76"/>
      <c r="W820" s="30"/>
      <c r="X820" s="30"/>
      <c r="Y820" s="485"/>
      <c r="Z820" s="30"/>
      <c r="AA820" s="30"/>
      <c r="AB820" s="30"/>
      <c r="AC820" s="30"/>
      <c r="AD820" s="30"/>
      <c r="AE820" s="30"/>
      <c r="AF820" s="58"/>
      <c r="AG820" s="30"/>
      <c r="AH820" s="30"/>
      <c r="AI820" s="30"/>
      <c r="AJ820" s="495"/>
      <c r="AK820" s="495"/>
      <c r="AL820" s="333"/>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row>
    <row r="821" spans="1:78" s="140" customFormat="1" ht="12.75" customHeight="1" thickBot="1" x14ac:dyDescent="0.25">
      <c r="A821" s="777"/>
      <c r="B821" s="1248"/>
      <c r="C821" s="164"/>
      <c r="D821" s="164"/>
      <c r="E821" s="1628" t="str">
        <f>IF(E818="","",IF(T819=TRUE,HYPERLINK("#JUMP_14",EUconst_MsgGoOnPFC),HYPERLINK("#JUMP_E_8",EUconst_FurtherGuidancePoint1)))</f>
        <v/>
      </c>
      <c r="F821" s="1628"/>
      <c r="G821" s="1628"/>
      <c r="H821" s="1628"/>
      <c r="I821" s="1628"/>
      <c r="J821" s="1628"/>
      <c r="K821" s="1628"/>
      <c r="L821" s="1628"/>
      <c r="M821" s="1628"/>
      <c r="N821" s="141"/>
      <c r="O821" s="1305"/>
      <c r="P821" s="33"/>
      <c r="Q821" s="343" t="str">
        <f>EUconst_SumNonSustBioCO2 &amp; "_" &amp; K818</f>
        <v>SUM_bioNonSustCO2_</v>
      </c>
      <c r="R821" s="698" t="str">
        <f>IF(OR(K818="",T819=TRUE),"",ROUND(INDEX(BC830:BE830,MATCH(K818,BC828:BE828,0)),0))</f>
        <v/>
      </c>
      <c r="S821" s="23"/>
      <c r="T821" s="23"/>
      <c r="U821" s="23"/>
      <c r="V821" s="30"/>
      <c r="W821" s="30"/>
      <c r="X821" s="30"/>
      <c r="Y821" s="58"/>
      <c r="Z821" s="30"/>
      <c r="AA821" s="30"/>
      <c r="AB821" s="30"/>
      <c r="AC821" s="30"/>
      <c r="AD821" s="30"/>
      <c r="AE821" s="30"/>
      <c r="AF821" s="58"/>
      <c r="AG821" s="30"/>
      <c r="AH821" s="30"/>
      <c r="AI821" s="30"/>
      <c r="AJ821" s="495"/>
      <c r="AK821" s="495"/>
      <c r="AL821" s="333"/>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row>
    <row r="822" spans="1:78" s="140" customFormat="1" ht="5.0999999999999996" customHeight="1" thickBot="1" x14ac:dyDescent="0.25">
      <c r="A822" s="777"/>
      <c r="B822" s="1248"/>
      <c r="C822" s="164"/>
      <c r="D822" s="164"/>
      <c r="E822" s="164"/>
      <c r="F822" s="164"/>
      <c r="G822" s="164"/>
      <c r="M822" s="141"/>
      <c r="N822" s="141"/>
      <c r="O822" s="1305"/>
      <c r="P822" s="23"/>
      <c r="Q822" s="23"/>
      <c r="R822" s="23"/>
      <c r="S822" s="23"/>
      <c r="T822" s="23"/>
      <c r="U822" s="23"/>
      <c r="V822" s="30"/>
      <c r="W822" s="30"/>
      <c r="X822" s="30"/>
      <c r="Y822" s="485"/>
      <c r="Z822" s="30"/>
      <c r="AA822" s="30"/>
      <c r="AB822" s="30"/>
      <c r="AC822" s="30"/>
      <c r="AD822" s="30"/>
      <c r="AE822" s="30"/>
      <c r="AF822" s="58"/>
      <c r="AG822" s="30"/>
      <c r="AH822" s="30"/>
      <c r="AI822" s="30"/>
      <c r="AJ822" s="495"/>
      <c r="AK822" s="495"/>
      <c r="AL822" s="333"/>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row>
    <row r="823" spans="1:78" s="140" customFormat="1" ht="12.75" customHeight="1" thickBot="1" x14ac:dyDescent="0.25">
      <c r="A823" s="777"/>
      <c r="B823" s="1248"/>
      <c r="C823" s="783" t="s">
        <v>4</v>
      </c>
      <c r="D823" s="503" t="str">
        <f>Translations!$B$622</f>
        <v>VD:</v>
      </c>
      <c r="E823" s="1631" t="str">
        <f>Translations!$B$667</f>
        <v>Ar veiklos duomenys gaunami sudedant išmatuotus kiekius (t. y. ne atliekant nuolatinius matavimus)?</v>
      </c>
      <c r="F823" s="1631"/>
      <c r="G823" s="1631"/>
      <c r="H823" s="1631"/>
      <c r="I823" s="1631"/>
      <c r="J823" s="1631"/>
      <c r="K823" s="1631"/>
      <c r="L823" s="1122"/>
      <c r="M823" s="498"/>
      <c r="O823" s="1305"/>
      <c r="P823" s="23"/>
      <c r="Q823" s="23"/>
      <c r="R823" s="23"/>
      <c r="S823" s="23"/>
      <c r="T823" s="23"/>
      <c r="U823" s="23"/>
      <c r="V823" s="30"/>
      <c r="W823" s="30"/>
      <c r="X823" s="30"/>
      <c r="Y823" s="485"/>
      <c r="Z823" s="30"/>
      <c r="AA823" s="30"/>
      <c r="AB823" s="30"/>
      <c r="AC823" s="1115" t="b">
        <f>AND(E818&lt;&gt;"",T819&lt;&gt;TRUE)</f>
        <v>0</v>
      </c>
      <c r="AD823" s="30"/>
      <c r="AE823" s="30"/>
      <c r="AF823" s="58"/>
      <c r="AG823" s="30"/>
      <c r="AH823" s="30"/>
      <c r="AI823" s="30"/>
      <c r="AJ823" s="495"/>
      <c r="AK823" s="495"/>
      <c r="AL823" s="333"/>
      <c r="AM823" s="30"/>
      <c r="AN823" s="30"/>
      <c r="AO823" s="30"/>
      <c r="AP823" s="30"/>
      <c r="AQ823" s="30"/>
      <c r="AR823" s="30"/>
      <c r="AS823" s="30"/>
      <c r="AT823" s="1115" t="b">
        <f>MSPara_BatchReportingMandatory&lt;&gt;TRUE</f>
        <v>0</v>
      </c>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1115" t="b">
        <f>OR(CNTR_CalcRelevant=EUconst_NotRelevant,AND(COUNTA(CNTR_ListRelevantSections)&gt;0,OR(T819=TRUE,E818="")))</f>
        <v>1</v>
      </c>
    </row>
    <row r="824" spans="1:78" s="140" customFormat="1" ht="5.0999999999999996" customHeight="1" thickBot="1" x14ac:dyDescent="0.25">
      <c r="A824" s="777"/>
      <c r="B824" s="1248"/>
      <c r="C824" s="164"/>
      <c r="D824" s="164"/>
      <c r="E824" s="164"/>
      <c r="F824" s="164"/>
      <c r="G824" s="164"/>
      <c r="H824" s="486"/>
      <c r="I824" s="486"/>
      <c r="J824" s="486"/>
      <c r="K824" s="486"/>
      <c r="L824" s="486"/>
      <c r="M824" s="498"/>
      <c r="O824" s="1305"/>
      <c r="P824" s="23"/>
      <c r="Q824" s="23"/>
      <c r="R824" s="23"/>
      <c r="S824" s="23"/>
      <c r="T824" s="23"/>
      <c r="U824" s="23"/>
      <c r="V824" s="30"/>
      <c r="W824" s="30"/>
      <c r="X824" s="30"/>
      <c r="Y824" s="485"/>
      <c r="Z824" s="30"/>
      <c r="AA824" s="30"/>
      <c r="AB824" s="30"/>
      <c r="AC824" s="483"/>
      <c r="AD824" s="30"/>
      <c r="AE824" s="30"/>
      <c r="AF824" s="58"/>
      <c r="AG824" s="30"/>
      <c r="AH824" s="30"/>
      <c r="AI824" s="30"/>
      <c r="AJ824" s="495"/>
      <c r="AK824" s="495"/>
      <c r="AL824" s="333"/>
      <c r="AM824" s="30"/>
      <c r="AN824" s="30"/>
      <c r="AO824" s="30"/>
      <c r="AP824" s="30"/>
      <c r="AQ824" s="30"/>
      <c r="AR824" s="30"/>
      <c r="AS824" s="30"/>
      <c r="AT824" s="483"/>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483"/>
    </row>
    <row r="825" spans="1:78" s="140" customFormat="1" ht="12.75" customHeight="1" thickBot="1" x14ac:dyDescent="0.25">
      <c r="A825" s="777"/>
      <c r="B825" s="1248"/>
      <c r="C825" s="783" t="s">
        <v>5</v>
      </c>
      <c r="D825" s="503" t="str">
        <f>Translations!$B$622</f>
        <v>VD:</v>
      </c>
      <c r="E825" s="1105" t="str">
        <f>Translations!$B$668</f>
        <v>Pradinis kiekis:</v>
      </c>
      <c r="F825" s="1123"/>
      <c r="G825" s="1106" t="str">
        <f>Translations!$B$669</f>
        <v>Galutinis kiekis:</v>
      </c>
      <c r="H825" s="1123"/>
      <c r="I825" s="1106" t="str">
        <f>Translations!$B$670</f>
        <v>Įsigytas kiekis:</v>
      </c>
      <c r="J825" s="1123"/>
      <c r="K825" s="1106" t="str">
        <f>Translations!$B$671</f>
        <v>Perduotas kiekis:</v>
      </c>
      <c r="L825" s="1123"/>
      <c r="M825" s="1107" t="str">
        <f>IF(AND(L823=TRUE,COUNT(F825,H825,J825,L825)&lt;4),EUconst_ERR_Incomplete,"")</f>
        <v/>
      </c>
      <c r="O825" s="1305"/>
      <c r="P825" s="23"/>
      <c r="Q825" s="23"/>
      <c r="R825" s="23"/>
      <c r="S825" s="23"/>
      <c r="T825" s="23"/>
      <c r="U825" s="23"/>
      <c r="V825" s="30"/>
      <c r="W825" s="30"/>
      <c r="X825" s="30"/>
      <c r="Y825" s="485"/>
      <c r="Z825" s="30"/>
      <c r="AA825" s="30"/>
      <c r="AB825" s="30"/>
      <c r="AC825" s="1115" t="b">
        <f>AC823</f>
        <v>0</v>
      </c>
      <c r="AD825" s="30"/>
      <c r="AE825" s="30"/>
      <c r="AF825" s="58"/>
      <c r="AG825" s="30"/>
      <c r="AH825" s="30"/>
      <c r="AI825" s="30"/>
      <c r="AJ825" s="495"/>
      <c r="AK825" s="495"/>
      <c r="AL825" s="333"/>
      <c r="AM825" s="30"/>
      <c r="AN825" s="30"/>
      <c r="AO825" s="30"/>
      <c r="AP825" s="30"/>
      <c r="AQ825" s="30"/>
      <c r="AR825" s="30"/>
      <c r="AS825" s="30"/>
      <c r="AT825" s="1115" t="b">
        <f>AND(AT823=TRUE,L823="")</f>
        <v>0</v>
      </c>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1115" t="b">
        <f>OR(BZ823,AND(NOT(ISBLANK(L823)),L823=FALSE))</f>
        <v>1</v>
      </c>
    </row>
    <row r="826" spans="1:78" s="140" customFormat="1" ht="5.0999999999999996" customHeight="1" thickBot="1" x14ac:dyDescent="0.25">
      <c r="A826" s="777"/>
      <c r="B826" s="1248"/>
      <c r="C826" s="164"/>
      <c r="D826" s="164"/>
      <c r="E826" s="164"/>
      <c r="F826" s="164"/>
      <c r="G826" s="164"/>
      <c r="M826" s="141"/>
      <c r="N826" s="141"/>
      <c r="O826" s="1305"/>
      <c r="P826" s="23"/>
      <c r="Q826" s="23"/>
      <c r="R826" s="23"/>
      <c r="S826" s="23"/>
      <c r="T826" s="23"/>
      <c r="U826" s="23"/>
      <c r="V826" s="30"/>
      <c r="W826" s="30"/>
      <c r="X826" s="30"/>
      <c r="Y826" s="485"/>
      <c r="Z826" s="30"/>
      <c r="AA826" s="30"/>
      <c r="AB826" s="30"/>
      <c r="AC826" s="30"/>
      <c r="AD826" s="30"/>
      <c r="AE826" s="30"/>
      <c r="AF826" s="58"/>
      <c r="AG826" s="30"/>
      <c r="AH826" s="30"/>
      <c r="AI826" s="30"/>
      <c r="AJ826" s="495"/>
      <c r="AK826" s="495"/>
      <c r="AL826" s="333"/>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row>
    <row r="827" spans="1:78" s="140" customFormat="1" ht="12.75" customHeight="1" thickBot="1" x14ac:dyDescent="0.25">
      <c r="A827" s="777"/>
      <c r="B827" s="1248"/>
      <c r="C827" s="164"/>
      <c r="D827" s="164"/>
      <c r="E827" s="164"/>
      <c r="F827" s="497" t="str">
        <f>Translations!$B$333</f>
        <v>Pakopa</v>
      </c>
      <c r="G827" s="1613" t="str">
        <f>Translations!$B$672</f>
        <v>pakopos aprašas</v>
      </c>
      <c r="H827" s="1613"/>
      <c r="I827" s="1608" t="str">
        <f>Translations!$B$158</f>
        <v>Vienetas</v>
      </c>
      <c r="J827" s="1608"/>
      <c r="K827" s="1608" t="str">
        <f>Translations!$B$673</f>
        <v>Vertė</v>
      </c>
      <c r="L827" s="1608"/>
      <c r="M827" s="498" t="str">
        <f>Translations!$B$610</f>
        <v>klaida</v>
      </c>
      <c r="O827" s="1305"/>
      <c r="P827" s="499"/>
      <c r="Q827" s="343" t="str">
        <f>EUconst_SumEnergyIN &amp; "_" &amp; K818</f>
        <v>SUM_EnergyIN_</v>
      </c>
      <c r="R827" s="390" t="str">
        <f>IF(OR(K818="",T819)=TRUE,"",INDEX(BC833:BE833,MATCH(K818,BC828:BE828,0)))</f>
        <v/>
      </c>
      <c r="S827" s="30"/>
      <c r="T827" s="480"/>
      <c r="U827" s="30"/>
      <c r="V827" s="500" t="s">
        <v>298</v>
      </c>
      <c r="W827" s="30"/>
      <c r="X827" s="30"/>
      <c r="Y827" s="485" t="s">
        <v>560</v>
      </c>
      <c r="Z827" s="485" t="s">
        <v>313</v>
      </c>
      <c r="AA827" s="30"/>
      <c r="AB827" s="30"/>
      <c r="AC827" s="496" t="s">
        <v>304</v>
      </c>
      <c r="AD827" s="30"/>
      <c r="AE827" s="30"/>
      <c r="AF827" s="483" t="s">
        <v>300</v>
      </c>
      <c r="AG827" s="483" t="s">
        <v>301</v>
      </c>
      <c r="AH827" s="485" t="s">
        <v>299</v>
      </c>
      <c r="AI827" s="495" t="s">
        <v>302</v>
      </c>
      <c r="AJ827" s="495" t="s">
        <v>561</v>
      </c>
      <c r="AK827" s="501" t="s">
        <v>306</v>
      </c>
      <c r="AL827" s="333"/>
      <c r="AM827" s="30"/>
      <c r="AN827" s="483" t="s">
        <v>300</v>
      </c>
      <c r="AO827" s="483" t="s">
        <v>301</v>
      </c>
      <c r="AP827" s="502" t="s">
        <v>305</v>
      </c>
      <c r="AQ827" s="495" t="s">
        <v>563</v>
      </c>
      <c r="AR827" s="495" t="s">
        <v>562</v>
      </c>
      <c r="AS827" s="501" t="s">
        <v>599</v>
      </c>
      <c r="AT827" s="501" t="s">
        <v>599</v>
      </c>
      <c r="AU827" s="30"/>
      <c r="AV827" s="483"/>
      <c r="AW827" s="483"/>
      <c r="AX827" s="483" t="s">
        <v>316</v>
      </c>
      <c r="AY827" s="483"/>
      <c r="AZ827" s="483"/>
      <c r="BA827" s="483"/>
      <c r="BB827" s="483"/>
      <c r="BC827" s="483"/>
      <c r="BD827" s="483"/>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484" t="s">
        <v>259</v>
      </c>
    </row>
    <row r="828" spans="1:78" s="140" customFormat="1" ht="12.75" customHeight="1" thickBot="1" x14ac:dyDescent="0.25">
      <c r="A828" s="777"/>
      <c r="B828" s="1248"/>
      <c r="C828" s="753" t="s">
        <v>194</v>
      </c>
      <c r="D828" s="503" t="str">
        <f>Translations!$B$622</f>
        <v>VD:</v>
      </c>
      <c r="E828" s="504"/>
      <c r="F828" s="393"/>
      <c r="G828" s="1603" t="str">
        <f>IF(OR(ISBLANK(F828),F828=EUconst_NoTier),"",IF(Z828=0,EUconst_NA,IF(ISERROR(Z828),"",Z828)))</f>
        <v/>
      </c>
      <c r="H828" s="1604"/>
      <c r="I828" s="1108" t="str">
        <f>IF(J828&lt;&gt;"","",AI828)</f>
        <v/>
      </c>
      <c r="J828" s="1109"/>
      <c r="K828" s="1116" t="str">
        <f>IF(L828="",AQ828,"")</f>
        <v/>
      </c>
      <c r="L828" s="1199"/>
      <c r="M828" s="700" t="str">
        <f>IF(AND(E819&lt;&gt;"",OR(F828="",COUNT(K828:L828)=0),Y828&lt;&gt;EUconst_NA,T819&lt;&gt;TRUE),EUconst_ERR_Incomplete,IF(COUNTIF(AX828:AZ828,TRUE)&gt;0,EUconst_ERR_Inconsistent,""))</f>
        <v/>
      </c>
      <c r="O828" s="1305"/>
      <c r="P828" s="635"/>
      <c r="Q828" s="343" t="str">
        <f>EUconst_SumBioEnergyIN &amp; "_" &amp; K818</f>
        <v>SUM_BioEnergyIN_</v>
      </c>
      <c r="R828" s="390" t="str">
        <f>IF(OR(K818="",T819)=TRUE,"",INDEX(BC834:BE834,MATCH(K818,BC828:BE828,0)))</f>
        <v/>
      </c>
      <c r="S828" s="30"/>
      <c r="T828" s="505" t="str">
        <f>EUconst_CNTR_ActivityData&amp;E819</f>
        <v>ActivityData_</v>
      </c>
      <c r="U828" s="488"/>
      <c r="V828" s="505" t="str">
        <f>IF(E818="","",INDEX(B_InstallationDescription!$I$71:$I$145,MATCH(U817,B_InstallationDescription!$D$71:$D$145,0)))</f>
        <v/>
      </c>
      <c r="W828" s="495" t="s">
        <v>533</v>
      </c>
      <c r="X828" s="488"/>
      <c r="Y828" s="506" t="str">
        <f>IF(OR(T819=TRUE,E819=""),"",INDEX(EUwideConstants!$N:$N,MATCH(T828,EUwideConstants!$Q:$Q,0)))</f>
        <v/>
      </c>
      <c r="Z828" s="507" t="str">
        <f>IF(ISBLANK(F828),"",IF(F828=EUconst_NA,"",INDEX(EUwideConstants!$H:$M,MATCH(T828,EUwideConstants!$Q:$Q,0),MATCH(F828,CNTR_TierList,0))))</f>
        <v/>
      </c>
      <c r="AA828" s="508" t="s">
        <v>299</v>
      </c>
      <c r="AB828" s="495"/>
      <c r="AC828" s="509" t="b">
        <f>AC823</f>
        <v>0</v>
      </c>
      <c r="AD828" s="30"/>
      <c r="AE828" s="510" t="str">
        <f>EUconst_CNTR_ActivityData&amp;EUconst_Unit</f>
        <v>ActivityData_Vienetas</v>
      </c>
      <c r="AF828" s="511" t="str">
        <f>IF(AC828=TRUE, IF(COUNTIF(MSPara_SourceStreamCategory,V828)=0,"",INDEX(MSPara_CalcFactorsMatrix,MATCH(V828,MSPara_SourceStreamCategory,0),MATCH(AE828&amp;"_"&amp;2,MSPara_CalcFactors,0))),"")</f>
        <v/>
      </c>
      <c r="AG828" s="512" t="str">
        <f>IF(AC828=TRUE, IF(COUNTIF(MSPara_SourceStreamCategory,V828)=0,"",INDEX(MSPara_CalcFactorsMatrix,MATCH(V828,MSPara_SourceStreamCategory,0),MATCH(AE828&amp;"_"&amp;1,MSPara_CalcFactors,0))),"")</f>
        <v/>
      </c>
      <c r="AH828" s="509" t="str">
        <f>IF(OR(AF828="",AF828=EUconst_NA),IF(OR(AG828=EUconst_NA,AG828=""),"",AG828),AF828)</f>
        <v/>
      </c>
      <c r="AI828" s="506" t="str">
        <f>IF(AC828=TRUE,IF(AH828="",EUconst_t,AH828),"")</f>
        <v/>
      </c>
      <c r="AJ828" s="513" t="str">
        <f>IF(J828="",AI828,J828)</f>
        <v/>
      </c>
      <c r="AK828" s="514" t="b">
        <f>IF(K818=EUconst_Fuel,J828&lt;&gt;"",FALSE)</f>
        <v>0</v>
      </c>
      <c r="AL828" s="333"/>
      <c r="AM828" s="505" t="str">
        <f>EUconst_CNTR_ActivityData&amp;EUconst_Value</f>
        <v>ActivityData_Vertė</v>
      </c>
      <c r="AN828" s="496"/>
      <c r="AO828" s="496"/>
      <c r="AP828" s="509" t="b">
        <f>AND(AND(AH828&lt;&gt;"",AJ828&lt;&gt;""),AJ828=AH828)</f>
        <v>0</v>
      </c>
      <c r="AQ828" s="610" t="str">
        <f>IF(L823=TRUE,SUM(F825)-SUM(H825)+SUM(J825)-SUM(L825),"")</f>
        <v/>
      </c>
      <c r="AR828" s="509">
        <f>IF(Y828=EUconst_NA,0,IF(COUNT(K828:L828)=0,0,IF(L828="",K828,L828)))</f>
        <v>0</v>
      </c>
      <c r="AS828" s="1115" t="b">
        <f>AND(AC828=TRUE,OR(L828&lt;&gt;"",AQ828=""))</f>
        <v>0</v>
      </c>
      <c r="AT828" s="1115" t="b">
        <f>AND(AC828=TRUE,NOT(AS828))</f>
        <v>0</v>
      </c>
      <c r="AU828" s="30"/>
      <c r="AV828" s="483" t="s">
        <v>309</v>
      </c>
      <c r="AW828" s="483" t="s">
        <v>314</v>
      </c>
      <c r="AX828" s="515"/>
      <c r="AY828" s="30" t="s">
        <v>536</v>
      </c>
      <c r="AZ828" s="30"/>
      <c r="BA828" s="30"/>
      <c r="BB828" s="495"/>
      <c r="BC828" s="484" t="str">
        <f>EUconst_Fuel</f>
        <v>Degimas</v>
      </c>
      <c r="BD828" s="484" t="str">
        <f>EUconst_ProcessCarbonate</f>
        <v>Proceso metu išsiskiriančios ŠESD</v>
      </c>
      <c r="BE828" s="484" t="str">
        <f>EUconst_MassBalance</f>
        <v>Masės balansas</v>
      </c>
      <c r="BF828" s="30"/>
      <c r="BG828" s="30"/>
      <c r="BH828" s="30"/>
      <c r="BI828" s="30"/>
      <c r="BJ828" s="30"/>
      <c r="BK828" s="30"/>
      <c r="BL828" s="30"/>
      <c r="BM828" s="30"/>
      <c r="BN828" s="30"/>
      <c r="BO828" s="30"/>
      <c r="BP828" s="30"/>
      <c r="BQ828" s="30"/>
      <c r="BR828" s="30"/>
      <c r="BS828" s="30"/>
      <c r="BT828" s="30"/>
      <c r="BU828" s="30"/>
      <c r="BV828" s="30"/>
      <c r="BW828" s="30"/>
      <c r="BX828" s="30"/>
      <c r="BY828" s="30"/>
      <c r="BZ828" s="515" t="b">
        <f>BZ823</f>
        <v>1</v>
      </c>
    </row>
    <row r="829" spans="1:78" s="140" customFormat="1" ht="5.0999999999999996" customHeight="1" thickBot="1" x14ac:dyDescent="0.25">
      <c r="A829" s="777"/>
      <c r="B829" s="1248"/>
      <c r="C829" s="783"/>
      <c r="D829" s="298"/>
      <c r="F829" s="141"/>
      <c r="G829" s="141"/>
      <c r="H829" s="141" t="s">
        <v>233</v>
      </c>
      <c r="I829" s="516"/>
      <c r="J829" s="516"/>
      <c r="K829" s="141"/>
      <c r="L829" s="141"/>
      <c r="M829" s="701"/>
      <c r="O829" s="1305"/>
      <c r="P829" s="33"/>
      <c r="Q829" s="33"/>
      <c r="R829" s="33"/>
      <c r="S829" s="30"/>
      <c r="T829" s="153"/>
      <c r="U829" s="488"/>
      <c r="V829" s="30"/>
      <c r="W829" s="30"/>
      <c r="X829" s="488"/>
      <c r="Y829" s="517"/>
      <c r="Z829" s="30"/>
      <c r="AA829" s="30"/>
      <c r="AB829" s="30"/>
      <c r="AC829" s="30"/>
      <c r="AD829" s="30"/>
      <c r="AE829" s="30"/>
      <c r="AF829" s="30"/>
      <c r="AG829" s="30"/>
      <c r="AH829" s="30"/>
      <c r="AI829" s="30"/>
      <c r="AJ829" s="30"/>
      <c r="AK829" s="30"/>
      <c r="AL829" s="333"/>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484"/>
    </row>
    <row r="830" spans="1:78" s="140" customFormat="1" ht="12.75" customHeight="1" thickBot="1" x14ac:dyDescent="0.25">
      <c r="A830" s="777"/>
      <c r="B830" s="1248"/>
      <c r="C830" s="783" t="s">
        <v>195</v>
      </c>
      <c r="D830" s="503" t="str">
        <f>Translations!$B$634</f>
        <v>(prelim.) ITF:</v>
      </c>
      <c r="E830" s="504"/>
      <c r="F830" s="518"/>
      <c r="G830" s="1603" t="str">
        <f t="shared" ref="G830:G836" si="196">IF(OR(ISBLANK(F830),F830=EUconst_NoTier),"",IF(Z830=0,EUconst_NotApplicable,IF(ISERROR(Z830),"",Z830)))</f>
        <v/>
      </c>
      <c r="H830" s="1609"/>
      <c r="I830" s="1110" t="str">
        <f>IF(J830&lt;&gt;"","",AI830)</f>
        <v/>
      </c>
      <c r="J830" s="1111"/>
      <c r="K830" s="519" t="str">
        <f t="shared" ref="K830:K836" si="197">IF(L830="",AQ830,"")</f>
        <v/>
      </c>
      <c r="L830" s="520"/>
      <c r="M830" s="700" t="str">
        <f>IF(AND(E819&lt;&gt;"",OR(F830="",COUNT(K830:L830)=0),Y830&lt;&gt;EUconst_NA,T819&lt;&gt;TRUE),EUconst_ERR_Incomplete,IF(COUNTIF(AX830:AZ830,TRUE)&gt;0,EUconst_ERR_Inconsistent,""))</f>
        <v/>
      </c>
      <c r="N830" s="486"/>
      <c r="O830" s="1305"/>
      <c r="P830" s="33"/>
      <c r="Q830" s="33"/>
      <c r="R830" s="33"/>
      <c r="S830" s="30"/>
      <c r="T830" s="521" t="str">
        <f>EUconst_CNTR_EF&amp;E819</f>
        <v>EF_</v>
      </c>
      <c r="U830" s="488"/>
      <c r="V830" s="522" t="str">
        <f>V828</f>
        <v/>
      </c>
      <c r="W830" s="30"/>
      <c r="X830" s="488"/>
      <c r="Y830" s="523" t="str">
        <f>IF(OR(T819=TRUE,E819=""),"",IF(F830=EUconst_NA,EUconst_NA,INDEX(EUwideConstants!$N:$N,MATCH(T830,EUwideConstants!$Q:$Q,0))))</f>
        <v/>
      </c>
      <c r="Z830" s="524" t="str">
        <f>IF(ISBLANK(F830),"",IF(F830=EUconst_NA,"",INDEX(EUwideConstants!$H:$M,MATCH(T830,EUwideConstants!$Q:$Q,0),MATCH(F830,CNTR_TierList,0))))</f>
        <v/>
      </c>
      <c r="AA830" s="525" t="str">
        <f>IF(COUNTIF(EUconst_DefaultValues,Z830)&gt;0,MATCH(Z830,EUconst_DefaultValues,0),"")</f>
        <v/>
      </c>
      <c r="AB830" s="30"/>
      <c r="AC830" s="526" t="b">
        <f>AND(AC828,Y830&lt;&gt;EUconst_NA)</f>
        <v>0</v>
      </c>
      <c r="AD830" s="30"/>
      <c r="AE830" s="510" t="str">
        <f>EUconst_CNTR_EF&amp;EUconst_Unit</f>
        <v>EF_Vienetas</v>
      </c>
      <c r="AF830" s="527" t="str">
        <f>IF(AC830=TRUE, IF(COUNTIF(MSPara_SourceStreamCategory,V830)=0,"",INDEX(MSPara_CalcFactorsMatrix,MATCH(V830,MSPara_SourceStreamCategory,0),MATCH(AE830&amp;"_"&amp;2,MSPara_CalcFactors,0))),"")</f>
        <v/>
      </c>
      <c r="AG830" s="528" t="str">
        <f>IF(AC830=TRUE, IF(COUNTIF(MSPara_SourceStreamCategory,V830)=0,"",INDEX(MSPara_CalcFactorsMatrix,MATCH(V830,MSPara_SourceStreamCategory,0),MATCH(AE830&amp;"_"&amp;1,MSPara_CalcFactors,0))),"")</f>
        <v/>
      </c>
      <c r="AH830" s="529" t="str">
        <f>IF(AA830="","",INDEX(AF830:AG830,3-AA830))</f>
        <v/>
      </c>
      <c r="AI830" s="530" t="str">
        <f>IF(AC830=TRUE,IF(OR(AH830="",AH830=EUconst_NA),IF(K818=EUconst_Fuel,EUconst_tCO2pTJ,EUconst_tCO2pt),AH830),"")</f>
        <v/>
      </c>
      <c r="AJ830" s="526" t="str">
        <f>IF(J830="",AI830,J830)</f>
        <v/>
      </c>
      <c r="AK830" s="531" t="b">
        <f>IF(K818=EUconst_Fuel,J830&lt;&gt;"",FALSE)</f>
        <v>0</v>
      </c>
      <c r="AL830" s="333"/>
      <c r="AM830" s="510" t="str">
        <f>EUconst_CNTR_EF&amp;EUconst_Value</f>
        <v>EF_Vertė</v>
      </c>
      <c r="AN830" s="532" t="str">
        <f>IF(AC830=TRUE,IF(COUNTIF(MSPara_SourceStreamCategory,V830)=0,"",INDEX(MSPara_CalcFactorsMatrix,MATCH(V830,MSPara_SourceStreamCategory,0),MATCH(AM830&amp;"_"&amp;2,MSPara_CalcFactors,0))),"")</f>
        <v/>
      </c>
      <c r="AO830" s="533" t="str">
        <f>IF(AC830=TRUE,IF(COUNTIF(MSPara_SourceStreamCategory,V830)=0,"",INDEX(MSPara_CalcFactorsMatrix,MATCH(V830,MSPara_SourceStreamCategory,0),MATCH(AM830&amp;"_"&amp;1,MSPara_CalcFactors,0))),"")</f>
        <v/>
      </c>
      <c r="AP830" s="526" t="b">
        <f>AND(AND(AH830&lt;&gt;"",AJ830&lt;&gt;""),AJ830=AH830)</f>
        <v>0</v>
      </c>
      <c r="AQ830" s="534" t="str">
        <f>IF(AND(AA830&lt;&gt;"",AP830=TRUE),IF(OR(INDEX(AN830:AO830,3-AA830)=EUconst_NA,INDEX(AN830:AO830,3-AA830)=0),"",INDEX(AN830:AO830,3-AA830)),"")</f>
        <v/>
      </c>
      <c r="AR830" s="526">
        <f>IF(AC830=TRUE,IF(COUNT(K830:L830)=0,0,IF(L830="",K830,L830)),0)</f>
        <v>0</v>
      </c>
      <c r="AS830" s="522" t="b">
        <f>AND(AC830=TRUE,OR(AND(F830&lt;&gt;"",NOT(ISNUMBER(AA830))),L830&lt;&gt;"",F830="",AQ830=""))</f>
        <v>0</v>
      </c>
      <c r="AT830" s="522" t="b">
        <f t="shared" ref="AT830:AT836" si="198">AND(AC830=TRUE,NOT(AS830))</f>
        <v>0</v>
      </c>
      <c r="AU830" s="30"/>
      <c r="AV830" s="535" t="b">
        <f t="shared" ref="AV830:AV836" si="199">AND(ISNUMBER(AA830),AQ830="")</f>
        <v>0</v>
      </c>
      <c r="AW830" s="536" t="b">
        <f t="shared" ref="AW830:AW836" si="200">AND(ISNUMBER(AA830),AQ830&lt;&gt;AR830)</f>
        <v>0</v>
      </c>
      <c r="AX830" s="537" t="b">
        <f>OR(AND(AJ828=EUconst_kNm3,AJ830=EUconst_tCO2pt),AND(AJ828=EUconst_t,AJ830=EUconst_tCO2pkNm3))</f>
        <v>0</v>
      </c>
      <c r="AY830" s="522" t="b">
        <f t="shared" ref="AY830:AY836" si="201">AND(L830&lt;&gt;"",Y830=EUconst_NA)</f>
        <v>0</v>
      </c>
      <c r="AZ830" s="30"/>
      <c r="BA830" s="30"/>
      <c r="BB830" s="538" t="s">
        <v>588</v>
      </c>
      <c r="BC830" s="537" t="str">
        <f>IF(K818=BC828,AR828*IF(AJ830=EUconst_tCO2pTJ,(AR831/1000),1)*AR830*AR832*AR836,"")</f>
        <v/>
      </c>
      <c r="BD830" s="515" t="str">
        <f>IF(K818=BD828,AR828*AR830*AR833*AR836,"")</f>
        <v/>
      </c>
      <c r="BE830" s="514" t="str">
        <f>IF(K818=BE828,3.664*AR828*AR834*AR836,"")</f>
        <v/>
      </c>
      <c r="BF830" s="30"/>
      <c r="BG830" s="30"/>
      <c r="BH830" s="30"/>
      <c r="BI830" s="30"/>
      <c r="BJ830" s="30"/>
      <c r="BK830" s="30"/>
      <c r="BL830" s="30"/>
      <c r="BM830" s="30"/>
      <c r="BN830" s="30"/>
      <c r="BO830" s="30"/>
      <c r="BP830" s="30"/>
      <c r="BQ830" s="30"/>
      <c r="BR830" s="30"/>
      <c r="BS830" s="30"/>
      <c r="BT830" s="30"/>
      <c r="BU830" s="30"/>
      <c r="BV830" s="30"/>
      <c r="BW830" s="30"/>
      <c r="BX830" s="30"/>
      <c r="BY830" s="30"/>
      <c r="BZ830" s="522" t="b">
        <f>OR(BZ828,Y830=EUconst_NA)</f>
        <v>1</v>
      </c>
    </row>
    <row r="831" spans="1:78" s="140" customFormat="1" ht="12.75" customHeight="1" thickBot="1" x14ac:dyDescent="0.25">
      <c r="A831" s="777"/>
      <c r="B831" s="1248"/>
      <c r="C831" s="783" t="s">
        <v>196</v>
      </c>
      <c r="D831" s="503" t="str">
        <f>Translations!$B$636</f>
        <v>GŠV:</v>
      </c>
      <c r="E831" s="504"/>
      <c r="F831" s="539"/>
      <c r="G831" s="1603" t="str">
        <f t="shared" si="196"/>
        <v/>
      </c>
      <c r="H831" s="1604"/>
      <c r="I831" s="1112" t="str">
        <f>AJ831</f>
        <v/>
      </c>
      <c r="J831" s="540"/>
      <c r="K831" s="541" t="str">
        <f t="shared" si="197"/>
        <v/>
      </c>
      <c r="L831" s="542"/>
      <c r="M831" s="700" t="str">
        <f>IF(AND(E819&lt;&gt;"",OR(F831="",COUNT(K831:L831)=0),Y831&lt;&gt;EUconst_NA,T819&lt;&gt;TRUE),EUconst_ERR_Incomplete,IF(COUNTIF(AX831:AZ831,TRUE)&gt;0,EUconst_ERR_Inconsistent,""))</f>
        <v/>
      </c>
      <c r="O831" s="1305"/>
      <c r="P831" s="33"/>
      <c r="Q831" s="33"/>
      <c r="R831" s="33"/>
      <c r="S831" s="30"/>
      <c r="T831" s="543" t="str">
        <f>EUconst_CNTR_NCV&amp;E819</f>
        <v>NCV_</v>
      </c>
      <c r="U831" s="488"/>
      <c r="V831" s="544" t="str">
        <f t="shared" ref="V831:V836" si="202">V830</f>
        <v/>
      </c>
      <c r="W831" s="30"/>
      <c r="X831" s="488"/>
      <c r="Y831" s="545" t="str">
        <f>IF(OR(T819=TRUE,E819=""),"",IF(F831=EUconst_NA,EUconst_NA,INDEX(EUwideConstants!$N:$N,MATCH(T831,EUwideConstants!$Q:$Q,0))))</f>
        <v/>
      </c>
      <c r="Z831" s="546" t="str">
        <f>IF(ISBLANK(F831),"",IF(F831=EUconst_NA,"",INDEX(EUwideConstants!$H:$M,MATCH(T831,EUwideConstants!$Q:$Q,0),MATCH(F831,CNTR_TierList,0))))</f>
        <v/>
      </c>
      <c r="AA831" s="547" t="str">
        <f>IF(COUNTIF(EUconst_DefaultValues,Z831)&gt;0,MATCH(Z831,EUconst_DefaultValues,0),"")</f>
        <v/>
      </c>
      <c r="AB831" s="30"/>
      <c r="AC831" s="548" t="b">
        <f>AND(AC828,Y831&lt;&gt;EUconst_NA)</f>
        <v>0</v>
      </c>
      <c r="AD831" s="30"/>
      <c r="AE831" s="549" t="str">
        <f>EUconst_CNTR_NCV&amp;EUconst_Unit</f>
        <v>NCV_Vienetas</v>
      </c>
      <c r="AF831" s="550" t="str">
        <f>IF(AC831=TRUE, IF(COUNTIF(MSPara_SourceStreamCategory,V831)=0,"",INDEX(MSPara_CalcFactorsMatrix,MATCH(V831,MSPara_SourceStreamCategory,0),MATCH(AE831&amp;"_"&amp;2,MSPara_CalcFactors,0))),"")</f>
        <v/>
      </c>
      <c r="AG831" s="551" t="str">
        <f>IF(AC831=TRUE, IF(COUNTIF(MSPara_SourceStreamCategory,V831)=0,"",INDEX(MSPara_CalcFactorsMatrix,MATCH(V831,MSPara_SourceStreamCategory,0),MATCH(AE831&amp;"_"&amp;1,MSPara_CalcFactors,0))),"")</f>
        <v/>
      </c>
      <c r="AH831" s="552" t="str">
        <f>IF(AA831="","",INDEX(AF831:AG831,3-AA831))</f>
        <v/>
      </c>
      <c r="AI831" s="553"/>
      <c r="AJ831" s="548" t="str">
        <f>IF(AC831=TRUE,IF(AJ828="","",IF(AJ828=EUconst_kNm3,EUconst_GJpkNm3,EUconst_GJpt)),"")</f>
        <v/>
      </c>
      <c r="AK831" s="554"/>
      <c r="AL831" s="333"/>
      <c r="AM831" s="549" t="str">
        <f>EUconst_CNTR_NCV&amp;EUconst_Value</f>
        <v>NCV_Vertė</v>
      </c>
      <c r="AN831" s="555" t="str">
        <f>IF(AC831=TRUE,IF(COUNTIF(MSPara_SourceStreamCategory,V831)=0,"",INDEX(MSPara_CalcFactorsMatrix,MATCH(V831,MSPara_SourceStreamCategory,0),MATCH(AM831&amp;"_"&amp;2,MSPara_CalcFactors,0))),"")</f>
        <v/>
      </c>
      <c r="AO831" s="556" t="str">
        <f>IF(AC831=TRUE,IF(COUNTIF(MSPara_SourceStreamCategory,V831)=0,"",INDEX(MSPara_CalcFactorsMatrix,MATCH(V831,MSPara_SourceStreamCategory,0),MATCH(AM831&amp;"_"&amp;1,MSPara_CalcFactors,0))),"")</f>
        <v/>
      </c>
      <c r="AP831" s="548" t="b">
        <f>AND(AND(AH831&lt;&gt;"",AJ831&lt;&gt;""),AJ831=AH831)</f>
        <v>0</v>
      </c>
      <c r="AQ831" s="557" t="str">
        <f>IF(AND(AA831&lt;&gt;"",AP831=TRUE),IF(OR(INDEX(AN831:AO831,3-AA831)=EUconst_NA,INDEX(AN831:AO831,3-AA831)=0),"",INDEX(AN831:AO831,3-AA831)),"")</f>
        <v/>
      </c>
      <c r="AR831" s="548">
        <f>IF(AC831=TRUE,IF(COUNT(K831:L831)=0,0,IF(L831="",K831,L831)),0)</f>
        <v>0</v>
      </c>
      <c r="AS831" s="544" t="b">
        <f>AND(AC831=TRUE,OR(AND(F831&lt;&gt;"",NOT(ISNUMBER(AA831))),L831&lt;&gt;"",F831="",AQ831=""))</f>
        <v>0</v>
      </c>
      <c r="AT831" s="544" t="b">
        <f t="shared" si="198"/>
        <v>0</v>
      </c>
      <c r="AU831" s="30"/>
      <c r="AV831" s="558" t="b">
        <f t="shared" si="199"/>
        <v>0</v>
      </c>
      <c r="AW831" s="559" t="b">
        <f t="shared" si="200"/>
        <v>0</v>
      </c>
      <c r="AX831" s="30"/>
      <c r="AY831" s="544" t="b">
        <f t="shared" si="201"/>
        <v>0</v>
      </c>
      <c r="AZ831" s="30"/>
      <c r="BA831" s="30"/>
      <c r="BB831" s="538" t="s">
        <v>589</v>
      </c>
      <c r="BC831" s="537" t="str">
        <f>IF(K818=BC828,AR828*IF(AJ830=EUconst_tCO2pTJ,(AR831/1000),1)*AR830*AR832*AR835,"")</f>
        <v/>
      </c>
      <c r="BD831" s="515" t="str">
        <f>IF(K818=BD828,AR828*AR830*AR833*AR835,"")</f>
        <v/>
      </c>
      <c r="BE831" s="514" t="str">
        <f>IF(K818=BE828,3.664*AR828*AR834*AR835,"")</f>
        <v/>
      </c>
      <c r="BF831" s="30"/>
      <c r="BG831" s="30"/>
      <c r="BH831" s="30"/>
      <c r="BI831" s="30"/>
      <c r="BJ831" s="30"/>
      <c r="BK831" s="30"/>
      <c r="BL831" s="30"/>
      <c r="BM831" s="30"/>
      <c r="BN831" s="30"/>
      <c r="BO831" s="30"/>
      <c r="BP831" s="30"/>
      <c r="BQ831" s="30"/>
      <c r="BR831" s="30"/>
      <c r="BS831" s="30"/>
      <c r="BT831" s="30"/>
      <c r="BU831" s="30"/>
      <c r="BV831" s="30"/>
      <c r="BW831" s="30"/>
      <c r="BX831" s="30"/>
      <c r="BY831" s="30"/>
      <c r="BZ831" s="544" t="b">
        <f>OR(BZ828,Y831=EUconst_NA)</f>
        <v>1</v>
      </c>
    </row>
    <row r="832" spans="1:78" s="140" customFormat="1" ht="12.75" customHeight="1" thickBot="1" x14ac:dyDescent="0.25">
      <c r="A832" s="777"/>
      <c r="B832" s="1248"/>
      <c r="C832" s="783" t="s">
        <v>197</v>
      </c>
      <c r="D832" s="503" t="str">
        <f>Translations!$B$638</f>
        <v>Oksidacijos koef.:</v>
      </c>
      <c r="E832" s="504"/>
      <c r="F832" s="539"/>
      <c r="G832" s="1603" t="str">
        <f t="shared" si="196"/>
        <v/>
      </c>
      <c r="H832" s="1604"/>
      <c r="I832" s="1113" t="str">
        <f>IF(OR(AC832=FALSE,Y832=EUconst_NA),"","-")</f>
        <v/>
      </c>
      <c r="J832" s="560"/>
      <c r="K832" s="561" t="str">
        <f t="shared" si="197"/>
        <v/>
      </c>
      <c r="L832" s="694"/>
      <c r="M832" s="700" t="str">
        <f>IF(AND(E819&lt;&gt;"",OR(F832="",COUNT(K832:L832)=0),Y832&lt;&gt;EUconst_NA,T819&lt;&gt;TRUE),EUconst_ERR_Incomplete,IF(COUNTIF(AX832:AZ832,TRUE)&gt;0,EUconst_ERR_Inconsistent,""))</f>
        <v/>
      </c>
      <c r="O832" s="1305"/>
      <c r="P832" s="33"/>
      <c r="Q832" s="33"/>
      <c r="R832" s="33"/>
      <c r="S832" s="30"/>
      <c r="T832" s="543" t="str">
        <f>EUconst_CNTR_OxidationFactor&amp;E819</f>
        <v>OxF_</v>
      </c>
      <c r="U832" s="488"/>
      <c r="V832" s="544" t="str">
        <f t="shared" si="202"/>
        <v/>
      </c>
      <c r="W832" s="30"/>
      <c r="X832" s="488"/>
      <c r="Y832" s="545" t="str">
        <f>IF(OR(T819=TRUE,E819=""),"",INDEX(EUwideConstants!$N:$N,MATCH(T832,EUwideConstants!$Q:$Q,0)))</f>
        <v/>
      </c>
      <c r="Z832" s="546" t="str">
        <f>IF(ISBLANK(F832),"",IF(F832=EUconst_NA,"",INDEX(EUwideConstants!$H:$M,MATCH(T832,EUwideConstants!$Q:$Q,0),MATCH(F832,CNTR_TierList,0))))</f>
        <v/>
      </c>
      <c r="AA832" s="525" t="str">
        <f>IF(F832=1,1,"")</f>
        <v/>
      </c>
      <c r="AB832" s="30"/>
      <c r="AC832" s="548" t="b">
        <f>AND(AC828,Y832&lt;&gt;EUconst_NA)</f>
        <v>0</v>
      </c>
      <c r="AD832" s="30"/>
      <c r="AE832" s="563"/>
      <c r="AG832" s="564"/>
      <c r="AH832" s="553"/>
      <c r="AI832" s="565"/>
      <c r="AJ832" s="553"/>
      <c r="AK832" s="566"/>
      <c r="AL832" s="333"/>
      <c r="AM832" s="549" t="str">
        <f>EUconst_CNTR_OxidationFactor&amp;EUconst_Value</f>
        <v>OxF_Vertė</v>
      </c>
      <c r="AN832" s="567"/>
      <c r="AO832" s="525">
        <v>1</v>
      </c>
      <c r="AP832" s="553"/>
      <c r="AQ832" s="568" t="str">
        <f>IF(AA832="","",AO832)</f>
        <v/>
      </c>
      <c r="AR832" s="548">
        <f>IF(AC832=TRUE,IF(COUNT(K832:L832)=0,0,IF(L832="",K832,L832)),1)</f>
        <v>1</v>
      </c>
      <c r="AS832" s="544" t="b">
        <f>AND(AC832=TRUE,OR(ISNUMBER(L832),NOT(ISNUMBER(AA832))))</f>
        <v>0</v>
      </c>
      <c r="AT832" s="544" t="b">
        <f t="shared" si="198"/>
        <v>0</v>
      </c>
      <c r="AU832" s="30"/>
      <c r="AV832" s="558" t="b">
        <f t="shared" si="199"/>
        <v>0</v>
      </c>
      <c r="AW832" s="559" t="b">
        <f t="shared" si="200"/>
        <v>0</v>
      </c>
      <c r="AX832" s="30"/>
      <c r="AY832" s="585" t="b">
        <f t="shared" si="201"/>
        <v>0</v>
      </c>
      <c r="AZ832" s="522" t="b">
        <f>AR832&gt;100%</f>
        <v>0</v>
      </c>
      <c r="BA832" s="30"/>
      <c r="BB832" s="538" t="s">
        <v>287</v>
      </c>
      <c r="BC832" s="537" t="str">
        <f>IF(K818=BC828,AR828*IF(AJ830=EUconst_tCO2pTJ,(AR831/1000),1)*AR830*AR832*(1-AR835),"")</f>
        <v/>
      </c>
      <c r="BD832" s="515" t="str">
        <f>IF(K818=BD828,AR828*AR830*AR833*(1-AR835),"")</f>
        <v/>
      </c>
      <c r="BE832" s="514" t="str">
        <f>IF(K818=BE828,3.664*AR828*AR834*(1-AR835),"")</f>
        <v/>
      </c>
      <c r="BF832" s="30"/>
      <c r="BG832" s="30"/>
      <c r="BH832" s="30"/>
      <c r="BI832" s="30"/>
      <c r="BJ832" s="30"/>
      <c r="BK832" s="30"/>
      <c r="BL832" s="30"/>
      <c r="BM832" s="30"/>
      <c r="BN832" s="30"/>
      <c r="BO832" s="30"/>
      <c r="BP832" s="30"/>
      <c r="BQ832" s="30"/>
      <c r="BR832" s="30"/>
      <c r="BS832" s="30"/>
      <c r="BT832" s="30"/>
      <c r="BU832" s="30"/>
      <c r="BV832" s="30"/>
      <c r="BW832" s="30"/>
      <c r="BX832" s="30"/>
      <c r="BY832" s="30"/>
      <c r="BZ832" s="544" t="b">
        <f>OR(BZ828,Y832=EUconst_NA)</f>
        <v>1</v>
      </c>
    </row>
    <row r="833" spans="1:78" s="140" customFormat="1" ht="12.75" customHeight="1" thickBot="1" x14ac:dyDescent="0.25">
      <c r="A833" s="777"/>
      <c r="B833" s="1248"/>
      <c r="C833" s="783" t="s">
        <v>198</v>
      </c>
      <c r="D833" s="503" t="str">
        <f>Translations!$B$639</f>
        <v>Konversijos koef.:</v>
      </c>
      <c r="E833" s="504"/>
      <c r="F833" s="539"/>
      <c r="G833" s="1603" t="str">
        <f t="shared" si="196"/>
        <v/>
      </c>
      <c r="H833" s="1604"/>
      <c r="I833" s="1113" t="str">
        <f>IF(OR(AC833=FALSE,Y833=EUconst_NA),"","-")</f>
        <v/>
      </c>
      <c r="J833" s="560"/>
      <c r="K833" s="561" t="str">
        <f t="shared" si="197"/>
        <v/>
      </c>
      <c r="L833" s="694"/>
      <c r="M833" s="700" t="str">
        <f>IF(AND(E819&lt;&gt;"",OR(F833="",COUNT(K833:L833)=0),Y833&lt;&gt;EUconst_NA,T819&lt;&gt;TRUE),EUconst_ERR_Incomplete,IF(COUNTIF(AX833:AZ833,TRUE)&gt;0,EUconst_ERR_Inconsistent,""))</f>
        <v/>
      </c>
      <c r="O833" s="1305"/>
      <c r="P833" s="33"/>
      <c r="Q833" s="33"/>
      <c r="R833" s="33"/>
      <c r="S833" s="30"/>
      <c r="T833" s="543" t="str">
        <f>EUconst_CNTR_ConversionFactor&amp;E819</f>
        <v>ConvF_</v>
      </c>
      <c r="U833" s="488"/>
      <c r="V833" s="544" t="str">
        <f t="shared" si="202"/>
        <v/>
      </c>
      <c r="W833" s="30"/>
      <c r="X833" s="488"/>
      <c r="Y833" s="545" t="str">
        <f>IF(OR(T819=TRUE,E819=""),"",INDEX(EUwideConstants!$N:$N,MATCH(T833,EUwideConstants!$Q:$Q,0)))</f>
        <v/>
      </c>
      <c r="Z833" s="546" t="str">
        <f>IF(ISBLANK(F833),"",IF(F833=EUconst_NA,"",INDEX(EUwideConstants!$H:$M,MATCH(T833,EUwideConstants!$Q:$Q,0),MATCH(F833,CNTR_TierList,0))))</f>
        <v/>
      </c>
      <c r="AA833" s="573" t="str">
        <f>IF(F833=1,1,"")</f>
        <v/>
      </c>
      <c r="AB833" s="30"/>
      <c r="AC833" s="548" t="b">
        <f>AND(AC828,Y833&lt;&gt;EUconst_NA)</f>
        <v>0</v>
      </c>
      <c r="AD833" s="30"/>
      <c r="AE833" s="563"/>
      <c r="AG833" s="564"/>
      <c r="AH833" s="574"/>
      <c r="AI833" s="565"/>
      <c r="AJ833" s="574"/>
      <c r="AK833" s="566"/>
      <c r="AL833" s="333"/>
      <c r="AM833" s="549" t="str">
        <f>EUconst_CNTR_ConversionFactor&amp;EUconst_Value</f>
        <v>ConvF_Vertė</v>
      </c>
      <c r="AN833" s="575"/>
      <c r="AO833" s="573">
        <v>1</v>
      </c>
      <c r="AP833" s="574"/>
      <c r="AQ833" s="576" t="str">
        <f>IF(AA833="","",AO833)</f>
        <v/>
      </c>
      <c r="AR833" s="548">
        <f>IF(AC833=TRUE,IF(COUNT(K833:L833)=0,0,IF(L833="",K833,L833)),1)</f>
        <v>1</v>
      </c>
      <c r="AS833" s="544" t="b">
        <f>AND(AC833=TRUE,OR(ISNUMBER(L833),NOT(ISNUMBER(AA833))))</f>
        <v>0</v>
      </c>
      <c r="AT833" s="544" t="b">
        <f t="shared" si="198"/>
        <v>0</v>
      </c>
      <c r="AU833" s="30"/>
      <c r="AV833" s="558" t="b">
        <f t="shared" si="199"/>
        <v>0</v>
      </c>
      <c r="AW833" s="559" t="b">
        <f t="shared" si="200"/>
        <v>0</v>
      </c>
      <c r="AX833" s="30"/>
      <c r="AY833" s="585" t="b">
        <f t="shared" si="201"/>
        <v>0</v>
      </c>
      <c r="AZ833" s="571" t="b">
        <f>AR833&gt;100%</f>
        <v>0</v>
      </c>
      <c r="BA833" s="30"/>
      <c r="BB833" s="569" t="s">
        <v>481</v>
      </c>
      <c r="BC833" s="570">
        <f>AR828*AR831/1000*(1-AR835)</f>
        <v>0</v>
      </c>
      <c r="BD833" s="571">
        <f>BC833</f>
        <v>0</v>
      </c>
      <c r="BE833" s="572">
        <f>BC833</f>
        <v>0</v>
      </c>
      <c r="BF833" s="30"/>
      <c r="BG833" s="30"/>
      <c r="BH833" s="30"/>
      <c r="BI833" s="30"/>
      <c r="BJ833" s="30"/>
      <c r="BK833" s="30"/>
      <c r="BL833" s="30"/>
      <c r="BM833" s="30"/>
      <c r="BN833" s="30"/>
      <c r="BO833" s="30"/>
      <c r="BP833" s="30"/>
      <c r="BQ833" s="30"/>
      <c r="BR833" s="30"/>
      <c r="BS833" s="30"/>
      <c r="BT833" s="30"/>
      <c r="BU833" s="30"/>
      <c r="BV833" s="30"/>
      <c r="BW833" s="30"/>
      <c r="BX833" s="30"/>
      <c r="BY833" s="30"/>
      <c r="BZ833" s="544" t="b">
        <f>OR(BZ828,Y833=EUconst_NA)</f>
        <v>1</v>
      </c>
    </row>
    <row r="834" spans="1:78" s="140" customFormat="1" ht="12.75" customHeight="1" thickBot="1" x14ac:dyDescent="0.25">
      <c r="A834" s="777"/>
      <c r="B834" s="1248"/>
      <c r="C834" s="783" t="s">
        <v>324</v>
      </c>
      <c r="D834" s="503" t="str">
        <f>Translations!$B$640</f>
        <v>Anglies kiekis (C):</v>
      </c>
      <c r="E834" s="504"/>
      <c r="F834" s="539"/>
      <c r="G834" s="1603" t="str">
        <f t="shared" si="196"/>
        <v/>
      </c>
      <c r="H834" s="1604"/>
      <c r="I834" s="1113" t="str">
        <f>AJ834</f>
        <v/>
      </c>
      <c r="J834" s="577"/>
      <c r="K834" s="578" t="str">
        <f t="shared" si="197"/>
        <v/>
      </c>
      <c r="L834" s="579"/>
      <c r="M834" s="700" t="str">
        <f>IF(AND(E819&lt;&gt;"",OR(F834="",COUNT(K834:L834)=0),Y834&lt;&gt;EUconst_NA,T819&lt;&gt;TRUE),EUconst_ERR_Incomplete,IF(COUNTIF(AX834:AZ834,TRUE)&gt;0,EUconst_ERR_Inconsistent,""))</f>
        <v/>
      </c>
      <c r="O834" s="1305"/>
      <c r="P834" s="33"/>
      <c r="Q834" s="33"/>
      <c r="R834" s="33"/>
      <c r="S834" s="30"/>
      <c r="T834" s="543" t="str">
        <f>EUconst_CNTR_CarbonContent&amp;E819</f>
        <v>CarbC_</v>
      </c>
      <c r="U834" s="488"/>
      <c r="V834" s="544" t="str">
        <f t="shared" si="202"/>
        <v/>
      </c>
      <c r="W834" s="30"/>
      <c r="X834" s="488"/>
      <c r="Y834" s="545" t="str">
        <f>IF(OR(T819=TRUE,E819=""),"",INDEX(EUwideConstants!$N:$N,MATCH(T834,EUwideConstants!$Q:$Q,0)))</f>
        <v/>
      </c>
      <c r="Z834" s="546" t="str">
        <f>IF(ISBLANK(F834),"",IF(F834=EUconst_NA,"",INDEX(EUwideConstants!$H:$M,MATCH(T834,EUwideConstants!$Q:$Q,0),MATCH(F834,CNTR_TierList,0))))</f>
        <v/>
      </c>
      <c r="AA834" s="580" t="str">
        <f>IF(COUNTIF(EUconst_DefaultValues,Z834)&gt;0,MATCH(Z834,EUconst_DefaultValues,0),"")</f>
        <v/>
      </c>
      <c r="AB834" s="30"/>
      <c r="AC834" s="548" t="b">
        <f>AND(AC828,Y834&lt;&gt;EUconst_NA)</f>
        <v>0</v>
      </c>
      <c r="AD834" s="30"/>
      <c r="AE834" s="549" t="str">
        <f>EUconst_CNTR_CarbonContent&amp;EUconst_Unit</f>
        <v>CarbC_Vienetas</v>
      </c>
      <c r="AF834" s="550" t="str">
        <f>IF(AC834=TRUE, IF(COUNTIF(MSPara_SourceStreamCategory,V834)=0,"",INDEX(MSPara_CalcFactorsMatrix,MATCH(V834,MSPara_SourceStreamCategory,0),MATCH(AE834&amp;"_"&amp;2,MSPara_CalcFactors,0))),"")</f>
        <v/>
      </c>
      <c r="AG834" s="551" t="str">
        <f>IF(AC834=TRUE, IF(COUNTIF(MSPara_SourceStreamCategory,V834)=0,"",INDEX(MSPara_CalcFactorsMatrix,MATCH(V834,MSPara_SourceStreamCategory,0),MATCH(AE834&amp;"_"&amp;1,MSPara_CalcFactors,0))),"")</f>
        <v/>
      </c>
      <c r="AH834" s="581" t="str">
        <f>IF(AA834="","",INDEX(AF834:AG834,3-AA834))</f>
        <v/>
      </c>
      <c r="AI834" s="565"/>
      <c r="AJ834" s="582" t="str">
        <f>IF(AC834=TRUE,IF(AJ828="","",IF(AJ828=EUconst_kNm3,EUconst_tCpkNm3,EUconst_tCpt)),"")</f>
        <v/>
      </c>
      <c r="AK834" s="566"/>
      <c r="AL834" s="333"/>
      <c r="AM834" s="549" t="str">
        <f>EUconst_CNTR_CarbonContent&amp;EUconst_Value</f>
        <v>CarbC_Vertė</v>
      </c>
      <c r="AN834" s="555" t="str">
        <f>IF(AC834=TRUE,IF(COUNTIF(MSPara_SourceStreamCategory,V834)=0,"",INDEX(MSPara_CalcFactorsMatrix,MATCH(V834,MSPara_SourceStreamCategory,0),MATCH(AM834&amp;"_"&amp;2,MSPara_CalcFactors,0))),"")</f>
        <v/>
      </c>
      <c r="AO834" s="583" t="str">
        <f>IF(AC834=TRUE,IF(COUNTIF(MSPara_SourceStreamCategory,V834)=0,"",INDEX(MSPara_CalcFactorsMatrix,MATCH(V834,MSPara_SourceStreamCategory,0),MATCH(AM834&amp;"_"&amp;1,MSPara_CalcFactors,0))),"")</f>
        <v/>
      </c>
      <c r="AP834" s="548" t="b">
        <f>AND(AND(AH834&lt;&gt;"",AJ834&lt;&gt;""),AJ834=AH834)</f>
        <v>0</v>
      </c>
      <c r="AQ834" s="584" t="str">
        <f>IF(AND(AA834&lt;&gt;"",AP834=TRUE),IF(OR(INDEX(AN834:AO834,3-AA834)=EUconst_NA,INDEX(AN834:AO834,3-AA834)=0),"",INDEX(AN834:AO834,3-AA834)),"")</f>
        <v/>
      </c>
      <c r="AR834" s="548">
        <f>IF(AC834=TRUE,IF(COUNT(K834:L834)=0,0,IF(L834="",K834,L834)),0)</f>
        <v>0</v>
      </c>
      <c r="AS834" s="544" t="b">
        <f>AND(AC834=TRUE,OR(AND(F834&lt;&gt;"",NOT(ISNUMBER(AA834))),L834&lt;&gt;"",F834="",AQ834=""))</f>
        <v>0</v>
      </c>
      <c r="AT834" s="544" t="b">
        <f t="shared" si="198"/>
        <v>0</v>
      </c>
      <c r="AU834" s="30"/>
      <c r="AV834" s="558" t="b">
        <f t="shared" si="199"/>
        <v>0</v>
      </c>
      <c r="AW834" s="559" t="b">
        <f t="shared" si="200"/>
        <v>0</v>
      </c>
      <c r="AX834" s="537" t="b">
        <f>OR(AND(AJ828=EUconst_kNm3,AJ834=EUconst_tCpt),AND(AJ828=EUconst_t,AJ834=EUconst_tCpkNm3))</f>
        <v>0</v>
      </c>
      <c r="AY834" s="544" t="b">
        <f t="shared" si="201"/>
        <v>0</v>
      </c>
      <c r="AZ834" s="30"/>
      <c r="BA834" s="30"/>
      <c r="BB834" s="569" t="s">
        <v>482</v>
      </c>
      <c r="BC834" s="570">
        <f>AR828*AR831/1000*AR835</f>
        <v>0</v>
      </c>
      <c r="BD834" s="571">
        <f>BC834</f>
        <v>0</v>
      </c>
      <c r="BE834" s="572">
        <f>BC834</f>
        <v>0</v>
      </c>
      <c r="BF834" s="30"/>
      <c r="BG834" s="30"/>
      <c r="BH834" s="30"/>
      <c r="BI834" s="30"/>
      <c r="BJ834" s="30"/>
      <c r="BK834" s="30"/>
      <c r="BL834" s="30"/>
      <c r="BM834" s="30"/>
      <c r="BN834" s="30"/>
      <c r="BO834" s="30"/>
      <c r="BP834" s="30"/>
      <c r="BQ834" s="30"/>
      <c r="BR834" s="30"/>
      <c r="BS834" s="30"/>
      <c r="BT834" s="30"/>
      <c r="BU834" s="30"/>
      <c r="BV834" s="30"/>
      <c r="BW834" s="30"/>
      <c r="BX834" s="30"/>
      <c r="BY834" s="30"/>
      <c r="BZ834" s="544" t="b">
        <f>OR(BZ828,Y834=EUconst_NA)</f>
        <v>1</v>
      </c>
    </row>
    <row r="835" spans="1:78" s="140" customFormat="1" ht="12.75" customHeight="1" x14ac:dyDescent="0.2">
      <c r="A835" s="777"/>
      <c r="B835" s="1248"/>
      <c r="C835" s="753" t="s">
        <v>325</v>
      </c>
      <c r="D835" s="503" t="str">
        <f>Translations!$B$641</f>
        <v>Biomasės dalis (BioC):</v>
      </c>
      <c r="E835" s="504"/>
      <c r="F835" s="539"/>
      <c r="G835" s="1603" t="str">
        <f t="shared" si="196"/>
        <v/>
      </c>
      <c r="H835" s="1604"/>
      <c r="I835" s="1113" t="str">
        <f>IF(OR(AC835=FALSE,Y835=EUconst_NA),"","-")</f>
        <v/>
      </c>
      <c r="J835" s="560"/>
      <c r="K835" s="561" t="str">
        <f t="shared" si="197"/>
        <v/>
      </c>
      <c r="L835" s="694"/>
      <c r="M835" s="700" t="str">
        <f>IF(AND(E819&lt;&gt;"",OR(F835="",COUNT(K835:L835)=0),Y835&lt;&gt;EUconst_NA,T819&lt;&gt;TRUE),EUconst_ERR_Incomplete,IF(COUNTIF(AX835:AZ835,TRUE)&gt;0,EUconst_ERR_Inconsistent,""))</f>
        <v/>
      </c>
      <c r="O835" s="1305"/>
      <c r="P835" s="635"/>
      <c r="Q835" s="635"/>
      <c r="R835" s="635"/>
      <c r="S835" s="30"/>
      <c r="T835" s="543" t="str">
        <f>EUconst_CNTR_BiomassContent&amp;E819</f>
        <v>BioC_</v>
      </c>
      <c r="U835" s="488"/>
      <c r="V835" s="585" t="str">
        <f t="shared" si="202"/>
        <v/>
      </c>
      <c r="W835" s="522" t="str">
        <f>IF(COUNTIF(MSPara_SourceStreamCategory,V835)=0,"",INDEX(MSPara_IsFossil,MATCH(V835,MSPara_SourceStreamCategory,0)))</f>
        <v/>
      </c>
      <c r="X835" s="488"/>
      <c r="Y835" s="545" t="str">
        <f>IF(OR(T819=TRUE,E819=""),"",IF(OR(W835=TRUE,F835=EUconst_NA),EUconst_NA,INDEX(EUwideConstants!$N:$N,MATCH(T835,EUwideConstants!$Q:$Q,0))))</f>
        <v/>
      </c>
      <c r="Z835" s="546" t="str">
        <f>IF(ISBLANK(F835),"",IF(F835=EUconst_NA,"",INDEX(EUwideConstants!$H:$M,MATCH(T835,EUwideConstants!$Q:$Q,0),MATCH(F835,CNTR_TierList,0))))</f>
        <v/>
      </c>
      <c r="AA835" s="586" t="str">
        <f>IF(F835=1,1,"")</f>
        <v/>
      </c>
      <c r="AB835" s="30"/>
      <c r="AC835" s="548" t="b">
        <f>AND(AC828,Y835&lt;&gt;EUconst_NA)</f>
        <v>0</v>
      </c>
      <c r="AD835" s="30"/>
      <c r="AE835" s="563"/>
      <c r="AG835" s="564"/>
      <c r="AH835" s="553"/>
      <c r="AI835" s="565"/>
      <c r="AJ835" s="553"/>
      <c r="AK835" s="566"/>
      <c r="AL835" s="333"/>
      <c r="AM835" s="549" t="str">
        <f>EUconst_CNTR_BiomassContent&amp;EUconst_Value</f>
        <v>BioC_Vertė</v>
      </c>
      <c r="AO835" s="587" t="str">
        <f>IF(AC835=TRUE,IF(COUNTIF(MSPara_SourceStreamCategory,V835)=0,"",INDEX(MSPara_CalcFactorsMatrix,MATCH(V835,MSPara_SourceStreamCategory,0),MATCH(AM835&amp;"_"&amp;2,MSPara_CalcFactors,0))),"")</f>
        <v/>
      </c>
      <c r="AP835" s="553"/>
      <c r="AQ835" s="568" t="str">
        <f>IF(OR(AA835="",AO835=EUconst_NA),"",AO835)</f>
        <v/>
      </c>
      <c r="AR835" s="548">
        <f>IF(AC835=TRUE,IF(COUNT(K835:L835)=0,0,IF(L835="",K835,L835)),0)</f>
        <v>0</v>
      </c>
      <c r="AS835" s="544" t="b">
        <f>AND(AC835=TRUE,OR(AND(F835&lt;&gt;"",NOT(ISNUMBER(AA835))),L835&lt;&gt;"",F835="",AQ835=""))</f>
        <v>0</v>
      </c>
      <c r="AT835" s="544" t="b">
        <f t="shared" si="198"/>
        <v>0</v>
      </c>
      <c r="AU835" s="30"/>
      <c r="AV835" s="558" t="b">
        <f t="shared" si="199"/>
        <v>0</v>
      </c>
      <c r="AW835" s="559" t="b">
        <f t="shared" si="200"/>
        <v>0</v>
      </c>
      <c r="AX835" s="30"/>
      <c r="AY835" s="585" t="b">
        <f t="shared" si="201"/>
        <v>0</v>
      </c>
      <c r="AZ835" s="522" t="b">
        <f>OR(AR835&gt;100%,(AR835+AR836)&gt;100%)</f>
        <v>0</v>
      </c>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544" t="b">
        <f>OR(BZ828,Y835=EUconst_NA)</f>
        <v>1</v>
      </c>
    </row>
    <row r="836" spans="1:78" s="140" customFormat="1" ht="12.75" customHeight="1" thickBot="1" x14ac:dyDescent="0.25">
      <c r="A836" s="777"/>
      <c r="B836" s="1248"/>
      <c r="C836" s="753" t="s">
        <v>448</v>
      </c>
      <c r="D836" s="503" t="str">
        <f>Translations!$B$647</f>
        <v>Netvarios BioC dalis:</v>
      </c>
      <c r="E836" s="504"/>
      <c r="F836" s="588"/>
      <c r="G836" s="1603" t="str">
        <f t="shared" si="196"/>
        <v/>
      </c>
      <c r="H836" s="1604"/>
      <c r="I836" s="1114" t="str">
        <f>IF(OR(AC836=FALSE,Y836=EUconst_NA),"","-")</f>
        <v/>
      </c>
      <c r="J836" s="560"/>
      <c r="K836" s="589" t="str">
        <f t="shared" si="197"/>
        <v/>
      </c>
      <c r="L836" s="1100"/>
      <c r="M836" s="700" t="str">
        <f>IF(AND(E819&lt;&gt;"",OR(F836="",COUNT(K836:L836)=0),Y836&lt;&gt;EUconst_NA,T819&lt;&gt;TRUE),EUconst_ERR_Incomplete,IF(COUNTIF(AX836:AZ836,TRUE)&gt;0,EUconst_ERR_Inconsistent,""))</f>
        <v/>
      </c>
      <c r="O836" s="1305"/>
      <c r="P836" s="635"/>
      <c r="Q836" s="635"/>
      <c r="R836" s="635"/>
      <c r="S836" s="30"/>
      <c r="T836" s="590" t="str">
        <f>EUconst_CNTR_BiomassContent&amp;E819</f>
        <v>BioC_</v>
      </c>
      <c r="U836" s="488"/>
      <c r="V836" s="570" t="str">
        <f t="shared" si="202"/>
        <v/>
      </c>
      <c r="W836" s="571" t="str">
        <f>IF(COUNTIF(MSPara_SourceStreamCategory,V836)=0,"",INDEX(MSPara_IsFossil,MATCH(V836,MSPara_SourceStreamCategory,0)))</f>
        <v/>
      </c>
      <c r="X836" s="488"/>
      <c r="Y836" s="591" t="str">
        <f>IF(OR(T819=TRUE,E819=""),"",IF(OR(W836=TRUE,F836=EUconst_NA),EUconst_NA,INDEX(EUwideConstants!$N:$N,MATCH(T836,EUwideConstants!$Q:$Q,0))))</f>
        <v/>
      </c>
      <c r="Z836" s="592" t="str">
        <f>IF(ISBLANK(F836),"",IF(F836=EUconst_NA,"",INDEX(EUwideConstants!$H:$M,MATCH(T836,EUwideConstants!$Q:$Q,0),MATCH(F836,CNTR_TierList,0))))</f>
        <v/>
      </c>
      <c r="AA836" s="593" t="str">
        <f>IF(F836=1,1,"")</f>
        <v/>
      </c>
      <c r="AB836" s="30"/>
      <c r="AC836" s="594" t="b">
        <f>AND(AC828,Y836&lt;&gt;EUconst_NA)</f>
        <v>0</v>
      </c>
      <c r="AD836" s="30"/>
      <c r="AE836" s="595"/>
      <c r="AF836" s="596"/>
      <c r="AG836" s="597"/>
      <c r="AH836" s="598"/>
      <c r="AI836" s="598"/>
      <c r="AJ836" s="598"/>
      <c r="AK836" s="599"/>
      <c r="AL836" s="333"/>
      <c r="AM836" s="600" t="str">
        <f>EUconst_CNTR_BiomassContent&amp;EUconst_Value</f>
        <v>BioC_Vertė</v>
      </c>
      <c r="AN836" s="596"/>
      <c r="AO836" s="601" t="str">
        <f>IF(AC836=TRUE,IF(COUNTIF(MSPara_SourceStreamCategory,V836)=0,"",INDEX(MSPara_CalcFactorsMatrix,MATCH(V836,MSPara_SourceStreamCategory,0),MATCH(AM836&amp;"_"&amp;2,MSPara_CalcFactors,0))),"")</f>
        <v/>
      </c>
      <c r="AP836" s="598"/>
      <c r="AQ836" s="602" t="str">
        <f>IF(OR(AA836="",AO836=EUconst_NA),"",AO836)</f>
        <v/>
      </c>
      <c r="AR836" s="594">
        <f>IF(AC836=TRUE,IF(COUNT(K836:L836)=0,0,IF(L836="",K836,L836)),0)</f>
        <v>0</v>
      </c>
      <c r="AS836" s="603" t="b">
        <f>AND(AC836=TRUE,OR(AND(F836&lt;&gt;"",NOT(ISNUMBER(AA836))),L836&lt;&gt;"",F836="",AQ836=""))</f>
        <v>0</v>
      </c>
      <c r="AT836" s="603" t="b">
        <f t="shared" si="198"/>
        <v>0</v>
      </c>
      <c r="AU836" s="30"/>
      <c r="AV836" s="604" t="b">
        <f t="shared" si="199"/>
        <v>0</v>
      </c>
      <c r="AW836" s="605" t="b">
        <f t="shared" si="200"/>
        <v>0</v>
      </c>
      <c r="AX836" s="30"/>
      <c r="AY836" s="570" t="b">
        <f t="shared" si="201"/>
        <v>0</v>
      </c>
      <c r="AZ836" s="571" t="b">
        <f>OR(AR835&gt;100%,(AR835+AR836)&gt;100%)</f>
        <v>0</v>
      </c>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571" t="b">
        <f>OR(BZ828,Y836=EUconst_NA)</f>
        <v>1</v>
      </c>
    </row>
    <row r="837" spans="1:78" s="140" customFormat="1" ht="5.0999999999999996" customHeight="1" x14ac:dyDescent="0.2">
      <c r="A837" s="777"/>
      <c r="B837" s="1248"/>
      <c r="C837" s="164"/>
      <c r="D837" s="178"/>
      <c r="O837" s="1305"/>
      <c r="P837" s="33"/>
      <c r="Q837" s="33"/>
      <c r="R837" s="33"/>
      <c r="S837" s="172"/>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row>
    <row r="838" spans="1:78" s="140" customFormat="1" ht="12.75" customHeight="1" x14ac:dyDescent="0.2">
      <c r="A838" s="777"/>
      <c r="B838" s="1248"/>
      <c r="C838" s="164"/>
      <c r="D838" s="1629" t="str">
        <f>Translations!$B$674</f>
        <v>Pakopos galioja nuo:</v>
      </c>
      <c r="E838" s="1629"/>
      <c r="F838" s="1630"/>
      <c r="G838" s="1014"/>
      <c r="H838" s="606" t="str">
        <f>Translations!$B$675</f>
        <v>iki:</v>
      </c>
      <c r="I838" s="1014"/>
      <c r="J838" s="1620" t="str">
        <f>Translations!$B$676</f>
        <v>Atliekų katalogo numeris (jeigu taikytina):</v>
      </c>
      <c r="K838" s="1621"/>
      <c r="L838" s="1621"/>
      <c r="M838" s="1622"/>
      <c r="N838" s="1232"/>
      <c r="O838" s="1305"/>
      <c r="P838" s="33"/>
      <c r="Q838" s="33"/>
      <c r="R838" s="33"/>
      <c r="S838" s="1233"/>
      <c r="T838" s="483"/>
      <c r="U838" s="483"/>
      <c r="V838" s="48" t="b">
        <f>IF(V828="",FALSE,INDEX(CNTR_IsWaste,MATCH(V828,MSParameters!$A$218:$A$376,0)))</f>
        <v>0</v>
      </c>
      <c r="W838" s="1233" t="s">
        <v>1689</v>
      </c>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2" t="b">
        <f>BZ828</f>
        <v>1</v>
      </c>
    </row>
    <row r="839" spans="1:78" s="140" customFormat="1" ht="5.0999999999999996" customHeight="1" x14ac:dyDescent="0.2">
      <c r="A839" s="777"/>
      <c r="B839" s="1248"/>
      <c r="C839" s="164"/>
      <c r="D839" s="606"/>
      <c r="E839" s="486"/>
      <c r="F839" s="486"/>
      <c r="G839" s="486"/>
      <c r="H839" s="486"/>
      <c r="I839" s="486"/>
      <c r="J839" s="486"/>
      <c r="K839" s="486"/>
      <c r="L839" s="486"/>
      <c r="M839" s="486"/>
      <c r="N839" s="486"/>
      <c r="O839" s="1305"/>
      <c r="P839" s="33"/>
      <c r="Q839" s="33"/>
      <c r="R839" s="33"/>
      <c r="S839" s="172"/>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row>
    <row r="840" spans="1:78" s="140" customFormat="1" ht="12.75" customHeight="1" x14ac:dyDescent="0.2">
      <c r="A840" s="777"/>
      <c r="B840" s="1248"/>
      <c r="C840" s="164"/>
      <c r="D840" s="486"/>
      <c r="E840" s="486"/>
      <c r="F840" s="486"/>
      <c r="G840" s="486"/>
      <c r="H840" s="486"/>
      <c r="I840" s="486"/>
      <c r="J840" s="486"/>
      <c r="K840" s="486"/>
      <c r="L840" s="486"/>
      <c r="M840" s="606" t="str">
        <f>Translations!$B$677</f>
        <v>Stebėsenos plane šiam sukėlikliui suteiktas identifikatorius:</v>
      </c>
      <c r="N840" s="705"/>
      <c r="O840" s="1305"/>
      <c r="P840" s="33"/>
      <c r="Q840" s="33"/>
      <c r="R840" s="33"/>
      <c r="S840" s="172"/>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2" t="b">
        <f>BZ838</f>
        <v>1</v>
      </c>
    </row>
    <row r="841" spans="1:78" s="140" customFormat="1" ht="5.0999999999999996" customHeight="1" x14ac:dyDescent="0.2">
      <c r="A841" s="784"/>
      <c r="B841" s="1316"/>
      <c r="D841" s="178"/>
      <c r="O841" s="1317"/>
      <c r="P841" s="488"/>
      <c r="Q841" s="488"/>
      <c r="R841" s="488"/>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row>
    <row r="842" spans="1:78" s="140" customFormat="1" x14ac:dyDescent="0.2">
      <c r="A842" s="784"/>
      <c r="B842" s="1316"/>
      <c r="D842" s="1618" t="str">
        <f>Translations!$B$160</f>
        <v>Pastabos:</v>
      </c>
      <c r="E842" s="1619"/>
      <c r="F842" s="1605"/>
      <c r="G842" s="1606"/>
      <c r="H842" s="1606"/>
      <c r="I842" s="1606"/>
      <c r="J842" s="1606"/>
      <c r="K842" s="1606"/>
      <c r="L842" s="1606"/>
      <c r="M842" s="1606"/>
      <c r="N842" s="1607"/>
      <c r="O842" s="1317"/>
      <c r="P842" s="488"/>
      <c r="Q842" s="488"/>
      <c r="R842" s="488"/>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2" t="b">
        <f>BZ838</f>
        <v>1</v>
      </c>
    </row>
    <row r="843" spans="1:78" s="28" customFormat="1" ht="12.75" customHeight="1" thickBot="1" x14ac:dyDescent="0.25">
      <c r="A843" s="777"/>
      <c r="B843" s="1312"/>
      <c r="C843" s="490"/>
      <c r="D843" s="491"/>
      <c r="E843" s="492"/>
      <c r="F843" s="490"/>
      <c r="G843" s="493"/>
      <c r="H843" s="493"/>
      <c r="I843" s="493"/>
      <c r="J843" s="493"/>
      <c r="K843" s="493"/>
      <c r="L843" s="493"/>
      <c r="M843" s="493"/>
      <c r="N843" s="493"/>
      <c r="O843" s="1313"/>
      <c r="P843" s="485"/>
      <c r="Q843" s="485"/>
      <c r="R843" s="485"/>
      <c r="S843" s="58"/>
      <c r="T843" s="58"/>
      <c r="U843" s="489"/>
      <c r="V843" s="58"/>
      <c r="W843" s="58"/>
      <c r="X843" s="489"/>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30"/>
      <c r="BJ843" s="30"/>
      <c r="BK843" s="30"/>
      <c r="BL843" s="58"/>
      <c r="BM843" s="58"/>
      <c r="BN843" s="58"/>
      <c r="BO843" s="58"/>
      <c r="BP843" s="58"/>
      <c r="BQ843" s="58"/>
      <c r="BR843" s="58"/>
      <c r="BS843" s="58"/>
      <c r="BT843" s="58"/>
      <c r="BU843" s="58"/>
      <c r="BV843" s="58"/>
      <c r="BW843" s="58"/>
      <c r="BX843" s="58"/>
      <c r="BY843" s="58"/>
      <c r="BZ843" s="58"/>
    </row>
    <row r="844" spans="1:78" s="28" customFormat="1" ht="12.75" customHeight="1" thickBot="1" x14ac:dyDescent="0.25">
      <c r="A844" s="782"/>
      <c r="B844" s="1312"/>
      <c r="C844" s="486"/>
      <c r="D844" s="178"/>
      <c r="E844" s="487"/>
      <c r="F844" s="486"/>
      <c r="G844" s="478"/>
      <c r="H844" s="478"/>
      <c r="I844" s="478"/>
      <c r="J844" s="478"/>
      <c r="K844" s="486"/>
      <c r="L844" s="478"/>
      <c r="M844" s="478"/>
      <c r="N844" s="478"/>
      <c r="O844" s="1313"/>
      <c r="P844" s="485"/>
      <c r="Q844" s="485"/>
      <c r="R844" s="485"/>
      <c r="S844" s="23"/>
      <c r="T844" s="27" t="str">
        <f>IF(ISBLANK(E845),"",MATCH(E845,CNTR_SourceStreamNames,0))</f>
        <v/>
      </c>
      <c r="U844" s="609" t="str">
        <f>IF(ISBLANK(E845),"",INDEX(B_InstallationDescription!$D$71:$D$145,MATCH(E845,CNTR_SourceStreamNames,0)))</f>
        <v/>
      </c>
      <c r="V844" s="76"/>
      <c r="W844" s="56"/>
      <c r="X844" s="56"/>
      <c r="Y844" s="56"/>
      <c r="Z844" s="58"/>
      <c r="AA844" s="58"/>
      <c r="AB844" s="58"/>
      <c r="AC844" s="58"/>
      <c r="AD844" s="58"/>
      <c r="AE844" s="58"/>
      <c r="AF844" s="58"/>
      <c r="AG844" s="58"/>
      <c r="AH844" s="58"/>
      <c r="AI844" s="58"/>
      <c r="AJ844" s="58"/>
      <c r="AK844" s="482"/>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6"/>
      <c r="BI844" s="56"/>
      <c r="BJ844" s="56"/>
      <c r="BK844" s="56"/>
      <c r="BL844" s="56"/>
      <c r="BM844" s="56"/>
      <c r="BN844" s="56"/>
      <c r="BO844" s="56"/>
      <c r="BP844" s="56"/>
      <c r="BQ844" s="56"/>
      <c r="BR844" s="56"/>
      <c r="BS844" s="56"/>
      <c r="BT844" s="56"/>
      <c r="BU844" s="56"/>
      <c r="BV844" s="56"/>
      <c r="BW844" s="56"/>
      <c r="BX844" s="56"/>
      <c r="BY844" s="56"/>
      <c r="BZ844" s="484" t="s">
        <v>259</v>
      </c>
    </row>
    <row r="845" spans="1:78" s="140" customFormat="1" ht="15" customHeight="1" thickBot="1" x14ac:dyDescent="0.25">
      <c r="A845" s="1302" t="str">
        <f>IF(E845="","","PRINT")</f>
        <v/>
      </c>
      <c r="B845" s="1248"/>
      <c r="C845" s="608">
        <f>C818+1</f>
        <v>30</v>
      </c>
      <c r="D845" s="164"/>
      <c r="E845" s="1610"/>
      <c r="F845" s="1611"/>
      <c r="G845" s="1611"/>
      <c r="H845" s="1611"/>
      <c r="I845" s="1611"/>
      <c r="J845" s="1612"/>
      <c r="K845" s="1623" t="str">
        <f>IF(E846="","",INDEX(EUwideConstants!$F$353:$F$394,MATCH(E846,EUConst_TierActivityListNames,0)))</f>
        <v/>
      </c>
      <c r="L845" s="1624"/>
      <c r="M845" s="494" t="str">
        <f>Translations!$B$665</f>
        <v>CO2, iškastinio kuro kilmės:</v>
      </c>
      <c r="N845" s="1012" t="str">
        <f>IF(OR(K845="",T846=TRUE),"",INDEX(BC859:BE859,MATCH(K845,BC855:BE855,0)))</f>
        <v/>
      </c>
      <c r="O845" s="1314" t="s">
        <v>257</v>
      </c>
      <c r="P845" s="1303" t="str">
        <f>IF(AND(E845&lt;&gt;"",COUNTIF(P846:$P$2089,"PRINT")=0),"PRINT","")</f>
        <v/>
      </c>
      <c r="Q845" s="343" t="str">
        <f>EUconst_SumCO2 &amp; "_" &amp; K845</f>
        <v>SUM_CO2_</v>
      </c>
      <c r="R845" s="485"/>
      <c r="S845" s="23"/>
      <c r="T845" s="500" t="s">
        <v>387</v>
      </c>
      <c r="U845" s="23"/>
      <c r="V845" s="76"/>
      <c r="W845" s="56"/>
      <c r="X845" s="58"/>
      <c r="Y845" s="58"/>
      <c r="Z845" s="58"/>
      <c r="AA845" s="58"/>
      <c r="AB845" s="58"/>
      <c r="AC845" s="58"/>
      <c r="AD845" s="58"/>
      <c r="AE845" s="58"/>
      <c r="AF845" s="58"/>
      <c r="AG845" s="58"/>
      <c r="AH845" s="58"/>
      <c r="AI845" s="333"/>
      <c r="AJ845" s="333"/>
      <c r="AK845" s="333"/>
      <c r="AL845" s="333"/>
      <c r="AM845" s="333"/>
      <c r="AN845" s="333"/>
      <c r="AO845" s="333"/>
      <c r="AP845" s="333"/>
      <c r="AQ845" s="333"/>
      <c r="AR845" s="333"/>
      <c r="AS845" s="333"/>
      <c r="AT845" s="333"/>
      <c r="AU845" s="333"/>
      <c r="AV845" s="333"/>
      <c r="AW845" s="333"/>
      <c r="AX845" s="333"/>
      <c r="AY845" s="333"/>
      <c r="AZ845" s="333"/>
      <c r="BA845" s="333"/>
      <c r="BB845" s="333"/>
      <c r="BC845" s="333"/>
      <c r="BD845" s="333"/>
      <c r="BE845" s="333"/>
      <c r="BF845" s="333"/>
      <c r="BG845" s="333"/>
      <c r="BH845" s="834">
        <f>AR855</f>
        <v>0</v>
      </c>
      <c r="BI845" s="834" t="str">
        <f>AJ855</f>
        <v/>
      </c>
      <c r="BJ845" s="834">
        <f>AR857</f>
        <v>0</v>
      </c>
      <c r="BK845" s="834" t="str">
        <f>AJ857</f>
        <v/>
      </c>
      <c r="BL845" s="834">
        <f>AR858</f>
        <v>0</v>
      </c>
      <c r="BM845" s="834" t="str">
        <f>AJ858</f>
        <v/>
      </c>
      <c r="BN845" s="834">
        <f>AR859</f>
        <v>1</v>
      </c>
      <c r="BO845" s="834">
        <f>AR860</f>
        <v>1</v>
      </c>
      <c r="BP845" s="834">
        <f>AR861</f>
        <v>0</v>
      </c>
      <c r="BQ845" s="834" t="str">
        <f>AJ861</f>
        <v/>
      </c>
      <c r="BR845" s="834">
        <f>AR862</f>
        <v>0</v>
      </c>
      <c r="BS845" s="834">
        <f>AR863</f>
        <v>0</v>
      </c>
      <c r="BT845" s="834" t="str">
        <f>N845</f>
        <v/>
      </c>
      <c r="BU845" s="834" t="str">
        <f>N846</f>
        <v/>
      </c>
      <c r="BV845" s="834" t="str">
        <f>R848</f>
        <v/>
      </c>
      <c r="BW845" s="834" t="str">
        <f>R854</f>
        <v/>
      </c>
      <c r="BX845" s="834" t="str">
        <f>R855</f>
        <v/>
      </c>
      <c r="BY845" s="56"/>
      <c r="BZ845" s="610" t="b">
        <f>CNTR_CalcRelevant=EUconst_NotRelevant</f>
        <v>0</v>
      </c>
    </row>
    <row r="846" spans="1:78" s="140" customFormat="1" ht="15" customHeight="1" thickBot="1" x14ac:dyDescent="0.25">
      <c r="A846" s="777"/>
      <c r="B846" s="1248"/>
      <c r="C846" s="164"/>
      <c r="D846" s="164"/>
      <c r="E846" s="1625" t="str">
        <f>IF(ISBLANK(E845),"",IF(INDEX(B_InstallationDescription!$E$71:$E$145,MATCH(U844,B_InstallationDescription!$D$71:$D$145,0))&gt;0,INDEX(B_InstallationDescription!$E$71:$E$145,MATCH(U844,B_InstallationDescription!$D$71:$D$145,0)),""))</f>
        <v/>
      </c>
      <c r="F846" s="1626"/>
      <c r="G846" s="1626"/>
      <c r="H846" s="1626"/>
      <c r="I846" s="1626"/>
      <c r="J846" s="1627"/>
      <c r="M846" s="337" t="str">
        <f>Translations!$B$666</f>
        <v>CO2, biomasės kilmės.:</v>
      </c>
      <c r="N846" s="1013" t="str">
        <f>IF(OR(K845="",T846=TRUE),"",INDEX(BC858:BE858,MATCH(K845,BC855:BE855,0)))</f>
        <v/>
      </c>
      <c r="O846" s="1315" t="s">
        <v>257</v>
      </c>
      <c r="P846" s="485"/>
      <c r="Q846" s="343" t="str">
        <f>EUconst_SumBioCO2 &amp; "_" &amp; K845</f>
        <v>SUM_bioCO2_</v>
      </c>
      <c r="R846" s="485"/>
      <c r="S846" s="23"/>
      <c r="T846" s="48" t="str">
        <f>IF(E846="","",MATCH(E846,EUConst_TierActivityListNames,0)&gt;40)</f>
        <v/>
      </c>
      <c r="U846" s="23"/>
      <c r="V846" s="76"/>
      <c r="W846" s="56"/>
      <c r="X846" s="58"/>
      <c r="Y846" s="27" t="s">
        <v>91</v>
      </c>
      <c r="Z846" s="30"/>
      <c r="AA846" s="30"/>
      <c r="AB846" s="30"/>
      <c r="AC846" s="30"/>
      <c r="AD846" s="30"/>
      <c r="AE846" s="27" t="s">
        <v>297</v>
      </c>
      <c r="AF846" s="58"/>
      <c r="AG846" s="495"/>
      <c r="AH846" s="30"/>
      <c r="AI846" s="30"/>
      <c r="AJ846" s="495"/>
      <c r="AK846" s="495"/>
      <c r="AL846" s="333"/>
      <c r="AM846" s="27" t="s">
        <v>303</v>
      </c>
      <c r="AN846" s="496"/>
      <c r="AO846" s="496"/>
      <c r="AP846" s="30"/>
      <c r="AQ846" s="30"/>
      <c r="AR846" s="30"/>
      <c r="AS846" s="30"/>
      <c r="AT846" s="30"/>
      <c r="AU846" s="30"/>
      <c r="AV846" s="27" t="s">
        <v>310</v>
      </c>
      <c r="AW846" s="30"/>
      <c r="AX846" s="483"/>
      <c r="AY846" s="30"/>
      <c r="AZ846" s="30"/>
      <c r="BA846" s="30"/>
      <c r="BB846" s="27" t="s">
        <v>217</v>
      </c>
      <c r="BC846" s="30"/>
      <c r="BD846" s="30"/>
      <c r="BE846" s="30"/>
      <c r="BF846" s="30"/>
      <c r="BG846" s="27" t="s">
        <v>486</v>
      </c>
      <c r="BH846" s="833" t="s">
        <v>552</v>
      </c>
      <c r="BI846" s="833" t="s">
        <v>487</v>
      </c>
      <c r="BJ846" s="833" t="s">
        <v>211</v>
      </c>
      <c r="BK846" s="833" t="s">
        <v>488</v>
      </c>
      <c r="BL846" s="833" t="s">
        <v>68</v>
      </c>
      <c r="BM846" s="833" t="s">
        <v>489</v>
      </c>
      <c r="BN846" s="833" t="s">
        <v>490</v>
      </c>
      <c r="BO846" s="833" t="s">
        <v>491</v>
      </c>
      <c r="BP846" s="833" t="s">
        <v>214</v>
      </c>
      <c r="BQ846" s="833" t="s">
        <v>492</v>
      </c>
      <c r="BR846" s="833" t="s">
        <v>493</v>
      </c>
      <c r="BS846" s="833" t="s">
        <v>494</v>
      </c>
      <c r="BT846" s="833" t="s">
        <v>287</v>
      </c>
      <c r="BU846" s="833" t="s">
        <v>495</v>
      </c>
      <c r="BV846" s="833" t="s">
        <v>498</v>
      </c>
      <c r="BW846" s="833" t="s">
        <v>496</v>
      </c>
      <c r="BX846" s="833" t="s">
        <v>497</v>
      </c>
      <c r="BY846" s="30"/>
      <c r="BZ846" s="30"/>
    </row>
    <row r="847" spans="1:78" s="140" customFormat="1" ht="5.0999999999999996" customHeight="1" thickBot="1" x14ac:dyDescent="0.25">
      <c r="A847" s="777"/>
      <c r="B847" s="1248"/>
      <c r="C847" s="164"/>
      <c r="D847" s="164"/>
      <c r="E847" s="164"/>
      <c r="F847" s="164"/>
      <c r="G847" s="164"/>
      <c r="M847" s="141"/>
      <c r="N847" s="141"/>
      <c r="O847" s="1305"/>
      <c r="P847" s="33"/>
      <c r="Q847" s="33"/>
      <c r="R847" s="33"/>
      <c r="S847" s="23"/>
      <c r="T847" s="23"/>
      <c r="U847" s="23"/>
      <c r="V847" s="76"/>
      <c r="W847" s="30"/>
      <c r="X847" s="30"/>
      <c r="Y847" s="485"/>
      <c r="Z847" s="30"/>
      <c r="AA847" s="30"/>
      <c r="AB847" s="30"/>
      <c r="AC847" s="30"/>
      <c r="AD847" s="30"/>
      <c r="AE847" s="30"/>
      <c r="AF847" s="58"/>
      <c r="AG847" s="30"/>
      <c r="AH847" s="30"/>
      <c r="AI847" s="30"/>
      <c r="AJ847" s="495"/>
      <c r="AK847" s="495"/>
      <c r="AL847" s="333"/>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row>
    <row r="848" spans="1:78" s="140" customFormat="1" ht="12.75" customHeight="1" thickBot="1" x14ac:dyDescent="0.25">
      <c r="A848" s="777"/>
      <c r="B848" s="1248"/>
      <c r="C848" s="164"/>
      <c r="D848" s="164"/>
      <c r="E848" s="1628" t="str">
        <f>IF(E845="","",IF(T846=TRUE,HYPERLINK("#JUMP_14",EUconst_MsgGoOnPFC),HYPERLINK("#JUMP_E_8",EUconst_FurtherGuidancePoint1)))</f>
        <v/>
      </c>
      <c r="F848" s="1628"/>
      <c r="G848" s="1628"/>
      <c r="H848" s="1628"/>
      <c r="I848" s="1628"/>
      <c r="J848" s="1628"/>
      <c r="K848" s="1628"/>
      <c r="L848" s="1628"/>
      <c r="M848" s="1628"/>
      <c r="N848" s="141"/>
      <c r="O848" s="1305"/>
      <c r="P848" s="33"/>
      <c r="Q848" s="343" t="str">
        <f>EUconst_SumNonSustBioCO2 &amp; "_" &amp; K845</f>
        <v>SUM_bioNonSustCO2_</v>
      </c>
      <c r="R848" s="698" t="str">
        <f>IF(OR(K845="",T846=TRUE),"",ROUND(INDEX(BC857:BE857,MATCH(K845,BC855:BE855,0)),0))</f>
        <v/>
      </c>
      <c r="S848" s="23"/>
      <c r="T848" s="23"/>
      <c r="U848" s="23"/>
      <c r="V848" s="30"/>
      <c r="W848" s="30"/>
      <c r="X848" s="30"/>
      <c r="Y848" s="58"/>
      <c r="Z848" s="30"/>
      <c r="AA848" s="30"/>
      <c r="AB848" s="30"/>
      <c r="AC848" s="30"/>
      <c r="AD848" s="30"/>
      <c r="AE848" s="30"/>
      <c r="AF848" s="58"/>
      <c r="AG848" s="30"/>
      <c r="AH848" s="30"/>
      <c r="AI848" s="30"/>
      <c r="AJ848" s="495"/>
      <c r="AK848" s="495"/>
      <c r="AL848" s="333"/>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row>
    <row r="849" spans="1:78" s="140" customFormat="1" ht="5.0999999999999996" customHeight="1" thickBot="1" x14ac:dyDescent="0.25">
      <c r="A849" s="777"/>
      <c r="B849" s="1248"/>
      <c r="C849" s="164"/>
      <c r="D849" s="164"/>
      <c r="E849" s="164"/>
      <c r="F849" s="164"/>
      <c r="G849" s="164"/>
      <c r="M849" s="141"/>
      <c r="N849" s="141"/>
      <c r="O849" s="1305"/>
      <c r="P849" s="23"/>
      <c r="Q849" s="23"/>
      <c r="R849" s="23"/>
      <c r="S849" s="23"/>
      <c r="T849" s="23"/>
      <c r="U849" s="23"/>
      <c r="V849" s="30"/>
      <c r="W849" s="30"/>
      <c r="X849" s="30"/>
      <c r="Y849" s="485"/>
      <c r="Z849" s="30"/>
      <c r="AA849" s="30"/>
      <c r="AB849" s="30"/>
      <c r="AC849" s="30"/>
      <c r="AD849" s="30"/>
      <c r="AE849" s="30"/>
      <c r="AF849" s="58"/>
      <c r="AG849" s="30"/>
      <c r="AH849" s="30"/>
      <c r="AI849" s="30"/>
      <c r="AJ849" s="495"/>
      <c r="AK849" s="495"/>
      <c r="AL849" s="333"/>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row>
    <row r="850" spans="1:78" s="140" customFormat="1" ht="12.75" customHeight="1" thickBot="1" x14ac:dyDescent="0.25">
      <c r="A850" s="777"/>
      <c r="B850" s="1248"/>
      <c r="C850" s="783" t="s">
        <v>4</v>
      </c>
      <c r="D850" s="503" t="str">
        <f>Translations!$B$622</f>
        <v>VD:</v>
      </c>
      <c r="E850" s="1631" t="str">
        <f>Translations!$B$667</f>
        <v>Ar veiklos duomenys gaunami sudedant išmatuotus kiekius (t. y. ne atliekant nuolatinius matavimus)?</v>
      </c>
      <c r="F850" s="1631"/>
      <c r="G850" s="1631"/>
      <c r="H850" s="1631"/>
      <c r="I850" s="1631"/>
      <c r="J850" s="1631"/>
      <c r="K850" s="1631"/>
      <c r="L850" s="1122"/>
      <c r="M850" s="498"/>
      <c r="O850" s="1305"/>
      <c r="P850" s="23"/>
      <c r="Q850" s="23"/>
      <c r="R850" s="23"/>
      <c r="S850" s="23"/>
      <c r="T850" s="23"/>
      <c r="U850" s="23"/>
      <c r="V850" s="30"/>
      <c r="W850" s="30"/>
      <c r="X850" s="30"/>
      <c r="Y850" s="485"/>
      <c r="Z850" s="30"/>
      <c r="AA850" s="30"/>
      <c r="AB850" s="30"/>
      <c r="AC850" s="1115" t="b">
        <f>AND(E845&lt;&gt;"",T846&lt;&gt;TRUE)</f>
        <v>0</v>
      </c>
      <c r="AD850" s="30"/>
      <c r="AE850" s="30"/>
      <c r="AF850" s="58"/>
      <c r="AG850" s="30"/>
      <c r="AH850" s="30"/>
      <c r="AI850" s="30"/>
      <c r="AJ850" s="495"/>
      <c r="AK850" s="495"/>
      <c r="AL850" s="333"/>
      <c r="AM850" s="30"/>
      <c r="AN850" s="30"/>
      <c r="AO850" s="30"/>
      <c r="AP850" s="30"/>
      <c r="AQ850" s="30"/>
      <c r="AR850" s="30"/>
      <c r="AS850" s="30"/>
      <c r="AT850" s="1115" t="b">
        <f>MSPara_BatchReportingMandatory&lt;&gt;TRUE</f>
        <v>0</v>
      </c>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1115" t="b">
        <f>OR(CNTR_CalcRelevant=EUconst_NotRelevant,AND(COUNTA(CNTR_ListRelevantSections)&gt;0,OR(T846=TRUE,E845="")))</f>
        <v>1</v>
      </c>
    </row>
    <row r="851" spans="1:78" s="140" customFormat="1" ht="5.0999999999999996" customHeight="1" thickBot="1" x14ac:dyDescent="0.25">
      <c r="A851" s="777"/>
      <c r="B851" s="1248"/>
      <c r="C851" s="164"/>
      <c r="D851" s="164"/>
      <c r="E851" s="164"/>
      <c r="F851" s="164"/>
      <c r="G851" s="164"/>
      <c r="H851" s="486"/>
      <c r="I851" s="486"/>
      <c r="J851" s="486"/>
      <c r="K851" s="486"/>
      <c r="L851" s="486"/>
      <c r="M851" s="498"/>
      <c r="O851" s="1305"/>
      <c r="P851" s="23"/>
      <c r="Q851" s="23"/>
      <c r="R851" s="23"/>
      <c r="S851" s="23"/>
      <c r="T851" s="23"/>
      <c r="U851" s="23"/>
      <c r="V851" s="30"/>
      <c r="W851" s="30"/>
      <c r="X851" s="30"/>
      <c r="Y851" s="485"/>
      <c r="Z851" s="30"/>
      <c r="AA851" s="30"/>
      <c r="AB851" s="30"/>
      <c r="AC851" s="483"/>
      <c r="AD851" s="30"/>
      <c r="AE851" s="30"/>
      <c r="AF851" s="58"/>
      <c r="AG851" s="30"/>
      <c r="AH851" s="30"/>
      <c r="AI851" s="30"/>
      <c r="AJ851" s="495"/>
      <c r="AK851" s="495"/>
      <c r="AL851" s="333"/>
      <c r="AM851" s="30"/>
      <c r="AN851" s="30"/>
      <c r="AO851" s="30"/>
      <c r="AP851" s="30"/>
      <c r="AQ851" s="30"/>
      <c r="AR851" s="30"/>
      <c r="AS851" s="30"/>
      <c r="AT851" s="483"/>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483"/>
    </row>
    <row r="852" spans="1:78" s="140" customFormat="1" ht="12.75" customHeight="1" thickBot="1" x14ac:dyDescent="0.25">
      <c r="A852" s="777"/>
      <c r="B852" s="1248"/>
      <c r="C852" s="783" t="s">
        <v>5</v>
      </c>
      <c r="D852" s="503" t="str">
        <f>Translations!$B$622</f>
        <v>VD:</v>
      </c>
      <c r="E852" s="1105" t="str">
        <f>Translations!$B$668</f>
        <v>Pradinis kiekis:</v>
      </c>
      <c r="F852" s="1123"/>
      <c r="G852" s="1106" t="str">
        <f>Translations!$B$669</f>
        <v>Galutinis kiekis:</v>
      </c>
      <c r="H852" s="1123"/>
      <c r="I852" s="1106" t="str">
        <f>Translations!$B$670</f>
        <v>Įsigytas kiekis:</v>
      </c>
      <c r="J852" s="1123"/>
      <c r="K852" s="1106" t="str">
        <f>Translations!$B$671</f>
        <v>Perduotas kiekis:</v>
      </c>
      <c r="L852" s="1123"/>
      <c r="M852" s="1107" t="str">
        <f>IF(AND(L850=TRUE,COUNT(F852,H852,J852,L852)&lt;4),EUconst_ERR_Incomplete,"")</f>
        <v/>
      </c>
      <c r="O852" s="1305"/>
      <c r="P852" s="23"/>
      <c r="Q852" s="23"/>
      <c r="R852" s="23"/>
      <c r="S852" s="23"/>
      <c r="T852" s="23"/>
      <c r="U852" s="23"/>
      <c r="V852" s="30"/>
      <c r="W852" s="30"/>
      <c r="X852" s="30"/>
      <c r="Y852" s="485"/>
      <c r="Z852" s="30"/>
      <c r="AA852" s="30"/>
      <c r="AB852" s="30"/>
      <c r="AC852" s="1115" t="b">
        <f>AC850</f>
        <v>0</v>
      </c>
      <c r="AD852" s="30"/>
      <c r="AE852" s="30"/>
      <c r="AF852" s="58"/>
      <c r="AG852" s="30"/>
      <c r="AH852" s="30"/>
      <c r="AI852" s="30"/>
      <c r="AJ852" s="495"/>
      <c r="AK852" s="495"/>
      <c r="AL852" s="333"/>
      <c r="AM852" s="30"/>
      <c r="AN852" s="30"/>
      <c r="AO852" s="30"/>
      <c r="AP852" s="30"/>
      <c r="AQ852" s="30"/>
      <c r="AR852" s="30"/>
      <c r="AS852" s="30"/>
      <c r="AT852" s="1115" t="b">
        <f>AND(AT850=TRUE,L850="")</f>
        <v>0</v>
      </c>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1115" t="b">
        <f>OR(BZ850,AND(NOT(ISBLANK(L850)),L850=FALSE))</f>
        <v>1</v>
      </c>
    </row>
    <row r="853" spans="1:78" s="140" customFormat="1" ht="5.0999999999999996" customHeight="1" thickBot="1" x14ac:dyDescent="0.25">
      <c r="A853" s="777"/>
      <c r="B853" s="1248"/>
      <c r="C853" s="164"/>
      <c r="D853" s="164"/>
      <c r="E853" s="164"/>
      <c r="F853" s="164"/>
      <c r="G853" s="164"/>
      <c r="M853" s="141"/>
      <c r="N853" s="141"/>
      <c r="O853" s="1305"/>
      <c r="P853" s="23"/>
      <c r="Q853" s="23"/>
      <c r="R853" s="23"/>
      <c r="S853" s="23"/>
      <c r="T853" s="23"/>
      <c r="U853" s="23"/>
      <c r="V853" s="30"/>
      <c r="W853" s="30"/>
      <c r="X853" s="30"/>
      <c r="Y853" s="485"/>
      <c r="Z853" s="30"/>
      <c r="AA853" s="30"/>
      <c r="AB853" s="30"/>
      <c r="AC853" s="30"/>
      <c r="AD853" s="30"/>
      <c r="AE853" s="30"/>
      <c r="AF853" s="58"/>
      <c r="AG853" s="30"/>
      <c r="AH853" s="30"/>
      <c r="AI853" s="30"/>
      <c r="AJ853" s="495"/>
      <c r="AK853" s="495"/>
      <c r="AL853" s="333"/>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row>
    <row r="854" spans="1:78" s="140" customFormat="1" ht="12.75" customHeight="1" thickBot="1" x14ac:dyDescent="0.25">
      <c r="A854" s="777"/>
      <c r="B854" s="1248"/>
      <c r="C854" s="164"/>
      <c r="D854" s="164"/>
      <c r="E854" s="164"/>
      <c r="F854" s="497" t="str">
        <f>Translations!$B$333</f>
        <v>Pakopa</v>
      </c>
      <c r="G854" s="1613" t="str">
        <f>Translations!$B$672</f>
        <v>pakopos aprašas</v>
      </c>
      <c r="H854" s="1613"/>
      <c r="I854" s="1608" t="str">
        <f>Translations!$B$158</f>
        <v>Vienetas</v>
      </c>
      <c r="J854" s="1608"/>
      <c r="K854" s="1608" t="str">
        <f>Translations!$B$673</f>
        <v>Vertė</v>
      </c>
      <c r="L854" s="1608"/>
      <c r="M854" s="498" t="str">
        <f>Translations!$B$610</f>
        <v>klaida</v>
      </c>
      <c r="O854" s="1305"/>
      <c r="P854" s="499"/>
      <c r="Q854" s="343" t="str">
        <f>EUconst_SumEnergyIN &amp; "_" &amp; K845</f>
        <v>SUM_EnergyIN_</v>
      </c>
      <c r="R854" s="390" t="str">
        <f>IF(OR(K845="",T846)=TRUE,"",INDEX(BC860:BE860,MATCH(K845,BC855:BE855,0)))</f>
        <v/>
      </c>
      <c r="S854" s="30"/>
      <c r="T854" s="480"/>
      <c r="U854" s="30"/>
      <c r="V854" s="500" t="s">
        <v>298</v>
      </c>
      <c r="W854" s="30"/>
      <c r="X854" s="30"/>
      <c r="Y854" s="485" t="s">
        <v>560</v>
      </c>
      <c r="Z854" s="485" t="s">
        <v>313</v>
      </c>
      <c r="AA854" s="30"/>
      <c r="AB854" s="30"/>
      <c r="AC854" s="496" t="s">
        <v>304</v>
      </c>
      <c r="AD854" s="30"/>
      <c r="AE854" s="30"/>
      <c r="AF854" s="483" t="s">
        <v>300</v>
      </c>
      <c r="AG854" s="483" t="s">
        <v>301</v>
      </c>
      <c r="AH854" s="485" t="s">
        <v>299</v>
      </c>
      <c r="AI854" s="495" t="s">
        <v>302</v>
      </c>
      <c r="AJ854" s="495" t="s">
        <v>561</v>
      </c>
      <c r="AK854" s="501" t="s">
        <v>306</v>
      </c>
      <c r="AL854" s="333"/>
      <c r="AM854" s="30"/>
      <c r="AN854" s="483" t="s">
        <v>300</v>
      </c>
      <c r="AO854" s="483" t="s">
        <v>301</v>
      </c>
      <c r="AP854" s="502" t="s">
        <v>305</v>
      </c>
      <c r="AQ854" s="495" t="s">
        <v>563</v>
      </c>
      <c r="AR854" s="495" t="s">
        <v>562</v>
      </c>
      <c r="AS854" s="501" t="s">
        <v>599</v>
      </c>
      <c r="AT854" s="501" t="s">
        <v>599</v>
      </c>
      <c r="AU854" s="30"/>
      <c r="AV854" s="483"/>
      <c r="AW854" s="483"/>
      <c r="AX854" s="483" t="s">
        <v>316</v>
      </c>
      <c r="AY854" s="483"/>
      <c r="AZ854" s="483"/>
      <c r="BA854" s="483"/>
      <c r="BB854" s="483"/>
      <c r="BC854" s="483"/>
      <c r="BD854" s="483"/>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484" t="s">
        <v>259</v>
      </c>
    </row>
    <row r="855" spans="1:78" s="140" customFormat="1" ht="12.75" customHeight="1" thickBot="1" x14ac:dyDescent="0.25">
      <c r="A855" s="777"/>
      <c r="B855" s="1248"/>
      <c r="C855" s="753" t="s">
        <v>194</v>
      </c>
      <c r="D855" s="503" t="str">
        <f>Translations!$B$622</f>
        <v>VD:</v>
      </c>
      <c r="E855" s="504"/>
      <c r="F855" s="393"/>
      <c r="G855" s="1603" t="str">
        <f>IF(OR(ISBLANK(F855),F855=EUconst_NoTier),"",IF(Z855=0,EUconst_NA,IF(ISERROR(Z855),"",Z855)))</f>
        <v/>
      </c>
      <c r="H855" s="1604"/>
      <c r="I855" s="1108" t="str">
        <f>IF(J855&lt;&gt;"","",AI855)</f>
        <v/>
      </c>
      <c r="J855" s="1109"/>
      <c r="K855" s="1116" t="str">
        <f>IF(L855="",AQ855,"")</f>
        <v/>
      </c>
      <c r="L855" s="1199"/>
      <c r="M855" s="700" t="str">
        <f>IF(AND(E846&lt;&gt;"",OR(F855="",COUNT(K855:L855)=0),Y855&lt;&gt;EUconst_NA,T846&lt;&gt;TRUE),EUconst_ERR_Incomplete,IF(COUNTIF(AX855:AZ855,TRUE)&gt;0,EUconst_ERR_Inconsistent,""))</f>
        <v/>
      </c>
      <c r="O855" s="1305"/>
      <c r="P855" s="635"/>
      <c r="Q855" s="343" t="str">
        <f>EUconst_SumBioEnergyIN &amp; "_" &amp; K845</f>
        <v>SUM_BioEnergyIN_</v>
      </c>
      <c r="R855" s="390" t="str">
        <f>IF(OR(K845="",T846)=TRUE,"",INDEX(BC861:BE861,MATCH(K845,BC855:BE855,0)))</f>
        <v/>
      </c>
      <c r="S855" s="30"/>
      <c r="T855" s="505" t="str">
        <f>EUconst_CNTR_ActivityData&amp;E846</f>
        <v>ActivityData_</v>
      </c>
      <c r="U855" s="488"/>
      <c r="V855" s="505" t="str">
        <f>IF(E845="","",INDEX(B_InstallationDescription!$I$71:$I$145,MATCH(U844,B_InstallationDescription!$D$71:$D$145,0)))</f>
        <v/>
      </c>
      <c r="W855" s="495" t="s">
        <v>533</v>
      </c>
      <c r="X855" s="488"/>
      <c r="Y855" s="506" t="str">
        <f>IF(OR(T846=TRUE,E846=""),"",INDEX(EUwideConstants!$N:$N,MATCH(T855,EUwideConstants!$Q:$Q,0)))</f>
        <v/>
      </c>
      <c r="Z855" s="507" t="str">
        <f>IF(ISBLANK(F855),"",IF(F855=EUconst_NA,"",INDEX(EUwideConstants!$H:$M,MATCH(T855,EUwideConstants!$Q:$Q,0),MATCH(F855,CNTR_TierList,0))))</f>
        <v/>
      </c>
      <c r="AA855" s="508" t="s">
        <v>299</v>
      </c>
      <c r="AB855" s="495"/>
      <c r="AC855" s="509" t="b">
        <f>AC850</f>
        <v>0</v>
      </c>
      <c r="AD855" s="30"/>
      <c r="AE855" s="510" t="str">
        <f>EUconst_CNTR_ActivityData&amp;EUconst_Unit</f>
        <v>ActivityData_Vienetas</v>
      </c>
      <c r="AF855" s="511" t="str">
        <f>IF(AC855=TRUE, IF(COUNTIF(MSPara_SourceStreamCategory,V855)=0,"",INDEX(MSPara_CalcFactorsMatrix,MATCH(V855,MSPara_SourceStreamCategory,0),MATCH(AE855&amp;"_"&amp;2,MSPara_CalcFactors,0))),"")</f>
        <v/>
      </c>
      <c r="AG855" s="512" t="str">
        <f>IF(AC855=TRUE, IF(COUNTIF(MSPara_SourceStreamCategory,V855)=0,"",INDEX(MSPara_CalcFactorsMatrix,MATCH(V855,MSPara_SourceStreamCategory,0),MATCH(AE855&amp;"_"&amp;1,MSPara_CalcFactors,0))),"")</f>
        <v/>
      </c>
      <c r="AH855" s="509" t="str">
        <f>IF(OR(AF855="",AF855=EUconst_NA),IF(OR(AG855=EUconst_NA,AG855=""),"",AG855),AF855)</f>
        <v/>
      </c>
      <c r="AI855" s="506" t="str">
        <f>IF(AC855=TRUE,IF(AH855="",EUconst_t,AH855),"")</f>
        <v/>
      </c>
      <c r="AJ855" s="513" t="str">
        <f>IF(J855="",AI855,J855)</f>
        <v/>
      </c>
      <c r="AK855" s="514" t="b">
        <f>IF(K845=EUconst_Fuel,J855&lt;&gt;"",FALSE)</f>
        <v>0</v>
      </c>
      <c r="AL855" s="333"/>
      <c r="AM855" s="505" t="str">
        <f>EUconst_CNTR_ActivityData&amp;EUconst_Value</f>
        <v>ActivityData_Vertė</v>
      </c>
      <c r="AN855" s="496"/>
      <c r="AO855" s="496"/>
      <c r="AP855" s="509" t="b">
        <f>AND(AND(AH855&lt;&gt;"",AJ855&lt;&gt;""),AJ855=AH855)</f>
        <v>0</v>
      </c>
      <c r="AQ855" s="610" t="str">
        <f>IF(L850=TRUE,SUM(F852)-SUM(H852)+SUM(J852)-SUM(L852),"")</f>
        <v/>
      </c>
      <c r="AR855" s="509">
        <f>IF(Y855=EUconst_NA,0,IF(COUNT(K855:L855)=0,0,IF(L855="",K855,L855)))</f>
        <v>0</v>
      </c>
      <c r="AS855" s="1115" t="b">
        <f>AND(AC855=TRUE,OR(L855&lt;&gt;"",AQ855=""))</f>
        <v>0</v>
      </c>
      <c r="AT855" s="1115" t="b">
        <f>AND(AC855=TRUE,NOT(AS855))</f>
        <v>0</v>
      </c>
      <c r="AU855" s="30"/>
      <c r="AV855" s="483" t="s">
        <v>309</v>
      </c>
      <c r="AW855" s="483" t="s">
        <v>314</v>
      </c>
      <c r="AX855" s="515"/>
      <c r="AY855" s="30" t="s">
        <v>536</v>
      </c>
      <c r="AZ855" s="30"/>
      <c r="BA855" s="30"/>
      <c r="BB855" s="495"/>
      <c r="BC855" s="484" t="str">
        <f>EUconst_Fuel</f>
        <v>Degimas</v>
      </c>
      <c r="BD855" s="484" t="str">
        <f>EUconst_ProcessCarbonate</f>
        <v>Proceso metu išsiskiriančios ŠESD</v>
      </c>
      <c r="BE855" s="484" t="str">
        <f>EUconst_MassBalance</f>
        <v>Masės balansas</v>
      </c>
      <c r="BF855" s="30"/>
      <c r="BG855" s="30"/>
      <c r="BH855" s="30"/>
      <c r="BI855" s="30"/>
      <c r="BJ855" s="30"/>
      <c r="BK855" s="30"/>
      <c r="BL855" s="30"/>
      <c r="BM855" s="30"/>
      <c r="BN855" s="30"/>
      <c r="BO855" s="30"/>
      <c r="BP855" s="30"/>
      <c r="BQ855" s="30"/>
      <c r="BR855" s="30"/>
      <c r="BS855" s="30"/>
      <c r="BT855" s="30"/>
      <c r="BU855" s="30"/>
      <c r="BV855" s="30"/>
      <c r="BW855" s="30"/>
      <c r="BX855" s="30"/>
      <c r="BY855" s="30"/>
      <c r="BZ855" s="515" t="b">
        <f>BZ850</f>
        <v>1</v>
      </c>
    </row>
    <row r="856" spans="1:78" s="140" customFormat="1" ht="5.0999999999999996" customHeight="1" thickBot="1" x14ac:dyDescent="0.25">
      <c r="A856" s="777"/>
      <c r="B856" s="1248"/>
      <c r="C856" s="783"/>
      <c r="D856" s="298"/>
      <c r="F856" s="141"/>
      <c r="G856" s="141"/>
      <c r="H856" s="141" t="s">
        <v>233</v>
      </c>
      <c r="I856" s="516"/>
      <c r="J856" s="516"/>
      <c r="K856" s="141"/>
      <c r="L856" s="141"/>
      <c r="M856" s="701"/>
      <c r="O856" s="1305"/>
      <c r="P856" s="33"/>
      <c r="Q856" s="33"/>
      <c r="R856" s="33"/>
      <c r="S856" s="30"/>
      <c r="T856" s="153"/>
      <c r="U856" s="488"/>
      <c r="V856" s="30"/>
      <c r="W856" s="30"/>
      <c r="X856" s="488"/>
      <c r="Y856" s="517"/>
      <c r="Z856" s="30"/>
      <c r="AA856" s="30"/>
      <c r="AB856" s="30"/>
      <c r="AC856" s="30"/>
      <c r="AD856" s="30"/>
      <c r="AE856" s="30"/>
      <c r="AF856" s="30"/>
      <c r="AG856" s="30"/>
      <c r="AH856" s="30"/>
      <c r="AI856" s="30"/>
      <c r="AJ856" s="30"/>
      <c r="AK856" s="30"/>
      <c r="AL856" s="333"/>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484"/>
    </row>
    <row r="857" spans="1:78" s="140" customFormat="1" ht="12.75" customHeight="1" thickBot="1" x14ac:dyDescent="0.25">
      <c r="A857" s="777"/>
      <c r="B857" s="1248"/>
      <c r="C857" s="783" t="s">
        <v>195</v>
      </c>
      <c r="D857" s="503" t="str">
        <f>Translations!$B$634</f>
        <v>(prelim.) ITF:</v>
      </c>
      <c r="E857" s="504"/>
      <c r="F857" s="518"/>
      <c r="G857" s="1603" t="str">
        <f t="shared" ref="G857:G863" si="203">IF(OR(ISBLANK(F857),F857=EUconst_NoTier),"",IF(Z857=0,EUconst_NotApplicable,IF(ISERROR(Z857),"",Z857)))</f>
        <v/>
      </c>
      <c r="H857" s="1609"/>
      <c r="I857" s="1110" t="str">
        <f>IF(J857&lt;&gt;"","",AI857)</f>
        <v/>
      </c>
      <c r="J857" s="1111"/>
      <c r="K857" s="519" t="str">
        <f t="shared" ref="K857:K863" si="204">IF(L857="",AQ857,"")</f>
        <v/>
      </c>
      <c r="L857" s="520"/>
      <c r="M857" s="700" t="str">
        <f>IF(AND(E846&lt;&gt;"",OR(F857="",COUNT(K857:L857)=0),Y857&lt;&gt;EUconst_NA,T846&lt;&gt;TRUE),EUconst_ERR_Incomplete,IF(COUNTIF(AX857:AZ857,TRUE)&gt;0,EUconst_ERR_Inconsistent,""))</f>
        <v/>
      </c>
      <c r="N857" s="486"/>
      <c r="O857" s="1305"/>
      <c r="P857" s="33"/>
      <c r="Q857" s="33"/>
      <c r="R857" s="33"/>
      <c r="S857" s="30"/>
      <c r="T857" s="521" t="str">
        <f>EUconst_CNTR_EF&amp;E846</f>
        <v>EF_</v>
      </c>
      <c r="U857" s="488"/>
      <c r="V857" s="522" t="str">
        <f>V855</f>
        <v/>
      </c>
      <c r="W857" s="30"/>
      <c r="X857" s="488"/>
      <c r="Y857" s="523" t="str">
        <f>IF(OR(T846=TRUE,E846=""),"",IF(F857=EUconst_NA,EUconst_NA,INDEX(EUwideConstants!$N:$N,MATCH(T857,EUwideConstants!$Q:$Q,0))))</f>
        <v/>
      </c>
      <c r="Z857" s="524" t="str">
        <f>IF(ISBLANK(F857),"",IF(F857=EUconst_NA,"",INDEX(EUwideConstants!$H:$M,MATCH(T857,EUwideConstants!$Q:$Q,0),MATCH(F857,CNTR_TierList,0))))</f>
        <v/>
      </c>
      <c r="AA857" s="525" t="str">
        <f>IF(COUNTIF(EUconst_DefaultValues,Z857)&gt;0,MATCH(Z857,EUconst_DefaultValues,0),"")</f>
        <v/>
      </c>
      <c r="AB857" s="30"/>
      <c r="AC857" s="526" t="b">
        <f>AND(AC855,Y857&lt;&gt;EUconst_NA)</f>
        <v>0</v>
      </c>
      <c r="AD857" s="30"/>
      <c r="AE857" s="510" t="str">
        <f>EUconst_CNTR_EF&amp;EUconst_Unit</f>
        <v>EF_Vienetas</v>
      </c>
      <c r="AF857" s="527" t="str">
        <f>IF(AC857=TRUE, IF(COUNTIF(MSPara_SourceStreamCategory,V857)=0,"",INDEX(MSPara_CalcFactorsMatrix,MATCH(V857,MSPara_SourceStreamCategory,0),MATCH(AE857&amp;"_"&amp;2,MSPara_CalcFactors,0))),"")</f>
        <v/>
      </c>
      <c r="AG857" s="528" t="str">
        <f>IF(AC857=TRUE, IF(COUNTIF(MSPara_SourceStreamCategory,V857)=0,"",INDEX(MSPara_CalcFactorsMatrix,MATCH(V857,MSPara_SourceStreamCategory,0),MATCH(AE857&amp;"_"&amp;1,MSPara_CalcFactors,0))),"")</f>
        <v/>
      </c>
      <c r="AH857" s="529" t="str">
        <f>IF(AA857="","",INDEX(AF857:AG857,3-AA857))</f>
        <v/>
      </c>
      <c r="AI857" s="530" t="str">
        <f>IF(AC857=TRUE,IF(OR(AH857="",AH857=EUconst_NA),IF(K845=EUconst_Fuel,EUconst_tCO2pTJ,EUconst_tCO2pt),AH857),"")</f>
        <v/>
      </c>
      <c r="AJ857" s="526" t="str">
        <f>IF(J857="",AI857,J857)</f>
        <v/>
      </c>
      <c r="AK857" s="531" t="b">
        <f>IF(K845=EUconst_Fuel,J857&lt;&gt;"",FALSE)</f>
        <v>0</v>
      </c>
      <c r="AL857" s="333"/>
      <c r="AM857" s="510" t="str">
        <f>EUconst_CNTR_EF&amp;EUconst_Value</f>
        <v>EF_Vertė</v>
      </c>
      <c r="AN857" s="532" t="str">
        <f>IF(AC857=TRUE,IF(COUNTIF(MSPara_SourceStreamCategory,V857)=0,"",INDEX(MSPara_CalcFactorsMatrix,MATCH(V857,MSPara_SourceStreamCategory,0),MATCH(AM857&amp;"_"&amp;2,MSPara_CalcFactors,0))),"")</f>
        <v/>
      </c>
      <c r="AO857" s="533" t="str">
        <f>IF(AC857=TRUE,IF(COUNTIF(MSPara_SourceStreamCategory,V857)=0,"",INDEX(MSPara_CalcFactorsMatrix,MATCH(V857,MSPara_SourceStreamCategory,0),MATCH(AM857&amp;"_"&amp;1,MSPara_CalcFactors,0))),"")</f>
        <v/>
      </c>
      <c r="AP857" s="526" t="b">
        <f>AND(AND(AH857&lt;&gt;"",AJ857&lt;&gt;""),AJ857=AH857)</f>
        <v>0</v>
      </c>
      <c r="AQ857" s="534" t="str">
        <f>IF(AND(AA857&lt;&gt;"",AP857=TRUE),IF(OR(INDEX(AN857:AO857,3-AA857)=EUconst_NA,INDEX(AN857:AO857,3-AA857)=0),"",INDEX(AN857:AO857,3-AA857)),"")</f>
        <v/>
      </c>
      <c r="AR857" s="526">
        <f>IF(AC857=TRUE,IF(COUNT(K857:L857)=0,0,IF(L857="",K857,L857)),0)</f>
        <v>0</v>
      </c>
      <c r="AS857" s="522" t="b">
        <f>AND(AC857=TRUE,OR(AND(F857&lt;&gt;"",NOT(ISNUMBER(AA857))),L857&lt;&gt;"",F857="",AQ857=""))</f>
        <v>0</v>
      </c>
      <c r="AT857" s="522" t="b">
        <f t="shared" ref="AT857:AT863" si="205">AND(AC857=TRUE,NOT(AS857))</f>
        <v>0</v>
      </c>
      <c r="AU857" s="30"/>
      <c r="AV857" s="535" t="b">
        <f t="shared" ref="AV857:AV863" si="206">AND(ISNUMBER(AA857),AQ857="")</f>
        <v>0</v>
      </c>
      <c r="AW857" s="536" t="b">
        <f t="shared" ref="AW857:AW863" si="207">AND(ISNUMBER(AA857),AQ857&lt;&gt;AR857)</f>
        <v>0</v>
      </c>
      <c r="AX857" s="537" t="b">
        <f>OR(AND(AJ855=EUconst_kNm3,AJ857=EUconst_tCO2pt),AND(AJ855=EUconst_t,AJ857=EUconst_tCO2pkNm3))</f>
        <v>0</v>
      </c>
      <c r="AY857" s="522" t="b">
        <f t="shared" ref="AY857:AY863" si="208">AND(L857&lt;&gt;"",Y857=EUconst_NA)</f>
        <v>0</v>
      </c>
      <c r="AZ857" s="30"/>
      <c r="BA857" s="30"/>
      <c r="BB857" s="538" t="s">
        <v>588</v>
      </c>
      <c r="BC857" s="537" t="str">
        <f>IF(K845=BC855,AR855*IF(AJ857=EUconst_tCO2pTJ,(AR858/1000),1)*AR857*AR859*AR863,"")</f>
        <v/>
      </c>
      <c r="BD857" s="515" t="str">
        <f>IF(K845=BD855,AR855*AR857*AR860*AR863,"")</f>
        <v/>
      </c>
      <c r="BE857" s="514" t="str">
        <f>IF(K845=BE855,3.664*AR855*AR861*AR863,"")</f>
        <v/>
      </c>
      <c r="BF857" s="30"/>
      <c r="BG857" s="30"/>
      <c r="BH857" s="30"/>
      <c r="BI857" s="30"/>
      <c r="BJ857" s="30"/>
      <c r="BK857" s="30"/>
      <c r="BL857" s="30"/>
      <c r="BM857" s="30"/>
      <c r="BN857" s="30"/>
      <c r="BO857" s="30"/>
      <c r="BP857" s="30"/>
      <c r="BQ857" s="30"/>
      <c r="BR857" s="30"/>
      <c r="BS857" s="30"/>
      <c r="BT857" s="30"/>
      <c r="BU857" s="30"/>
      <c r="BV857" s="30"/>
      <c r="BW857" s="30"/>
      <c r="BX857" s="30"/>
      <c r="BY857" s="30"/>
      <c r="BZ857" s="522" t="b">
        <f>OR(BZ855,Y857=EUconst_NA)</f>
        <v>1</v>
      </c>
    </row>
    <row r="858" spans="1:78" s="140" customFormat="1" ht="12.75" customHeight="1" thickBot="1" x14ac:dyDescent="0.25">
      <c r="A858" s="777"/>
      <c r="B858" s="1248"/>
      <c r="C858" s="783" t="s">
        <v>196</v>
      </c>
      <c r="D858" s="503" t="str">
        <f>Translations!$B$636</f>
        <v>GŠV:</v>
      </c>
      <c r="E858" s="504"/>
      <c r="F858" s="539"/>
      <c r="G858" s="1603" t="str">
        <f t="shared" si="203"/>
        <v/>
      </c>
      <c r="H858" s="1604"/>
      <c r="I858" s="1112" t="str">
        <f>AJ858</f>
        <v/>
      </c>
      <c r="J858" s="540"/>
      <c r="K858" s="541" t="str">
        <f t="shared" si="204"/>
        <v/>
      </c>
      <c r="L858" s="542"/>
      <c r="M858" s="700" t="str">
        <f>IF(AND(E846&lt;&gt;"",OR(F858="",COUNT(K858:L858)=0),Y858&lt;&gt;EUconst_NA,T846&lt;&gt;TRUE),EUconst_ERR_Incomplete,IF(COUNTIF(AX858:AZ858,TRUE)&gt;0,EUconst_ERR_Inconsistent,""))</f>
        <v/>
      </c>
      <c r="O858" s="1305"/>
      <c r="P858" s="33"/>
      <c r="Q858" s="33"/>
      <c r="R858" s="33"/>
      <c r="S858" s="30"/>
      <c r="T858" s="543" t="str">
        <f>EUconst_CNTR_NCV&amp;E846</f>
        <v>NCV_</v>
      </c>
      <c r="U858" s="488"/>
      <c r="V858" s="544" t="str">
        <f t="shared" ref="V858:V863" si="209">V857</f>
        <v/>
      </c>
      <c r="W858" s="30"/>
      <c r="X858" s="488"/>
      <c r="Y858" s="545" t="str">
        <f>IF(OR(T846=TRUE,E846=""),"",IF(F858=EUconst_NA,EUconst_NA,INDEX(EUwideConstants!$N:$N,MATCH(T858,EUwideConstants!$Q:$Q,0))))</f>
        <v/>
      </c>
      <c r="Z858" s="546" t="str">
        <f>IF(ISBLANK(F858),"",IF(F858=EUconst_NA,"",INDEX(EUwideConstants!$H:$M,MATCH(T858,EUwideConstants!$Q:$Q,0),MATCH(F858,CNTR_TierList,0))))</f>
        <v/>
      </c>
      <c r="AA858" s="547" t="str">
        <f>IF(COUNTIF(EUconst_DefaultValues,Z858)&gt;0,MATCH(Z858,EUconst_DefaultValues,0),"")</f>
        <v/>
      </c>
      <c r="AB858" s="30"/>
      <c r="AC858" s="548" t="b">
        <f>AND(AC855,Y858&lt;&gt;EUconst_NA)</f>
        <v>0</v>
      </c>
      <c r="AD858" s="30"/>
      <c r="AE858" s="549" t="str">
        <f>EUconst_CNTR_NCV&amp;EUconst_Unit</f>
        <v>NCV_Vienetas</v>
      </c>
      <c r="AF858" s="550" t="str">
        <f>IF(AC858=TRUE, IF(COUNTIF(MSPara_SourceStreamCategory,V858)=0,"",INDEX(MSPara_CalcFactorsMatrix,MATCH(V858,MSPara_SourceStreamCategory,0),MATCH(AE858&amp;"_"&amp;2,MSPara_CalcFactors,0))),"")</f>
        <v/>
      </c>
      <c r="AG858" s="551" t="str">
        <f>IF(AC858=TRUE, IF(COUNTIF(MSPara_SourceStreamCategory,V858)=0,"",INDEX(MSPara_CalcFactorsMatrix,MATCH(V858,MSPara_SourceStreamCategory,0),MATCH(AE858&amp;"_"&amp;1,MSPara_CalcFactors,0))),"")</f>
        <v/>
      </c>
      <c r="AH858" s="552" t="str">
        <f>IF(AA858="","",INDEX(AF858:AG858,3-AA858))</f>
        <v/>
      </c>
      <c r="AI858" s="553"/>
      <c r="AJ858" s="548" t="str">
        <f>IF(AC858=TRUE,IF(AJ855="","",IF(AJ855=EUconst_kNm3,EUconst_GJpkNm3,EUconst_GJpt)),"")</f>
        <v/>
      </c>
      <c r="AK858" s="554"/>
      <c r="AL858" s="333"/>
      <c r="AM858" s="549" t="str">
        <f>EUconst_CNTR_NCV&amp;EUconst_Value</f>
        <v>NCV_Vertė</v>
      </c>
      <c r="AN858" s="555" t="str">
        <f>IF(AC858=TRUE,IF(COUNTIF(MSPara_SourceStreamCategory,V858)=0,"",INDEX(MSPara_CalcFactorsMatrix,MATCH(V858,MSPara_SourceStreamCategory,0),MATCH(AM858&amp;"_"&amp;2,MSPara_CalcFactors,0))),"")</f>
        <v/>
      </c>
      <c r="AO858" s="556" t="str">
        <f>IF(AC858=TRUE,IF(COUNTIF(MSPara_SourceStreamCategory,V858)=0,"",INDEX(MSPara_CalcFactorsMatrix,MATCH(V858,MSPara_SourceStreamCategory,0),MATCH(AM858&amp;"_"&amp;1,MSPara_CalcFactors,0))),"")</f>
        <v/>
      </c>
      <c r="AP858" s="548" t="b">
        <f>AND(AND(AH858&lt;&gt;"",AJ858&lt;&gt;""),AJ858=AH858)</f>
        <v>0</v>
      </c>
      <c r="AQ858" s="557" t="str">
        <f>IF(AND(AA858&lt;&gt;"",AP858=TRUE),IF(OR(INDEX(AN858:AO858,3-AA858)=EUconst_NA,INDEX(AN858:AO858,3-AA858)=0),"",INDEX(AN858:AO858,3-AA858)),"")</f>
        <v/>
      </c>
      <c r="AR858" s="548">
        <f>IF(AC858=TRUE,IF(COUNT(K858:L858)=0,0,IF(L858="",K858,L858)),0)</f>
        <v>0</v>
      </c>
      <c r="AS858" s="544" t="b">
        <f>AND(AC858=TRUE,OR(AND(F858&lt;&gt;"",NOT(ISNUMBER(AA858))),L858&lt;&gt;"",F858="",AQ858=""))</f>
        <v>0</v>
      </c>
      <c r="AT858" s="544" t="b">
        <f t="shared" si="205"/>
        <v>0</v>
      </c>
      <c r="AU858" s="30"/>
      <c r="AV858" s="558" t="b">
        <f t="shared" si="206"/>
        <v>0</v>
      </c>
      <c r="AW858" s="559" t="b">
        <f t="shared" si="207"/>
        <v>0</v>
      </c>
      <c r="AX858" s="30"/>
      <c r="AY858" s="544" t="b">
        <f t="shared" si="208"/>
        <v>0</v>
      </c>
      <c r="AZ858" s="30"/>
      <c r="BA858" s="30"/>
      <c r="BB858" s="538" t="s">
        <v>589</v>
      </c>
      <c r="BC858" s="537" t="str">
        <f>IF(K845=BC855,AR855*IF(AJ857=EUconst_tCO2pTJ,(AR858/1000),1)*AR857*AR859*AR862,"")</f>
        <v/>
      </c>
      <c r="BD858" s="515" t="str">
        <f>IF(K845=BD855,AR855*AR857*AR860*AR862,"")</f>
        <v/>
      </c>
      <c r="BE858" s="514" t="str">
        <f>IF(K845=BE855,3.664*AR855*AR861*AR862,"")</f>
        <v/>
      </c>
      <c r="BF858" s="30"/>
      <c r="BG858" s="30"/>
      <c r="BH858" s="30"/>
      <c r="BI858" s="30"/>
      <c r="BJ858" s="30"/>
      <c r="BK858" s="30"/>
      <c r="BL858" s="30"/>
      <c r="BM858" s="30"/>
      <c r="BN858" s="30"/>
      <c r="BO858" s="30"/>
      <c r="BP858" s="30"/>
      <c r="BQ858" s="30"/>
      <c r="BR858" s="30"/>
      <c r="BS858" s="30"/>
      <c r="BT858" s="30"/>
      <c r="BU858" s="30"/>
      <c r="BV858" s="30"/>
      <c r="BW858" s="30"/>
      <c r="BX858" s="30"/>
      <c r="BY858" s="30"/>
      <c r="BZ858" s="544" t="b">
        <f>OR(BZ855,Y858=EUconst_NA)</f>
        <v>1</v>
      </c>
    </row>
    <row r="859" spans="1:78" s="140" customFormat="1" ht="12.75" customHeight="1" thickBot="1" x14ac:dyDescent="0.25">
      <c r="A859" s="777"/>
      <c r="B859" s="1248"/>
      <c r="C859" s="783" t="s">
        <v>197</v>
      </c>
      <c r="D859" s="503" t="str">
        <f>Translations!$B$638</f>
        <v>Oksidacijos koef.:</v>
      </c>
      <c r="E859" s="504"/>
      <c r="F859" s="539"/>
      <c r="G859" s="1603" t="str">
        <f t="shared" si="203"/>
        <v/>
      </c>
      <c r="H859" s="1604"/>
      <c r="I859" s="1113" t="str">
        <f>IF(OR(AC859=FALSE,Y859=EUconst_NA),"","-")</f>
        <v/>
      </c>
      <c r="J859" s="560"/>
      <c r="K859" s="561" t="str">
        <f t="shared" si="204"/>
        <v/>
      </c>
      <c r="L859" s="694"/>
      <c r="M859" s="700" t="str">
        <f>IF(AND(E846&lt;&gt;"",OR(F859="",COUNT(K859:L859)=0),Y859&lt;&gt;EUconst_NA,T846&lt;&gt;TRUE),EUconst_ERR_Incomplete,IF(COUNTIF(AX859:AZ859,TRUE)&gt;0,EUconst_ERR_Inconsistent,""))</f>
        <v/>
      </c>
      <c r="O859" s="1305"/>
      <c r="P859" s="33"/>
      <c r="Q859" s="33"/>
      <c r="R859" s="33"/>
      <c r="S859" s="30"/>
      <c r="T859" s="543" t="str">
        <f>EUconst_CNTR_OxidationFactor&amp;E846</f>
        <v>OxF_</v>
      </c>
      <c r="U859" s="488"/>
      <c r="V859" s="544" t="str">
        <f t="shared" si="209"/>
        <v/>
      </c>
      <c r="W859" s="30"/>
      <c r="X859" s="488"/>
      <c r="Y859" s="545" t="str">
        <f>IF(OR(T846=TRUE,E846=""),"",INDEX(EUwideConstants!$N:$N,MATCH(T859,EUwideConstants!$Q:$Q,0)))</f>
        <v/>
      </c>
      <c r="Z859" s="546" t="str">
        <f>IF(ISBLANK(F859),"",IF(F859=EUconst_NA,"",INDEX(EUwideConstants!$H:$M,MATCH(T859,EUwideConstants!$Q:$Q,0),MATCH(F859,CNTR_TierList,0))))</f>
        <v/>
      </c>
      <c r="AA859" s="525" t="str">
        <f>IF(F859=1,1,"")</f>
        <v/>
      </c>
      <c r="AB859" s="30"/>
      <c r="AC859" s="548" t="b">
        <f>AND(AC855,Y859&lt;&gt;EUconst_NA)</f>
        <v>0</v>
      </c>
      <c r="AD859" s="30"/>
      <c r="AE859" s="563"/>
      <c r="AG859" s="564"/>
      <c r="AH859" s="553"/>
      <c r="AI859" s="565"/>
      <c r="AJ859" s="553"/>
      <c r="AK859" s="566"/>
      <c r="AL859" s="333"/>
      <c r="AM859" s="549" t="str">
        <f>EUconst_CNTR_OxidationFactor&amp;EUconst_Value</f>
        <v>OxF_Vertė</v>
      </c>
      <c r="AN859" s="567"/>
      <c r="AO859" s="525">
        <v>1</v>
      </c>
      <c r="AP859" s="553"/>
      <c r="AQ859" s="568" t="str">
        <f>IF(AA859="","",AO859)</f>
        <v/>
      </c>
      <c r="AR859" s="548">
        <f>IF(AC859=TRUE,IF(COUNT(K859:L859)=0,0,IF(L859="",K859,L859)),1)</f>
        <v>1</v>
      </c>
      <c r="AS859" s="544" t="b">
        <f>AND(AC859=TRUE,OR(ISNUMBER(L859),NOT(ISNUMBER(AA859))))</f>
        <v>0</v>
      </c>
      <c r="AT859" s="544" t="b">
        <f t="shared" si="205"/>
        <v>0</v>
      </c>
      <c r="AU859" s="30"/>
      <c r="AV859" s="558" t="b">
        <f t="shared" si="206"/>
        <v>0</v>
      </c>
      <c r="AW859" s="559" t="b">
        <f t="shared" si="207"/>
        <v>0</v>
      </c>
      <c r="AX859" s="30"/>
      <c r="AY859" s="585" t="b">
        <f t="shared" si="208"/>
        <v>0</v>
      </c>
      <c r="AZ859" s="522" t="b">
        <f>AR859&gt;100%</f>
        <v>0</v>
      </c>
      <c r="BA859" s="30"/>
      <c r="BB859" s="538" t="s">
        <v>287</v>
      </c>
      <c r="BC859" s="537" t="str">
        <f>IF(K845=BC855,AR855*IF(AJ857=EUconst_tCO2pTJ,(AR858/1000),1)*AR857*AR859*(1-AR862),"")</f>
        <v/>
      </c>
      <c r="BD859" s="515" t="str">
        <f>IF(K845=BD855,AR855*AR857*AR860*(1-AR862),"")</f>
        <v/>
      </c>
      <c r="BE859" s="514" t="str">
        <f>IF(K845=BE855,3.664*AR855*AR861*(1-AR862),"")</f>
        <v/>
      </c>
      <c r="BF859" s="30"/>
      <c r="BG859" s="30"/>
      <c r="BH859" s="30"/>
      <c r="BI859" s="30"/>
      <c r="BJ859" s="30"/>
      <c r="BK859" s="30"/>
      <c r="BL859" s="30"/>
      <c r="BM859" s="30"/>
      <c r="BN859" s="30"/>
      <c r="BO859" s="30"/>
      <c r="BP859" s="30"/>
      <c r="BQ859" s="30"/>
      <c r="BR859" s="30"/>
      <c r="BS859" s="30"/>
      <c r="BT859" s="30"/>
      <c r="BU859" s="30"/>
      <c r="BV859" s="30"/>
      <c r="BW859" s="30"/>
      <c r="BX859" s="30"/>
      <c r="BY859" s="30"/>
      <c r="BZ859" s="544" t="b">
        <f>OR(BZ855,Y859=EUconst_NA)</f>
        <v>1</v>
      </c>
    </row>
    <row r="860" spans="1:78" s="140" customFormat="1" ht="12.75" customHeight="1" thickBot="1" x14ac:dyDescent="0.25">
      <c r="A860" s="777"/>
      <c r="B860" s="1248"/>
      <c r="C860" s="783" t="s">
        <v>198</v>
      </c>
      <c r="D860" s="503" t="str">
        <f>Translations!$B$639</f>
        <v>Konversijos koef.:</v>
      </c>
      <c r="E860" s="504"/>
      <c r="F860" s="539"/>
      <c r="G860" s="1603" t="str">
        <f t="shared" si="203"/>
        <v/>
      </c>
      <c r="H860" s="1604"/>
      <c r="I860" s="1113" t="str">
        <f>IF(OR(AC860=FALSE,Y860=EUconst_NA),"","-")</f>
        <v/>
      </c>
      <c r="J860" s="560"/>
      <c r="K860" s="561" t="str">
        <f t="shared" si="204"/>
        <v/>
      </c>
      <c r="L860" s="694"/>
      <c r="M860" s="700" t="str">
        <f>IF(AND(E846&lt;&gt;"",OR(F860="",COUNT(K860:L860)=0),Y860&lt;&gt;EUconst_NA,T846&lt;&gt;TRUE),EUconst_ERR_Incomplete,IF(COUNTIF(AX860:AZ860,TRUE)&gt;0,EUconst_ERR_Inconsistent,""))</f>
        <v/>
      </c>
      <c r="O860" s="1305"/>
      <c r="P860" s="33"/>
      <c r="Q860" s="33"/>
      <c r="R860" s="33"/>
      <c r="S860" s="30"/>
      <c r="T860" s="543" t="str">
        <f>EUconst_CNTR_ConversionFactor&amp;E846</f>
        <v>ConvF_</v>
      </c>
      <c r="U860" s="488"/>
      <c r="V860" s="544" t="str">
        <f t="shared" si="209"/>
        <v/>
      </c>
      <c r="W860" s="30"/>
      <c r="X860" s="488"/>
      <c r="Y860" s="545" t="str">
        <f>IF(OR(T846=TRUE,E846=""),"",INDEX(EUwideConstants!$N:$N,MATCH(T860,EUwideConstants!$Q:$Q,0)))</f>
        <v/>
      </c>
      <c r="Z860" s="546" t="str">
        <f>IF(ISBLANK(F860),"",IF(F860=EUconst_NA,"",INDEX(EUwideConstants!$H:$M,MATCH(T860,EUwideConstants!$Q:$Q,0),MATCH(F860,CNTR_TierList,0))))</f>
        <v/>
      </c>
      <c r="AA860" s="573" t="str">
        <f>IF(F860=1,1,"")</f>
        <v/>
      </c>
      <c r="AB860" s="30"/>
      <c r="AC860" s="548" t="b">
        <f>AND(AC855,Y860&lt;&gt;EUconst_NA)</f>
        <v>0</v>
      </c>
      <c r="AD860" s="30"/>
      <c r="AE860" s="563"/>
      <c r="AG860" s="564"/>
      <c r="AH860" s="574"/>
      <c r="AI860" s="565"/>
      <c r="AJ860" s="574"/>
      <c r="AK860" s="566"/>
      <c r="AL860" s="333"/>
      <c r="AM860" s="549" t="str">
        <f>EUconst_CNTR_ConversionFactor&amp;EUconst_Value</f>
        <v>ConvF_Vertė</v>
      </c>
      <c r="AN860" s="575"/>
      <c r="AO860" s="573">
        <v>1</v>
      </c>
      <c r="AP860" s="574"/>
      <c r="AQ860" s="576" t="str">
        <f>IF(AA860="","",AO860)</f>
        <v/>
      </c>
      <c r="AR860" s="548">
        <f>IF(AC860=TRUE,IF(COUNT(K860:L860)=0,0,IF(L860="",K860,L860)),1)</f>
        <v>1</v>
      </c>
      <c r="AS860" s="544" t="b">
        <f>AND(AC860=TRUE,OR(ISNUMBER(L860),NOT(ISNUMBER(AA860))))</f>
        <v>0</v>
      </c>
      <c r="AT860" s="544" t="b">
        <f t="shared" si="205"/>
        <v>0</v>
      </c>
      <c r="AU860" s="30"/>
      <c r="AV860" s="558" t="b">
        <f t="shared" si="206"/>
        <v>0</v>
      </c>
      <c r="AW860" s="559" t="b">
        <f t="shared" si="207"/>
        <v>0</v>
      </c>
      <c r="AX860" s="30"/>
      <c r="AY860" s="585" t="b">
        <f t="shared" si="208"/>
        <v>0</v>
      </c>
      <c r="AZ860" s="571" t="b">
        <f>AR860&gt;100%</f>
        <v>0</v>
      </c>
      <c r="BA860" s="30"/>
      <c r="BB860" s="569" t="s">
        <v>481</v>
      </c>
      <c r="BC860" s="570">
        <f>AR855*AR858/1000*(1-AR862)</f>
        <v>0</v>
      </c>
      <c r="BD860" s="571">
        <f>BC860</f>
        <v>0</v>
      </c>
      <c r="BE860" s="572">
        <f>BC860</f>
        <v>0</v>
      </c>
      <c r="BF860" s="30"/>
      <c r="BG860" s="30"/>
      <c r="BH860" s="30"/>
      <c r="BI860" s="30"/>
      <c r="BJ860" s="30"/>
      <c r="BK860" s="30"/>
      <c r="BL860" s="30"/>
      <c r="BM860" s="30"/>
      <c r="BN860" s="30"/>
      <c r="BO860" s="30"/>
      <c r="BP860" s="30"/>
      <c r="BQ860" s="30"/>
      <c r="BR860" s="30"/>
      <c r="BS860" s="30"/>
      <c r="BT860" s="30"/>
      <c r="BU860" s="30"/>
      <c r="BV860" s="30"/>
      <c r="BW860" s="30"/>
      <c r="BX860" s="30"/>
      <c r="BY860" s="30"/>
      <c r="BZ860" s="544" t="b">
        <f>OR(BZ855,Y860=EUconst_NA)</f>
        <v>1</v>
      </c>
    </row>
    <row r="861" spans="1:78" s="140" customFormat="1" ht="12.75" customHeight="1" thickBot="1" x14ac:dyDescent="0.25">
      <c r="A861" s="777"/>
      <c r="B861" s="1248"/>
      <c r="C861" s="783" t="s">
        <v>324</v>
      </c>
      <c r="D861" s="503" t="str">
        <f>Translations!$B$640</f>
        <v>Anglies kiekis (C):</v>
      </c>
      <c r="E861" s="504"/>
      <c r="F861" s="539"/>
      <c r="G861" s="1603" t="str">
        <f t="shared" si="203"/>
        <v/>
      </c>
      <c r="H861" s="1604"/>
      <c r="I861" s="1113" t="str">
        <f>AJ861</f>
        <v/>
      </c>
      <c r="J861" s="577"/>
      <c r="K861" s="578" t="str">
        <f t="shared" si="204"/>
        <v/>
      </c>
      <c r="L861" s="579"/>
      <c r="M861" s="700" t="str">
        <f>IF(AND(E846&lt;&gt;"",OR(F861="",COUNT(K861:L861)=0),Y861&lt;&gt;EUconst_NA,T846&lt;&gt;TRUE),EUconst_ERR_Incomplete,IF(COUNTIF(AX861:AZ861,TRUE)&gt;0,EUconst_ERR_Inconsistent,""))</f>
        <v/>
      </c>
      <c r="O861" s="1305"/>
      <c r="P861" s="33"/>
      <c r="Q861" s="33"/>
      <c r="R861" s="33"/>
      <c r="S861" s="30"/>
      <c r="T861" s="543" t="str">
        <f>EUconst_CNTR_CarbonContent&amp;E846</f>
        <v>CarbC_</v>
      </c>
      <c r="U861" s="488"/>
      <c r="V861" s="544" t="str">
        <f t="shared" si="209"/>
        <v/>
      </c>
      <c r="W861" s="30"/>
      <c r="X861" s="488"/>
      <c r="Y861" s="545" t="str">
        <f>IF(OR(T846=TRUE,E846=""),"",INDEX(EUwideConstants!$N:$N,MATCH(T861,EUwideConstants!$Q:$Q,0)))</f>
        <v/>
      </c>
      <c r="Z861" s="546" t="str">
        <f>IF(ISBLANK(F861),"",IF(F861=EUconst_NA,"",INDEX(EUwideConstants!$H:$M,MATCH(T861,EUwideConstants!$Q:$Q,0),MATCH(F861,CNTR_TierList,0))))</f>
        <v/>
      </c>
      <c r="AA861" s="580" t="str">
        <f>IF(COUNTIF(EUconst_DefaultValues,Z861)&gt;0,MATCH(Z861,EUconst_DefaultValues,0),"")</f>
        <v/>
      </c>
      <c r="AB861" s="30"/>
      <c r="AC861" s="548" t="b">
        <f>AND(AC855,Y861&lt;&gt;EUconst_NA)</f>
        <v>0</v>
      </c>
      <c r="AD861" s="30"/>
      <c r="AE861" s="549" t="str">
        <f>EUconst_CNTR_CarbonContent&amp;EUconst_Unit</f>
        <v>CarbC_Vienetas</v>
      </c>
      <c r="AF861" s="550" t="str">
        <f>IF(AC861=TRUE, IF(COUNTIF(MSPara_SourceStreamCategory,V861)=0,"",INDEX(MSPara_CalcFactorsMatrix,MATCH(V861,MSPara_SourceStreamCategory,0),MATCH(AE861&amp;"_"&amp;2,MSPara_CalcFactors,0))),"")</f>
        <v/>
      </c>
      <c r="AG861" s="551" t="str">
        <f>IF(AC861=TRUE, IF(COUNTIF(MSPara_SourceStreamCategory,V861)=0,"",INDEX(MSPara_CalcFactorsMatrix,MATCH(V861,MSPara_SourceStreamCategory,0),MATCH(AE861&amp;"_"&amp;1,MSPara_CalcFactors,0))),"")</f>
        <v/>
      </c>
      <c r="AH861" s="581" t="str">
        <f>IF(AA861="","",INDEX(AF861:AG861,3-AA861))</f>
        <v/>
      </c>
      <c r="AI861" s="565"/>
      <c r="AJ861" s="582" t="str">
        <f>IF(AC861=TRUE,IF(AJ855="","",IF(AJ855=EUconst_kNm3,EUconst_tCpkNm3,EUconst_tCpt)),"")</f>
        <v/>
      </c>
      <c r="AK861" s="566"/>
      <c r="AL861" s="333"/>
      <c r="AM861" s="549" t="str">
        <f>EUconst_CNTR_CarbonContent&amp;EUconst_Value</f>
        <v>CarbC_Vertė</v>
      </c>
      <c r="AN861" s="555" t="str">
        <f>IF(AC861=TRUE,IF(COUNTIF(MSPara_SourceStreamCategory,V861)=0,"",INDEX(MSPara_CalcFactorsMatrix,MATCH(V861,MSPara_SourceStreamCategory,0),MATCH(AM861&amp;"_"&amp;2,MSPara_CalcFactors,0))),"")</f>
        <v/>
      </c>
      <c r="AO861" s="583" t="str">
        <f>IF(AC861=TRUE,IF(COUNTIF(MSPara_SourceStreamCategory,V861)=0,"",INDEX(MSPara_CalcFactorsMatrix,MATCH(V861,MSPara_SourceStreamCategory,0),MATCH(AM861&amp;"_"&amp;1,MSPara_CalcFactors,0))),"")</f>
        <v/>
      </c>
      <c r="AP861" s="548" t="b">
        <f>AND(AND(AH861&lt;&gt;"",AJ861&lt;&gt;""),AJ861=AH861)</f>
        <v>0</v>
      </c>
      <c r="AQ861" s="584" t="str">
        <f>IF(AND(AA861&lt;&gt;"",AP861=TRUE),IF(OR(INDEX(AN861:AO861,3-AA861)=EUconst_NA,INDEX(AN861:AO861,3-AA861)=0),"",INDEX(AN861:AO861,3-AA861)),"")</f>
        <v/>
      </c>
      <c r="AR861" s="548">
        <f>IF(AC861=TRUE,IF(COUNT(K861:L861)=0,0,IF(L861="",K861,L861)),0)</f>
        <v>0</v>
      </c>
      <c r="AS861" s="544" t="b">
        <f>AND(AC861=TRUE,OR(AND(F861&lt;&gt;"",NOT(ISNUMBER(AA861))),L861&lt;&gt;"",F861="",AQ861=""))</f>
        <v>0</v>
      </c>
      <c r="AT861" s="544" t="b">
        <f t="shared" si="205"/>
        <v>0</v>
      </c>
      <c r="AU861" s="30"/>
      <c r="AV861" s="558" t="b">
        <f t="shared" si="206"/>
        <v>0</v>
      </c>
      <c r="AW861" s="559" t="b">
        <f t="shared" si="207"/>
        <v>0</v>
      </c>
      <c r="AX861" s="537" t="b">
        <f>OR(AND(AJ855=EUconst_kNm3,AJ861=EUconst_tCpt),AND(AJ855=EUconst_t,AJ861=EUconst_tCpkNm3))</f>
        <v>0</v>
      </c>
      <c r="AY861" s="544" t="b">
        <f t="shared" si="208"/>
        <v>0</v>
      </c>
      <c r="AZ861" s="30"/>
      <c r="BA861" s="30"/>
      <c r="BB861" s="569" t="s">
        <v>482</v>
      </c>
      <c r="BC861" s="570">
        <f>AR855*AR858/1000*AR862</f>
        <v>0</v>
      </c>
      <c r="BD861" s="571">
        <f>BC861</f>
        <v>0</v>
      </c>
      <c r="BE861" s="572">
        <f>BC861</f>
        <v>0</v>
      </c>
      <c r="BF861" s="30"/>
      <c r="BG861" s="30"/>
      <c r="BH861" s="30"/>
      <c r="BI861" s="30"/>
      <c r="BJ861" s="30"/>
      <c r="BK861" s="30"/>
      <c r="BL861" s="30"/>
      <c r="BM861" s="30"/>
      <c r="BN861" s="30"/>
      <c r="BO861" s="30"/>
      <c r="BP861" s="30"/>
      <c r="BQ861" s="30"/>
      <c r="BR861" s="30"/>
      <c r="BS861" s="30"/>
      <c r="BT861" s="30"/>
      <c r="BU861" s="30"/>
      <c r="BV861" s="30"/>
      <c r="BW861" s="30"/>
      <c r="BX861" s="30"/>
      <c r="BY861" s="30"/>
      <c r="BZ861" s="544" t="b">
        <f>OR(BZ855,Y861=EUconst_NA)</f>
        <v>1</v>
      </c>
    </row>
    <row r="862" spans="1:78" s="140" customFormat="1" ht="12.75" customHeight="1" x14ac:dyDescent="0.2">
      <c r="A862" s="777"/>
      <c r="B862" s="1248"/>
      <c r="C862" s="753" t="s">
        <v>325</v>
      </c>
      <c r="D862" s="503" t="str">
        <f>Translations!$B$641</f>
        <v>Biomasės dalis (BioC):</v>
      </c>
      <c r="E862" s="504"/>
      <c r="F862" s="539"/>
      <c r="G862" s="1603" t="str">
        <f t="shared" si="203"/>
        <v/>
      </c>
      <c r="H862" s="1604"/>
      <c r="I862" s="1113" t="str">
        <f>IF(OR(AC862=FALSE,Y862=EUconst_NA),"","-")</f>
        <v/>
      </c>
      <c r="J862" s="560"/>
      <c r="K862" s="561" t="str">
        <f t="shared" si="204"/>
        <v/>
      </c>
      <c r="L862" s="694"/>
      <c r="M862" s="700" t="str">
        <f>IF(AND(E846&lt;&gt;"",OR(F862="",COUNT(K862:L862)=0),Y862&lt;&gt;EUconst_NA,T846&lt;&gt;TRUE),EUconst_ERR_Incomplete,IF(COUNTIF(AX862:AZ862,TRUE)&gt;0,EUconst_ERR_Inconsistent,""))</f>
        <v/>
      </c>
      <c r="O862" s="1305"/>
      <c r="P862" s="635"/>
      <c r="Q862" s="635"/>
      <c r="R862" s="635"/>
      <c r="S862" s="30"/>
      <c r="T862" s="543" t="str">
        <f>EUconst_CNTR_BiomassContent&amp;E846</f>
        <v>BioC_</v>
      </c>
      <c r="U862" s="488"/>
      <c r="V862" s="585" t="str">
        <f t="shared" si="209"/>
        <v/>
      </c>
      <c r="W862" s="522" t="str">
        <f>IF(COUNTIF(MSPara_SourceStreamCategory,V862)=0,"",INDEX(MSPara_IsFossil,MATCH(V862,MSPara_SourceStreamCategory,0)))</f>
        <v/>
      </c>
      <c r="X862" s="488"/>
      <c r="Y862" s="545" t="str">
        <f>IF(OR(T846=TRUE,E846=""),"",IF(OR(W862=TRUE,F862=EUconst_NA),EUconst_NA,INDEX(EUwideConstants!$N:$N,MATCH(T862,EUwideConstants!$Q:$Q,0))))</f>
        <v/>
      </c>
      <c r="Z862" s="546" t="str">
        <f>IF(ISBLANK(F862),"",IF(F862=EUconst_NA,"",INDEX(EUwideConstants!$H:$M,MATCH(T862,EUwideConstants!$Q:$Q,0),MATCH(F862,CNTR_TierList,0))))</f>
        <v/>
      </c>
      <c r="AA862" s="586" t="str">
        <f>IF(F862=1,1,"")</f>
        <v/>
      </c>
      <c r="AB862" s="30"/>
      <c r="AC862" s="548" t="b">
        <f>AND(AC855,Y862&lt;&gt;EUconst_NA)</f>
        <v>0</v>
      </c>
      <c r="AD862" s="30"/>
      <c r="AE862" s="563"/>
      <c r="AG862" s="564"/>
      <c r="AH862" s="553"/>
      <c r="AI862" s="565"/>
      <c r="AJ862" s="553"/>
      <c r="AK862" s="566"/>
      <c r="AL862" s="333"/>
      <c r="AM862" s="549" t="str">
        <f>EUconst_CNTR_BiomassContent&amp;EUconst_Value</f>
        <v>BioC_Vertė</v>
      </c>
      <c r="AO862" s="587" t="str">
        <f>IF(AC862=TRUE,IF(COUNTIF(MSPara_SourceStreamCategory,V862)=0,"",INDEX(MSPara_CalcFactorsMatrix,MATCH(V862,MSPara_SourceStreamCategory,0),MATCH(AM862&amp;"_"&amp;2,MSPara_CalcFactors,0))),"")</f>
        <v/>
      </c>
      <c r="AP862" s="553"/>
      <c r="AQ862" s="568" t="str">
        <f>IF(OR(AA862="",AO862=EUconst_NA),"",AO862)</f>
        <v/>
      </c>
      <c r="AR862" s="548">
        <f>IF(AC862=TRUE,IF(COUNT(K862:L862)=0,0,IF(L862="",K862,L862)),0)</f>
        <v>0</v>
      </c>
      <c r="AS862" s="544" t="b">
        <f>AND(AC862=TRUE,OR(AND(F862&lt;&gt;"",NOT(ISNUMBER(AA862))),L862&lt;&gt;"",F862="",AQ862=""))</f>
        <v>0</v>
      </c>
      <c r="AT862" s="544" t="b">
        <f t="shared" si="205"/>
        <v>0</v>
      </c>
      <c r="AU862" s="30"/>
      <c r="AV862" s="558" t="b">
        <f t="shared" si="206"/>
        <v>0</v>
      </c>
      <c r="AW862" s="559" t="b">
        <f t="shared" si="207"/>
        <v>0</v>
      </c>
      <c r="AX862" s="30"/>
      <c r="AY862" s="585" t="b">
        <f t="shared" si="208"/>
        <v>0</v>
      </c>
      <c r="AZ862" s="522" t="b">
        <f>OR(AR862&gt;100%,(AR862+AR863)&gt;100%)</f>
        <v>0</v>
      </c>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544" t="b">
        <f>OR(BZ855,Y862=EUconst_NA)</f>
        <v>1</v>
      </c>
    </row>
    <row r="863" spans="1:78" s="140" customFormat="1" ht="12.75" customHeight="1" thickBot="1" x14ac:dyDescent="0.25">
      <c r="A863" s="777"/>
      <c r="B863" s="1248"/>
      <c r="C863" s="753" t="s">
        <v>448</v>
      </c>
      <c r="D863" s="503" t="str">
        <f>Translations!$B$647</f>
        <v>Netvarios BioC dalis:</v>
      </c>
      <c r="E863" s="504"/>
      <c r="F863" s="588"/>
      <c r="G863" s="1603" t="str">
        <f t="shared" si="203"/>
        <v/>
      </c>
      <c r="H863" s="1604"/>
      <c r="I863" s="1114" t="str">
        <f>IF(OR(AC863=FALSE,Y863=EUconst_NA),"","-")</f>
        <v/>
      </c>
      <c r="J863" s="560"/>
      <c r="K863" s="589" t="str">
        <f t="shared" si="204"/>
        <v/>
      </c>
      <c r="L863" s="1100"/>
      <c r="M863" s="700" t="str">
        <f>IF(AND(E846&lt;&gt;"",OR(F863="",COUNT(K863:L863)=0),Y863&lt;&gt;EUconst_NA,T846&lt;&gt;TRUE),EUconst_ERR_Incomplete,IF(COUNTIF(AX863:AZ863,TRUE)&gt;0,EUconst_ERR_Inconsistent,""))</f>
        <v/>
      </c>
      <c r="O863" s="1305"/>
      <c r="P863" s="635"/>
      <c r="Q863" s="635"/>
      <c r="R863" s="635"/>
      <c r="S863" s="30"/>
      <c r="T863" s="590" t="str">
        <f>EUconst_CNTR_BiomassContent&amp;E846</f>
        <v>BioC_</v>
      </c>
      <c r="U863" s="488"/>
      <c r="V863" s="570" t="str">
        <f t="shared" si="209"/>
        <v/>
      </c>
      <c r="W863" s="571" t="str">
        <f>IF(COUNTIF(MSPara_SourceStreamCategory,V863)=0,"",INDEX(MSPara_IsFossil,MATCH(V863,MSPara_SourceStreamCategory,0)))</f>
        <v/>
      </c>
      <c r="X863" s="488"/>
      <c r="Y863" s="591" t="str">
        <f>IF(OR(T846=TRUE,E846=""),"",IF(OR(W863=TRUE,F863=EUconst_NA),EUconst_NA,INDEX(EUwideConstants!$N:$N,MATCH(T863,EUwideConstants!$Q:$Q,0))))</f>
        <v/>
      </c>
      <c r="Z863" s="592" t="str">
        <f>IF(ISBLANK(F863),"",IF(F863=EUconst_NA,"",INDEX(EUwideConstants!$H:$M,MATCH(T863,EUwideConstants!$Q:$Q,0),MATCH(F863,CNTR_TierList,0))))</f>
        <v/>
      </c>
      <c r="AA863" s="593" t="str">
        <f>IF(F863=1,1,"")</f>
        <v/>
      </c>
      <c r="AB863" s="30"/>
      <c r="AC863" s="594" t="b">
        <f>AND(AC855,Y863&lt;&gt;EUconst_NA)</f>
        <v>0</v>
      </c>
      <c r="AD863" s="30"/>
      <c r="AE863" s="595"/>
      <c r="AF863" s="596"/>
      <c r="AG863" s="597"/>
      <c r="AH863" s="598"/>
      <c r="AI863" s="598"/>
      <c r="AJ863" s="598"/>
      <c r="AK863" s="599"/>
      <c r="AL863" s="333"/>
      <c r="AM863" s="600" t="str">
        <f>EUconst_CNTR_BiomassContent&amp;EUconst_Value</f>
        <v>BioC_Vertė</v>
      </c>
      <c r="AN863" s="596"/>
      <c r="AO863" s="601" t="str">
        <f>IF(AC863=TRUE,IF(COUNTIF(MSPara_SourceStreamCategory,V863)=0,"",INDEX(MSPara_CalcFactorsMatrix,MATCH(V863,MSPara_SourceStreamCategory,0),MATCH(AM863&amp;"_"&amp;2,MSPara_CalcFactors,0))),"")</f>
        <v/>
      </c>
      <c r="AP863" s="598"/>
      <c r="AQ863" s="602" t="str">
        <f>IF(OR(AA863="",AO863=EUconst_NA),"",AO863)</f>
        <v/>
      </c>
      <c r="AR863" s="594">
        <f>IF(AC863=TRUE,IF(COUNT(K863:L863)=0,0,IF(L863="",K863,L863)),0)</f>
        <v>0</v>
      </c>
      <c r="AS863" s="603" t="b">
        <f>AND(AC863=TRUE,OR(AND(F863&lt;&gt;"",NOT(ISNUMBER(AA863))),L863&lt;&gt;"",F863="",AQ863=""))</f>
        <v>0</v>
      </c>
      <c r="AT863" s="603" t="b">
        <f t="shared" si="205"/>
        <v>0</v>
      </c>
      <c r="AU863" s="30"/>
      <c r="AV863" s="604" t="b">
        <f t="shared" si="206"/>
        <v>0</v>
      </c>
      <c r="AW863" s="605" t="b">
        <f t="shared" si="207"/>
        <v>0</v>
      </c>
      <c r="AX863" s="30"/>
      <c r="AY863" s="570" t="b">
        <f t="shared" si="208"/>
        <v>0</v>
      </c>
      <c r="AZ863" s="571" t="b">
        <f>OR(AR862&gt;100%,(AR862+AR863)&gt;100%)</f>
        <v>0</v>
      </c>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571" t="b">
        <f>OR(BZ855,Y863=EUconst_NA)</f>
        <v>1</v>
      </c>
    </row>
    <row r="864" spans="1:78" s="140" customFormat="1" ht="5.0999999999999996" customHeight="1" x14ac:dyDescent="0.2">
      <c r="A864" s="777"/>
      <c r="B864" s="1248"/>
      <c r="C864" s="164"/>
      <c r="D864" s="178"/>
      <c r="O864" s="1305"/>
      <c r="P864" s="33"/>
      <c r="Q864" s="33"/>
      <c r="R864" s="33"/>
      <c r="S864" s="172"/>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row>
    <row r="865" spans="1:78" s="140" customFormat="1" ht="12.75" customHeight="1" x14ac:dyDescent="0.2">
      <c r="A865" s="777"/>
      <c r="B865" s="1248"/>
      <c r="C865" s="164"/>
      <c r="D865" s="1629" t="str">
        <f>Translations!$B$674</f>
        <v>Pakopos galioja nuo:</v>
      </c>
      <c r="E865" s="1629"/>
      <c r="F865" s="1630"/>
      <c r="G865" s="1014"/>
      <c r="H865" s="606" t="str">
        <f>Translations!$B$675</f>
        <v>iki:</v>
      </c>
      <c r="I865" s="1014"/>
      <c r="J865" s="1620" t="str">
        <f>Translations!$B$676</f>
        <v>Atliekų katalogo numeris (jeigu taikytina):</v>
      </c>
      <c r="K865" s="1621"/>
      <c r="L865" s="1621"/>
      <c r="M865" s="1622"/>
      <c r="N865" s="1232"/>
      <c r="O865" s="1305"/>
      <c r="P865" s="33"/>
      <c r="Q865" s="33"/>
      <c r="R865" s="33"/>
      <c r="S865" s="1233"/>
      <c r="T865" s="483"/>
      <c r="U865" s="483"/>
      <c r="V865" s="48" t="b">
        <f>IF(V855="",FALSE,INDEX(CNTR_IsWaste,MATCH(V855,MSParameters!$A$218:$A$376,0)))</f>
        <v>0</v>
      </c>
      <c r="W865" s="1233" t="s">
        <v>1689</v>
      </c>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2" t="b">
        <f>BZ855</f>
        <v>1</v>
      </c>
    </row>
    <row r="866" spans="1:78" s="140" customFormat="1" ht="5.0999999999999996" customHeight="1" x14ac:dyDescent="0.2">
      <c r="A866" s="777"/>
      <c r="B866" s="1248"/>
      <c r="C866" s="164"/>
      <c r="D866" s="606"/>
      <c r="E866" s="486"/>
      <c r="F866" s="486"/>
      <c r="G866" s="486"/>
      <c r="H866" s="486"/>
      <c r="I866" s="486"/>
      <c r="J866" s="486"/>
      <c r="K866" s="486"/>
      <c r="L866" s="486"/>
      <c r="M866" s="486"/>
      <c r="N866" s="486"/>
      <c r="O866" s="1305"/>
      <c r="P866" s="33"/>
      <c r="Q866" s="33"/>
      <c r="R866" s="33"/>
      <c r="S866" s="172"/>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row>
    <row r="867" spans="1:78" s="140" customFormat="1" ht="12.75" customHeight="1" x14ac:dyDescent="0.2">
      <c r="A867" s="777"/>
      <c r="B867" s="1248"/>
      <c r="C867" s="164"/>
      <c r="D867" s="486"/>
      <c r="E867" s="486"/>
      <c r="F867" s="486"/>
      <c r="G867" s="486"/>
      <c r="H867" s="486"/>
      <c r="I867" s="486"/>
      <c r="J867" s="486"/>
      <c r="K867" s="486"/>
      <c r="L867" s="486"/>
      <c r="M867" s="606" t="str">
        <f>Translations!$B$677</f>
        <v>Stebėsenos plane šiam sukėlikliui suteiktas identifikatorius:</v>
      </c>
      <c r="N867" s="705"/>
      <c r="O867" s="1305"/>
      <c r="P867" s="33"/>
      <c r="Q867" s="33"/>
      <c r="R867" s="33"/>
      <c r="S867" s="172"/>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2" t="b">
        <f>BZ865</f>
        <v>1</v>
      </c>
    </row>
    <row r="868" spans="1:78" s="140" customFormat="1" ht="5.0999999999999996" customHeight="1" x14ac:dyDescent="0.2">
      <c r="A868" s="784"/>
      <c r="B868" s="1316"/>
      <c r="D868" s="178"/>
      <c r="O868" s="1317"/>
      <c r="P868" s="488"/>
      <c r="Q868" s="488"/>
      <c r="R868" s="488"/>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row>
    <row r="869" spans="1:78" s="140" customFormat="1" x14ac:dyDescent="0.2">
      <c r="A869" s="784"/>
      <c r="B869" s="1316"/>
      <c r="D869" s="1618" t="str">
        <f>Translations!$B$160</f>
        <v>Pastabos:</v>
      </c>
      <c r="E869" s="1619"/>
      <c r="F869" s="1605"/>
      <c r="G869" s="1606"/>
      <c r="H869" s="1606"/>
      <c r="I869" s="1606"/>
      <c r="J869" s="1606"/>
      <c r="K869" s="1606"/>
      <c r="L869" s="1606"/>
      <c r="M869" s="1606"/>
      <c r="N869" s="1607"/>
      <c r="O869" s="1317"/>
      <c r="P869" s="488"/>
      <c r="Q869" s="488"/>
      <c r="R869" s="488"/>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2" t="b">
        <f>BZ865</f>
        <v>1</v>
      </c>
    </row>
    <row r="870" spans="1:78" s="28" customFormat="1" ht="12.75" customHeight="1" thickBot="1" x14ac:dyDescent="0.25">
      <c r="A870" s="777"/>
      <c r="B870" s="1312"/>
      <c r="C870" s="490"/>
      <c r="D870" s="491"/>
      <c r="E870" s="492"/>
      <c r="F870" s="490"/>
      <c r="G870" s="493"/>
      <c r="H870" s="493"/>
      <c r="I870" s="493"/>
      <c r="J870" s="493"/>
      <c r="K870" s="493"/>
      <c r="L870" s="493"/>
      <c r="M870" s="493"/>
      <c r="N870" s="493"/>
      <c r="O870" s="1313"/>
      <c r="P870" s="485"/>
      <c r="Q870" s="485"/>
      <c r="R870" s="485"/>
      <c r="S870" s="58"/>
      <c r="T870" s="58"/>
      <c r="U870" s="489"/>
      <c r="V870" s="58"/>
      <c r="W870" s="58"/>
      <c r="X870" s="489"/>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30"/>
      <c r="BJ870" s="30"/>
      <c r="BK870" s="30"/>
      <c r="BL870" s="58"/>
      <c r="BM870" s="58"/>
      <c r="BN870" s="58"/>
      <c r="BO870" s="58"/>
      <c r="BP870" s="58"/>
      <c r="BQ870" s="58"/>
      <c r="BR870" s="58"/>
      <c r="BS870" s="58"/>
      <c r="BT870" s="58"/>
      <c r="BU870" s="58"/>
      <c r="BV870" s="58"/>
      <c r="BW870" s="58"/>
      <c r="BX870" s="58"/>
      <c r="BY870" s="58"/>
      <c r="BZ870" s="58"/>
    </row>
    <row r="871" spans="1:78" s="28" customFormat="1" ht="12.75" customHeight="1" thickBot="1" x14ac:dyDescent="0.25">
      <c r="A871" s="782"/>
      <c r="B871" s="1312"/>
      <c r="C871" s="486"/>
      <c r="D871" s="178"/>
      <c r="E871" s="487"/>
      <c r="F871" s="486"/>
      <c r="G871" s="478"/>
      <c r="H871" s="478"/>
      <c r="I871" s="478"/>
      <c r="J871" s="478"/>
      <c r="K871" s="486"/>
      <c r="L871" s="478"/>
      <c r="M871" s="478"/>
      <c r="N871" s="478"/>
      <c r="O871" s="1313"/>
      <c r="P871" s="485"/>
      <c r="Q871" s="485"/>
      <c r="R871" s="485"/>
      <c r="S871" s="23"/>
      <c r="T871" s="27" t="str">
        <f>IF(ISBLANK(E872),"",MATCH(E872,CNTR_SourceStreamNames,0))</f>
        <v/>
      </c>
      <c r="U871" s="609" t="str">
        <f>IF(ISBLANK(E872),"",INDEX(B_InstallationDescription!$D$71:$D$145,MATCH(E872,CNTR_SourceStreamNames,0)))</f>
        <v/>
      </c>
      <c r="V871" s="76"/>
      <c r="W871" s="56"/>
      <c r="X871" s="56"/>
      <c r="Y871" s="56"/>
      <c r="Z871" s="58"/>
      <c r="AA871" s="58"/>
      <c r="AB871" s="58"/>
      <c r="AC871" s="58"/>
      <c r="AD871" s="58"/>
      <c r="AE871" s="58"/>
      <c r="AF871" s="58"/>
      <c r="AG871" s="58"/>
      <c r="AH871" s="58"/>
      <c r="AI871" s="58"/>
      <c r="AJ871" s="58"/>
      <c r="AK871" s="482"/>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6"/>
      <c r="BI871" s="56"/>
      <c r="BJ871" s="56"/>
      <c r="BK871" s="56"/>
      <c r="BL871" s="56"/>
      <c r="BM871" s="56"/>
      <c r="BN871" s="56"/>
      <c r="BO871" s="56"/>
      <c r="BP871" s="56"/>
      <c r="BQ871" s="56"/>
      <c r="BR871" s="56"/>
      <c r="BS871" s="56"/>
      <c r="BT871" s="56"/>
      <c r="BU871" s="56"/>
      <c r="BV871" s="56"/>
      <c r="BW871" s="56"/>
      <c r="BX871" s="56"/>
      <c r="BY871" s="56"/>
      <c r="BZ871" s="484" t="s">
        <v>259</v>
      </c>
    </row>
    <row r="872" spans="1:78" s="140" customFormat="1" ht="15" customHeight="1" thickBot="1" x14ac:dyDescent="0.25">
      <c r="A872" s="1302" t="str">
        <f>IF(E872="","","PRINT")</f>
        <v/>
      </c>
      <c r="B872" s="1248"/>
      <c r="C872" s="608">
        <f>C845+1</f>
        <v>31</v>
      </c>
      <c r="D872" s="164"/>
      <c r="E872" s="1610"/>
      <c r="F872" s="1611"/>
      <c r="G872" s="1611"/>
      <c r="H872" s="1611"/>
      <c r="I872" s="1611"/>
      <c r="J872" s="1612"/>
      <c r="K872" s="1623" t="str">
        <f>IF(E873="","",INDEX(EUwideConstants!$F$353:$F$394,MATCH(E873,EUConst_TierActivityListNames,0)))</f>
        <v/>
      </c>
      <c r="L872" s="1624"/>
      <c r="M872" s="494" t="str">
        <f>Translations!$B$665</f>
        <v>CO2, iškastinio kuro kilmės:</v>
      </c>
      <c r="N872" s="1012" t="str">
        <f>IF(OR(K872="",T873=TRUE),"",INDEX(BC886:BE886,MATCH(K872,BC882:BE882,0)))</f>
        <v/>
      </c>
      <c r="O872" s="1314" t="s">
        <v>257</v>
      </c>
      <c r="P872" s="1303" t="str">
        <f>IF(AND(E872&lt;&gt;"",COUNTIF(P873:$P$2089,"PRINT")=0),"PRINT","")</f>
        <v/>
      </c>
      <c r="Q872" s="343" t="str">
        <f>EUconst_SumCO2 &amp; "_" &amp; K872</f>
        <v>SUM_CO2_</v>
      </c>
      <c r="R872" s="485"/>
      <c r="S872" s="23"/>
      <c r="T872" s="500" t="s">
        <v>387</v>
      </c>
      <c r="U872" s="23"/>
      <c r="V872" s="76"/>
      <c r="W872" s="56"/>
      <c r="X872" s="58"/>
      <c r="Y872" s="58"/>
      <c r="Z872" s="58"/>
      <c r="AA872" s="58"/>
      <c r="AB872" s="58"/>
      <c r="AC872" s="58"/>
      <c r="AD872" s="58"/>
      <c r="AE872" s="58"/>
      <c r="AF872" s="58"/>
      <c r="AG872" s="58"/>
      <c r="AH872" s="58"/>
      <c r="AI872" s="333"/>
      <c r="AJ872" s="333"/>
      <c r="AK872" s="333"/>
      <c r="AL872" s="333"/>
      <c r="AM872" s="333"/>
      <c r="AN872" s="333"/>
      <c r="AO872" s="333"/>
      <c r="AP872" s="333"/>
      <c r="AQ872" s="333"/>
      <c r="AR872" s="333"/>
      <c r="AS872" s="333"/>
      <c r="AT872" s="333"/>
      <c r="AU872" s="333"/>
      <c r="AV872" s="333"/>
      <c r="AW872" s="333"/>
      <c r="AX872" s="333"/>
      <c r="AY872" s="333"/>
      <c r="AZ872" s="333"/>
      <c r="BA872" s="333"/>
      <c r="BB872" s="333"/>
      <c r="BC872" s="333"/>
      <c r="BD872" s="333"/>
      <c r="BE872" s="333"/>
      <c r="BF872" s="333"/>
      <c r="BG872" s="333"/>
      <c r="BH872" s="834">
        <f>AR882</f>
        <v>0</v>
      </c>
      <c r="BI872" s="834" t="str">
        <f>AJ882</f>
        <v/>
      </c>
      <c r="BJ872" s="834">
        <f>AR884</f>
        <v>0</v>
      </c>
      <c r="BK872" s="834" t="str">
        <f>AJ884</f>
        <v/>
      </c>
      <c r="BL872" s="834">
        <f>AR885</f>
        <v>0</v>
      </c>
      <c r="BM872" s="834" t="str">
        <f>AJ885</f>
        <v/>
      </c>
      <c r="BN872" s="834">
        <f>AR886</f>
        <v>1</v>
      </c>
      <c r="BO872" s="834">
        <f>AR887</f>
        <v>1</v>
      </c>
      <c r="BP872" s="834">
        <f>AR888</f>
        <v>0</v>
      </c>
      <c r="BQ872" s="834" t="str">
        <f>AJ888</f>
        <v/>
      </c>
      <c r="BR872" s="834">
        <f>AR889</f>
        <v>0</v>
      </c>
      <c r="BS872" s="834">
        <f>AR890</f>
        <v>0</v>
      </c>
      <c r="BT872" s="834" t="str">
        <f>N872</f>
        <v/>
      </c>
      <c r="BU872" s="834" t="str">
        <f>N873</f>
        <v/>
      </c>
      <c r="BV872" s="834" t="str">
        <f>R875</f>
        <v/>
      </c>
      <c r="BW872" s="834" t="str">
        <f>R881</f>
        <v/>
      </c>
      <c r="BX872" s="834" t="str">
        <f>R882</f>
        <v/>
      </c>
      <c r="BY872" s="56"/>
      <c r="BZ872" s="610" t="b">
        <f>CNTR_CalcRelevant=EUconst_NotRelevant</f>
        <v>0</v>
      </c>
    </row>
    <row r="873" spans="1:78" s="140" customFormat="1" ht="15" customHeight="1" thickBot="1" x14ac:dyDescent="0.25">
      <c r="A873" s="777"/>
      <c r="B873" s="1248"/>
      <c r="C873" s="164"/>
      <c r="D873" s="164"/>
      <c r="E873" s="1625" t="str">
        <f>IF(ISBLANK(E872),"",IF(INDEX(B_InstallationDescription!$E$71:$E$145,MATCH(U871,B_InstallationDescription!$D$71:$D$145,0))&gt;0,INDEX(B_InstallationDescription!$E$71:$E$145,MATCH(U871,B_InstallationDescription!$D$71:$D$145,0)),""))</f>
        <v/>
      </c>
      <c r="F873" s="1626"/>
      <c r="G873" s="1626"/>
      <c r="H873" s="1626"/>
      <c r="I873" s="1626"/>
      <c r="J873" s="1627"/>
      <c r="M873" s="337" t="str">
        <f>Translations!$B$666</f>
        <v>CO2, biomasės kilmės.:</v>
      </c>
      <c r="N873" s="1013" t="str">
        <f>IF(OR(K872="",T873=TRUE),"",INDEX(BC885:BE885,MATCH(K872,BC882:BE882,0)))</f>
        <v/>
      </c>
      <c r="O873" s="1315" t="s">
        <v>257</v>
      </c>
      <c r="P873" s="485"/>
      <c r="Q873" s="343" t="str">
        <f>EUconst_SumBioCO2 &amp; "_" &amp; K872</f>
        <v>SUM_bioCO2_</v>
      </c>
      <c r="R873" s="485"/>
      <c r="S873" s="23"/>
      <c r="T873" s="48" t="str">
        <f>IF(E873="","",MATCH(E873,EUConst_TierActivityListNames,0)&gt;40)</f>
        <v/>
      </c>
      <c r="U873" s="23"/>
      <c r="V873" s="76"/>
      <c r="W873" s="56"/>
      <c r="X873" s="58"/>
      <c r="Y873" s="27" t="s">
        <v>91</v>
      </c>
      <c r="Z873" s="30"/>
      <c r="AA873" s="30"/>
      <c r="AB873" s="30"/>
      <c r="AC873" s="30"/>
      <c r="AD873" s="30"/>
      <c r="AE873" s="27" t="s">
        <v>297</v>
      </c>
      <c r="AF873" s="58"/>
      <c r="AG873" s="495"/>
      <c r="AH873" s="30"/>
      <c r="AI873" s="30"/>
      <c r="AJ873" s="495"/>
      <c r="AK873" s="495"/>
      <c r="AL873" s="333"/>
      <c r="AM873" s="27" t="s">
        <v>303</v>
      </c>
      <c r="AN873" s="496"/>
      <c r="AO873" s="496"/>
      <c r="AP873" s="30"/>
      <c r="AQ873" s="30"/>
      <c r="AR873" s="30"/>
      <c r="AS873" s="30"/>
      <c r="AT873" s="30"/>
      <c r="AU873" s="30"/>
      <c r="AV873" s="27" t="s">
        <v>310</v>
      </c>
      <c r="AW873" s="30"/>
      <c r="AX873" s="483"/>
      <c r="AY873" s="30"/>
      <c r="AZ873" s="30"/>
      <c r="BA873" s="30"/>
      <c r="BB873" s="27" t="s">
        <v>217</v>
      </c>
      <c r="BC873" s="30"/>
      <c r="BD873" s="30"/>
      <c r="BE873" s="30"/>
      <c r="BF873" s="30"/>
      <c r="BG873" s="27" t="s">
        <v>486</v>
      </c>
      <c r="BH873" s="833" t="s">
        <v>552</v>
      </c>
      <c r="BI873" s="833" t="s">
        <v>487</v>
      </c>
      <c r="BJ873" s="833" t="s">
        <v>211</v>
      </c>
      <c r="BK873" s="833" t="s">
        <v>488</v>
      </c>
      <c r="BL873" s="833" t="s">
        <v>68</v>
      </c>
      <c r="BM873" s="833" t="s">
        <v>489</v>
      </c>
      <c r="BN873" s="833" t="s">
        <v>490</v>
      </c>
      <c r="BO873" s="833" t="s">
        <v>491</v>
      </c>
      <c r="BP873" s="833" t="s">
        <v>214</v>
      </c>
      <c r="BQ873" s="833" t="s">
        <v>492</v>
      </c>
      <c r="BR873" s="833" t="s">
        <v>493</v>
      </c>
      <c r="BS873" s="833" t="s">
        <v>494</v>
      </c>
      <c r="BT873" s="833" t="s">
        <v>287</v>
      </c>
      <c r="BU873" s="833" t="s">
        <v>495</v>
      </c>
      <c r="BV873" s="833" t="s">
        <v>498</v>
      </c>
      <c r="BW873" s="833" t="s">
        <v>496</v>
      </c>
      <c r="BX873" s="833" t="s">
        <v>497</v>
      </c>
      <c r="BY873" s="30"/>
      <c r="BZ873" s="30"/>
    </row>
    <row r="874" spans="1:78" s="140" customFormat="1" ht="5.0999999999999996" customHeight="1" thickBot="1" x14ac:dyDescent="0.25">
      <c r="A874" s="777"/>
      <c r="B874" s="1248"/>
      <c r="C874" s="164"/>
      <c r="D874" s="164"/>
      <c r="E874" s="164"/>
      <c r="F874" s="164"/>
      <c r="G874" s="164"/>
      <c r="M874" s="141"/>
      <c r="N874" s="141"/>
      <c r="O874" s="1305"/>
      <c r="P874" s="33"/>
      <c r="Q874" s="33"/>
      <c r="R874" s="33"/>
      <c r="S874" s="23"/>
      <c r="T874" s="23"/>
      <c r="U874" s="23"/>
      <c r="V874" s="76"/>
      <c r="W874" s="30"/>
      <c r="X874" s="30"/>
      <c r="Y874" s="485"/>
      <c r="Z874" s="30"/>
      <c r="AA874" s="30"/>
      <c r="AB874" s="30"/>
      <c r="AC874" s="30"/>
      <c r="AD874" s="30"/>
      <c r="AE874" s="30"/>
      <c r="AF874" s="58"/>
      <c r="AG874" s="30"/>
      <c r="AH874" s="30"/>
      <c r="AI874" s="30"/>
      <c r="AJ874" s="495"/>
      <c r="AK874" s="495"/>
      <c r="AL874" s="333"/>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row>
    <row r="875" spans="1:78" s="140" customFormat="1" ht="12.75" customHeight="1" thickBot="1" x14ac:dyDescent="0.25">
      <c r="A875" s="777"/>
      <c r="B875" s="1248"/>
      <c r="C875" s="164"/>
      <c r="D875" s="164"/>
      <c r="E875" s="1628" t="str">
        <f>IF(E872="","",IF(T873=TRUE,HYPERLINK("#JUMP_14",EUconst_MsgGoOnPFC),HYPERLINK("#JUMP_E_8",EUconst_FurtherGuidancePoint1)))</f>
        <v/>
      </c>
      <c r="F875" s="1628"/>
      <c r="G875" s="1628"/>
      <c r="H875" s="1628"/>
      <c r="I875" s="1628"/>
      <c r="J875" s="1628"/>
      <c r="K875" s="1628"/>
      <c r="L875" s="1628"/>
      <c r="M875" s="1628"/>
      <c r="N875" s="141"/>
      <c r="O875" s="1305"/>
      <c r="P875" s="33"/>
      <c r="Q875" s="343" t="str">
        <f>EUconst_SumNonSustBioCO2 &amp; "_" &amp; K872</f>
        <v>SUM_bioNonSustCO2_</v>
      </c>
      <c r="R875" s="698" t="str">
        <f>IF(OR(K872="",T873=TRUE),"",ROUND(INDEX(BC884:BE884,MATCH(K872,BC882:BE882,0)),0))</f>
        <v/>
      </c>
      <c r="S875" s="23"/>
      <c r="T875" s="23"/>
      <c r="U875" s="23"/>
      <c r="V875" s="30"/>
      <c r="W875" s="30"/>
      <c r="X875" s="30"/>
      <c r="Y875" s="58"/>
      <c r="Z875" s="30"/>
      <c r="AA875" s="30"/>
      <c r="AB875" s="30"/>
      <c r="AC875" s="30"/>
      <c r="AD875" s="30"/>
      <c r="AE875" s="30"/>
      <c r="AF875" s="58"/>
      <c r="AG875" s="30"/>
      <c r="AH875" s="30"/>
      <c r="AI875" s="30"/>
      <c r="AJ875" s="495"/>
      <c r="AK875" s="495"/>
      <c r="AL875" s="333"/>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row>
    <row r="876" spans="1:78" s="140" customFormat="1" ht="5.0999999999999996" customHeight="1" thickBot="1" x14ac:dyDescent="0.25">
      <c r="A876" s="777"/>
      <c r="B876" s="1248"/>
      <c r="C876" s="164"/>
      <c r="D876" s="164"/>
      <c r="E876" s="164"/>
      <c r="F876" s="164"/>
      <c r="G876" s="164"/>
      <c r="M876" s="141"/>
      <c r="N876" s="141"/>
      <c r="O876" s="1305"/>
      <c r="P876" s="23"/>
      <c r="Q876" s="23"/>
      <c r="R876" s="23"/>
      <c r="S876" s="23"/>
      <c r="T876" s="23"/>
      <c r="U876" s="23"/>
      <c r="V876" s="30"/>
      <c r="W876" s="30"/>
      <c r="X876" s="30"/>
      <c r="Y876" s="485"/>
      <c r="Z876" s="30"/>
      <c r="AA876" s="30"/>
      <c r="AB876" s="30"/>
      <c r="AC876" s="30"/>
      <c r="AD876" s="30"/>
      <c r="AE876" s="30"/>
      <c r="AF876" s="58"/>
      <c r="AG876" s="30"/>
      <c r="AH876" s="30"/>
      <c r="AI876" s="30"/>
      <c r="AJ876" s="495"/>
      <c r="AK876" s="495"/>
      <c r="AL876" s="333"/>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row>
    <row r="877" spans="1:78" s="140" customFormat="1" ht="12.75" customHeight="1" thickBot="1" x14ac:dyDescent="0.25">
      <c r="A877" s="777"/>
      <c r="B877" s="1248"/>
      <c r="C877" s="783" t="s">
        <v>4</v>
      </c>
      <c r="D877" s="503" t="str">
        <f>Translations!$B$622</f>
        <v>VD:</v>
      </c>
      <c r="E877" s="1631" t="str">
        <f>Translations!$B$667</f>
        <v>Ar veiklos duomenys gaunami sudedant išmatuotus kiekius (t. y. ne atliekant nuolatinius matavimus)?</v>
      </c>
      <c r="F877" s="1631"/>
      <c r="G877" s="1631"/>
      <c r="H877" s="1631"/>
      <c r="I877" s="1631"/>
      <c r="J877" s="1631"/>
      <c r="K877" s="1631"/>
      <c r="L877" s="1122"/>
      <c r="M877" s="498"/>
      <c r="O877" s="1305"/>
      <c r="P877" s="23"/>
      <c r="Q877" s="23"/>
      <c r="R877" s="23"/>
      <c r="S877" s="23"/>
      <c r="T877" s="23"/>
      <c r="U877" s="23"/>
      <c r="V877" s="30"/>
      <c r="W877" s="30"/>
      <c r="X877" s="30"/>
      <c r="Y877" s="485"/>
      <c r="Z877" s="30"/>
      <c r="AA877" s="30"/>
      <c r="AB877" s="30"/>
      <c r="AC877" s="1115" t="b">
        <f>AND(E872&lt;&gt;"",T873&lt;&gt;TRUE)</f>
        <v>0</v>
      </c>
      <c r="AD877" s="30"/>
      <c r="AE877" s="30"/>
      <c r="AF877" s="58"/>
      <c r="AG877" s="30"/>
      <c r="AH877" s="30"/>
      <c r="AI877" s="30"/>
      <c r="AJ877" s="495"/>
      <c r="AK877" s="495"/>
      <c r="AL877" s="333"/>
      <c r="AM877" s="30"/>
      <c r="AN877" s="30"/>
      <c r="AO877" s="30"/>
      <c r="AP877" s="30"/>
      <c r="AQ877" s="30"/>
      <c r="AR877" s="30"/>
      <c r="AS877" s="30"/>
      <c r="AT877" s="1115" t="b">
        <f>MSPara_BatchReportingMandatory&lt;&gt;TRUE</f>
        <v>0</v>
      </c>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1115" t="b">
        <f>OR(CNTR_CalcRelevant=EUconst_NotRelevant,AND(COUNTA(CNTR_ListRelevantSections)&gt;0,OR(T873=TRUE,E872="")))</f>
        <v>1</v>
      </c>
    </row>
    <row r="878" spans="1:78" s="140" customFormat="1" ht="5.0999999999999996" customHeight="1" thickBot="1" x14ac:dyDescent="0.25">
      <c r="A878" s="777"/>
      <c r="B878" s="1248"/>
      <c r="C878" s="164"/>
      <c r="D878" s="164"/>
      <c r="E878" s="164"/>
      <c r="F878" s="164"/>
      <c r="G878" s="164"/>
      <c r="H878" s="486"/>
      <c r="I878" s="486"/>
      <c r="J878" s="486"/>
      <c r="K878" s="486"/>
      <c r="L878" s="486"/>
      <c r="M878" s="498"/>
      <c r="O878" s="1305"/>
      <c r="P878" s="23"/>
      <c r="Q878" s="23"/>
      <c r="R878" s="23"/>
      <c r="S878" s="23"/>
      <c r="T878" s="23"/>
      <c r="U878" s="23"/>
      <c r="V878" s="30"/>
      <c r="W878" s="30"/>
      <c r="X878" s="30"/>
      <c r="Y878" s="485"/>
      <c r="Z878" s="30"/>
      <c r="AA878" s="30"/>
      <c r="AB878" s="30"/>
      <c r="AC878" s="483"/>
      <c r="AD878" s="30"/>
      <c r="AE878" s="30"/>
      <c r="AF878" s="58"/>
      <c r="AG878" s="30"/>
      <c r="AH878" s="30"/>
      <c r="AI878" s="30"/>
      <c r="AJ878" s="495"/>
      <c r="AK878" s="495"/>
      <c r="AL878" s="333"/>
      <c r="AM878" s="30"/>
      <c r="AN878" s="30"/>
      <c r="AO878" s="30"/>
      <c r="AP878" s="30"/>
      <c r="AQ878" s="30"/>
      <c r="AR878" s="30"/>
      <c r="AS878" s="30"/>
      <c r="AT878" s="483"/>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483"/>
    </row>
    <row r="879" spans="1:78" s="140" customFormat="1" ht="12.75" customHeight="1" thickBot="1" x14ac:dyDescent="0.25">
      <c r="A879" s="777"/>
      <c r="B879" s="1248"/>
      <c r="C879" s="783" t="s">
        <v>5</v>
      </c>
      <c r="D879" s="503" t="str">
        <f>Translations!$B$622</f>
        <v>VD:</v>
      </c>
      <c r="E879" s="1105" t="str">
        <f>Translations!$B$668</f>
        <v>Pradinis kiekis:</v>
      </c>
      <c r="F879" s="1123"/>
      <c r="G879" s="1106" t="str">
        <f>Translations!$B$669</f>
        <v>Galutinis kiekis:</v>
      </c>
      <c r="H879" s="1123"/>
      <c r="I879" s="1106" t="str">
        <f>Translations!$B$670</f>
        <v>Įsigytas kiekis:</v>
      </c>
      <c r="J879" s="1123"/>
      <c r="K879" s="1106" t="str">
        <f>Translations!$B$671</f>
        <v>Perduotas kiekis:</v>
      </c>
      <c r="L879" s="1123"/>
      <c r="M879" s="1107" t="str">
        <f>IF(AND(L877=TRUE,COUNT(F879,H879,J879,L879)&lt;4),EUconst_ERR_Incomplete,"")</f>
        <v/>
      </c>
      <c r="O879" s="1305"/>
      <c r="P879" s="23"/>
      <c r="Q879" s="23"/>
      <c r="R879" s="23"/>
      <c r="S879" s="23"/>
      <c r="T879" s="23"/>
      <c r="U879" s="23"/>
      <c r="V879" s="30"/>
      <c r="W879" s="30"/>
      <c r="X879" s="30"/>
      <c r="Y879" s="485"/>
      <c r="Z879" s="30"/>
      <c r="AA879" s="30"/>
      <c r="AB879" s="30"/>
      <c r="AC879" s="1115" t="b">
        <f>AC877</f>
        <v>0</v>
      </c>
      <c r="AD879" s="30"/>
      <c r="AE879" s="30"/>
      <c r="AF879" s="58"/>
      <c r="AG879" s="30"/>
      <c r="AH879" s="30"/>
      <c r="AI879" s="30"/>
      <c r="AJ879" s="495"/>
      <c r="AK879" s="495"/>
      <c r="AL879" s="333"/>
      <c r="AM879" s="30"/>
      <c r="AN879" s="30"/>
      <c r="AO879" s="30"/>
      <c r="AP879" s="30"/>
      <c r="AQ879" s="30"/>
      <c r="AR879" s="30"/>
      <c r="AS879" s="30"/>
      <c r="AT879" s="1115" t="b">
        <f>AND(AT877=TRUE,L877="")</f>
        <v>0</v>
      </c>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1115" t="b">
        <f>OR(BZ877,AND(NOT(ISBLANK(L877)),L877=FALSE))</f>
        <v>1</v>
      </c>
    </row>
    <row r="880" spans="1:78" s="140" customFormat="1" ht="5.0999999999999996" customHeight="1" thickBot="1" x14ac:dyDescent="0.25">
      <c r="A880" s="777"/>
      <c r="B880" s="1248"/>
      <c r="C880" s="164"/>
      <c r="D880" s="164"/>
      <c r="E880" s="164"/>
      <c r="F880" s="164"/>
      <c r="G880" s="164"/>
      <c r="M880" s="141"/>
      <c r="N880" s="141"/>
      <c r="O880" s="1305"/>
      <c r="P880" s="23"/>
      <c r="Q880" s="23"/>
      <c r="R880" s="23"/>
      <c r="S880" s="23"/>
      <c r="T880" s="23"/>
      <c r="U880" s="23"/>
      <c r="V880" s="30"/>
      <c r="W880" s="30"/>
      <c r="X880" s="30"/>
      <c r="Y880" s="485"/>
      <c r="Z880" s="30"/>
      <c r="AA880" s="30"/>
      <c r="AB880" s="30"/>
      <c r="AC880" s="30"/>
      <c r="AD880" s="30"/>
      <c r="AE880" s="30"/>
      <c r="AF880" s="58"/>
      <c r="AG880" s="30"/>
      <c r="AH880" s="30"/>
      <c r="AI880" s="30"/>
      <c r="AJ880" s="495"/>
      <c r="AK880" s="495"/>
      <c r="AL880" s="333"/>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row>
    <row r="881" spans="1:78" s="140" customFormat="1" ht="12.75" customHeight="1" thickBot="1" x14ac:dyDescent="0.25">
      <c r="A881" s="777"/>
      <c r="B881" s="1248"/>
      <c r="C881" s="164"/>
      <c r="D881" s="164"/>
      <c r="E881" s="164"/>
      <c r="F881" s="497" t="str">
        <f>Translations!$B$333</f>
        <v>Pakopa</v>
      </c>
      <c r="G881" s="1613" t="str">
        <f>Translations!$B$672</f>
        <v>pakopos aprašas</v>
      </c>
      <c r="H881" s="1613"/>
      <c r="I881" s="1608" t="str">
        <f>Translations!$B$158</f>
        <v>Vienetas</v>
      </c>
      <c r="J881" s="1608"/>
      <c r="K881" s="1608" t="str">
        <f>Translations!$B$673</f>
        <v>Vertė</v>
      </c>
      <c r="L881" s="1608"/>
      <c r="M881" s="498" t="str">
        <f>Translations!$B$610</f>
        <v>klaida</v>
      </c>
      <c r="O881" s="1305"/>
      <c r="P881" s="499"/>
      <c r="Q881" s="343" t="str">
        <f>EUconst_SumEnergyIN &amp; "_" &amp; K872</f>
        <v>SUM_EnergyIN_</v>
      </c>
      <c r="R881" s="390" t="str">
        <f>IF(OR(K872="",T873)=TRUE,"",INDEX(BC887:BE887,MATCH(K872,BC882:BE882,0)))</f>
        <v/>
      </c>
      <c r="S881" s="30"/>
      <c r="T881" s="480"/>
      <c r="U881" s="30"/>
      <c r="V881" s="500" t="s">
        <v>298</v>
      </c>
      <c r="W881" s="30"/>
      <c r="X881" s="30"/>
      <c r="Y881" s="485" t="s">
        <v>560</v>
      </c>
      <c r="Z881" s="485" t="s">
        <v>313</v>
      </c>
      <c r="AA881" s="30"/>
      <c r="AB881" s="30"/>
      <c r="AC881" s="496" t="s">
        <v>304</v>
      </c>
      <c r="AD881" s="30"/>
      <c r="AE881" s="30"/>
      <c r="AF881" s="483" t="s">
        <v>300</v>
      </c>
      <c r="AG881" s="483" t="s">
        <v>301</v>
      </c>
      <c r="AH881" s="485" t="s">
        <v>299</v>
      </c>
      <c r="AI881" s="495" t="s">
        <v>302</v>
      </c>
      <c r="AJ881" s="495" t="s">
        <v>561</v>
      </c>
      <c r="AK881" s="501" t="s">
        <v>306</v>
      </c>
      <c r="AL881" s="333"/>
      <c r="AM881" s="30"/>
      <c r="AN881" s="483" t="s">
        <v>300</v>
      </c>
      <c r="AO881" s="483" t="s">
        <v>301</v>
      </c>
      <c r="AP881" s="502" t="s">
        <v>305</v>
      </c>
      <c r="AQ881" s="495" t="s">
        <v>563</v>
      </c>
      <c r="AR881" s="495" t="s">
        <v>562</v>
      </c>
      <c r="AS881" s="501" t="s">
        <v>599</v>
      </c>
      <c r="AT881" s="501" t="s">
        <v>599</v>
      </c>
      <c r="AU881" s="30"/>
      <c r="AV881" s="483"/>
      <c r="AW881" s="483"/>
      <c r="AX881" s="483" t="s">
        <v>316</v>
      </c>
      <c r="AY881" s="483"/>
      <c r="AZ881" s="483"/>
      <c r="BA881" s="483"/>
      <c r="BB881" s="483"/>
      <c r="BC881" s="483"/>
      <c r="BD881" s="483"/>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484" t="s">
        <v>259</v>
      </c>
    </row>
    <row r="882" spans="1:78" s="140" customFormat="1" ht="12.75" customHeight="1" thickBot="1" x14ac:dyDescent="0.25">
      <c r="A882" s="777"/>
      <c r="B882" s="1248"/>
      <c r="C882" s="753" t="s">
        <v>194</v>
      </c>
      <c r="D882" s="503" t="str">
        <f>Translations!$B$622</f>
        <v>VD:</v>
      </c>
      <c r="E882" s="504"/>
      <c r="F882" s="393"/>
      <c r="G882" s="1603" t="str">
        <f>IF(OR(ISBLANK(F882),F882=EUconst_NoTier),"",IF(Z882=0,EUconst_NA,IF(ISERROR(Z882),"",Z882)))</f>
        <v/>
      </c>
      <c r="H882" s="1604"/>
      <c r="I882" s="1108" t="str">
        <f>IF(J882&lt;&gt;"","",AI882)</f>
        <v/>
      </c>
      <c r="J882" s="1109"/>
      <c r="K882" s="1116" t="str">
        <f>IF(L882="",AQ882,"")</f>
        <v/>
      </c>
      <c r="L882" s="1199"/>
      <c r="M882" s="700" t="str">
        <f>IF(AND(E873&lt;&gt;"",OR(F882="",COUNT(K882:L882)=0),Y882&lt;&gt;EUconst_NA,T873&lt;&gt;TRUE),EUconst_ERR_Incomplete,IF(COUNTIF(AX882:AZ882,TRUE)&gt;0,EUconst_ERR_Inconsistent,""))</f>
        <v/>
      </c>
      <c r="O882" s="1305"/>
      <c r="P882" s="635"/>
      <c r="Q882" s="343" t="str">
        <f>EUconst_SumBioEnergyIN &amp; "_" &amp; K872</f>
        <v>SUM_BioEnergyIN_</v>
      </c>
      <c r="R882" s="390" t="str">
        <f>IF(OR(K872="",T873)=TRUE,"",INDEX(BC888:BE888,MATCH(K872,BC882:BE882,0)))</f>
        <v/>
      </c>
      <c r="S882" s="30"/>
      <c r="T882" s="505" t="str">
        <f>EUconst_CNTR_ActivityData&amp;E873</f>
        <v>ActivityData_</v>
      </c>
      <c r="U882" s="488"/>
      <c r="V882" s="505" t="str">
        <f>IF(E872="","",INDEX(B_InstallationDescription!$I$71:$I$145,MATCH(U871,B_InstallationDescription!$D$71:$D$145,0)))</f>
        <v/>
      </c>
      <c r="W882" s="495" t="s">
        <v>533</v>
      </c>
      <c r="X882" s="488"/>
      <c r="Y882" s="506" t="str">
        <f>IF(OR(T873=TRUE,E873=""),"",INDEX(EUwideConstants!$N:$N,MATCH(T882,EUwideConstants!$Q:$Q,0)))</f>
        <v/>
      </c>
      <c r="Z882" s="507" t="str">
        <f>IF(ISBLANK(F882),"",IF(F882=EUconst_NA,"",INDEX(EUwideConstants!$H:$M,MATCH(T882,EUwideConstants!$Q:$Q,0),MATCH(F882,CNTR_TierList,0))))</f>
        <v/>
      </c>
      <c r="AA882" s="508" t="s">
        <v>299</v>
      </c>
      <c r="AB882" s="495"/>
      <c r="AC882" s="509" t="b">
        <f>AC877</f>
        <v>0</v>
      </c>
      <c r="AD882" s="30"/>
      <c r="AE882" s="510" t="str">
        <f>EUconst_CNTR_ActivityData&amp;EUconst_Unit</f>
        <v>ActivityData_Vienetas</v>
      </c>
      <c r="AF882" s="511" t="str">
        <f>IF(AC882=TRUE, IF(COUNTIF(MSPara_SourceStreamCategory,V882)=0,"",INDEX(MSPara_CalcFactorsMatrix,MATCH(V882,MSPara_SourceStreamCategory,0),MATCH(AE882&amp;"_"&amp;2,MSPara_CalcFactors,0))),"")</f>
        <v/>
      </c>
      <c r="AG882" s="512" t="str">
        <f>IF(AC882=TRUE, IF(COUNTIF(MSPara_SourceStreamCategory,V882)=0,"",INDEX(MSPara_CalcFactorsMatrix,MATCH(V882,MSPara_SourceStreamCategory,0),MATCH(AE882&amp;"_"&amp;1,MSPara_CalcFactors,0))),"")</f>
        <v/>
      </c>
      <c r="AH882" s="509" t="str">
        <f>IF(OR(AF882="",AF882=EUconst_NA),IF(OR(AG882=EUconst_NA,AG882=""),"",AG882),AF882)</f>
        <v/>
      </c>
      <c r="AI882" s="506" t="str">
        <f>IF(AC882=TRUE,IF(AH882="",EUconst_t,AH882),"")</f>
        <v/>
      </c>
      <c r="AJ882" s="513" t="str">
        <f>IF(J882="",AI882,J882)</f>
        <v/>
      </c>
      <c r="AK882" s="514" t="b">
        <f>IF(K872=EUconst_Fuel,J882&lt;&gt;"",FALSE)</f>
        <v>0</v>
      </c>
      <c r="AL882" s="333"/>
      <c r="AM882" s="505" t="str">
        <f>EUconst_CNTR_ActivityData&amp;EUconst_Value</f>
        <v>ActivityData_Vertė</v>
      </c>
      <c r="AN882" s="496"/>
      <c r="AO882" s="496"/>
      <c r="AP882" s="509" t="b">
        <f>AND(AND(AH882&lt;&gt;"",AJ882&lt;&gt;""),AJ882=AH882)</f>
        <v>0</v>
      </c>
      <c r="AQ882" s="610" t="str">
        <f>IF(L877=TRUE,SUM(F879)-SUM(H879)+SUM(J879)-SUM(L879),"")</f>
        <v/>
      </c>
      <c r="AR882" s="509">
        <f>IF(Y882=EUconst_NA,0,IF(COUNT(K882:L882)=0,0,IF(L882="",K882,L882)))</f>
        <v>0</v>
      </c>
      <c r="AS882" s="1115" t="b">
        <f>AND(AC882=TRUE,OR(L882&lt;&gt;"",AQ882=""))</f>
        <v>0</v>
      </c>
      <c r="AT882" s="1115" t="b">
        <f>AND(AC882=TRUE,NOT(AS882))</f>
        <v>0</v>
      </c>
      <c r="AU882" s="30"/>
      <c r="AV882" s="483" t="s">
        <v>309</v>
      </c>
      <c r="AW882" s="483" t="s">
        <v>314</v>
      </c>
      <c r="AX882" s="515"/>
      <c r="AY882" s="30" t="s">
        <v>536</v>
      </c>
      <c r="AZ882" s="30"/>
      <c r="BA882" s="30"/>
      <c r="BB882" s="495"/>
      <c r="BC882" s="484" t="str">
        <f>EUconst_Fuel</f>
        <v>Degimas</v>
      </c>
      <c r="BD882" s="484" t="str">
        <f>EUconst_ProcessCarbonate</f>
        <v>Proceso metu išsiskiriančios ŠESD</v>
      </c>
      <c r="BE882" s="484" t="str">
        <f>EUconst_MassBalance</f>
        <v>Masės balansas</v>
      </c>
      <c r="BF882" s="30"/>
      <c r="BG882" s="30"/>
      <c r="BH882" s="30"/>
      <c r="BI882" s="30"/>
      <c r="BJ882" s="30"/>
      <c r="BK882" s="30"/>
      <c r="BL882" s="30"/>
      <c r="BM882" s="30"/>
      <c r="BN882" s="30"/>
      <c r="BO882" s="30"/>
      <c r="BP882" s="30"/>
      <c r="BQ882" s="30"/>
      <c r="BR882" s="30"/>
      <c r="BS882" s="30"/>
      <c r="BT882" s="30"/>
      <c r="BU882" s="30"/>
      <c r="BV882" s="30"/>
      <c r="BW882" s="30"/>
      <c r="BX882" s="30"/>
      <c r="BY882" s="30"/>
      <c r="BZ882" s="515" t="b">
        <f>BZ877</f>
        <v>1</v>
      </c>
    </row>
    <row r="883" spans="1:78" s="140" customFormat="1" ht="5.0999999999999996" customHeight="1" thickBot="1" x14ac:dyDescent="0.25">
      <c r="A883" s="777"/>
      <c r="B883" s="1248"/>
      <c r="C883" s="783"/>
      <c r="D883" s="298"/>
      <c r="F883" s="141"/>
      <c r="G883" s="141"/>
      <c r="H883" s="141" t="s">
        <v>233</v>
      </c>
      <c r="I883" s="516"/>
      <c r="J883" s="516"/>
      <c r="K883" s="141"/>
      <c r="L883" s="141"/>
      <c r="M883" s="701"/>
      <c r="O883" s="1305"/>
      <c r="P883" s="33"/>
      <c r="Q883" s="33"/>
      <c r="R883" s="33"/>
      <c r="S883" s="30"/>
      <c r="T883" s="153"/>
      <c r="U883" s="488"/>
      <c r="V883" s="30"/>
      <c r="W883" s="30"/>
      <c r="X883" s="488"/>
      <c r="Y883" s="517"/>
      <c r="Z883" s="30"/>
      <c r="AA883" s="30"/>
      <c r="AB883" s="30"/>
      <c r="AC883" s="30"/>
      <c r="AD883" s="30"/>
      <c r="AE883" s="30"/>
      <c r="AF883" s="30"/>
      <c r="AG883" s="30"/>
      <c r="AH883" s="30"/>
      <c r="AI883" s="30"/>
      <c r="AJ883" s="30"/>
      <c r="AK883" s="30"/>
      <c r="AL883" s="333"/>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484"/>
    </row>
    <row r="884" spans="1:78" s="140" customFormat="1" ht="12.75" customHeight="1" thickBot="1" x14ac:dyDescent="0.25">
      <c r="A884" s="777"/>
      <c r="B884" s="1248"/>
      <c r="C884" s="783" t="s">
        <v>195</v>
      </c>
      <c r="D884" s="503" t="str">
        <f>Translations!$B$634</f>
        <v>(prelim.) ITF:</v>
      </c>
      <c r="E884" s="504"/>
      <c r="F884" s="518"/>
      <c r="G884" s="1603" t="str">
        <f t="shared" ref="G884:G890" si="210">IF(OR(ISBLANK(F884),F884=EUconst_NoTier),"",IF(Z884=0,EUconst_NotApplicable,IF(ISERROR(Z884),"",Z884)))</f>
        <v/>
      </c>
      <c r="H884" s="1609"/>
      <c r="I884" s="1110" t="str">
        <f>IF(J884&lt;&gt;"","",AI884)</f>
        <v/>
      </c>
      <c r="J884" s="1111"/>
      <c r="K884" s="519" t="str">
        <f t="shared" ref="K884:K890" si="211">IF(L884="",AQ884,"")</f>
        <v/>
      </c>
      <c r="L884" s="520"/>
      <c r="M884" s="700" t="str">
        <f>IF(AND(E873&lt;&gt;"",OR(F884="",COUNT(K884:L884)=0),Y884&lt;&gt;EUconst_NA,T873&lt;&gt;TRUE),EUconst_ERR_Incomplete,IF(COUNTIF(AX884:AZ884,TRUE)&gt;0,EUconst_ERR_Inconsistent,""))</f>
        <v/>
      </c>
      <c r="N884" s="486"/>
      <c r="O884" s="1305"/>
      <c r="P884" s="33"/>
      <c r="Q884" s="33"/>
      <c r="R884" s="33"/>
      <c r="S884" s="30"/>
      <c r="T884" s="521" t="str">
        <f>EUconst_CNTR_EF&amp;E873</f>
        <v>EF_</v>
      </c>
      <c r="U884" s="488"/>
      <c r="V884" s="522" t="str">
        <f>V882</f>
        <v/>
      </c>
      <c r="W884" s="30"/>
      <c r="X884" s="488"/>
      <c r="Y884" s="523" t="str">
        <f>IF(OR(T873=TRUE,E873=""),"",IF(F884=EUconst_NA,EUconst_NA,INDEX(EUwideConstants!$N:$N,MATCH(T884,EUwideConstants!$Q:$Q,0))))</f>
        <v/>
      </c>
      <c r="Z884" s="524" t="str">
        <f>IF(ISBLANK(F884),"",IF(F884=EUconst_NA,"",INDEX(EUwideConstants!$H:$M,MATCH(T884,EUwideConstants!$Q:$Q,0),MATCH(F884,CNTR_TierList,0))))</f>
        <v/>
      </c>
      <c r="AA884" s="525" t="str">
        <f>IF(COUNTIF(EUconst_DefaultValues,Z884)&gt;0,MATCH(Z884,EUconst_DefaultValues,0),"")</f>
        <v/>
      </c>
      <c r="AB884" s="30"/>
      <c r="AC884" s="526" t="b">
        <f>AND(AC882,Y884&lt;&gt;EUconst_NA)</f>
        <v>0</v>
      </c>
      <c r="AD884" s="30"/>
      <c r="AE884" s="510" t="str">
        <f>EUconst_CNTR_EF&amp;EUconst_Unit</f>
        <v>EF_Vienetas</v>
      </c>
      <c r="AF884" s="527" t="str">
        <f>IF(AC884=TRUE, IF(COUNTIF(MSPara_SourceStreamCategory,V884)=0,"",INDEX(MSPara_CalcFactorsMatrix,MATCH(V884,MSPara_SourceStreamCategory,0),MATCH(AE884&amp;"_"&amp;2,MSPara_CalcFactors,0))),"")</f>
        <v/>
      </c>
      <c r="AG884" s="528" t="str">
        <f>IF(AC884=TRUE, IF(COUNTIF(MSPara_SourceStreamCategory,V884)=0,"",INDEX(MSPara_CalcFactorsMatrix,MATCH(V884,MSPara_SourceStreamCategory,0),MATCH(AE884&amp;"_"&amp;1,MSPara_CalcFactors,0))),"")</f>
        <v/>
      </c>
      <c r="AH884" s="529" t="str">
        <f>IF(AA884="","",INDEX(AF884:AG884,3-AA884))</f>
        <v/>
      </c>
      <c r="AI884" s="530" t="str">
        <f>IF(AC884=TRUE,IF(OR(AH884="",AH884=EUconst_NA),IF(K872=EUconst_Fuel,EUconst_tCO2pTJ,EUconst_tCO2pt),AH884),"")</f>
        <v/>
      </c>
      <c r="AJ884" s="526" t="str">
        <f>IF(J884="",AI884,J884)</f>
        <v/>
      </c>
      <c r="AK884" s="531" t="b">
        <f>IF(K872=EUconst_Fuel,J884&lt;&gt;"",FALSE)</f>
        <v>0</v>
      </c>
      <c r="AL884" s="333"/>
      <c r="AM884" s="510" t="str">
        <f>EUconst_CNTR_EF&amp;EUconst_Value</f>
        <v>EF_Vertė</v>
      </c>
      <c r="AN884" s="532" t="str">
        <f>IF(AC884=TRUE,IF(COUNTIF(MSPara_SourceStreamCategory,V884)=0,"",INDEX(MSPara_CalcFactorsMatrix,MATCH(V884,MSPara_SourceStreamCategory,0),MATCH(AM884&amp;"_"&amp;2,MSPara_CalcFactors,0))),"")</f>
        <v/>
      </c>
      <c r="AO884" s="533" t="str">
        <f>IF(AC884=TRUE,IF(COUNTIF(MSPara_SourceStreamCategory,V884)=0,"",INDEX(MSPara_CalcFactorsMatrix,MATCH(V884,MSPara_SourceStreamCategory,0),MATCH(AM884&amp;"_"&amp;1,MSPara_CalcFactors,0))),"")</f>
        <v/>
      </c>
      <c r="AP884" s="526" t="b">
        <f>AND(AND(AH884&lt;&gt;"",AJ884&lt;&gt;""),AJ884=AH884)</f>
        <v>0</v>
      </c>
      <c r="AQ884" s="534" t="str">
        <f>IF(AND(AA884&lt;&gt;"",AP884=TRUE),IF(OR(INDEX(AN884:AO884,3-AA884)=EUconst_NA,INDEX(AN884:AO884,3-AA884)=0),"",INDEX(AN884:AO884,3-AA884)),"")</f>
        <v/>
      </c>
      <c r="AR884" s="526">
        <f>IF(AC884=TRUE,IF(COUNT(K884:L884)=0,0,IF(L884="",K884,L884)),0)</f>
        <v>0</v>
      </c>
      <c r="AS884" s="522" t="b">
        <f>AND(AC884=TRUE,OR(AND(F884&lt;&gt;"",NOT(ISNUMBER(AA884))),L884&lt;&gt;"",F884="",AQ884=""))</f>
        <v>0</v>
      </c>
      <c r="AT884" s="522" t="b">
        <f t="shared" ref="AT884:AT890" si="212">AND(AC884=TRUE,NOT(AS884))</f>
        <v>0</v>
      </c>
      <c r="AU884" s="30"/>
      <c r="AV884" s="535" t="b">
        <f t="shared" ref="AV884:AV890" si="213">AND(ISNUMBER(AA884),AQ884="")</f>
        <v>0</v>
      </c>
      <c r="AW884" s="536" t="b">
        <f t="shared" ref="AW884:AW890" si="214">AND(ISNUMBER(AA884),AQ884&lt;&gt;AR884)</f>
        <v>0</v>
      </c>
      <c r="AX884" s="537" t="b">
        <f>OR(AND(AJ882=EUconst_kNm3,AJ884=EUconst_tCO2pt),AND(AJ882=EUconst_t,AJ884=EUconst_tCO2pkNm3))</f>
        <v>0</v>
      </c>
      <c r="AY884" s="522" t="b">
        <f t="shared" ref="AY884:AY890" si="215">AND(L884&lt;&gt;"",Y884=EUconst_NA)</f>
        <v>0</v>
      </c>
      <c r="AZ884" s="30"/>
      <c r="BA884" s="30"/>
      <c r="BB884" s="538" t="s">
        <v>588</v>
      </c>
      <c r="BC884" s="537" t="str">
        <f>IF(K872=BC882,AR882*IF(AJ884=EUconst_tCO2pTJ,(AR885/1000),1)*AR884*AR886*AR890,"")</f>
        <v/>
      </c>
      <c r="BD884" s="515" t="str">
        <f>IF(K872=BD882,AR882*AR884*AR887*AR890,"")</f>
        <v/>
      </c>
      <c r="BE884" s="514" t="str">
        <f>IF(K872=BE882,3.664*AR882*AR888*AR890,"")</f>
        <v/>
      </c>
      <c r="BF884" s="30"/>
      <c r="BG884" s="30"/>
      <c r="BH884" s="30"/>
      <c r="BI884" s="30"/>
      <c r="BJ884" s="30"/>
      <c r="BK884" s="30"/>
      <c r="BL884" s="30"/>
      <c r="BM884" s="30"/>
      <c r="BN884" s="30"/>
      <c r="BO884" s="30"/>
      <c r="BP884" s="30"/>
      <c r="BQ884" s="30"/>
      <c r="BR884" s="30"/>
      <c r="BS884" s="30"/>
      <c r="BT884" s="30"/>
      <c r="BU884" s="30"/>
      <c r="BV884" s="30"/>
      <c r="BW884" s="30"/>
      <c r="BX884" s="30"/>
      <c r="BY884" s="30"/>
      <c r="BZ884" s="522" t="b">
        <f>OR(BZ882,Y884=EUconst_NA)</f>
        <v>1</v>
      </c>
    </row>
    <row r="885" spans="1:78" s="140" customFormat="1" ht="12.75" customHeight="1" thickBot="1" x14ac:dyDescent="0.25">
      <c r="A885" s="777"/>
      <c r="B885" s="1248"/>
      <c r="C885" s="783" t="s">
        <v>196</v>
      </c>
      <c r="D885" s="503" t="str">
        <f>Translations!$B$636</f>
        <v>GŠV:</v>
      </c>
      <c r="E885" s="504"/>
      <c r="F885" s="539"/>
      <c r="G885" s="1603" t="str">
        <f t="shared" si="210"/>
        <v/>
      </c>
      <c r="H885" s="1604"/>
      <c r="I885" s="1112" t="str">
        <f>AJ885</f>
        <v/>
      </c>
      <c r="J885" s="540"/>
      <c r="K885" s="541" t="str">
        <f t="shared" si="211"/>
        <v/>
      </c>
      <c r="L885" s="542"/>
      <c r="M885" s="700" t="str">
        <f>IF(AND(E873&lt;&gt;"",OR(F885="",COUNT(K885:L885)=0),Y885&lt;&gt;EUconst_NA,T873&lt;&gt;TRUE),EUconst_ERR_Incomplete,IF(COUNTIF(AX885:AZ885,TRUE)&gt;0,EUconst_ERR_Inconsistent,""))</f>
        <v/>
      </c>
      <c r="O885" s="1305"/>
      <c r="P885" s="33"/>
      <c r="Q885" s="33"/>
      <c r="R885" s="33"/>
      <c r="S885" s="30"/>
      <c r="T885" s="543" t="str">
        <f>EUconst_CNTR_NCV&amp;E873</f>
        <v>NCV_</v>
      </c>
      <c r="U885" s="488"/>
      <c r="V885" s="544" t="str">
        <f t="shared" ref="V885:V890" si="216">V884</f>
        <v/>
      </c>
      <c r="W885" s="30"/>
      <c r="X885" s="488"/>
      <c r="Y885" s="545" t="str">
        <f>IF(OR(T873=TRUE,E873=""),"",IF(F885=EUconst_NA,EUconst_NA,INDEX(EUwideConstants!$N:$N,MATCH(T885,EUwideConstants!$Q:$Q,0))))</f>
        <v/>
      </c>
      <c r="Z885" s="546" t="str">
        <f>IF(ISBLANK(F885),"",IF(F885=EUconst_NA,"",INDEX(EUwideConstants!$H:$M,MATCH(T885,EUwideConstants!$Q:$Q,0),MATCH(F885,CNTR_TierList,0))))</f>
        <v/>
      </c>
      <c r="AA885" s="547" t="str">
        <f>IF(COUNTIF(EUconst_DefaultValues,Z885)&gt;0,MATCH(Z885,EUconst_DefaultValues,0),"")</f>
        <v/>
      </c>
      <c r="AB885" s="30"/>
      <c r="AC885" s="548" t="b">
        <f>AND(AC882,Y885&lt;&gt;EUconst_NA)</f>
        <v>0</v>
      </c>
      <c r="AD885" s="30"/>
      <c r="AE885" s="549" t="str">
        <f>EUconst_CNTR_NCV&amp;EUconst_Unit</f>
        <v>NCV_Vienetas</v>
      </c>
      <c r="AF885" s="550" t="str">
        <f>IF(AC885=TRUE, IF(COUNTIF(MSPara_SourceStreamCategory,V885)=0,"",INDEX(MSPara_CalcFactorsMatrix,MATCH(V885,MSPara_SourceStreamCategory,0),MATCH(AE885&amp;"_"&amp;2,MSPara_CalcFactors,0))),"")</f>
        <v/>
      </c>
      <c r="AG885" s="551" t="str">
        <f>IF(AC885=TRUE, IF(COUNTIF(MSPara_SourceStreamCategory,V885)=0,"",INDEX(MSPara_CalcFactorsMatrix,MATCH(V885,MSPara_SourceStreamCategory,0),MATCH(AE885&amp;"_"&amp;1,MSPara_CalcFactors,0))),"")</f>
        <v/>
      </c>
      <c r="AH885" s="552" t="str">
        <f>IF(AA885="","",INDEX(AF885:AG885,3-AA885))</f>
        <v/>
      </c>
      <c r="AI885" s="553"/>
      <c r="AJ885" s="548" t="str">
        <f>IF(AC885=TRUE,IF(AJ882="","",IF(AJ882=EUconst_kNm3,EUconst_GJpkNm3,EUconst_GJpt)),"")</f>
        <v/>
      </c>
      <c r="AK885" s="554"/>
      <c r="AL885" s="333"/>
      <c r="AM885" s="549" t="str">
        <f>EUconst_CNTR_NCV&amp;EUconst_Value</f>
        <v>NCV_Vertė</v>
      </c>
      <c r="AN885" s="555" t="str">
        <f>IF(AC885=TRUE,IF(COUNTIF(MSPara_SourceStreamCategory,V885)=0,"",INDEX(MSPara_CalcFactorsMatrix,MATCH(V885,MSPara_SourceStreamCategory,0),MATCH(AM885&amp;"_"&amp;2,MSPara_CalcFactors,0))),"")</f>
        <v/>
      </c>
      <c r="AO885" s="556" t="str">
        <f>IF(AC885=TRUE,IF(COUNTIF(MSPara_SourceStreamCategory,V885)=0,"",INDEX(MSPara_CalcFactorsMatrix,MATCH(V885,MSPara_SourceStreamCategory,0),MATCH(AM885&amp;"_"&amp;1,MSPara_CalcFactors,0))),"")</f>
        <v/>
      </c>
      <c r="AP885" s="548" t="b">
        <f>AND(AND(AH885&lt;&gt;"",AJ885&lt;&gt;""),AJ885=AH885)</f>
        <v>0</v>
      </c>
      <c r="AQ885" s="557" t="str">
        <f>IF(AND(AA885&lt;&gt;"",AP885=TRUE),IF(OR(INDEX(AN885:AO885,3-AA885)=EUconst_NA,INDEX(AN885:AO885,3-AA885)=0),"",INDEX(AN885:AO885,3-AA885)),"")</f>
        <v/>
      </c>
      <c r="AR885" s="548">
        <f>IF(AC885=TRUE,IF(COUNT(K885:L885)=0,0,IF(L885="",K885,L885)),0)</f>
        <v>0</v>
      </c>
      <c r="AS885" s="544" t="b">
        <f>AND(AC885=TRUE,OR(AND(F885&lt;&gt;"",NOT(ISNUMBER(AA885))),L885&lt;&gt;"",F885="",AQ885=""))</f>
        <v>0</v>
      </c>
      <c r="AT885" s="544" t="b">
        <f t="shared" si="212"/>
        <v>0</v>
      </c>
      <c r="AU885" s="30"/>
      <c r="AV885" s="558" t="b">
        <f t="shared" si="213"/>
        <v>0</v>
      </c>
      <c r="AW885" s="559" t="b">
        <f t="shared" si="214"/>
        <v>0</v>
      </c>
      <c r="AX885" s="30"/>
      <c r="AY885" s="544" t="b">
        <f t="shared" si="215"/>
        <v>0</v>
      </c>
      <c r="AZ885" s="30"/>
      <c r="BA885" s="30"/>
      <c r="BB885" s="538" t="s">
        <v>589</v>
      </c>
      <c r="BC885" s="537" t="str">
        <f>IF(K872=BC882,AR882*IF(AJ884=EUconst_tCO2pTJ,(AR885/1000),1)*AR884*AR886*AR889,"")</f>
        <v/>
      </c>
      <c r="BD885" s="515" t="str">
        <f>IF(K872=BD882,AR882*AR884*AR887*AR889,"")</f>
        <v/>
      </c>
      <c r="BE885" s="514" t="str">
        <f>IF(K872=BE882,3.664*AR882*AR888*AR889,"")</f>
        <v/>
      </c>
      <c r="BF885" s="30"/>
      <c r="BG885" s="30"/>
      <c r="BH885" s="30"/>
      <c r="BI885" s="30"/>
      <c r="BJ885" s="30"/>
      <c r="BK885" s="30"/>
      <c r="BL885" s="30"/>
      <c r="BM885" s="30"/>
      <c r="BN885" s="30"/>
      <c r="BO885" s="30"/>
      <c r="BP885" s="30"/>
      <c r="BQ885" s="30"/>
      <c r="BR885" s="30"/>
      <c r="BS885" s="30"/>
      <c r="BT885" s="30"/>
      <c r="BU885" s="30"/>
      <c r="BV885" s="30"/>
      <c r="BW885" s="30"/>
      <c r="BX885" s="30"/>
      <c r="BY885" s="30"/>
      <c r="BZ885" s="544" t="b">
        <f>OR(BZ882,Y885=EUconst_NA)</f>
        <v>1</v>
      </c>
    </row>
    <row r="886" spans="1:78" s="140" customFormat="1" ht="12.75" customHeight="1" thickBot="1" x14ac:dyDescent="0.25">
      <c r="A886" s="777"/>
      <c r="B886" s="1248"/>
      <c r="C886" s="783" t="s">
        <v>197</v>
      </c>
      <c r="D886" s="503" t="str">
        <f>Translations!$B$638</f>
        <v>Oksidacijos koef.:</v>
      </c>
      <c r="E886" s="504"/>
      <c r="F886" s="539"/>
      <c r="G886" s="1603" t="str">
        <f t="shared" si="210"/>
        <v/>
      </c>
      <c r="H886" s="1604"/>
      <c r="I886" s="1113" t="str">
        <f>IF(OR(AC886=FALSE,Y886=EUconst_NA),"","-")</f>
        <v/>
      </c>
      <c r="J886" s="560"/>
      <c r="K886" s="561" t="str">
        <f t="shared" si="211"/>
        <v/>
      </c>
      <c r="L886" s="694"/>
      <c r="M886" s="700" t="str">
        <f>IF(AND(E873&lt;&gt;"",OR(F886="",COUNT(K886:L886)=0),Y886&lt;&gt;EUconst_NA,T873&lt;&gt;TRUE),EUconst_ERR_Incomplete,IF(COUNTIF(AX886:AZ886,TRUE)&gt;0,EUconst_ERR_Inconsistent,""))</f>
        <v/>
      </c>
      <c r="O886" s="1305"/>
      <c r="P886" s="33"/>
      <c r="Q886" s="33"/>
      <c r="R886" s="33"/>
      <c r="S886" s="30"/>
      <c r="T886" s="543" t="str">
        <f>EUconst_CNTR_OxidationFactor&amp;E873</f>
        <v>OxF_</v>
      </c>
      <c r="U886" s="488"/>
      <c r="V886" s="544" t="str">
        <f t="shared" si="216"/>
        <v/>
      </c>
      <c r="W886" s="30"/>
      <c r="X886" s="488"/>
      <c r="Y886" s="545" t="str">
        <f>IF(OR(T873=TRUE,E873=""),"",INDEX(EUwideConstants!$N:$N,MATCH(T886,EUwideConstants!$Q:$Q,0)))</f>
        <v/>
      </c>
      <c r="Z886" s="546" t="str">
        <f>IF(ISBLANK(F886),"",IF(F886=EUconst_NA,"",INDEX(EUwideConstants!$H:$M,MATCH(T886,EUwideConstants!$Q:$Q,0),MATCH(F886,CNTR_TierList,0))))</f>
        <v/>
      </c>
      <c r="AA886" s="525" t="str">
        <f>IF(F886=1,1,"")</f>
        <v/>
      </c>
      <c r="AB886" s="30"/>
      <c r="AC886" s="548" t="b">
        <f>AND(AC882,Y886&lt;&gt;EUconst_NA)</f>
        <v>0</v>
      </c>
      <c r="AD886" s="30"/>
      <c r="AE886" s="563"/>
      <c r="AG886" s="564"/>
      <c r="AH886" s="553"/>
      <c r="AI886" s="565"/>
      <c r="AJ886" s="553"/>
      <c r="AK886" s="566"/>
      <c r="AL886" s="333"/>
      <c r="AM886" s="549" t="str">
        <f>EUconst_CNTR_OxidationFactor&amp;EUconst_Value</f>
        <v>OxF_Vertė</v>
      </c>
      <c r="AN886" s="567"/>
      <c r="AO886" s="525">
        <v>1</v>
      </c>
      <c r="AP886" s="553"/>
      <c r="AQ886" s="568" t="str">
        <f>IF(AA886="","",AO886)</f>
        <v/>
      </c>
      <c r="AR886" s="548">
        <f>IF(AC886=TRUE,IF(COUNT(K886:L886)=0,0,IF(L886="",K886,L886)),1)</f>
        <v>1</v>
      </c>
      <c r="AS886" s="544" t="b">
        <f>AND(AC886=TRUE,OR(ISNUMBER(L886),NOT(ISNUMBER(AA886))))</f>
        <v>0</v>
      </c>
      <c r="AT886" s="544" t="b">
        <f t="shared" si="212"/>
        <v>0</v>
      </c>
      <c r="AU886" s="30"/>
      <c r="AV886" s="558" t="b">
        <f t="shared" si="213"/>
        <v>0</v>
      </c>
      <c r="AW886" s="559" t="b">
        <f t="shared" si="214"/>
        <v>0</v>
      </c>
      <c r="AX886" s="30"/>
      <c r="AY886" s="585" t="b">
        <f t="shared" si="215"/>
        <v>0</v>
      </c>
      <c r="AZ886" s="522" t="b">
        <f>AR886&gt;100%</f>
        <v>0</v>
      </c>
      <c r="BA886" s="30"/>
      <c r="BB886" s="538" t="s">
        <v>287</v>
      </c>
      <c r="BC886" s="537" t="str">
        <f>IF(K872=BC882,AR882*IF(AJ884=EUconst_tCO2pTJ,(AR885/1000),1)*AR884*AR886*(1-AR889),"")</f>
        <v/>
      </c>
      <c r="BD886" s="515" t="str">
        <f>IF(K872=BD882,AR882*AR884*AR887*(1-AR889),"")</f>
        <v/>
      </c>
      <c r="BE886" s="514" t="str">
        <f>IF(K872=BE882,3.664*AR882*AR888*(1-AR889),"")</f>
        <v/>
      </c>
      <c r="BF886" s="30"/>
      <c r="BG886" s="30"/>
      <c r="BH886" s="30"/>
      <c r="BI886" s="30"/>
      <c r="BJ886" s="30"/>
      <c r="BK886" s="30"/>
      <c r="BL886" s="30"/>
      <c r="BM886" s="30"/>
      <c r="BN886" s="30"/>
      <c r="BO886" s="30"/>
      <c r="BP886" s="30"/>
      <c r="BQ886" s="30"/>
      <c r="BR886" s="30"/>
      <c r="BS886" s="30"/>
      <c r="BT886" s="30"/>
      <c r="BU886" s="30"/>
      <c r="BV886" s="30"/>
      <c r="BW886" s="30"/>
      <c r="BX886" s="30"/>
      <c r="BY886" s="30"/>
      <c r="BZ886" s="544" t="b">
        <f>OR(BZ882,Y886=EUconst_NA)</f>
        <v>1</v>
      </c>
    </row>
    <row r="887" spans="1:78" s="140" customFormat="1" ht="12.75" customHeight="1" thickBot="1" x14ac:dyDescent="0.25">
      <c r="A887" s="777"/>
      <c r="B887" s="1248"/>
      <c r="C887" s="783" t="s">
        <v>198</v>
      </c>
      <c r="D887" s="503" t="str">
        <f>Translations!$B$639</f>
        <v>Konversijos koef.:</v>
      </c>
      <c r="E887" s="504"/>
      <c r="F887" s="539"/>
      <c r="G887" s="1603" t="str">
        <f t="shared" si="210"/>
        <v/>
      </c>
      <c r="H887" s="1604"/>
      <c r="I887" s="1113" t="str">
        <f>IF(OR(AC887=FALSE,Y887=EUconst_NA),"","-")</f>
        <v/>
      </c>
      <c r="J887" s="560"/>
      <c r="K887" s="561" t="str">
        <f t="shared" si="211"/>
        <v/>
      </c>
      <c r="L887" s="694"/>
      <c r="M887" s="700" t="str">
        <f>IF(AND(E873&lt;&gt;"",OR(F887="",COUNT(K887:L887)=0),Y887&lt;&gt;EUconst_NA,T873&lt;&gt;TRUE),EUconst_ERR_Incomplete,IF(COUNTIF(AX887:AZ887,TRUE)&gt;0,EUconst_ERR_Inconsistent,""))</f>
        <v/>
      </c>
      <c r="O887" s="1305"/>
      <c r="P887" s="33"/>
      <c r="Q887" s="33"/>
      <c r="R887" s="33"/>
      <c r="S887" s="30"/>
      <c r="T887" s="543" t="str">
        <f>EUconst_CNTR_ConversionFactor&amp;E873</f>
        <v>ConvF_</v>
      </c>
      <c r="U887" s="488"/>
      <c r="V887" s="544" t="str">
        <f t="shared" si="216"/>
        <v/>
      </c>
      <c r="W887" s="30"/>
      <c r="X887" s="488"/>
      <c r="Y887" s="545" t="str">
        <f>IF(OR(T873=TRUE,E873=""),"",INDEX(EUwideConstants!$N:$N,MATCH(T887,EUwideConstants!$Q:$Q,0)))</f>
        <v/>
      </c>
      <c r="Z887" s="546" t="str">
        <f>IF(ISBLANK(F887),"",IF(F887=EUconst_NA,"",INDEX(EUwideConstants!$H:$M,MATCH(T887,EUwideConstants!$Q:$Q,0),MATCH(F887,CNTR_TierList,0))))</f>
        <v/>
      </c>
      <c r="AA887" s="573" t="str">
        <f>IF(F887=1,1,"")</f>
        <v/>
      </c>
      <c r="AB887" s="30"/>
      <c r="AC887" s="548" t="b">
        <f>AND(AC882,Y887&lt;&gt;EUconst_NA)</f>
        <v>0</v>
      </c>
      <c r="AD887" s="30"/>
      <c r="AE887" s="563"/>
      <c r="AG887" s="564"/>
      <c r="AH887" s="574"/>
      <c r="AI887" s="565"/>
      <c r="AJ887" s="574"/>
      <c r="AK887" s="566"/>
      <c r="AL887" s="333"/>
      <c r="AM887" s="549" t="str">
        <f>EUconst_CNTR_ConversionFactor&amp;EUconst_Value</f>
        <v>ConvF_Vertė</v>
      </c>
      <c r="AN887" s="575"/>
      <c r="AO887" s="573">
        <v>1</v>
      </c>
      <c r="AP887" s="574"/>
      <c r="AQ887" s="576" t="str">
        <f>IF(AA887="","",AO887)</f>
        <v/>
      </c>
      <c r="AR887" s="548">
        <f>IF(AC887=TRUE,IF(COUNT(K887:L887)=0,0,IF(L887="",K887,L887)),1)</f>
        <v>1</v>
      </c>
      <c r="AS887" s="544" t="b">
        <f>AND(AC887=TRUE,OR(ISNUMBER(L887),NOT(ISNUMBER(AA887))))</f>
        <v>0</v>
      </c>
      <c r="AT887" s="544" t="b">
        <f t="shared" si="212"/>
        <v>0</v>
      </c>
      <c r="AU887" s="30"/>
      <c r="AV887" s="558" t="b">
        <f t="shared" si="213"/>
        <v>0</v>
      </c>
      <c r="AW887" s="559" t="b">
        <f t="shared" si="214"/>
        <v>0</v>
      </c>
      <c r="AX887" s="30"/>
      <c r="AY887" s="585" t="b">
        <f t="shared" si="215"/>
        <v>0</v>
      </c>
      <c r="AZ887" s="571" t="b">
        <f>AR887&gt;100%</f>
        <v>0</v>
      </c>
      <c r="BA887" s="30"/>
      <c r="BB887" s="569" t="s">
        <v>481</v>
      </c>
      <c r="BC887" s="570">
        <f>AR882*AR885/1000*(1-AR889)</f>
        <v>0</v>
      </c>
      <c r="BD887" s="571">
        <f>BC887</f>
        <v>0</v>
      </c>
      <c r="BE887" s="572">
        <f>BC887</f>
        <v>0</v>
      </c>
      <c r="BF887" s="30"/>
      <c r="BG887" s="30"/>
      <c r="BH887" s="30"/>
      <c r="BI887" s="30"/>
      <c r="BJ887" s="30"/>
      <c r="BK887" s="30"/>
      <c r="BL887" s="30"/>
      <c r="BM887" s="30"/>
      <c r="BN887" s="30"/>
      <c r="BO887" s="30"/>
      <c r="BP887" s="30"/>
      <c r="BQ887" s="30"/>
      <c r="BR887" s="30"/>
      <c r="BS887" s="30"/>
      <c r="BT887" s="30"/>
      <c r="BU887" s="30"/>
      <c r="BV887" s="30"/>
      <c r="BW887" s="30"/>
      <c r="BX887" s="30"/>
      <c r="BY887" s="30"/>
      <c r="BZ887" s="544" t="b">
        <f>OR(BZ882,Y887=EUconst_NA)</f>
        <v>1</v>
      </c>
    </row>
    <row r="888" spans="1:78" s="140" customFormat="1" ht="12.75" customHeight="1" thickBot="1" x14ac:dyDescent="0.25">
      <c r="A888" s="777"/>
      <c r="B888" s="1248"/>
      <c r="C888" s="783" t="s">
        <v>324</v>
      </c>
      <c r="D888" s="503" t="str">
        <f>Translations!$B$640</f>
        <v>Anglies kiekis (C):</v>
      </c>
      <c r="E888" s="504"/>
      <c r="F888" s="539"/>
      <c r="G888" s="1603" t="str">
        <f t="shared" si="210"/>
        <v/>
      </c>
      <c r="H888" s="1604"/>
      <c r="I888" s="1113" t="str">
        <f>AJ888</f>
        <v/>
      </c>
      <c r="J888" s="577"/>
      <c r="K888" s="578" t="str">
        <f t="shared" si="211"/>
        <v/>
      </c>
      <c r="L888" s="579"/>
      <c r="M888" s="700" t="str">
        <f>IF(AND(E873&lt;&gt;"",OR(F888="",COUNT(K888:L888)=0),Y888&lt;&gt;EUconst_NA,T873&lt;&gt;TRUE),EUconst_ERR_Incomplete,IF(COUNTIF(AX888:AZ888,TRUE)&gt;0,EUconst_ERR_Inconsistent,""))</f>
        <v/>
      </c>
      <c r="O888" s="1305"/>
      <c r="P888" s="33"/>
      <c r="Q888" s="33"/>
      <c r="R888" s="33"/>
      <c r="S888" s="30"/>
      <c r="T888" s="543" t="str">
        <f>EUconst_CNTR_CarbonContent&amp;E873</f>
        <v>CarbC_</v>
      </c>
      <c r="U888" s="488"/>
      <c r="V888" s="544" t="str">
        <f t="shared" si="216"/>
        <v/>
      </c>
      <c r="W888" s="30"/>
      <c r="X888" s="488"/>
      <c r="Y888" s="545" t="str">
        <f>IF(OR(T873=TRUE,E873=""),"",INDEX(EUwideConstants!$N:$N,MATCH(T888,EUwideConstants!$Q:$Q,0)))</f>
        <v/>
      </c>
      <c r="Z888" s="546" t="str">
        <f>IF(ISBLANK(F888),"",IF(F888=EUconst_NA,"",INDEX(EUwideConstants!$H:$M,MATCH(T888,EUwideConstants!$Q:$Q,0),MATCH(F888,CNTR_TierList,0))))</f>
        <v/>
      </c>
      <c r="AA888" s="580" t="str">
        <f>IF(COUNTIF(EUconst_DefaultValues,Z888)&gt;0,MATCH(Z888,EUconst_DefaultValues,0),"")</f>
        <v/>
      </c>
      <c r="AB888" s="30"/>
      <c r="AC888" s="548" t="b">
        <f>AND(AC882,Y888&lt;&gt;EUconst_NA)</f>
        <v>0</v>
      </c>
      <c r="AD888" s="30"/>
      <c r="AE888" s="549" t="str">
        <f>EUconst_CNTR_CarbonContent&amp;EUconst_Unit</f>
        <v>CarbC_Vienetas</v>
      </c>
      <c r="AF888" s="550" t="str">
        <f>IF(AC888=TRUE, IF(COUNTIF(MSPara_SourceStreamCategory,V888)=0,"",INDEX(MSPara_CalcFactorsMatrix,MATCH(V888,MSPara_SourceStreamCategory,0),MATCH(AE888&amp;"_"&amp;2,MSPara_CalcFactors,0))),"")</f>
        <v/>
      </c>
      <c r="AG888" s="551" t="str">
        <f>IF(AC888=TRUE, IF(COUNTIF(MSPara_SourceStreamCategory,V888)=0,"",INDEX(MSPara_CalcFactorsMatrix,MATCH(V888,MSPara_SourceStreamCategory,0),MATCH(AE888&amp;"_"&amp;1,MSPara_CalcFactors,0))),"")</f>
        <v/>
      </c>
      <c r="AH888" s="581" t="str">
        <f>IF(AA888="","",INDEX(AF888:AG888,3-AA888))</f>
        <v/>
      </c>
      <c r="AI888" s="565"/>
      <c r="AJ888" s="582" t="str">
        <f>IF(AC888=TRUE,IF(AJ882="","",IF(AJ882=EUconst_kNm3,EUconst_tCpkNm3,EUconst_tCpt)),"")</f>
        <v/>
      </c>
      <c r="AK888" s="566"/>
      <c r="AL888" s="333"/>
      <c r="AM888" s="549" t="str">
        <f>EUconst_CNTR_CarbonContent&amp;EUconst_Value</f>
        <v>CarbC_Vertė</v>
      </c>
      <c r="AN888" s="555" t="str">
        <f>IF(AC888=TRUE,IF(COUNTIF(MSPara_SourceStreamCategory,V888)=0,"",INDEX(MSPara_CalcFactorsMatrix,MATCH(V888,MSPara_SourceStreamCategory,0),MATCH(AM888&amp;"_"&amp;2,MSPara_CalcFactors,0))),"")</f>
        <v/>
      </c>
      <c r="AO888" s="583" t="str">
        <f>IF(AC888=TRUE,IF(COUNTIF(MSPara_SourceStreamCategory,V888)=0,"",INDEX(MSPara_CalcFactorsMatrix,MATCH(V888,MSPara_SourceStreamCategory,0),MATCH(AM888&amp;"_"&amp;1,MSPara_CalcFactors,0))),"")</f>
        <v/>
      </c>
      <c r="AP888" s="548" t="b">
        <f>AND(AND(AH888&lt;&gt;"",AJ888&lt;&gt;""),AJ888=AH888)</f>
        <v>0</v>
      </c>
      <c r="AQ888" s="584" t="str">
        <f>IF(AND(AA888&lt;&gt;"",AP888=TRUE),IF(OR(INDEX(AN888:AO888,3-AA888)=EUconst_NA,INDEX(AN888:AO888,3-AA888)=0),"",INDEX(AN888:AO888,3-AA888)),"")</f>
        <v/>
      </c>
      <c r="AR888" s="548">
        <f>IF(AC888=TRUE,IF(COUNT(K888:L888)=0,0,IF(L888="",K888,L888)),0)</f>
        <v>0</v>
      </c>
      <c r="AS888" s="544" t="b">
        <f>AND(AC888=TRUE,OR(AND(F888&lt;&gt;"",NOT(ISNUMBER(AA888))),L888&lt;&gt;"",F888="",AQ888=""))</f>
        <v>0</v>
      </c>
      <c r="AT888" s="544" t="b">
        <f t="shared" si="212"/>
        <v>0</v>
      </c>
      <c r="AU888" s="30"/>
      <c r="AV888" s="558" t="b">
        <f t="shared" si="213"/>
        <v>0</v>
      </c>
      <c r="AW888" s="559" t="b">
        <f t="shared" si="214"/>
        <v>0</v>
      </c>
      <c r="AX888" s="537" t="b">
        <f>OR(AND(AJ882=EUconst_kNm3,AJ888=EUconst_tCpt),AND(AJ882=EUconst_t,AJ888=EUconst_tCpkNm3))</f>
        <v>0</v>
      </c>
      <c r="AY888" s="544" t="b">
        <f t="shared" si="215"/>
        <v>0</v>
      </c>
      <c r="AZ888" s="30"/>
      <c r="BA888" s="30"/>
      <c r="BB888" s="569" t="s">
        <v>482</v>
      </c>
      <c r="BC888" s="570">
        <f>AR882*AR885/1000*AR889</f>
        <v>0</v>
      </c>
      <c r="BD888" s="571">
        <f>BC888</f>
        <v>0</v>
      </c>
      <c r="BE888" s="572">
        <f>BC888</f>
        <v>0</v>
      </c>
      <c r="BF888" s="30"/>
      <c r="BG888" s="30"/>
      <c r="BH888" s="30"/>
      <c r="BI888" s="30"/>
      <c r="BJ888" s="30"/>
      <c r="BK888" s="30"/>
      <c r="BL888" s="30"/>
      <c r="BM888" s="30"/>
      <c r="BN888" s="30"/>
      <c r="BO888" s="30"/>
      <c r="BP888" s="30"/>
      <c r="BQ888" s="30"/>
      <c r="BR888" s="30"/>
      <c r="BS888" s="30"/>
      <c r="BT888" s="30"/>
      <c r="BU888" s="30"/>
      <c r="BV888" s="30"/>
      <c r="BW888" s="30"/>
      <c r="BX888" s="30"/>
      <c r="BY888" s="30"/>
      <c r="BZ888" s="544" t="b">
        <f>OR(BZ882,Y888=EUconst_NA)</f>
        <v>1</v>
      </c>
    </row>
    <row r="889" spans="1:78" s="140" customFormat="1" ht="12.75" customHeight="1" x14ac:dyDescent="0.2">
      <c r="A889" s="777"/>
      <c r="B889" s="1248"/>
      <c r="C889" s="753" t="s">
        <v>325</v>
      </c>
      <c r="D889" s="503" t="str">
        <f>Translations!$B$641</f>
        <v>Biomasės dalis (BioC):</v>
      </c>
      <c r="E889" s="504"/>
      <c r="F889" s="539"/>
      <c r="G889" s="1603" t="str">
        <f t="shared" si="210"/>
        <v/>
      </c>
      <c r="H889" s="1604"/>
      <c r="I889" s="1113" t="str">
        <f>IF(OR(AC889=FALSE,Y889=EUconst_NA),"","-")</f>
        <v/>
      </c>
      <c r="J889" s="560"/>
      <c r="K889" s="561" t="str">
        <f t="shared" si="211"/>
        <v/>
      </c>
      <c r="L889" s="694"/>
      <c r="M889" s="700" t="str">
        <f>IF(AND(E873&lt;&gt;"",OR(F889="",COUNT(K889:L889)=0),Y889&lt;&gt;EUconst_NA,T873&lt;&gt;TRUE),EUconst_ERR_Incomplete,IF(COUNTIF(AX889:AZ889,TRUE)&gt;0,EUconst_ERR_Inconsistent,""))</f>
        <v/>
      </c>
      <c r="O889" s="1305"/>
      <c r="P889" s="635"/>
      <c r="Q889" s="635"/>
      <c r="R889" s="635"/>
      <c r="S889" s="30"/>
      <c r="T889" s="543" t="str">
        <f>EUconst_CNTR_BiomassContent&amp;E873</f>
        <v>BioC_</v>
      </c>
      <c r="U889" s="488"/>
      <c r="V889" s="585" t="str">
        <f t="shared" si="216"/>
        <v/>
      </c>
      <c r="W889" s="522" t="str">
        <f>IF(COUNTIF(MSPara_SourceStreamCategory,V889)=0,"",INDEX(MSPara_IsFossil,MATCH(V889,MSPara_SourceStreamCategory,0)))</f>
        <v/>
      </c>
      <c r="X889" s="488"/>
      <c r="Y889" s="545" t="str">
        <f>IF(OR(T873=TRUE,E873=""),"",IF(OR(W889=TRUE,F889=EUconst_NA),EUconst_NA,INDEX(EUwideConstants!$N:$N,MATCH(T889,EUwideConstants!$Q:$Q,0))))</f>
        <v/>
      </c>
      <c r="Z889" s="546" t="str">
        <f>IF(ISBLANK(F889),"",IF(F889=EUconst_NA,"",INDEX(EUwideConstants!$H:$M,MATCH(T889,EUwideConstants!$Q:$Q,0),MATCH(F889,CNTR_TierList,0))))</f>
        <v/>
      </c>
      <c r="AA889" s="586" t="str">
        <f>IF(F889=1,1,"")</f>
        <v/>
      </c>
      <c r="AB889" s="30"/>
      <c r="AC889" s="548" t="b">
        <f>AND(AC882,Y889&lt;&gt;EUconst_NA)</f>
        <v>0</v>
      </c>
      <c r="AD889" s="30"/>
      <c r="AE889" s="563"/>
      <c r="AG889" s="564"/>
      <c r="AH889" s="553"/>
      <c r="AI889" s="565"/>
      <c r="AJ889" s="553"/>
      <c r="AK889" s="566"/>
      <c r="AL889" s="333"/>
      <c r="AM889" s="549" t="str">
        <f>EUconst_CNTR_BiomassContent&amp;EUconst_Value</f>
        <v>BioC_Vertė</v>
      </c>
      <c r="AO889" s="587" t="str">
        <f>IF(AC889=TRUE,IF(COUNTIF(MSPara_SourceStreamCategory,V889)=0,"",INDEX(MSPara_CalcFactorsMatrix,MATCH(V889,MSPara_SourceStreamCategory,0),MATCH(AM889&amp;"_"&amp;2,MSPara_CalcFactors,0))),"")</f>
        <v/>
      </c>
      <c r="AP889" s="553"/>
      <c r="AQ889" s="568" t="str">
        <f>IF(OR(AA889="",AO889=EUconst_NA),"",AO889)</f>
        <v/>
      </c>
      <c r="AR889" s="548">
        <f>IF(AC889=TRUE,IF(COUNT(K889:L889)=0,0,IF(L889="",K889,L889)),0)</f>
        <v>0</v>
      </c>
      <c r="AS889" s="544" t="b">
        <f>AND(AC889=TRUE,OR(AND(F889&lt;&gt;"",NOT(ISNUMBER(AA889))),L889&lt;&gt;"",F889="",AQ889=""))</f>
        <v>0</v>
      </c>
      <c r="AT889" s="544" t="b">
        <f t="shared" si="212"/>
        <v>0</v>
      </c>
      <c r="AU889" s="30"/>
      <c r="AV889" s="558" t="b">
        <f t="shared" si="213"/>
        <v>0</v>
      </c>
      <c r="AW889" s="559" t="b">
        <f t="shared" si="214"/>
        <v>0</v>
      </c>
      <c r="AX889" s="30"/>
      <c r="AY889" s="585" t="b">
        <f t="shared" si="215"/>
        <v>0</v>
      </c>
      <c r="AZ889" s="522" t="b">
        <f>OR(AR889&gt;100%,(AR889+AR890)&gt;100%)</f>
        <v>0</v>
      </c>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544" t="b">
        <f>OR(BZ882,Y889=EUconst_NA)</f>
        <v>1</v>
      </c>
    </row>
    <row r="890" spans="1:78" s="140" customFormat="1" ht="12.75" customHeight="1" thickBot="1" x14ac:dyDescent="0.25">
      <c r="A890" s="777"/>
      <c r="B890" s="1248"/>
      <c r="C890" s="753" t="s">
        <v>448</v>
      </c>
      <c r="D890" s="503" t="str">
        <f>Translations!$B$647</f>
        <v>Netvarios BioC dalis:</v>
      </c>
      <c r="E890" s="504"/>
      <c r="F890" s="588"/>
      <c r="G890" s="1603" t="str">
        <f t="shared" si="210"/>
        <v/>
      </c>
      <c r="H890" s="1604"/>
      <c r="I890" s="1114" t="str">
        <f>IF(OR(AC890=FALSE,Y890=EUconst_NA),"","-")</f>
        <v/>
      </c>
      <c r="J890" s="560"/>
      <c r="K890" s="589" t="str">
        <f t="shared" si="211"/>
        <v/>
      </c>
      <c r="L890" s="1100"/>
      <c r="M890" s="700" t="str">
        <f>IF(AND(E873&lt;&gt;"",OR(F890="",COUNT(K890:L890)=0),Y890&lt;&gt;EUconst_NA,T873&lt;&gt;TRUE),EUconst_ERR_Incomplete,IF(COUNTIF(AX890:AZ890,TRUE)&gt;0,EUconst_ERR_Inconsistent,""))</f>
        <v/>
      </c>
      <c r="O890" s="1305"/>
      <c r="P890" s="635"/>
      <c r="Q890" s="635"/>
      <c r="R890" s="635"/>
      <c r="S890" s="30"/>
      <c r="T890" s="590" t="str">
        <f>EUconst_CNTR_BiomassContent&amp;E873</f>
        <v>BioC_</v>
      </c>
      <c r="U890" s="488"/>
      <c r="V890" s="570" t="str">
        <f t="shared" si="216"/>
        <v/>
      </c>
      <c r="W890" s="571" t="str">
        <f>IF(COUNTIF(MSPara_SourceStreamCategory,V890)=0,"",INDEX(MSPara_IsFossil,MATCH(V890,MSPara_SourceStreamCategory,0)))</f>
        <v/>
      </c>
      <c r="X890" s="488"/>
      <c r="Y890" s="591" t="str">
        <f>IF(OR(T873=TRUE,E873=""),"",IF(OR(W890=TRUE,F890=EUconst_NA),EUconst_NA,INDEX(EUwideConstants!$N:$N,MATCH(T890,EUwideConstants!$Q:$Q,0))))</f>
        <v/>
      </c>
      <c r="Z890" s="592" t="str">
        <f>IF(ISBLANK(F890),"",IF(F890=EUconst_NA,"",INDEX(EUwideConstants!$H:$M,MATCH(T890,EUwideConstants!$Q:$Q,0),MATCH(F890,CNTR_TierList,0))))</f>
        <v/>
      </c>
      <c r="AA890" s="593" t="str">
        <f>IF(F890=1,1,"")</f>
        <v/>
      </c>
      <c r="AB890" s="30"/>
      <c r="AC890" s="594" t="b">
        <f>AND(AC882,Y890&lt;&gt;EUconst_NA)</f>
        <v>0</v>
      </c>
      <c r="AD890" s="30"/>
      <c r="AE890" s="595"/>
      <c r="AF890" s="596"/>
      <c r="AG890" s="597"/>
      <c r="AH890" s="598"/>
      <c r="AI890" s="598"/>
      <c r="AJ890" s="598"/>
      <c r="AK890" s="599"/>
      <c r="AL890" s="333"/>
      <c r="AM890" s="600" t="str">
        <f>EUconst_CNTR_BiomassContent&amp;EUconst_Value</f>
        <v>BioC_Vertė</v>
      </c>
      <c r="AN890" s="596"/>
      <c r="AO890" s="601" t="str">
        <f>IF(AC890=TRUE,IF(COUNTIF(MSPara_SourceStreamCategory,V890)=0,"",INDEX(MSPara_CalcFactorsMatrix,MATCH(V890,MSPara_SourceStreamCategory,0),MATCH(AM890&amp;"_"&amp;2,MSPara_CalcFactors,0))),"")</f>
        <v/>
      </c>
      <c r="AP890" s="598"/>
      <c r="AQ890" s="602" t="str">
        <f>IF(OR(AA890="",AO890=EUconst_NA),"",AO890)</f>
        <v/>
      </c>
      <c r="AR890" s="594">
        <f>IF(AC890=TRUE,IF(COUNT(K890:L890)=0,0,IF(L890="",K890,L890)),0)</f>
        <v>0</v>
      </c>
      <c r="AS890" s="603" t="b">
        <f>AND(AC890=TRUE,OR(AND(F890&lt;&gt;"",NOT(ISNUMBER(AA890))),L890&lt;&gt;"",F890="",AQ890=""))</f>
        <v>0</v>
      </c>
      <c r="AT890" s="603" t="b">
        <f t="shared" si="212"/>
        <v>0</v>
      </c>
      <c r="AU890" s="30"/>
      <c r="AV890" s="604" t="b">
        <f t="shared" si="213"/>
        <v>0</v>
      </c>
      <c r="AW890" s="605" t="b">
        <f t="shared" si="214"/>
        <v>0</v>
      </c>
      <c r="AX890" s="30"/>
      <c r="AY890" s="570" t="b">
        <f t="shared" si="215"/>
        <v>0</v>
      </c>
      <c r="AZ890" s="571" t="b">
        <f>OR(AR889&gt;100%,(AR889+AR890)&gt;100%)</f>
        <v>0</v>
      </c>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571" t="b">
        <f>OR(BZ882,Y890=EUconst_NA)</f>
        <v>1</v>
      </c>
    </row>
    <row r="891" spans="1:78" s="140" customFormat="1" ht="5.0999999999999996" customHeight="1" x14ac:dyDescent="0.2">
      <c r="A891" s="777"/>
      <c r="B891" s="1248"/>
      <c r="C891" s="164"/>
      <c r="D891" s="178"/>
      <c r="O891" s="1305"/>
      <c r="P891" s="33"/>
      <c r="Q891" s="33"/>
      <c r="R891" s="33"/>
      <c r="S891" s="172"/>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row>
    <row r="892" spans="1:78" s="140" customFormat="1" ht="12.75" customHeight="1" x14ac:dyDescent="0.2">
      <c r="A892" s="777"/>
      <c r="B892" s="1248"/>
      <c r="C892" s="164"/>
      <c r="D892" s="1629" t="str">
        <f>Translations!$B$674</f>
        <v>Pakopos galioja nuo:</v>
      </c>
      <c r="E892" s="1629"/>
      <c r="F892" s="1630"/>
      <c r="G892" s="1014"/>
      <c r="H892" s="606" t="str">
        <f>Translations!$B$675</f>
        <v>iki:</v>
      </c>
      <c r="I892" s="1014"/>
      <c r="J892" s="1620" t="str">
        <f>Translations!$B$676</f>
        <v>Atliekų katalogo numeris (jeigu taikytina):</v>
      </c>
      <c r="K892" s="1621"/>
      <c r="L892" s="1621"/>
      <c r="M892" s="1622"/>
      <c r="N892" s="1232"/>
      <c r="O892" s="1305"/>
      <c r="P892" s="33"/>
      <c r="Q892" s="33"/>
      <c r="R892" s="33"/>
      <c r="S892" s="1233"/>
      <c r="T892" s="483"/>
      <c r="U892" s="483"/>
      <c r="V892" s="48" t="b">
        <f>IF(V882="",FALSE,INDEX(CNTR_IsWaste,MATCH(V882,MSParameters!$A$218:$A$376,0)))</f>
        <v>0</v>
      </c>
      <c r="W892" s="1233" t="s">
        <v>1689</v>
      </c>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2" t="b">
        <f>BZ882</f>
        <v>1</v>
      </c>
    </row>
    <row r="893" spans="1:78" s="140" customFormat="1" ht="5.0999999999999996" customHeight="1" x14ac:dyDescent="0.2">
      <c r="A893" s="777"/>
      <c r="B893" s="1248"/>
      <c r="C893" s="164"/>
      <c r="D893" s="606"/>
      <c r="E893" s="486"/>
      <c r="F893" s="486"/>
      <c r="G893" s="486"/>
      <c r="H893" s="486"/>
      <c r="I893" s="486"/>
      <c r="J893" s="486"/>
      <c r="K893" s="486"/>
      <c r="L893" s="486"/>
      <c r="M893" s="486"/>
      <c r="N893" s="486"/>
      <c r="O893" s="1305"/>
      <c r="P893" s="33"/>
      <c r="Q893" s="33"/>
      <c r="R893" s="33"/>
      <c r="S893" s="172"/>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row>
    <row r="894" spans="1:78" s="140" customFormat="1" ht="12.75" customHeight="1" x14ac:dyDescent="0.2">
      <c r="A894" s="777"/>
      <c r="B894" s="1248"/>
      <c r="C894" s="164"/>
      <c r="D894" s="486"/>
      <c r="E894" s="486"/>
      <c r="F894" s="486"/>
      <c r="G894" s="486"/>
      <c r="H894" s="486"/>
      <c r="I894" s="486"/>
      <c r="J894" s="486"/>
      <c r="K894" s="486"/>
      <c r="L894" s="486"/>
      <c r="M894" s="606" t="str">
        <f>Translations!$B$677</f>
        <v>Stebėsenos plane šiam sukėlikliui suteiktas identifikatorius:</v>
      </c>
      <c r="N894" s="705"/>
      <c r="O894" s="1305"/>
      <c r="P894" s="33"/>
      <c r="Q894" s="33"/>
      <c r="R894" s="33"/>
      <c r="S894" s="172"/>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2" t="b">
        <f>BZ892</f>
        <v>1</v>
      </c>
    </row>
    <row r="895" spans="1:78" s="140" customFormat="1" ht="5.0999999999999996" customHeight="1" x14ac:dyDescent="0.2">
      <c r="A895" s="784"/>
      <c r="B895" s="1316"/>
      <c r="D895" s="178"/>
      <c r="O895" s="1317"/>
      <c r="P895" s="488"/>
      <c r="Q895" s="488"/>
      <c r="R895" s="488"/>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row>
    <row r="896" spans="1:78" s="140" customFormat="1" x14ac:dyDescent="0.2">
      <c r="A896" s="784"/>
      <c r="B896" s="1316"/>
      <c r="D896" s="1618" t="str">
        <f>Translations!$B$160</f>
        <v>Pastabos:</v>
      </c>
      <c r="E896" s="1619"/>
      <c r="F896" s="1605"/>
      <c r="G896" s="1606"/>
      <c r="H896" s="1606"/>
      <c r="I896" s="1606"/>
      <c r="J896" s="1606"/>
      <c r="K896" s="1606"/>
      <c r="L896" s="1606"/>
      <c r="M896" s="1606"/>
      <c r="N896" s="1607"/>
      <c r="O896" s="1317"/>
      <c r="P896" s="488"/>
      <c r="Q896" s="488"/>
      <c r="R896" s="488"/>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2" t="b">
        <f>BZ892</f>
        <v>1</v>
      </c>
    </row>
    <row r="897" spans="1:78" s="28" customFormat="1" ht="12.75" customHeight="1" thickBot="1" x14ac:dyDescent="0.25">
      <c r="A897" s="777"/>
      <c r="B897" s="1312"/>
      <c r="C897" s="490"/>
      <c r="D897" s="491"/>
      <c r="E897" s="492"/>
      <c r="F897" s="490"/>
      <c r="G897" s="493"/>
      <c r="H897" s="493"/>
      <c r="I897" s="493"/>
      <c r="J897" s="493"/>
      <c r="K897" s="493"/>
      <c r="L897" s="493"/>
      <c r="M897" s="493"/>
      <c r="N897" s="493"/>
      <c r="O897" s="1313"/>
      <c r="P897" s="485"/>
      <c r="Q897" s="485"/>
      <c r="R897" s="485"/>
      <c r="S897" s="58"/>
      <c r="T897" s="58"/>
      <c r="U897" s="489"/>
      <c r="V897" s="58"/>
      <c r="W897" s="58"/>
      <c r="X897" s="489"/>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30"/>
      <c r="BJ897" s="30"/>
      <c r="BK897" s="30"/>
      <c r="BL897" s="58"/>
      <c r="BM897" s="58"/>
      <c r="BN897" s="58"/>
      <c r="BO897" s="58"/>
      <c r="BP897" s="58"/>
      <c r="BQ897" s="58"/>
      <c r="BR897" s="58"/>
      <c r="BS897" s="58"/>
      <c r="BT897" s="58"/>
      <c r="BU897" s="58"/>
      <c r="BV897" s="58"/>
      <c r="BW897" s="58"/>
      <c r="BX897" s="58"/>
      <c r="BY897" s="58"/>
      <c r="BZ897" s="58"/>
    </row>
    <row r="898" spans="1:78" s="28" customFormat="1" ht="12.75" customHeight="1" thickBot="1" x14ac:dyDescent="0.25">
      <c r="A898" s="782"/>
      <c r="B898" s="1312"/>
      <c r="C898" s="486"/>
      <c r="D898" s="178"/>
      <c r="E898" s="487"/>
      <c r="F898" s="486"/>
      <c r="G898" s="478"/>
      <c r="H898" s="478"/>
      <c r="I898" s="478"/>
      <c r="J898" s="478"/>
      <c r="K898" s="486"/>
      <c r="L898" s="478"/>
      <c r="M898" s="478"/>
      <c r="N898" s="478"/>
      <c r="O898" s="1313"/>
      <c r="P898" s="485"/>
      <c r="Q898" s="485"/>
      <c r="R898" s="485"/>
      <c r="S898" s="23"/>
      <c r="T898" s="27" t="str">
        <f>IF(ISBLANK(E899),"",MATCH(E899,CNTR_SourceStreamNames,0))</f>
        <v/>
      </c>
      <c r="U898" s="609" t="str">
        <f>IF(ISBLANK(E899),"",INDEX(B_InstallationDescription!$D$71:$D$145,MATCH(E899,CNTR_SourceStreamNames,0)))</f>
        <v/>
      </c>
      <c r="V898" s="76"/>
      <c r="W898" s="56"/>
      <c r="X898" s="56"/>
      <c r="Y898" s="56"/>
      <c r="Z898" s="58"/>
      <c r="AA898" s="58"/>
      <c r="AB898" s="58"/>
      <c r="AC898" s="58"/>
      <c r="AD898" s="58"/>
      <c r="AE898" s="58"/>
      <c r="AF898" s="58"/>
      <c r="AG898" s="58"/>
      <c r="AH898" s="58"/>
      <c r="AI898" s="58"/>
      <c r="AJ898" s="58"/>
      <c r="AK898" s="482"/>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6"/>
      <c r="BI898" s="56"/>
      <c r="BJ898" s="56"/>
      <c r="BK898" s="56"/>
      <c r="BL898" s="56"/>
      <c r="BM898" s="56"/>
      <c r="BN898" s="56"/>
      <c r="BO898" s="56"/>
      <c r="BP898" s="56"/>
      <c r="BQ898" s="56"/>
      <c r="BR898" s="56"/>
      <c r="BS898" s="56"/>
      <c r="BT898" s="56"/>
      <c r="BU898" s="56"/>
      <c r="BV898" s="56"/>
      <c r="BW898" s="56"/>
      <c r="BX898" s="56"/>
      <c r="BY898" s="56"/>
      <c r="BZ898" s="484" t="s">
        <v>259</v>
      </c>
    </row>
    <row r="899" spans="1:78" s="140" customFormat="1" ht="15" customHeight="1" thickBot="1" x14ac:dyDescent="0.25">
      <c r="A899" s="1302" t="str">
        <f>IF(E899="","","PRINT")</f>
        <v/>
      </c>
      <c r="B899" s="1248"/>
      <c r="C899" s="608">
        <f>C872+1</f>
        <v>32</v>
      </c>
      <c r="D899" s="164"/>
      <c r="E899" s="1610"/>
      <c r="F899" s="1611"/>
      <c r="G899" s="1611"/>
      <c r="H899" s="1611"/>
      <c r="I899" s="1611"/>
      <c r="J899" s="1612"/>
      <c r="K899" s="1623" t="str">
        <f>IF(E900="","",INDEX(EUwideConstants!$F$353:$F$394,MATCH(E900,EUConst_TierActivityListNames,0)))</f>
        <v/>
      </c>
      <c r="L899" s="1624"/>
      <c r="M899" s="494" t="str">
        <f>Translations!$B$665</f>
        <v>CO2, iškastinio kuro kilmės:</v>
      </c>
      <c r="N899" s="1012" t="str">
        <f>IF(OR(K899="",T900=TRUE),"",INDEX(BC913:BE913,MATCH(K899,BC909:BE909,0)))</f>
        <v/>
      </c>
      <c r="O899" s="1314" t="s">
        <v>257</v>
      </c>
      <c r="P899" s="1303" t="str">
        <f>IF(AND(E899&lt;&gt;"",COUNTIF(P900:$P$2089,"PRINT")=0),"PRINT","")</f>
        <v/>
      </c>
      <c r="Q899" s="343" t="str">
        <f>EUconst_SumCO2 &amp; "_" &amp; K899</f>
        <v>SUM_CO2_</v>
      </c>
      <c r="R899" s="485"/>
      <c r="S899" s="23"/>
      <c r="T899" s="500" t="s">
        <v>387</v>
      </c>
      <c r="U899" s="23"/>
      <c r="V899" s="76"/>
      <c r="W899" s="56"/>
      <c r="X899" s="58"/>
      <c r="Y899" s="58"/>
      <c r="Z899" s="58"/>
      <c r="AA899" s="58"/>
      <c r="AB899" s="58"/>
      <c r="AC899" s="58"/>
      <c r="AD899" s="58"/>
      <c r="AE899" s="58"/>
      <c r="AF899" s="58"/>
      <c r="AG899" s="58"/>
      <c r="AH899" s="58"/>
      <c r="AI899" s="333"/>
      <c r="AJ899" s="333"/>
      <c r="AK899" s="333"/>
      <c r="AL899" s="333"/>
      <c r="AM899" s="333"/>
      <c r="AN899" s="333"/>
      <c r="AO899" s="333"/>
      <c r="AP899" s="333"/>
      <c r="AQ899" s="333"/>
      <c r="AR899" s="333"/>
      <c r="AS899" s="333"/>
      <c r="AT899" s="333"/>
      <c r="AU899" s="333"/>
      <c r="AV899" s="333"/>
      <c r="AW899" s="333"/>
      <c r="AX899" s="333"/>
      <c r="AY899" s="333"/>
      <c r="AZ899" s="333"/>
      <c r="BA899" s="333"/>
      <c r="BB899" s="333"/>
      <c r="BC899" s="333"/>
      <c r="BD899" s="333"/>
      <c r="BE899" s="333"/>
      <c r="BF899" s="333"/>
      <c r="BG899" s="333"/>
      <c r="BH899" s="834">
        <f>AR909</f>
        <v>0</v>
      </c>
      <c r="BI899" s="834" t="str">
        <f>AJ909</f>
        <v/>
      </c>
      <c r="BJ899" s="834">
        <f>AR911</f>
        <v>0</v>
      </c>
      <c r="BK899" s="834" t="str">
        <f>AJ911</f>
        <v/>
      </c>
      <c r="BL899" s="834">
        <f>AR912</f>
        <v>0</v>
      </c>
      <c r="BM899" s="834" t="str">
        <f>AJ912</f>
        <v/>
      </c>
      <c r="BN899" s="834">
        <f>AR913</f>
        <v>1</v>
      </c>
      <c r="BO899" s="834">
        <f>AR914</f>
        <v>1</v>
      </c>
      <c r="BP899" s="834">
        <f>AR915</f>
        <v>0</v>
      </c>
      <c r="BQ899" s="834" t="str">
        <f>AJ915</f>
        <v/>
      </c>
      <c r="BR899" s="834">
        <f>AR916</f>
        <v>0</v>
      </c>
      <c r="BS899" s="834">
        <f>AR917</f>
        <v>0</v>
      </c>
      <c r="BT899" s="834" t="str">
        <f>N899</f>
        <v/>
      </c>
      <c r="BU899" s="834" t="str">
        <f>N900</f>
        <v/>
      </c>
      <c r="BV899" s="834" t="str">
        <f>R902</f>
        <v/>
      </c>
      <c r="BW899" s="834" t="str">
        <f>R908</f>
        <v/>
      </c>
      <c r="BX899" s="834" t="str">
        <f>R909</f>
        <v/>
      </c>
      <c r="BY899" s="56"/>
      <c r="BZ899" s="610" t="b">
        <f>CNTR_CalcRelevant=EUconst_NotRelevant</f>
        <v>0</v>
      </c>
    </row>
    <row r="900" spans="1:78" s="140" customFormat="1" ht="15" customHeight="1" thickBot="1" x14ac:dyDescent="0.25">
      <c r="A900" s="777"/>
      <c r="B900" s="1248"/>
      <c r="C900" s="164"/>
      <c r="D900" s="164"/>
      <c r="E900" s="1625" t="str">
        <f>IF(ISBLANK(E899),"",IF(INDEX(B_InstallationDescription!$E$71:$E$145,MATCH(U898,B_InstallationDescription!$D$71:$D$145,0))&gt;0,INDEX(B_InstallationDescription!$E$71:$E$145,MATCH(U898,B_InstallationDescription!$D$71:$D$145,0)),""))</f>
        <v/>
      </c>
      <c r="F900" s="1626"/>
      <c r="G900" s="1626"/>
      <c r="H900" s="1626"/>
      <c r="I900" s="1626"/>
      <c r="J900" s="1627"/>
      <c r="M900" s="337" t="str">
        <f>Translations!$B$666</f>
        <v>CO2, biomasės kilmės.:</v>
      </c>
      <c r="N900" s="1013" t="str">
        <f>IF(OR(K899="",T900=TRUE),"",INDEX(BC912:BE912,MATCH(K899,BC909:BE909,0)))</f>
        <v/>
      </c>
      <c r="O900" s="1315" t="s">
        <v>257</v>
      </c>
      <c r="P900" s="485"/>
      <c r="Q900" s="343" t="str">
        <f>EUconst_SumBioCO2 &amp; "_" &amp; K899</f>
        <v>SUM_bioCO2_</v>
      </c>
      <c r="R900" s="485"/>
      <c r="S900" s="23"/>
      <c r="T900" s="48" t="str">
        <f>IF(E900="","",MATCH(E900,EUConst_TierActivityListNames,0)&gt;40)</f>
        <v/>
      </c>
      <c r="U900" s="23"/>
      <c r="V900" s="76"/>
      <c r="W900" s="56"/>
      <c r="X900" s="58"/>
      <c r="Y900" s="27" t="s">
        <v>91</v>
      </c>
      <c r="Z900" s="30"/>
      <c r="AA900" s="30"/>
      <c r="AB900" s="30"/>
      <c r="AC900" s="30"/>
      <c r="AD900" s="30"/>
      <c r="AE900" s="27" t="s">
        <v>297</v>
      </c>
      <c r="AF900" s="58"/>
      <c r="AG900" s="495"/>
      <c r="AH900" s="30"/>
      <c r="AI900" s="30"/>
      <c r="AJ900" s="495"/>
      <c r="AK900" s="495"/>
      <c r="AL900" s="333"/>
      <c r="AM900" s="27" t="s">
        <v>303</v>
      </c>
      <c r="AN900" s="496"/>
      <c r="AO900" s="496"/>
      <c r="AP900" s="30"/>
      <c r="AQ900" s="30"/>
      <c r="AR900" s="30"/>
      <c r="AS900" s="30"/>
      <c r="AT900" s="30"/>
      <c r="AU900" s="30"/>
      <c r="AV900" s="27" t="s">
        <v>310</v>
      </c>
      <c r="AW900" s="30"/>
      <c r="AX900" s="483"/>
      <c r="AY900" s="30"/>
      <c r="AZ900" s="30"/>
      <c r="BA900" s="30"/>
      <c r="BB900" s="27" t="s">
        <v>217</v>
      </c>
      <c r="BC900" s="30"/>
      <c r="BD900" s="30"/>
      <c r="BE900" s="30"/>
      <c r="BF900" s="30"/>
      <c r="BG900" s="27" t="s">
        <v>486</v>
      </c>
      <c r="BH900" s="833" t="s">
        <v>552</v>
      </c>
      <c r="BI900" s="833" t="s">
        <v>487</v>
      </c>
      <c r="BJ900" s="833" t="s">
        <v>211</v>
      </c>
      <c r="BK900" s="833" t="s">
        <v>488</v>
      </c>
      <c r="BL900" s="833" t="s">
        <v>68</v>
      </c>
      <c r="BM900" s="833" t="s">
        <v>489</v>
      </c>
      <c r="BN900" s="833" t="s">
        <v>490</v>
      </c>
      <c r="BO900" s="833" t="s">
        <v>491</v>
      </c>
      <c r="BP900" s="833" t="s">
        <v>214</v>
      </c>
      <c r="BQ900" s="833" t="s">
        <v>492</v>
      </c>
      <c r="BR900" s="833" t="s">
        <v>493</v>
      </c>
      <c r="BS900" s="833" t="s">
        <v>494</v>
      </c>
      <c r="BT900" s="833" t="s">
        <v>287</v>
      </c>
      <c r="BU900" s="833" t="s">
        <v>495</v>
      </c>
      <c r="BV900" s="833" t="s">
        <v>498</v>
      </c>
      <c r="BW900" s="833" t="s">
        <v>496</v>
      </c>
      <c r="BX900" s="833" t="s">
        <v>497</v>
      </c>
      <c r="BY900" s="30"/>
      <c r="BZ900" s="30"/>
    </row>
    <row r="901" spans="1:78" s="140" customFormat="1" ht="5.0999999999999996" customHeight="1" thickBot="1" x14ac:dyDescent="0.25">
      <c r="A901" s="777"/>
      <c r="B901" s="1248"/>
      <c r="C901" s="164"/>
      <c r="D901" s="164"/>
      <c r="E901" s="164"/>
      <c r="F901" s="164"/>
      <c r="G901" s="164"/>
      <c r="M901" s="141"/>
      <c r="N901" s="141"/>
      <c r="O901" s="1305"/>
      <c r="P901" s="33"/>
      <c r="Q901" s="33"/>
      <c r="R901" s="33"/>
      <c r="S901" s="23"/>
      <c r="T901" s="23"/>
      <c r="U901" s="23"/>
      <c r="V901" s="76"/>
      <c r="W901" s="30"/>
      <c r="X901" s="30"/>
      <c r="Y901" s="485"/>
      <c r="Z901" s="30"/>
      <c r="AA901" s="30"/>
      <c r="AB901" s="30"/>
      <c r="AC901" s="30"/>
      <c r="AD901" s="30"/>
      <c r="AE901" s="30"/>
      <c r="AF901" s="58"/>
      <c r="AG901" s="30"/>
      <c r="AH901" s="30"/>
      <c r="AI901" s="30"/>
      <c r="AJ901" s="495"/>
      <c r="AK901" s="495"/>
      <c r="AL901" s="333"/>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row>
    <row r="902" spans="1:78" s="140" customFormat="1" ht="12.75" customHeight="1" thickBot="1" x14ac:dyDescent="0.25">
      <c r="A902" s="777"/>
      <c r="B902" s="1248"/>
      <c r="C902" s="164"/>
      <c r="D902" s="164"/>
      <c r="E902" s="1628" t="str">
        <f>IF(E899="","",IF(T900=TRUE,HYPERLINK("#JUMP_14",EUconst_MsgGoOnPFC),HYPERLINK("#JUMP_E_8",EUconst_FurtherGuidancePoint1)))</f>
        <v/>
      </c>
      <c r="F902" s="1628"/>
      <c r="G902" s="1628"/>
      <c r="H902" s="1628"/>
      <c r="I902" s="1628"/>
      <c r="J902" s="1628"/>
      <c r="K902" s="1628"/>
      <c r="L902" s="1628"/>
      <c r="M902" s="1628"/>
      <c r="N902" s="141"/>
      <c r="O902" s="1305"/>
      <c r="P902" s="33"/>
      <c r="Q902" s="343" t="str">
        <f>EUconst_SumNonSustBioCO2 &amp; "_" &amp; K899</f>
        <v>SUM_bioNonSustCO2_</v>
      </c>
      <c r="R902" s="698" t="str">
        <f>IF(OR(K899="",T900=TRUE),"",ROUND(INDEX(BC911:BE911,MATCH(K899,BC909:BE909,0)),0))</f>
        <v/>
      </c>
      <c r="S902" s="23"/>
      <c r="T902" s="23"/>
      <c r="U902" s="23"/>
      <c r="V902" s="30"/>
      <c r="W902" s="30"/>
      <c r="X902" s="30"/>
      <c r="Y902" s="58"/>
      <c r="Z902" s="30"/>
      <c r="AA902" s="30"/>
      <c r="AB902" s="30"/>
      <c r="AC902" s="30"/>
      <c r="AD902" s="30"/>
      <c r="AE902" s="30"/>
      <c r="AF902" s="58"/>
      <c r="AG902" s="30"/>
      <c r="AH902" s="30"/>
      <c r="AI902" s="30"/>
      <c r="AJ902" s="495"/>
      <c r="AK902" s="495"/>
      <c r="AL902" s="333"/>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row>
    <row r="903" spans="1:78" s="140" customFormat="1" ht="5.0999999999999996" customHeight="1" thickBot="1" x14ac:dyDescent="0.25">
      <c r="A903" s="777"/>
      <c r="B903" s="1248"/>
      <c r="C903" s="164"/>
      <c r="D903" s="164"/>
      <c r="E903" s="164"/>
      <c r="F903" s="164"/>
      <c r="G903" s="164"/>
      <c r="M903" s="141"/>
      <c r="N903" s="141"/>
      <c r="O903" s="1305"/>
      <c r="P903" s="23"/>
      <c r="Q903" s="23"/>
      <c r="R903" s="23"/>
      <c r="S903" s="23"/>
      <c r="T903" s="23"/>
      <c r="U903" s="23"/>
      <c r="V903" s="30"/>
      <c r="W903" s="30"/>
      <c r="X903" s="30"/>
      <c r="Y903" s="485"/>
      <c r="Z903" s="30"/>
      <c r="AA903" s="30"/>
      <c r="AB903" s="30"/>
      <c r="AC903" s="30"/>
      <c r="AD903" s="30"/>
      <c r="AE903" s="30"/>
      <c r="AF903" s="58"/>
      <c r="AG903" s="30"/>
      <c r="AH903" s="30"/>
      <c r="AI903" s="30"/>
      <c r="AJ903" s="495"/>
      <c r="AK903" s="495"/>
      <c r="AL903" s="333"/>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row>
    <row r="904" spans="1:78" s="140" customFormat="1" ht="12.75" customHeight="1" thickBot="1" x14ac:dyDescent="0.25">
      <c r="A904" s="777"/>
      <c r="B904" s="1248"/>
      <c r="C904" s="783" t="s">
        <v>4</v>
      </c>
      <c r="D904" s="503" t="str">
        <f>Translations!$B$622</f>
        <v>VD:</v>
      </c>
      <c r="E904" s="1631" t="str">
        <f>Translations!$B$667</f>
        <v>Ar veiklos duomenys gaunami sudedant išmatuotus kiekius (t. y. ne atliekant nuolatinius matavimus)?</v>
      </c>
      <c r="F904" s="1631"/>
      <c r="G904" s="1631"/>
      <c r="H904" s="1631"/>
      <c r="I904" s="1631"/>
      <c r="J904" s="1631"/>
      <c r="K904" s="1631"/>
      <c r="L904" s="1122"/>
      <c r="M904" s="498"/>
      <c r="O904" s="1305"/>
      <c r="P904" s="23"/>
      <c r="Q904" s="23"/>
      <c r="R904" s="23"/>
      <c r="S904" s="23"/>
      <c r="T904" s="23"/>
      <c r="U904" s="23"/>
      <c r="V904" s="30"/>
      <c r="W904" s="30"/>
      <c r="X904" s="30"/>
      <c r="Y904" s="485"/>
      <c r="Z904" s="30"/>
      <c r="AA904" s="30"/>
      <c r="AB904" s="30"/>
      <c r="AC904" s="1115" t="b">
        <f>AND(E899&lt;&gt;"",T900&lt;&gt;TRUE)</f>
        <v>0</v>
      </c>
      <c r="AD904" s="30"/>
      <c r="AE904" s="30"/>
      <c r="AF904" s="58"/>
      <c r="AG904" s="30"/>
      <c r="AH904" s="30"/>
      <c r="AI904" s="30"/>
      <c r="AJ904" s="495"/>
      <c r="AK904" s="495"/>
      <c r="AL904" s="333"/>
      <c r="AM904" s="30"/>
      <c r="AN904" s="30"/>
      <c r="AO904" s="30"/>
      <c r="AP904" s="30"/>
      <c r="AQ904" s="30"/>
      <c r="AR904" s="30"/>
      <c r="AS904" s="30"/>
      <c r="AT904" s="1115" t="b">
        <f>MSPara_BatchReportingMandatory&lt;&gt;TRUE</f>
        <v>0</v>
      </c>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1115" t="b">
        <f>OR(CNTR_CalcRelevant=EUconst_NotRelevant,AND(COUNTA(CNTR_ListRelevantSections)&gt;0,OR(T900=TRUE,E899="")))</f>
        <v>1</v>
      </c>
    </row>
    <row r="905" spans="1:78" s="140" customFormat="1" ht="5.0999999999999996" customHeight="1" thickBot="1" x14ac:dyDescent="0.25">
      <c r="A905" s="777"/>
      <c r="B905" s="1248"/>
      <c r="C905" s="164"/>
      <c r="D905" s="164"/>
      <c r="E905" s="164"/>
      <c r="F905" s="164"/>
      <c r="G905" s="164"/>
      <c r="H905" s="486"/>
      <c r="I905" s="486"/>
      <c r="J905" s="486"/>
      <c r="K905" s="486"/>
      <c r="L905" s="486"/>
      <c r="M905" s="498"/>
      <c r="O905" s="1305"/>
      <c r="P905" s="23"/>
      <c r="Q905" s="23"/>
      <c r="R905" s="23"/>
      <c r="S905" s="23"/>
      <c r="T905" s="23"/>
      <c r="U905" s="23"/>
      <c r="V905" s="30"/>
      <c r="W905" s="30"/>
      <c r="X905" s="30"/>
      <c r="Y905" s="485"/>
      <c r="Z905" s="30"/>
      <c r="AA905" s="30"/>
      <c r="AB905" s="30"/>
      <c r="AC905" s="483"/>
      <c r="AD905" s="30"/>
      <c r="AE905" s="30"/>
      <c r="AF905" s="58"/>
      <c r="AG905" s="30"/>
      <c r="AH905" s="30"/>
      <c r="AI905" s="30"/>
      <c r="AJ905" s="495"/>
      <c r="AK905" s="495"/>
      <c r="AL905" s="333"/>
      <c r="AM905" s="30"/>
      <c r="AN905" s="30"/>
      <c r="AO905" s="30"/>
      <c r="AP905" s="30"/>
      <c r="AQ905" s="30"/>
      <c r="AR905" s="30"/>
      <c r="AS905" s="30"/>
      <c r="AT905" s="483"/>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483"/>
    </row>
    <row r="906" spans="1:78" s="140" customFormat="1" ht="12.75" customHeight="1" thickBot="1" x14ac:dyDescent="0.25">
      <c r="A906" s="777"/>
      <c r="B906" s="1248"/>
      <c r="C906" s="783" t="s">
        <v>5</v>
      </c>
      <c r="D906" s="503" t="str">
        <f>Translations!$B$622</f>
        <v>VD:</v>
      </c>
      <c r="E906" s="1105" t="str">
        <f>Translations!$B$668</f>
        <v>Pradinis kiekis:</v>
      </c>
      <c r="F906" s="1123"/>
      <c r="G906" s="1106" t="str">
        <f>Translations!$B$669</f>
        <v>Galutinis kiekis:</v>
      </c>
      <c r="H906" s="1123"/>
      <c r="I906" s="1106" t="str">
        <f>Translations!$B$670</f>
        <v>Įsigytas kiekis:</v>
      </c>
      <c r="J906" s="1123"/>
      <c r="K906" s="1106" t="str">
        <f>Translations!$B$671</f>
        <v>Perduotas kiekis:</v>
      </c>
      <c r="L906" s="1123"/>
      <c r="M906" s="1107" t="str">
        <f>IF(AND(L904=TRUE,COUNT(F906,H906,J906,L906)&lt;4),EUconst_ERR_Incomplete,"")</f>
        <v/>
      </c>
      <c r="O906" s="1305"/>
      <c r="P906" s="23"/>
      <c r="Q906" s="23"/>
      <c r="R906" s="23"/>
      <c r="S906" s="23"/>
      <c r="T906" s="23"/>
      <c r="U906" s="23"/>
      <c r="V906" s="30"/>
      <c r="W906" s="30"/>
      <c r="X906" s="30"/>
      <c r="Y906" s="485"/>
      <c r="Z906" s="30"/>
      <c r="AA906" s="30"/>
      <c r="AB906" s="30"/>
      <c r="AC906" s="1115" t="b">
        <f>AC904</f>
        <v>0</v>
      </c>
      <c r="AD906" s="30"/>
      <c r="AE906" s="30"/>
      <c r="AF906" s="58"/>
      <c r="AG906" s="30"/>
      <c r="AH906" s="30"/>
      <c r="AI906" s="30"/>
      <c r="AJ906" s="495"/>
      <c r="AK906" s="495"/>
      <c r="AL906" s="333"/>
      <c r="AM906" s="30"/>
      <c r="AN906" s="30"/>
      <c r="AO906" s="30"/>
      <c r="AP906" s="30"/>
      <c r="AQ906" s="30"/>
      <c r="AR906" s="30"/>
      <c r="AS906" s="30"/>
      <c r="AT906" s="1115" t="b">
        <f>AND(AT904=TRUE,L904="")</f>
        <v>0</v>
      </c>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1115" t="b">
        <f>OR(BZ904,AND(NOT(ISBLANK(L904)),L904=FALSE))</f>
        <v>1</v>
      </c>
    </row>
    <row r="907" spans="1:78" s="140" customFormat="1" ht="5.0999999999999996" customHeight="1" thickBot="1" x14ac:dyDescent="0.25">
      <c r="A907" s="777"/>
      <c r="B907" s="1248"/>
      <c r="C907" s="164"/>
      <c r="D907" s="164"/>
      <c r="E907" s="164"/>
      <c r="F907" s="164"/>
      <c r="G907" s="164"/>
      <c r="M907" s="141"/>
      <c r="N907" s="141"/>
      <c r="O907" s="1305"/>
      <c r="P907" s="23"/>
      <c r="Q907" s="23"/>
      <c r="R907" s="23"/>
      <c r="S907" s="23"/>
      <c r="T907" s="23"/>
      <c r="U907" s="23"/>
      <c r="V907" s="30"/>
      <c r="W907" s="30"/>
      <c r="X907" s="30"/>
      <c r="Y907" s="485"/>
      <c r="Z907" s="30"/>
      <c r="AA907" s="30"/>
      <c r="AB907" s="30"/>
      <c r="AC907" s="30"/>
      <c r="AD907" s="30"/>
      <c r="AE907" s="30"/>
      <c r="AF907" s="58"/>
      <c r="AG907" s="30"/>
      <c r="AH907" s="30"/>
      <c r="AI907" s="30"/>
      <c r="AJ907" s="495"/>
      <c r="AK907" s="495"/>
      <c r="AL907" s="333"/>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row>
    <row r="908" spans="1:78" s="140" customFormat="1" ht="12.75" customHeight="1" thickBot="1" x14ac:dyDescent="0.25">
      <c r="A908" s="777"/>
      <c r="B908" s="1248"/>
      <c r="C908" s="164"/>
      <c r="D908" s="164"/>
      <c r="E908" s="164"/>
      <c r="F908" s="497" t="str">
        <f>Translations!$B$333</f>
        <v>Pakopa</v>
      </c>
      <c r="G908" s="1613" t="str">
        <f>Translations!$B$672</f>
        <v>pakopos aprašas</v>
      </c>
      <c r="H908" s="1613"/>
      <c r="I908" s="1608" t="str">
        <f>Translations!$B$158</f>
        <v>Vienetas</v>
      </c>
      <c r="J908" s="1608"/>
      <c r="K908" s="1608" t="str">
        <f>Translations!$B$673</f>
        <v>Vertė</v>
      </c>
      <c r="L908" s="1608"/>
      <c r="M908" s="498" t="str">
        <f>Translations!$B$610</f>
        <v>klaida</v>
      </c>
      <c r="O908" s="1305"/>
      <c r="P908" s="499"/>
      <c r="Q908" s="343" t="str">
        <f>EUconst_SumEnergyIN &amp; "_" &amp; K899</f>
        <v>SUM_EnergyIN_</v>
      </c>
      <c r="R908" s="390" t="str">
        <f>IF(OR(K899="",T900)=TRUE,"",INDEX(BC914:BE914,MATCH(K899,BC909:BE909,0)))</f>
        <v/>
      </c>
      <c r="S908" s="30"/>
      <c r="T908" s="480"/>
      <c r="U908" s="30"/>
      <c r="V908" s="500" t="s">
        <v>298</v>
      </c>
      <c r="W908" s="30"/>
      <c r="X908" s="30"/>
      <c r="Y908" s="485" t="s">
        <v>560</v>
      </c>
      <c r="Z908" s="485" t="s">
        <v>313</v>
      </c>
      <c r="AA908" s="30"/>
      <c r="AB908" s="30"/>
      <c r="AC908" s="496" t="s">
        <v>304</v>
      </c>
      <c r="AD908" s="30"/>
      <c r="AE908" s="30"/>
      <c r="AF908" s="483" t="s">
        <v>300</v>
      </c>
      <c r="AG908" s="483" t="s">
        <v>301</v>
      </c>
      <c r="AH908" s="485" t="s">
        <v>299</v>
      </c>
      <c r="AI908" s="495" t="s">
        <v>302</v>
      </c>
      <c r="AJ908" s="495" t="s">
        <v>561</v>
      </c>
      <c r="AK908" s="501" t="s">
        <v>306</v>
      </c>
      <c r="AL908" s="333"/>
      <c r="AM908" s="30"/>
      <c r="AN908" s="483" t="s">
        <v>300</v>
      </c>
      <c r="AO908" s="483" t="s">
        <v>301</v>
      </c>
      <c r="AP908" s="502" t="s">
        <v>305</v>
      </c>
      <c r="AQ908" s="495" t="s">
        <v>563</v>
      </c>
      <c r="AR908" s="495" t="s">
        <v>562</v>
      </c>
      <c r="AS908" s="501" t="s">
        <v>599</v>
      </c>
      <c r="AT908" s="501" t="s">
        <v>599</v>
      </c>
      <c r="AU908" s="30"/>
      <c r="AV908" s="483"/>
      <c r="AW908" s="483"/>
      <c r="AX908" s="483" t="s">
        <v>316</v>
      </c>
      <c r="AY908" s="483"/>
      <c r="AZ908" s="483"/>
      <c r="BA908" s="483"/>
      <c r="BB908" s="483"/>
      <c r="BC908" s="483"/>
      <c r="BD908" s="483"/>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484" t="s">
        <v>259</v>
      </c>
    </row>
    <row r="909" spans="1:78" s="140" customFormat="1" ht="12.75" customHeight="1" thickBot="1" x14ac:dyDescent="0.25">
      <c r="A909" s="777"/>
      <c r="B909" s="1248"/>
      <c r="C909" s="753" t="s">
        <v>194</v>
      </c>
      <c r="D909" s="503" t="str">
        <f>Translations!$B$622</f>
        <v>VD:</v>
      </c>
      <c r="E909" s="504"/>
      <c r="F909" s="393"/>
      <c r="G909" s="1603" t="str">
        <f>IF(OR(ISBLANK(F909),F909=EUconst_NoTier),"",IF(Z909=0,EUconst_NA,IF(ISERROR(Z909),"",Z909)))</f>
        <v/>
      </c>
      <c r="H909" s="1604"/>
      <c r="I909" s="1108" t="str">
        <f>IF(J909&lt;&gt;"","",AI909)</f>
        <v/>
      </c>
      <c r="J909" s="1109"/>
      <c r="K909" s="1116" t="str">
        <f>IF(L909="",AQ909,"")</f>
        <v/>
      </c>
      <c r="L909" s="1199"/>
      <c r="M909" s="700" t="str">
        <f>IF(AND(E900&lt;&gt;"",OR(F909="",COUNT(K909:L909)=0),Y909&lt;&gt;EUconst_NA,T900&lt;&gt;TRUE),EUconst_ERR_Incomplete,IF(COUNTIF(AX909:AZ909,TRUE)&gt;0,EUconst_ERR_Inconsistent,""))</f>
        <v/>
      </c>
      <c r="O909" s="1305"/>
      <c r="P909" s="635"/>
      <c r="Q909" s="343" t="str">
        <f>EUconst_SumBioEnergyIN &amp; "_" &amp; K899</f>
        <v>SUM_BioEnergyIN_</v>
      </c>
      <c r="R909" s="390" t="str">
        <f>IF(OR(K899="",T900)=TRUE,"",INDEX(BC915:BE915,MATCH(K899,BC909:BE909,0)))</f>
        <v/>
      </c>
      <c r="S909" s="30"/>
      <c r="T909" s="505" t="str">
        <f>EUconst_CNTR_ActivityData&amp;E900</f>
        <v>ActivityData_</v>
      </c>
      <c r="U909" s="488"/>
      <c r="V909" s="505" t="str">
        <f>IF(E899="","",INDEX(B_InstallationDescription!$I$71:$I$145,MATCH(U898,B_InstallationDescription!$D$71:$D$145,0)))</f>
        <v/>
      </c>
      <c r="W909" s="495" t="s">
        <v>533</v>
      </c>
      <c r="X909" s="488"/>
      <c r="Y909" s="506" t="str">
        <f>IF(OR(T900=TRUE,E900=""),"",INDEX(EUwideConstants!$N:$N,MATCH(T909,EUwideConstants!$Q:$Q,0)))</f>
        <v/>
      </c>
      <c r="Z909" s="507" t="str">
        <f>IF(ISBLANK(F909),"",IF(F909=EUconst_NA,"",INDEX(EUwideConstants!$H:$M,MATCH(T909,EUwideConstants!$Q:$Q,0),MATCH(F909,CNTR_TierList,0))))</f>
        <v/>
      </c>
      <c r="AA909" s="508" t="s">
        <v>299</v>
      </c>
      <c r="AB909" s="495"/>
      <c r="AC909" s="509" t="b">
        <f>AC904</f>
        <v>0</v>
      </c>
      <c r="AD909" s="30"/>
      <c r="AE909" s="510" t="str">
        <f>EUconst_CNTR_ActivityData&amp;EUconst_Unit</f>
        <v>ActivityData_Vienetas</v>
      </c>
      <c r="AF909" s="511" t="str">
        <f>IF(AC909=TRUE, IF(COUNTIF(MSPara_SourceStreamCategory,V909)=0,"",INDEX(MSPara_CalcFactorsMatrix,MATCH(V909,MSPara_SourceStreamCategory,0),MATCH(AE909&amp;"_"&amp;2,MSPara_CalcFactors,0))),"")</f>
        <v/>
      </c>
      <c r="AG909" s="512" t="str">
        <f>IF(AC909=TRUE, IF(COUNTIF(MSPara_SourceStreamCategory,V909)=0,"",INDEX(MSPara_CalcFactorsMatrix,MATCH(V909,MSPara_SourceStreamCategory,0),MATCH(AE909&amp;"_"&amp;1,MSPara_CalcFactors,0))),"")</f>
        <v/>
      </c>
      <c r="AH909" s="509" t="str">
        <f>IF(OR(AF909="",AF909=EUconst_NA),IF(OR(AG909=EUconst_NA,AG909=""),"",AG909),AF909)</f>
        <v/>
      </c>
      <c r="AI909" s="506" t="str">
        <f>IF(AC909=TRUE,IF(AH909="",EUconst_t,AH909),"")</f>
        <v/>
      </c>
      <c r="AJ909" s="513" t="str">
        <f>IF(J909="",AI909,J909)</f>
        <v/>
      </c>
      <c r="AK909" s="514" t="b">
        <f>IF(K899=EUconst_Fuel,J909&lt;&gt;"",FALSE)</f>
        <v>0</v>
      </c>
      <c r="AL909" s="333"/>
      <c r="AM909" s="505" t="str">
        <f>EUconst_CNTR_ActivityData&amp;EUconst_Value</f>
        <v>ActivityData_Vertė</v>
      </c>
      <c r="AN909" s="496"/>
      <c r="AO909" s="496"/>
      <c r="AP909" s="509" t="b">
        <f>AND(AND(AH909&lt;&gt;"",AJ909&lt;&gt;""),AJ909=AH909)</f>
        <v>0</v>
      </c>
      <c r="AQ909" s="610" t="str">
        <f>IF(L904=TRUE,SUM(F906)-SUM(H906)+SUM(J906)-SUM(L906),"")</f>
        <v/>
      </c>
      <c r="AR909" s="509">
        <f>IF(Y909=EUconst_NA,0,IF(COUNT(K909:L909)=0,0,IF(L909="",K909,L909)))</f>
        <v>0</v>
      </c>
      <c r="AS909" s="1115" t="b">
        <f>AND(AC909=TRUE,OR(L909&lt;&gt;"",AQ909=""))</f>
        <v>0</v>
      </c>
      <c r="AT909" s="1115" t="b">
        <f>AND(AC909=TRUE,NOT(AS909))</f>
        <v>0</v>
      </c>
      <c r="AU909" s="30"/>
      <c r="AV909" s="483" t="s">
        <v>309</v>
      </c>
      <c r="AW909" s="483" t="s">
        <v>314</v>
      </c>
      <c r="AX909" s="515"/>
      <c r="AY909" s="30" t="s">
        <v>536</v>
      </c>
      <c r="AZ909" s="30"/>
      <c r="BA909" s="30"/>
      <c r="BB909" s="495"/>
      <c r="BC909" s="484" t="str">
        <f>EUconst_Fuel</f>
        <v>Degimas</v>
      </c>
      <c r="BD909" s="484" t="str">
        <f>EUconst_ProcessCarbonate</f>
        <v>Proceso metu išsiskiriančios ŠESD</v>
      </c>
      <c r="BE909" s="484" t="str">
        <f>EUconst_MassBalance</f>
        <v>Masės balansas</v>
      </c>
      <c r="BF909" s="30"/>
      <c r="BG909" s="30"/>
      <c r="BH909" s="30"/>
      <c r="BI909" s="30"/>
      <c r="BJ909" s="30"/>
      <c r="BK909" s="30"/>
      <c r="BL909" s="30"/>
      <c r="BM909" s="30"/>
      <c r="BN909" s="30"/>
      <c r="BO909" s="30"/>
      <c r="BP909" s="30"/>
      <c r="BQ909" s="30"/>
      <c r="BR909" s="30"/>
      <c r="BS909" s="30"/>
      <c r="BT909" s="30"/>
      <c r="BU909" s="30"/>
      <c r="BV909" s="30"/>
      <c r="BW909" s="30"/>
      <c r="BX909" s="30"/>
      <c r="BY909" s="30"/>
      <c r="BZ909" s="515" t="b">
        <f>BZ904</f>
        <v>1</v>
      </c>
    </row>
    <row r="910" spans="1:78" s="140" customFormat="1" ht="5.0999999999999996" customHeight="1" thickBot="1" x14ac:dyDescent="0.25">
      <c r="A910" s="777"/>
      <c r="B910" s="1248"/>
      <c r="C910" s="783"/>
      <c r="D910" s="298"/>
      <c r="F910" s="141"/>
      <c r="G910" s="141"/>
      <c r="H910" s="141" t="s">
        <v>233</v>
      </c>
      <c r="I910" s="516"/>
      <c r="J910" s="516"/>
      <c r="K910" s="141"/>
      <c r="L910" s="141"/>
      <c r="M910" s="701"/>
      <c r="O910" s="1305"/>
      <c r="P910" s="33"/>
      <c r="Q910" s="33"/>
      <c r="R910" s="33"/>
      <c r="S910" s="30"/>
      <c r="T910" s="153"/>
      <c r="U910" s="488"/>
      <c r="V910" s="30"/>
      <c r="W910" s="30"/>
      <c r="X910" s="488"/>
      <c r="Y910" s="517"/>
      <c r="Z910" s="30"/>
      <c r="AA910" s="30"/>
      <c r="AB910" s="30"/>
      <c r="AC910" s="30"/>
      <c r="AD910" s="30"/>
      <c r="AE910" s="30"/>
      <c r="AF910" s="30"/>
      <c r="AG910" s="30"/>
      <c r="AH910" s="30"/>
      <c r="AI910" s="30"/>
      <c r="AJ910" s="30"/>
      <c r="AK910" s="30"/>
      <c r="AL910" s="333"/>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484"/>
    </row>
    <row r="911" spans="1:78" s="140" customFormat="1" ht="12.75" customHeight="1" thickBot="1" x14ac:dyDescent="0.25">
      <c r="A911" s="777"/>
      <c r="B911" s="1248"/>
      <c r="C911" s="783" t="s">
        <v>195</v>
      </c>
      <c r="D911" s="503" t="str">
        <f>Translations!$B$634</f>
        <v>(prelim.) ITF:</v>
      </c>
      <c r="E911" s="504"/>
      <c r="F911" s="518"/>
      <c r="G911" s="1603" t="str">
        <f t="shared" ref="G911:G917" si="217">IF(OR(ISBLANK(F911),F911=EUconst_NoTier),"",IF(Z911=0,EUconst_NotApplicable,IF(ISERROR(Z911),"",Z911)))</f>
        <v/>
      </c>
      <c r="H911" s="1609"/>
      <c r="I911" s="1110" t="str">
        <f>IF(J911&lt;&gt;"","",AI911)</f>
        <v/>
      </c>
      <c r="J911" s="1111"/>
      <c r="K911" s="519" t="str">
        <f t="shared" ref="K911:K917" si="218">IF(L911="",AQ911,"")</f>
        <v/>
      </c>
      <c r="L911" s="520"/>
      <c r="M911" s="700" t="str">
        <f>IF(AND(E900&lt;&gt;"",OR(F911="",COUNT(K911:L911)=0),Y911&lt;&gt;EUconst_NA,T900&lt;&gt;TRUE),EUconst_ERR_Incomplete,IF(COUNTIF(AX911:AZ911,TRUE)&gt;0,EUconst_ERR_Inconsistent,""))</f>
        <v/>
      </c>
      <c r="N911" s="486"/>
      <c r="O911" s="1305"/>
      <c r="P911" s="33"/>
      <c r="Q911" s="33"/>
      <c r="R911" s="33"/>
      <c r="S911" s="30"/>
      <c r="T911" s="521" t="str">
        <f>EUconst_CNTR_EF&amp;E900</f>
        <v>EF_</v>
      </c>
      <c r="U911" s="488"/>
      <c r="V911" s="522" t="str">
        <f>V909</f>
        <v/>
      </c>
      <c r="W911" s="30"/>
      <c r="X911" s="488"/>
      <c r="Y911" s="523" t="str">
        <f>IF(OR(T900=TRUE,E900=""),"",IF(F911=EUconst_NA,EUconst_NA,INDEX(EUwideConstants!$N:$N,MATCH(T911,EUwideConstants!$Q:$Q,0))))</f>
        <v/>
      </c>
      <c r="Z911" s="524" t="str">
        <f>IF(ISBLANK(F911),"",IF(F911=EUconst_NA,"",INDEX(EUwideConstants!$H:$M,MATCH(T911,EUwideConstants!$Q:$Q,0),MATCH(F911,CNTR_TierList,0))))</f>
        <v/>
      </c>
      <c r="AA911" s="525" t="str">
        <f>IF(COUNTIF(EUconst_DefaultValues,Z911)&gt;0,MATCH(Z911,EUconst_DefaultValues,0),"")</f>
        <v/>
      </c>
      <c r="AB911" s="30"/>
      <c r="AC911" s="526" t="b">
        <f>AND(AC909,Y911&lt;&gt;EUconst_NA)</f>
        <v>0</v>
      </c>
      <c r="AD911" s="30"/>
      <c r="AE911" s="510" t="str">
        <f>EUconst_CNTR_EF&amp;EUconst_Unit</f>
        <v>EF_Vienetas</v>
      </c>
      <c r="AF911" s="527" t="str">
        <f>IF(AC911=TRUE, IF(COUNTIF(MSPara_SourceStreamCategory,V911)=0,"",INDEX(MSPara_CalcFactorsMatrix,MATCH(V911,MSPara_SourceStreamCategory,0),MATCH(AE911&amp;"_"&amp;2,MSPara_CalcFactors,0))),"")</f>
        <v/>
      </c>
      <c r="AG911" s="528" t="str">
        <f>IF(AC911=TRUE, IF(COUNTIF(MSPara_SourceStreamCategory,V911)=0,"",INDEX(MSPara_CalcFactorsMatrix,MATCH(V911,MSPara_SourceStreamCategory,0),MATCH(AE911&amp;"_"&amp;1,MSPara_CalcFactors,0))),"")</f>
        <v/>
      </c>
      <c r="AH911" s="529" t="str">
        <f>IF(AA911="","",INDEX(AF911:AG911,3-AA911))</f>
        <v/>
      </c>
      <c r="AI911" s="530" t="str">
        <f>IF(AC911=TRUE,IF(OR(AH911="",AH911=EUconst_NA),IF(K899=EUconst_Fuel,EUconst_tCO2pTJ,EUconst_tCO2pt),AH911),"")</f>
        <v/>
      </c>
      <c r="AJ911" s="526" t="str">
        <f>IF(J911="",AI911,J911)</f>
        <v/>
      </c>
      <c r="AK911" s="531" t="b">
        <f>IF(K899=EUconst_Fuel,J911&lt;&gt;"",FALSE)</f>
        <v>0</v>
      </c>
      <c r="AL911" s="333"/>
      <c r="AM911" s="510" t="str">
        <f>EUconst_CNTR_EF&amp;EUconst_Value</f>
        <v>EF_Vertė</v>
      </c>
      <c r="AN911" s="532" t="str">
        <f>IF(AC911=TRUE,IF(COUNTIF(MSPara_SourceStreamCategory,V911)=0,"",INDEX(MSPara_CalcFactorsMatrix,MATCH(V911,MSPara_SourceStreamCategory,0),MATCH(AM911&amp;"_"&amp;2,MSPara_CalcFactors,0))),"")</f>
        <v/>
      </c>
      <c r="AO911" s="533" t="str">
        <f>IF(AC911=TRUE,IF(COUNTIF(MSPara_SourceStreamCategory,V911)=0,"",INDEX(MSPara_CalcFactorsMatrix,MATCH(V911,MSPara_SourceStreamCategory,0),MATCH(AM911&amp;"_"&amp;1,MSPara_CalcFactors,0))),"")</f>
        <v/>
      </c>
      <c r="AP911" s="526" t="b">
        <f>AND(AND(AH911&lt;&gt;"",AJ911&lt;&gt;""),AJ911=AH911)</f>
        <v>0</v>
      </c>
      <c r="AQ911" s="534" t="str">
        <f>IF(AND(AA911&lt;&gt;"",AP911=TRUE),IF(OR(INDEX(AN911:AO911,3-AA911)=EUconst_NA,INDEX(AN911:AO911,3-AA911)=0),"",INDEX(AN911:AO911,3-AA911)),"")</f>
        <v/>
      </c>
      <c r="AR911" s="526">
        <f>IF(AC911=TRUE,IF(COUNT(K911:L911)=0,0,IF(L911="",K911,L911)),0)</f>
        <v>0</v>
      </c>
      <c r="AS911" s="522" t="b">
        <f>AND(AC911=TRUE,OR(AND(F911&lt;&gt;"",NOT(ISNUMBER(AA911))),L911&lt;&gt;"",F911="",AQ911=""))</f>
        <v>0</v>
      </c>
      <c r="AT911" s="522" t="b">
        <f t="shared" ref="AT911:AT917" si="219">AND(AC911=TRUE,NOT(AS911))</f>
        <v>0</v>
      </c>
      <c r="AU911" s="30"/>
      <c r="AV911" s="535" t="b">
        <f t="shared" ref="AV911:AV917" si="220">AND(ISNUMBER(AA911),AQ911="")</f>
        <v>0</v>
      </c>
      <c r="AW911" s="536" t="b">
        <f t="shared" ref="AW911:AW917" si="221">AND(ISNUMBER(AA911),AQ911&lt;&gt;AR911)</f>
        <v>0</v>
      </c>
      <c r="AX911" s="537" t="b">
        <f>OR(AND(AJ909=EUconst_kNm3,AJ911=EUconst_tCO2pt),AND(AJ909=EUconst_t,AJ911=EUconst_tCO2pkNm3))</f>
        <v>0</v>
      </c>
      <c r="AY911" s="522" t="b">
        <f t="shared" ref="AY911:AY917" si="222">AND(L911&lt;&gt;"",Y911=EUconst_NA)</f>
        <v>0</v>
      </c>
      <c r="AZ911" s="30"/>
      <c r="BA911" s="30"/>
      <c r="BB911" s="538" t="s">
        <v>588</v>
      </c>
      <c r="BC911" s="537" t="str">
        <f>IF(K899=BC909,AR909*IF(AJ911=EUconst_tCO2pTJ,(AR912/1000),1)*AR911*AR913*AR917,"")</f>
        <v/>
      </c>
      <c r="BD911" s="515" t="str">
        <f>IF(K899=BD909,AR909*AR911*AR914*AR917,"")</f>
        <v/>
      </c>
      <c r="BE911" s="514" t="str">
        <f>IF(K899=BE909,3.664*AR909*AR915*AR917,"")</f>
        <v/>
      </c>
      <c r="BF911" s="30"/>
      <c r="BG911" s="30"/>
      <c r="BH911" s="30"/>
      <c r="BI911" s="30"/>
      <c r="BJ911" s="30"/>
      <c r="BK911" s="30"/>
      <c r="BL911" s="30"/>
      <c r="BM911" s="30"/>
      <c r="BN911" s="30"/>
      <c r="BO911" s="30"/>
      <c r="BP911" s="30"/>
      <c r="BQ911" s="30"/>
      <c r="BR911" s="30"/>
      <c r="BS911" s="30"/>
      <c r="BT911" s="30"/>
      <c r="BU911" s="30"/>
      <c r="BV911" s="30"/>
      <c r="BW911" s="30"/>
      <c r="BX911" s="30"/>
      <c r="BY911" s="30"/>
      <c r="BZ911" s="522" t="b">
        <f>OR(BZ909,Y911=EUconst_NA)</f>
        <v>1</v>
      </c>
    </row>
    <row r="912" spans="1:78" s="140" customFormat="1" ht="12.75" customHeight="1" thickBot="1" x14ac:dyDescent="0.25">
      <c r="A912" s="777"/>
      <c r="B912" s="1248"/>
      <c r="C912" s="783" t="s">
        <v>196</v>
      </c>
      <c r="D912" s="503" t="str">
        <f>Translations!$B$636</f>
        <v>GŠV:</v>
      </c>
      <c r="E912" s="504"/>
      <c r="F912" s="539"/>
      <c r="G912" s="1603" t="str">
        <f t="shared" si="217"/>
        <v/>
      </c>
      <c r="H912" s="1604"/>
      <c r="I912" s="1112" t="str">
        <f>AJ912</f>
        <v/>
      </c>
      <c r="J912" s="540"/>
      <c r="K912" s="541" t="str">
        <f t="shared" si="218"/>
        <v/>
      </c>
      <c r="L912" s="542"/>
      <c r="M912" s="700" t="str">
        <f>IF(AND(E900&lt;&gt;"",OR(F912="",COUNT(K912:L912)=0),Y912&lt;&gt;EUconst_NA,T900&lt;&gt;TRUE),EUconst_ERR_Incomplete,IF(COUNTIF(AX912:AZ912,TRUE)&gt;0,EUconst_ERR_Inconsistent,""))</f>
        <v/>
      </c>
      <c r="O912" s="1305"/>
      <c r="P912" s="33"/>
      <c r="Q912" s="33"/>
      <c r="R912" s="33"/>
      <c r="S912" s="30"/>
      <c r="T912" s="543" t="str">
        <f>EUconst_CNTR_NCV&amp;E900</f>
        <v>NCV_</v>
      </c>
      <c r="U912" s="488"/>
      <c r="V912" s="544" t="str">
        <f t="shared" ref="V912:V917" si="223">V911</f>
        <v/>
      </c>
      <c r="W912" s="30"/>
      <c r="X912" s="488"/>
      <c r="Y912" s="545" t="str">
        <f>IF(OR(T900=TRUE,E900=""),"",IF(F912=EUconst_NA,EUconst_NA,INDEX(EUwideConstants!$N:$N,MATCH(T912,EUwideConstants!$Q:$Q,0))))</f>
        <v/>
      </c>
      <c r="Z912" s="546" t="str">
        <f>IF(ISBLANK(F912),"",IF(F912=EUconst_NA,"",INDEX(EUwideConstants!$H:$M,MATCH(T912,EUwideConstants!$Q:$Q,0),MATCH(F912,CNTR_TierList,0))))</f>
        <v/>
      </c>
      <c r="AA912" s="547" t="str">
        <f>IF(COUNTIF(EUconst_DefaultValues,Z912)&gt;0,MATCH(Z912,EUconst_DefaultValues,0),"")</f>
        <v/>
      </c>
      <c r="AB912" s="30"/>
      <c r="AC912" s="548" t="b">
        <f>AND(AC909,Y912&lt;&gt;EUconst_NA)</f>
        <v>0</v>
      </c>
      <c r="AD912" s="30"/>
      <c r="AE912" s="549" t="str">
        <f>EUconst_CNTR_NCV&amp;EUconst_Unit</f>
        <v>NCV_Vienetas</v>
      </c>
      <c r="AF912" s="550" t="str">
        <f>IF(AC912=TRUE, IF(COUNTIF(MSPara_SourceStreamCategory,V912)=0,"",INDEX(MSPara_CalcFactorsMatrix,MATCH(V912,MSPara_SourceStreamCategory,0),MATCH(AE912&amp;"_"&amp;2,MSPara_CalcFactors,0))),"")</f>
        <v/>
      </c>
      <c r="AG912" s="551" t="str">
        <f>IF(AC912=TRUE, IF(COUNTIF(MSPara_SourceStreamCategory,V912)=0,"",INDEX(MSPara_CalcFactorsMatrix,MATCH(V912,MSPara_SourceStreamCategory,0),MATCH(AE912&amp;"_"&amp;1,MSPara_CalcFactors,0))),"")</f>
        <v/>
      </c>
      <c r="AH912" s="552" t="str">
        <f>IF(AA912="","",INDEX(AF912:AG912,3-AA912))</f>
        <v/>
      </c>
      <c r="AI912" s="553"/>
      <c r="AJ912" s="548" t="str">
        <f>IF(AC912=TRUE,IF(AJ909="","",IF(AJ909=EUconst_kNm3,EUconst_GJpkNm3,EUconst_GJpt)),"")</f>
        <v/>
      </c>
      <c r="AK912" s="554"/>
      <c r="AL912" s="333"/>
      <c r="AM912" s="549" t="str">
        <f>EUconst_CNTR_NCV&amp;EUconst_Value</f>
        <v>NCV_Vertė</v>
      </c>
      <c r="AN912" s="555" t="str">
        <f>IF(AC912=TRUE,IF(COUNTIF(MSPara_SourceStreamCategory,V912)=0,"",INDEX(MSPara_CalcFactorsMatrix,MATCH(V912,MSPara_SourceStreamCategory,0),MATCH(AM912&amp;"_"&amp;2,MSPara_CalcFactors,0))),"")</f>
        <v/>
      </c>
      <c r="AO912" s="556" t="str">
        <f>IF(AC912=TRUE,IF(COUNTIF(MSPara_SourceStreamCategory,V912)=0,"",INDEX(MSPara_CalcFactorsMatrix,MATCH(V912,MSPara_SourceStreamCategory,0),MATCH(AM912&amp;"_"&amp;1,MSPara_CalcFactors,0))),"")</f>
        <v/>
      </c>
      <c r="AP912" s="548" t="b">
        <f>AND(AND(AH912&lt;&gt;"",AJ912&lt;&gt;""),AJ912=AH912)</f>
        <v>0</v>
      </c>
      <c r="AQ912" s="557" t="str">
        <f>IF(AND(AA912&lt;&gt;"",AP912=TRUE),IF(OR(INDEX(AN912:AO912,3-AA912)=EUconst_NA,INDEX(AN912:AO912,3-AA912)=0),"",INDEX(AN912:AO912,3-AA912)),"")</f>
        <v/>
      </c>
      <c r="AR912" s="548">
        <f>IF(AC912=TRUE,IF(COUNT(K912:L912)=0,0,IF(L912="",K912,L912)),0)</f>
        <v>0</v>
      </c>
      <c r="AS912" s="544" t="b">
        <f>AND(AC912=TRUE,OR(AND(F912&lt;&gt;"",NOT(ISNUMBER(AA912))),L912&lt;&gt;"",F912="",AQ912=""))</f>
        <v>0</v>
      </c>
      <c r="AT912" s="544" t="b">
        <f t="shared" si="219"/>
        <v>0</v>
      </c>
      <c r="AU912" s="30"/>
      <c r="AV912" s="558" t="b">
        <f t="shared" si="220"/>
        <v>0</v>
      </c>
      <c r="AW912" s="559" t="b">
        <f t="shared" si="221"/>
        <v>0</v>
      </c>
      <c r="AX912" s="30"/>
      <c r="AY912" s="544" t="b">
        <f t="shared" si="222"/>
        <v>0</v>
      </c>
      <c r="AZ912" s="30"/>
      <c r="BA912" s="30"/>
      <c r="BB912" s="538" t="s">
        <v>589</v>
      </c>
      <c r="BC912" s="537" t="str">
        <f>IF(K899=BC909,AR909*IF(AJ911=EUconst_tCO2pTJ,(AR912/1000),1)*AR911*AR913*AR916,"")</f>
        <v/>
      </c>
      <c r="BD912" s="515" t="str">
        <f>IF(K899=BD909,AR909*AR911*AR914*AR916,"")</f>
        <v/>
      </c>
      <c r="BE912" s="514" t="str">
        <f>IF(K899=BE909,3.664*AR909*AR915*AR916,"")</f>
        <v/>
      </c>
      <c r="BF912" s="30"/>
      <c r="BG912" s="30"/>
      <c r="BH912" s="30"/>
      <c r="BI912" s="30"/>
      <c r="BJ912" s="30"/>
      <c r="BK912" s="30"/>
      <c r="BL912" s="30"/>
      <c r="BM912" s="30"/>
      <c r="BN912" s="30"/>
      <c r="BO912" s="30"/>
      <c r="BP912" s="30"/>
      <c r="BQ912" s="30"/>
      <c r="BR912" s="30"/>
      <c r="BS912" s="30"/>
      <c r="BT912" s="30"/>
      <c r="BU912" s="30"/>
      <c r="BV912" s="30"/>
      <c r="BW912" s="30"/>
      <c r="BX912" s="30"/>
      <c r="BY912" s="30"/>
      <c r="BZ912" s="544" t="b">
        <f>OR(BZ909,Y912=EUconst_NA)</f>
        <v>1</v>
      </c>
    </row>
    <row r="913" spans="1:78" s="140" customFormat="1" ht="12.75" customHeight="1" thickBot="1" x14ac:dyDescent="0.25">
      <c r="A913" s="777"/>
      <c r="B913" s="1248"/>
      <c r="C913" s="783" t="s">
        <v>197</v>
      </c>
      <c r="D913" s="503" t="str">
        <f>Translations!$B$638</f>
        <v>Oksidacijos koef.:</v>
      </c>
      <c r="E913" s="504"/>
      <c r="F913" s="539"/>
      <c r="G913" s="1603" t="str">
        <f t="shared" si="217"/>
        <v/>
      </c>
      <c r="H913" s="1604"/>
      <c r="I913" s="1113" t="str">
        <f>IF(OR(AC913=FALSE,Y913=EUconst_NA),"","-")</f>
        <v/>
      </c>
      <c r="J913" s="560"/>
      <c r="K913" s="561" t="str">
        <f t="shared" si="218"/>
        <v/>
      </c>
      <c r="L913" s="694"/>
      <c r="M913" s="700" t="str">
        <f>IF(AND(E900&lt;&gt;"",OR(F913="",COUNT(K913:L913)=0),Y913&lt;&gt;EUconst_NA,T900&lt;&gt;TRUE),EUconst_ERR_Incomplete,IF(COUNTIF(AX913:AZ913,TRUE)&gt;0,EUconst_ERR_Inconsistent,""))</f>
        <v/>
      </c>
      <c r="O913" s="1305"/>
      <c r="P913" s="33"/>
      <c r="Q913" s="33"/>
      <c r="R913" s="33"/>
      <c r="S913" s="30"/>
      <c r="T913" s="543" t="str">
        <f>EUconst_CNTR_OxidationFactor&amp;E900</f>
        <v>OxF_</v>
      </c>
      <c r="U913" s="488"/>
      <c r="V913" s="544" t="str">
        <f t="shared" si="223"/>
        <v/>
      </c>
      <c r="W913" s="30"/>
      <c r="X913" s="488"/>
      <c r="Y913" s="545" t="str">
        <f>IF(OR(T900=TRUE,E900=""),"",INDEX(EUwideConstants!$N:$N,MATCH(T913,EUwideConstants!$Q:$Q,0)))</f>
        <v/>
      </c>
      <c r="Z913" s="546" t="str">
        <f>IF(ISBLANK(F913),"",IF(F913=EUconst_NA,"",INDEX(EUwideConstants!$H:$M,MATCH(T913,EUwideConstants!$Q:$Q,0),MATCH(F913,CNTR_TierList,0))))</f>
        <v/>
      </c>
      <c r="AA913" s="525" t="str">
        <f>IF(F913=1,1,"")</f>
        <v/>
      </c>
      <c r="AB913" s="30"/>
      <c r="AC913" s="548" t="b">
        <f>AND(AC909,Y913&lt;&gt;EUconst_NA)</f>
        <v>0</v>
      </c>
      <c r="AD913" s="30"/>
      <c r="AE913" s="563"/>
      <c r="AG913" s="564"/>
      <c r="AH913" s="553"/>
      <c r="AI913" s="565"/>
      <c r="AJ913" s="553"/>
      <c r="AK913" s="566"/>
      <c r="AL913" s="333"/>
      <c r="AM913" s="549" t="str">
        <f>EUconst_CNTR_OxidationFactor&amp;EUconst_Value</f>
        <v>OxF_Vertė</v>
      </c>
      <c r="AN913" s="567"/>
      <c r="AO913" s="525">
        <v>1</v>
      </c>
      <c r="AP913" s="553"/>
      <c r="AQ913" s="568" t="str">
        <f>IF(AA913="","",AO913)</f>
        <v/>
      </c>
      <c r="AR913" s="548">
        <f>IF(AC913=TRUE,IF(COUNT(K913:L913)=0,0,IF(L913="",K913,L913)),1)</f>
        <v>1</v>
      </c>
      <c r="AS913" s="544" t="b">
        <f>AND(AC913=TRUE,OR(ISNUMBER(L913),NOT(ISNUMBER(AA913))))</f>
        <v>0</v>
      </c>
      <c r="AT913" s="544" t="b">
        <f t="shared" si="219"/>
        <v>0</v>
      </c>
      <c r="AU913" s="30"/>
      <c r="AV913" s="558" t="b">
        <f t="shared" si="220"/>
        <v>0</v>
      </c>
      <c r="AW913" s="559" t="b">
        <f t="shared" si="221"/>
        <v>0</v>
      </c>
      <c r="AX913" s="30"/>
      <c r="AY913" s="585" t="b">
        <f t="shared" si="222"/>
        <v>0</v>
      </c>
      <c r="AZ913" s="522" t="b">
        <f>AR913&gt;100%</f>
        <v>0</v>
      </c>
      <c r="BA913" s="30"/>
      <c r="BB913" s="538" t="s">
        <v>287</v>
      </c>
      <c r="BC913" s="537" t="str">
        <f>IF(K899=BC909,AR909*IF(AJ911=EUconst_tCO2pTJ,(AR912/1000),1)*AR911*AR913*(1-AR916),"")</f>
        <v/>
      </c>
      <c r="BD913" s="515" t="str">
        <f>IF(K899=BD909,AR909*AR911*AR914*(1-AR916),"")</f>
        <v/>
      </c>
      <c r="BE913" s="514" t="str">
        <f>IF(K899=BE909,3.664*AR909*AR915*(1-AR916),"")</f>
        <v/>
      </c>
      <c r="BF913" s="30"/>
      <c r="BG913" s="30"/>
      <c r="BH913" s="30"/>
      <c r="BI913" s="30"/>
      <c r="BJ913" s="30"/>
      <c r="BK913" s="30"/>
      <c r="BL913" s="30"/>
      <c r="BM913" s="30"/>
      <c r="BN913" s="30"/>
      <c r="BO913" s="30"/>
      <c r="BP913" s="30"/>
      <c r="BQ913" s="30"/>
      <c r="BR913" s="30"/>
      <c r="BS913" s="30"/>
      <c r="BT913" s="30"/>
      <c r="BU913" s="30"/>
      <c r="BV913" s="30"/>
      <c r="BW913" s="30"/>
      <c r="BX913" s="30"/>
      <c r="BY913" s="30"/>
      <c r="BZ913" s="544" t="b">
        <f>OR(BZ909,Y913=EUconst_NA)</f>
        <v>1</v>
      </c>
    </row>
    <row r="914" spans="1:78" s="140" customFormat="1" ht="12.75" customHeight="1" thickBot="1" x14ac:dyDescent="0.25">
      <c r="A914" s="777"/>
      <c r="B914" s="1248"/>
      <c r="C914" s="783" t="s">
        <v>198</v>
      </c>
      <c r="D914" s="503" t="str">
        <f>Translations!$B$639</f>
        <v>Konversijos koef.:</v>
      </c>
      <c r="E914" s="504"/>
      <c r="F914" s="539"/>
      <c r="G914" s="1603" t="str">
        <f t="shared" si="217"/>
        <v/>
      </c>
      <c r="H914" s="1604"/>
      <c r="I914" s="1113" t="str">
        <f>IF(OR(AC914=FALSE,Y914=EUconst_NA),"","-")</f>
        <v/>
      </c>
      <c r="J914" s="560"/>
      <c r="K914" s="561" t="str">
        <f t="shared" si="218"/>
        <v/>
      </c>
      <c r="L914" s="694"/>
      <c r="M914" s="700" t="str">
        <f>IF(AND(E900&lt;&gt;"",OR(F914="",COUNT(K914:L914)=0),Y914&lt;&gt;EUconst_NA,T900&lt;&gt;TRUE),EUconst_ERR_Incomplete,IF(COUNTIF(AX914:AZ914,TRUE)&gt;0,EUconst_ERR_Inconsistent,""))</f>
        <v/>
      </c>
      <c r="O914" s="1305"/>
      <c r="P914" s="33"/>
      <c r="Q914" s="33"/>
      <c r="R914" s="33"/>
      <c r="S914" s="30"/>
      <c r="T914" s="543" t="str">
        <f>EUconst_CNTR_ConversionFactor&amp;E900</f>
        <v>ConvF_</v>
      </c>
      <c r="U914" s="488"/>
      <c r="V914" s="544" t="str">
        <f t="shared" si="223"/>
        <v/>
      </c>
      <c r="W914" s="30"/>
      <c r="X914" s="488"/>
      <c r="Y914" s="545" t="str">
        <f>IF(OR(T900=TRUE,E900=""),"",INDEX(EUwideConstants!$N:$N,MATCH(T914,EUwideConstants!$Q:$Q,0)))</f>
        <v/>
      </c>
      <c r="Z914" s="546" t="str">
        <f>IF(ISBLANK(F914),"",IF(F914=EUconst_NA,"",INDEX(EUwideConstants!$H:$M,MATCH(T914,EUwideConstants!$Q:$Q,0),MATCH(F914,CNTR_TierList,0))))</f>
        <v/>
      </c>
      <c r="AA914" s="573" t="str">
        <f>IF(F914=1,1,"")</f>
        <v/>
      </c>
      <c r="AB914" s="30"/>
      <c r="AC914" s="548" t="b">
        <f>AND(AC909,Y914&lt;&gt;EUconst_NA)</f>
        <v>0</v>
      </c>
      <c r="AD914" s="30"/>
      <c r="AE914" s="563"/>
      <c r="AG914" s="564"/>
      <c r="AH914" s="574"/>
      <c r="AI914" s="565"/>
      <c r="AJ914" s="574"/>
      <c r="AK914" s="566"/>
      <c r="AL914" s="333"/>
      <c r="AM914" s="549" t="str">
        <f>EUconst_CNTR_ConversionFactor&amp;EUconst_Value</f>
        <v>ConvF_Vertė</v>
      </c>
      <c r="AN914" s="575"/>
      <c r="AO914" s="573">
        <v>1</v>
      </c>
      <c r="AP914" s="574"/>
      <c r="AQ914" s="576" t="str">
        <f>IF(AA914="","",AO914)</f>
        <v/>
      </c>
      <c r="AR914" s="548">
        <f>IF(AC914=TRUE,IF(COUNT(K914:L914)=0,0,IF(L914="",K914,L914)),1)</f>
        <v>1</v>
      </c>
      <c r="AS914" s="544" t="b">
        <f>AND(AC914=TRUE,OR(ISNUMBER(L914),NOT(ISNUMBER(AA914))))</f>
        <v>0</v>
      </c>
      <c r="AT914" s="544" t="b">
        <f t="shared" si="219"/>
        <v>0</v>
      </c>
      <c r="AU914" s="30"/>
      <c r="AV914" s="558" t="b">
        <f t="shared" si="220"/>
        <v>0</v>
      </c>
      <c r="AW914" s="559" t="b">
        <f t="shared" si="221"/>
        <v>0</v>
      </c>
      <c r="AX914" s="30"/>
      <c r="AY914" s="585" t="b">
        <f t="shared" si="222"/>
        <v>0</v>
      </c>
      <c r="AZ914" s="571" t="b">
        <f>AR914&gt;100%</f>
        <v>0</v>
      </c>
      <c r="BA914" s="30"/>
      <c r="BB914" s="569" t="s">
        <v>481</v>
      </c>
      <c r="BC914" s="570">
        <f>AR909*AR912/1000*(1-AR916)</f>
        <v>0</v>
      </c>
      <c r="BD914" s="571">
        <f>BC914</f>
        <v>0</v>
      </c>
      <c r="BE914" s="572">
        <f>BC914</f>
        <v>0</v>
      </c>
      <c r="BF914" s="30"/>
      <c r="BG914" s="30"/>
      <c r="BH914" s="30"/>
      <c r="BI914" s="30"/>
      <c r="BJ914" s="30"/>
      <c r="BK914" s="30"/>
      <c r="BL914" s="30"/>
      <c r="BM914" s="30"/>
      <c r="BN914" s="30"/>
      <c r="BO914" s="30"/>
      <c r="BP914" s="30"/>
      <c r="BQ914" s="30"/>
      <c r="BR914" s="30"/>
      <c r="BS914" s="30"/>
      <c r="BT914" s="30"/>
      <c r="BU914" s="30"/>
      <c r="BV914" s="30"/>
      <c r="BW914" s="30"/>
      <c r="BX914" s="30"/>
      <c r="BY914" s="30"/>
      <c r="BZ914" s="544" t="b">
        <f>OR(BZ909,Y914=EUconst_NA)</f>
        <v>1</v>
      </c>
    </row>
    <row r="915" spans="1:78" s="140" customFormat="1" ht="12.75" customHeight="1" thickBot="1" x14ac:dyDescent="0.25">
      <c r="A915" s="777"/>
      <c r="B915" s="1248"/>
      <c r="C915" s="783" t="s">
        <v>324</v>
      </c>
      <c r="D915" s="503" t="str">
        <f>Translations!$B$640</f>
        <v>Anglies kiekis (C):</v>
      </c>
      <c r="E915" s="504"/>
      <c r="F915" s="539"/>
      <c r="G915" s="1603" t="str">
        <f t="shared" si="217"/>
        <v/>
      </c>
      <c r="H915" s="1604"/>
      <c r="I915" s="1113" t="str">
        <f>AJ915</f>
        <v/>
      </c>
      <c r="J915" s="577"/>
      <c r="K915" s="578" t="str">
        <f t="shared" si="218"/>
        <v/>
      </c>
      <c r="L915" s="579"/>
      <c r="M915" s="700" t="str">
        <f>IF(AND(E900&lt;&gt;"",OR(F915="",COUNT(K915:L915)=0),Y915&lt;&gt;EUconst_NA,T900&lt;&gt;TRUE),EUconst_ERR_Incomplete,IF(COUNTIF(AX915:AZ915,TRUE)&gt;0,EUconst_ERR_Inconsistent,""))</f>
        <v/>
      </c>
      <c r="O915" s="1305"/>
      <c r="P915" s="33"/>
      <c r="Q915" s="33"/>
      <c r="R915" s="33"/>
      <c r="S915" s="30"/>
      <c r="T915" s="543" t="str">
        <f>EUconst_CNTR_CarbonContent&amp;E900</f>
        <v>CarbC_</v>
      </c>
      <c r="U915" s="488"/>
      <c r="V915" s="544" t="str">
        <f t="shared" si="223"/>
        <v/>
      </c>
      <c r="W915" s="30"/>
      <c r="X915" s="488"/>
      <c r="Y915" s="545" t="str">
        <f>IF(OR(T900=TRUE,E900=""),"",INDEX(EUwideConstants!$N:$N,MATCH(T915,EUwideConstants!$Q:$Q,0)))</f>
        <v/>
      </c>
      <c r="Z915" s="546" t="str">
        <f>IF(ISBLANK(F915),"",IF(F915=EUconst_NA,"",INDEX(EUwideConstants!$H:$M,MATCH(T915,EUwideConstants!$Q:$Q,0),MATCH(F915,CNTR_TierList,0))))</f>
        <v/>
      </c>
      <c r="AA915" s="580" t="str">
        <f>IF(COUNTIF(EUconst_DefaultValues,Z915)&gt;0,MATCH(Z915,EUconst_DefaultValues,0),"")</f>
        <v/>
      </c>
      <c r="AB915" s="30"/>
      <c r="AC915" s="548" t="b">
        <f>AND(AC909,Y915&lt;&gt;EUconst_NA)</f>
        <v>0</v>
      </c>
      <c r="AD915" s="30"/>
      <c r="AE915" s="549" t="str">
        <f>EUconst_CNTR_CarbonContent&amp;EUconst_Unit</f>
        <v>CarbC_Vienetas</v>
      </c>
      <c r="AF915" s="550" t="str">
        <f>IF(AC915=TRUE, IF(COUNTIF(MSPara_SourceStreamCategory,V915)=0,"",INDEX(MSPara_CalcFactorsMatrix,MATCH(V915,MSPara_SourceStreamCategory,0),MATCH(AE915&amp;"_"&amp;2,MSPara_CalcFactors,0))),"")</f>
        <v/>
      </c>
      <c r="AG915" s="551" t="str">
        <f>IF(AC915=TRUE, IF(COUNTIF(MSPara_SourceStreamCategory,V915)=0,"",INDEX(MSPara_CalcFactorsMatrix,MATCH(V915,MSPara_SourceStreamCategory,0),MATCH(AE915&amp;"_"&amp;1,MSPara_CalcFactors,0))),"")</f>
        <v/>
      </c>
      <c r="AH915" s="581" t="str">
        <f>IF(AA915="","",INDEX(AF915:AG915,3-AA915))</f>
        <v/>
      </c>
      <c r="AI915" s="565"/>
      <c r="AJ915" s="582" t="str">
        <f>IF(AC915=TRUE,IF(AJ909="","",IF(AJ909=EUconst_kNm3,EUconst_tCpkNm3,EUconst_tCpt)),"")</f>
        <v/>
      </c>
      <c r="AK915" s="566"/>
      <c r="AL915" s="333"/>
      <c r="AM915" s="549" t="str">
        <f>EUconst_CNTR_CarbonContent&amp;EUconst_Value</f>
        <v>CarbC_Vertė</v>
      </c>
      <c r="AN915" s="555" t="str">
        <f>IF(AC915=TRUE,IF(COUNTIF(MSPara_SourceStreamCategory,V915)=0,"",INDEX(MSPara_CalcFactorsMatrix,MATCH(V915,MSPara_SourceStreamCategory,0),MATCH(AM915&amp;"_"&amp;2,MSPara_CalcFactors,0))),"")</f>
        <v/>
      </c>
      <c r="AO915" s="583" t="str">
        <f>IF(AC915=TRUE,IF(COUNTIF(MSPara_SourceStreamCategory,V915)=0,"",INDEX(MSPara_CalcFactorsMatrix,MATCH(V915,MSPara_SourceStreamCategory,0),MATCH(AM915&amp;"_"&amp;1,MSPara_CalcFactors,0))),"")</f>
        <v/>
      </c>
      <c r="AP915" s="548" t="b">
        <f>AND(AND(AH915&lt;&gt;"",AJ915&lt;&gt;""),AJ915=AH915)</f>
        <v>0</v>
      </c>
      <c r="AQ915" s="584" t="str">
        <f>IF(AND(AA915&lt;&gt;"",AP915=TRUE),IF(OR(INDEX(AN915:AO915,3-AA915)=EUconst_NA,INDEX(AN915:AO915,3-AA915)=0),"",INDEX(AN915:AO915,3-AA915)),"")</f>
        <v/>
      </c>
      <c r="AR915" s="548">
        <f>IF(AC915=TRUE,IF(COUNT(K915:L915)=0,0,IF(L915="",K915,L915)),0)</f>
        <v>0</v>
      </c>
      <c r="AS915" s="544" t="b">
        <f>AND(AC915=TRUE,OR(AND(F915&lt;&gt;"",NOT(ISNUMBER(AA915))),L915&lt;&gt;"",F915="",AQ915=""))</f>
        <v>0</v>
      </c>
      <c r="AT915" s="544" t="b">
        <f t="shared" si="219"/>
        <v>0</v>
      </c>
      <c r="AU915" s="30"/>
      <c r="AV915" s="558" t="b">
        <f t="shared" si="220"/>
        <v>0</v>
      </c>
      <c r="AW915" s="559" t="b">
        <f t="shared" si="221"/>
        <v>0</v>
      </c>
      <c r="AX915" s="537" t="b">
        <f>OR(AND(AJ909=EUconst_kNm3,AJ915=EUconst_tCpt),AND(AJ909=EUconst_t,AJ915=EUconst_tCpkNm3))</f>
        <v>0</v>
      </c>
      <c r="AY915" s="544" t="b">
        <f t="shared" si="222"/>
        <v>0</v>
      </c>
      <c r="AZ915" s="30"/>
      <c r="BA915" s="30"/>
      <c r="BB915" s="569" t="s">
        <v>482</v>
      </c>
      <c r="BC915" s="570">
        <f>AR909*AR912/1000*AR916</f>
        <v>0</v>
      </c>
      <c r="BD915" s="571">
        <f>BC915</f>
        <v>0</v>
      </c>
      <c r="BE915" s="572">
        <f>BC915</f>
        <v>0</v>
      </c>
      <c r="BF915" s="30"/>
      <c r="BG915" s="30"/>
      <c r="BH915" s="30"/>
      <c r="BI915" s="30"/>
      <c r="BJ915" s="30"/>
      <c r="BK915" s="30"/>
      <c r="BL915" s="30"/>
      <c r="BM915" s="30"/>
      <c r="BN915" s="30"/>
      <c r="BO915" s="30"/>
      <c r="BP915" s="30"/>
      <c r="BQ915" s="30"/>
      <c r="BR915" s="30"/>
      <c r="BS915" s="30"/>
      <c r="BT915" s="30"/>
      <c r="BU915" s="30"/>
      <c r="BV915" s="30"/>
      <c r="BW915" s="30"/>
      <c r="BX915" s="30"/>
      <c r="BY915" s="30"/>
      <c r="BZ915" s="544" t="b">
        <f>OR(BZ909,Y915=EUconst_NA)</f>
        <v>1</v>
      </c>
    </row>
    <row r="916" spans="1:78" s="140" customFormat="1" ht="12.75" customHeight="1" x14ac:dyDescent="0.2">
      <c r="A916" s="777"/>
      <c r="B916" s="1248"/>
      <c r="C916" s="753" t="s">
        <v>325</v>
      </c>
      <c r="D916" s="503" t="str">
        <f>Translations!$B$641</f>
        <v>Biomasės dalis (BioC):</v>
      </c>
      <c r="E916" s="504"/>
      <c r="F916" s="539"/>
      <c r="G916" s="1603" t="str">
        <f t="shared" si="217"/>
        <v/>
      </c>
      <c r="H916" s="1604"/>
      <c r="I916" s="1113" t="str">
        <f>IF(OR(AC916=FALSE,Y916=EUconst_NA),"","-")</f>
        <v/>
      </c>
      <c r="J916" s="560"/>
      <c r="K916" s="561" t="str">
        <f t="shared" si="218"/>
        <v/>
      </c>
      <c r="L916" s="694"/>
      <c r="M916" s="700" t="str">
        <f>IF(AND(E900&lt;&gt;"",OR(F916="",COUNT(K916:L916)=0),Y916&lt;&gt;EUconst_NA,T900&lt;&gt;TRUE),EUconst_ERR_Incomplete,IF(COUNTIF(AX916:AZ916,TRUE)&gt;0,EUconst_ERR_Inconsistent,""))</f>
        <v/>
      </c>
      <c r="O916" s="1305"/>
      <c r="P916" s="635"/>
      <c r="Q916" s="635"/>
      <c r="R916" s="635"/>
      <c r="S916" s="30"/>
      <c r="T916" s="543" t="str">
        <f>EUconst_CNTR_BiomassContent&amp;E900</f>
        <v>BioC_</v>
      </c>
      <c r="U916" s="488"/>
      <c r="V916" s="585" t="str">
        <f t="shared" si="223"/>
        <v/>
      </c>
      <c r="W916" s="522" t="str">
        <f>IF(COUNTIF(MSPara_SourceStreamCategory,V916)=0,"",INDEX(MSPara_IsFossil,MATCH(V916,MSPara_SourceStreamCategory,0)))</f>
        <v/>
      </c>
      <c r="X916" s="488"/>
      <c r="Y916" s="545" t="str">
        <f>IF(OR(T900=TRUE,E900=""),"",IF(OR(W916=TRUE,F916=EUconst_NA),EUconst_NA,INDEX(EUwideConstants!$N:$N,MATCH(T916,EUwideConstants!$Q:$Q,0))))</f>
        <v/>
      </c>
      <c r="Z916" s="546" t="str">
        <f>IF(ISBLANK(F916),"",IF(F916=EUconst_NA,"",INDEX(EUwideConstants!$H:$M,MATCH(T916,EUwideConstants!$Q:$Q,0),MATCH(F916,CNTR_TierList,0))))</f>
        <v/>
      </c>
      <c r="AA916" s="586" t="str">
        <f>IF(F916=1,1,"")</f>
        <v/>
      </c>
      <c r="AB916" s="30"/>
      <c r="AC916" s="548" t="b">
        <f>AND(AC909,Y916&lt;&gt;EUconst_NA)</f>
        <v>0</v>
      </c>
      <c r="AD916" s="30"/>
      <c r="AE916" s="563"/>
      <c r="AG916" s="564"/>
      <c r="AH916" s="553"/>
      <c r="AI916" s="565"/>
      <c r="AJ916" s="553"/>
      <c r="AK916" s="566"/>
      <c r="AL916" s="333"/>
      <c r="AM916" s="549" t="str">
        <f>EUconst_CNTR_BiomassContent&amp;EUconst_Value</f>
        <v>BioC_Vertė</v>
      </c>
      <c r="AO916" s="587" t="str">
        <f>IF(AC916=TRUE,IF(COUNTIF(MSPara_SourceStreamCategory,V916)=0,"",INDEX(MSPara_CalcFactorsMatrix,MATCH(V916,MSPara_SourceStreamCategory,0),MATCH(AM916&amp;"_"&amp;2,MSPara_CalcFactors,0))),"")</f>
        <v/>
      </c>
      <c r="AP916" s="553"/>
      <c r="AQ916" s="568" t="str">
        <f>IF(OR(AA916="",AO916=EUconst_NA),"",AO916)</f>
        <v/>
      </c>
      <c r="AR916" s="548">
        <f>IF(AC916=TRUE,IF(COUNT(K916:L916)=0,0,IF(L916="",K916,L916)),0)</f>
        <v>0</v>
      </c>
      <c r="AS916" s="544" t="b">
        <f>AND(AC916=TRUE,OR(AND(F916&lt;&gt;"",NOT(ISNUMBER(AA916))),L916&lt;&gt;"",F916="",AQ916=""))</f>
        <v>0</v>
      </c>
      <c r="AT916" s="544" t="b">
        <f t="shared" si="219"/>
        <v>0</v>
      </c>
      <c r="AU916" s="30"/>
      <c r="AV916" s="558" t="b">
        <f t="shared" si="220"/>
        <v>0</v>
      </c>
      <c r="AW916" s="559" t="b">
        <f t="shared" si="221"/>
        <v>0</v>
      </c>
      <c r="AX916" s="30"/>
      <c r="AY916" s="585" t="b">
        <f t="shared" si="222"/>
        <v>0</v>
      </c>
      <c r="AZ916" s="522" t="b">
        <f>OR(AR916&gt;100%,(AR916+AR917)&gt;100%)</f>
        <v>0</v>
      </c>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544" t="b">
        <f>OR(BZ909,Y916=EUconst_NA)</f>
        <v>1</v>
      </c>
    </row>
    <row r="917" spans="1:78" s="140" customFormat="1" ht="12.75" customHeight="1" thickBot="1" x14ac:dyDescent="0.25">
      <c r="A917" s="777"/>
      <c r="B917" s="1248"/>
      <c r="C917" s="753" t="s">
        <v>448</v>
      </c>
      <c r="D917" s="503" t="str">
        <f>Translations!$B$647</f>
        <v>Netvarios BioC dalis:</v>
      </c>
      <c r="E917" s="504"/>
      <c r="F917" s="588"/>
      <c r="G917" s="1603" t="str">
        <f t="shared" si="217"/>
        <v/>
      </c>
      <c r="H917" s="1604"/>
      <c r="I917" s="1114" t="str">
        <f>IF(OR(AC917=FALSE,Y917=EUconst_NA),"","-")</f>
        <v/>
      </c>
      <c r="J917" s="560"/>
      <c r="K917" s="589" t="str">
        <f t="shared" si="218"/>
        <v/>
      </c>
      <c r="L917" s="1100"/>
      <c r="M917" s="700" t="str">
        <f>IF(AND(E900&lt;&gt;"",OR(F917="",COUNT(K917:L917)=0),Y917&lt;&gt;EUconst_NA,T900&lt;&gt;TRUE),EUconst_ERR_Incomplete,IF(COUNTIF(AX917:AZ917,TRUE)&gt;0,EUconst_ERR_Inconsistent,""))</f>
        <v/>
      </c>
      <c r="O917" s="1305"/>
      <c r="P917" s="635"/>
      <c r="Q917" s="635"/>
      <c r="R917" s="635"/>
      <c r="S917" s="30"/>
      <c r="T917" s="590" t="str">
        <f>EUconst_CNTR_BiomassContent&amp;E900</f>
        <v>BioC_</v>
      </c>
      <c r="U917" s="488"/>
      <c r="V917" s="570" t="str">
        <f t="shared" si="223"/>
        <v/>
      </c>
      <c r="W917" s="571" t="str">
        <f>IF(COUNTIF(MSPara_SourceStreamCategory,V917)=0,"",INDEX(MSPara_IsFossil,MATCH(V917,MSPara_SourceStreamCategory,0)))</f>
        <v/>
      </c>
      <c r="X917" s="488"/>
      <c r="Y917" s="591" t="str">
        <f>IF(OR(T900=TRUE,E900=""),"",IF(OR(W917=TRUE,F917=EUconst_NA),EUconst_NA,INDEX(EUwideConstants!$N:$N,MATCH(T917,EUwideConstants!$Q:$Q,0))))</f>
        <v/>
      </c>
      <c r="Z917" s="592" t="str">
        <f>IF(ISBLANK(F917),"",IF(F917=EUconst_NA,"",INDEX(EUwideConstants!$H:$M,MATCH(T917,EUwideConstants!$Q:$Q,0),MATCH(F917,CNTR_TierList,0))))</f>
        <v/>
      </c>
      <c r="AA917" s="593" t="str">
        <f>IF(F917=1,1,"")</f>
        <v/>
      </c>
      <c r="AB917" s="30"/>
      <c r="AC917" s="594" t="b">
        <f>AND(AC909,Y917&lt;&gt;EUconst_NA)</f>
        <v>0</v>
      </c>
      <c r="AD917" s="30"/>
      <c r="AE917" s="595"/>
      <c r="AF917" s="596"/>
      <c r="AG917" s="597"/>
      <c r="AH917" s="598"/>
      <c r="AI917" s="598"/>
      <c r="AJ917" s="598"/>
      <c r="AK917" s="599"/>
      <c r="AL917" s="333"/>
      <c r="AM917" s="600" t="str">
        <f>EUconst_CNTR_BiomassContent&amp;EUconst_Value</f>
        <v>BioC_Vertė</v>
      </c>
      <c r="AN917" s="596"/>
      <c r="AO917" s="601" t="str">
        <f>IF(AC917=TRUE,IF(COUNTIF(MSPara_SourceStreamCategory,V917)=0,"",INDEX(MSPara_CalcFactorsMatrix,MATCH(V917,MSPara_SourceStreamCategory,0),MATCH(AM917&amp;"_"&amp;2,MSPara_CalcFactors,0))),"")</f>
        <v/>
      </c>
      <c r="AP917" s="598"/>
      <c r="AQ917" s="602" t="str">
        <f>IF(OR(AA917="",AO917=EUconst_NA),"",AO917)</f>
        <v/>
      </c>
      <c r="AR917" s="594">
        <f>IF(AC917=TRUE,IF(COUNT(K917:L917)=0,0,IF(L917="",K917,L917)),0)</f>
        <v>0</v>
      </c>
      <c r="AS917" s="603" t="b">
        <f>AND(AC917=TRUE,OR(AND(F917&lt;&gt;"",NOT(ISNUMBER(AA917))),L917&lt;&gt;"",F917="",AQ917=""))</f>
        <v>0</v>
      </c>
      <c r="AT917" s="603" t="b">
        <f t="shared" si="219"/>
        <v>0</v>
      </c>
      <c r="AU917" s="30"/>
      <c r="AV917" s="604" t="b">
        <f t="shared" si="220"/>
        <v>0</v>
      </c>
      <c r="AW917" s="605" t="b">
        <f t="shared" si="221"/>
        <v>0</v>
      </c>
      <c r="AX917" s="30"/>
      <c r="AY917" s="570" t="b">
        <f t="shared" si="222"/>
        <v>0</v>
      </c>
      <c r="AZ917" s="571" t="b">
        <f>OR(AR916&gt;100%,(AR916+AR917)&gt;100%)</f>
        <v>0</v>
      </c>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571" t="b">
        <f>OR(BZ909,Y917=EUconst_NA)</f>
        <v>1</v>
      </c>
    </row>
    <row r="918" spans="1:78" s="140" customFormat="1" ht="5.0999999999999996" customHeight="1" x14ac:dyDescent="0.2">
      <c r="A918" s="777"/>
      <c r="B918" s="1248"/>
      <c r="C918" s="164"/>
      <c r="D918" s="178"/>
      <c r="O918" s="1305"/>
      <c r="P918" s="33"/>
      <c r="Q918" s="33"/>
      <c r="R918" s="33"/>
      <c r="S918" s="172"/>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row>
    <row r="919" spans="1:78" s="140" customFormat="1" ht="12.75" customHeight="1" x14ac:dyDescent="0.2">
      <c r="A919" s="777"/>
      <c r="B919" s="1248"/>
      <c r="C919" s="164"/>
      <c r="D919" s="1629" t="str">
        <f>Translations!$B$674</f>
        <v>Pakopos galioja nuo:</v>
      </c>
      <c r="E919" s="1629"/>
      <c r="F919" s="1630"/>
      <c r="G919" s="1014"/>
      <c r="H919" s="606" t="str">
        <f>Translations!$B$675</f>
        <v>iki:</v>
      </c>
      <c r="I919" s="1014"/>
      <c r="J919" s="1620" t="str">
        <f>Translations!$B$676</f>
        <v>Atliekų katalogo numeris (jeigu taikytina):</v>
      </c>
      <c r="K919" s="1621"/>
      <c r="L919" s="1621"/>
      <c r="M919" s="1622"/>
      <c r="N919" s="1232"/>
      <c r="O919" s="1305"/>
      <c r="P919" s="33"/>
      <c r="Q919" s="33"/>
      <c r="R919" s="33"/>
      <c r="S919" s="1233"/>
      <c r="T919" s="483"/>
      <c r="U919" s="483"/>
      <c r="V919" s="48" t="b">
        <f>IF(V909="",FALSE,INDEX(CNTR_IsWaste,MATCH(V909,MSParameters!$A$218:$A$376,0)))</f>
        <v>0</v>
      </c>
      <c r="W919" s="1233" t="s">
        <v>1689</v>
      </c>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2" t="b">
        <f>BZ909</f>
        <v>1</v>
      </c>
    </row>
    <row r="920" spans="1:78" s="140" customFormat="1" ht="5.0999999999999996" customHeight="1" x14ac:dyDescent="0.2">
      <c r="A920" s="777"/>
      <c r="B920" s="1248"/>
      <c r="C920" s="164"/>
      <c r="D920" s="606"/>
      <c r="E920" s="486"/>
      <c r="F920" s="486"/>
      <c r="G920" s="486"/>
      <c r="H920" s="486"/>
      <c r="I920" s="486"/>
      <c r="J920" s="486"/>
      <c r="K920" s="486"/>
      <c r="L920" s="486"/>
      <c r="M920" s="486"/>
      <c r="N920" s="486"/>
      <c r="O920" s="1305"/>
      <c r="P920" s="33"/>
      <c r="Q920" s="33"/>
      <c r="R920" s="33"/>
      <c r="S920" s="172"/>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row>
    <row r="921" spans="1:78" s="140" customFormat="1" ht="12.75" customHeight="1" x14ac:dyDescent="0.2">
      <c r="A921" s="777"/>
      <c r="B921" s="1248"/>
      <c r="C921" s="164"/>
      <c r="D921" s="486"/>
      <c r="E921" s="486"/>
      <c r="F921" s="486"/>
      <c r="G921" s="486"/>
      <c r="H921" s="486"/>
      <c r="I921" s="486"/>
      <c r="J921" s="486"/>
      <c r="K921" s="486"/>
      <c r="L921" s="486"/>
      <c r="M921" s="606" t="str">
        <f>Translations!$B$677</f>
        <v>Stebėsenos plane šiam sukėlikliui suteiktas identifikatorius:</v>
      </c>
      <c r="N921" s="705"/>
      <c r="O921" s="1305"/>
      <c r="P921" s="33"/>
      <c r="Q921" s="33"/>
      <c r="R921" s="33"/>
      <c r="S921" s="172"/>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2" t="b">
        <f>BZ919</f>
        <v>1</v>
      </c>
    </row>
    <row r="922" spans="1:78" s="140" customFormat="1" ht="5.0999999999999996" customHeight="1" x14ac:dyDescent="0.2">
      <c r="A922" s="784"/>
      <c r="B922" s="1316"/>
      <c r="D922" s="178"/>
      <c r="O922" s="1317"/>
      <c r="P922" s="488"/>
      <c r="Q922" s="488"/>
      <c r="R922" s="488"/>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row>
    <row r="923" spans="1:78" s="140" customFormat="1" x14ac:dyDescent="0.2">
      <c r="A923" s="784"/>
      <c r="B923" s="1316"/>
      <c r="D923" s="1618" t="str">
        <f>Translations!$B$160</f>
        <v>Pastabos:</v>
      </c>
      <c r="E923" s="1619"/>
      <c r="F923" s="1605"/>
      <c r="G923" s="1606"/>
      <c r="H923" s="1606"/>
      <c r="I923" s="1606"/>
      <c r="J923" s="1606"/>
      <c r="K923" s="1606"/>
      <c r="L923" s="1606"/>
      <c r="M923" s="1606"/>
      <c r="N923" s="1607"/>
      <c r="O923" s="1317"/>
      <c r="P923" s="488"/>
      <c r="Q923" s="488"/>
      <c r="R923" s="488"/>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2" t="b">
        <f>BZ919</f>
        <v>1</v>
      </c>
    </row>
    <row r="924" spans="1:78" s="28" customFormat="1" ht="12.75" customHeight="1" thickBot="1" x14ac:dyDescent="0.25">
      <c r="A924" s="777"/>
      <c r="B924" s="1312"/>
      <c r="C924" s="490"/>
      <c r="D924" s="491"/>
      <c r="E924" s="492"/>
      <c r="F924" s="490"/>
      <c r="G924" s="493"/>
      <c r="H924" s="493"/>
      <c r="I924" s="493"/>
      <c r="J924" s="493"/>
      <c r="K924" s="493"/>
      <c r="L924" s="493"/>
      <c r="M924" s="493"/>
      <c r="N924" s="493"/>
      <c r="O924" s="1313"/>
      <c r="P924" s="485"/>
      <c r="Q924" s="485"/>
      <c r="R924" s="485"/>
      <c r="S924" s="58"/>
      <c r="T924" s="58"/>
      <c r="U924" s="489"/>
      <c r="V924" s="58"/>
      <c r="W924" s="58"/>
      <c r="X924" s="489"/>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30"/>
      <c r="BJ924" s="30"/>
      <c r="BK924" s="30"/>
      <c r="BL924" s="58"/>
      <c r="BM924" s="58"/>
      <c r="BN924" s="58"/>
      <c r="BO924" s="58"/>
      <c r="BP924" s="58"/>
      <c r="BQ924" s="58"/>
      <c r="BR924" s="58"/>
      <c r="BS924" s="58"/>
      <c r="BT924" s="58"/>
      <c r="BU924" s="58"/>
      <c r="BV924" s="58"/>
      <c r="BW924" s="58"/>
      <c r="BX924" s="58"/>
      <c r="BY924" s="58"/>
      <c r="BZ924" s="58"/>
    </row>
    <row r="925" spans="1:78" s="28" customFormat="1" ht="12.75" customHeight="1" thickBot="1" x14ac:dyDescent="0.25">
      <c r="A925" s="782"/>
      <c r="B925" s="1312"/>
      <c r="C925" s="486"/>
      <c r="D925" s="178"/>
      <c r="E925" s="487"/>
      <c r="F925" s="486"/>
      <c r="G925" s="478"/>
      <c r="H925" s="478"/>
      <c r="I925" s="478"/>
      <c r="J925" s="478"/>
      <c r="K925" s="486"/>
      <c r="L925" s="478"/>
      <c r="M925" s="478"/>
      <c r="N925" s="478"/>
      <c r="O925" s="1313"/>
      <c r="P925" s="485"/>
      <c r="Q925" s="485"/>
      <c r="R925" s="485"/>
      <c r="S925" s="23"/>
      <c r="T925" s="27" t="str">
        <f>IF(ISBLANK(E926),"",MATCH(E926,CNTR_SourceStreamNames,0))</f>
        <v/>
      </c>
      <c r="U925" s="609" t="str">
        <f>IF(ISBLANK(E926),"",INDEX(B_InstallationDescription!$D$71:$D$145,MATCH(E926,CNTR_SourceStreamNames,0)))</f>
        <v/>
      </c>
      <c r="V925" s="76"/>
      <c r="W925" s="56"/>
      <c r="X925" s="56"/>
      <c r="Y925" s="56"/>
      <c r="Z925" s="58"/>
      <c r="AA925" s="58"/>
      <c r="AB925" s="58"/>
      <c r="AC925" s="58"/>
      <c r="AD925" s="58"/>
      <c r="AE925" s="58"/>
      <c r="AF925" s="58"/>
      <c r="AG925" s="58"/>
      <c r="AH925" s="58"/>
      <c r="AI925" s="58"/>
      <c r="AJ925" s="58"/>
      <c r="AK925" s="482"/>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6"/>
      <c r="BI925" s="56"/>
      <c r="BJ925" s="56"/>
      <c r="BK925" s="56"/>
      <c r="BL925" s="56"/>
      <c r="BM925" s="56"/>
      <c r="BN925" s="56"/>
      <c r="BO925" s="56"/>
      <c r="BP925" s="56"/>
      <c r="BQ925" s="56"/>
      <c r="BR925" s="56"/>
      <c r="BS925" s="56"/>
      <c r="BT925" s="56"/>
      <c r="BU925" s="56"/>
      <c r="BV925" s="56"/>
      <c r="BW925" s="56"/>
      <c r="BX925" s="56"/>
      <c r="BY925" s="56"/>
      <c r="BZ925" s="484" t="s">
        <v>259</v>
      </c>
    </row>
    <row r="926" spans="1:78" s="140" customFormat="1" ht="15" customHeight="1" thickBot="1" x14ac:dyDescent="0.25">
      <c r="A926" s="1302" t="str">
        <f>IF(E926="","","PRINT")</f>
        <v/>
      </c>
      <c r="B926" s="1248"/>
      <c r="C926" s="608">
        <f>C899+1</f>
        <v>33</v>
      </c>
      <c r="D926" s="164"/>
      <c r="E926" s="1610"/>
      <c r="F926" s="1611"/>
      <c r="G926" s="1611"/>
      <c r="H926" s="1611"/>
      <c r="I926" s="1611"/>
      <c r="J926" s="1612"/>
      <c r="K926" s="1623" t="str">
        <f>IF(E927="","",INDEX(EUwideConstants!$F$353:$F$394,MATCH(E927,EUConst_TierActivityListNames,0)))</f>
        <v/>
      </c>
      <c r="L926" s="1624"/>
      <c r="M926" s="494" t="str">
        <f>Translations!$B$665</f>
        <v>CO2, iškastinio kuro kilmės:</v>
      </c>
      <c r="N926" s="1012" t="str">
        <f>IF(OR(K926="",T927=TRUE),"",INDEX(BC940:BE940,MATCH(K926,BC936:BE936,0)))</f>
        <v/>
      </c>
      <c r="O926" s="1314" t="s">
        <v>257</v>
      </c>
      <c r="P926" s="1303" t="str">
        <f>IF(AND(E926&lt;&gt;"",COUNTIF(P927:$P$2089,"PRINT")=0),"PRINT","")</f>
        <v/>
      </c>
      <c r="Q926" s="343" t="str">
        <f>EUconst_SumCO2 &amp; "_" &amp; K926</f>
        <v>SUM_CO2_</v>
      </c>
      <c r="R926" s="485"/>
      <c r="S926" s="23"/>
      <c r="T926" s="500" t="s">
        <v>387</v>
      </c>
      <c r="U926" s="23"/>
      <c r="V926" s="76"/>
      <c r="W926" s="56"/>
      <c r="X926" s="58"/>
      <c r="Y926" s="58"/>
      <c r="Z926" s="58"/>
      <c r="AA926" s="58"/>
      <c r="AB926" s="58"/>
      <c r="AC926" s="58"/>
      <c r="AD926" s="58"/>
      <c r="AE926" s="58"/>
      <c r="AF926" s="58"/>
      <c r="AG926" s="58"/>
      <c r="AH926" s="58"/>
      <c r="AI926" s="333"/>
      <c r="AJ926" s="333"/>
      <c r="AK926" s="333"/>
      <c r="AL926" s="333"/>
      <c r="AM926" s="333"/>
      <c r="AN926" s="333"/>
      <c r="AO926" s="333"/>
      <c r="AP926" s="333"/>
      <c r="AQ926" s="333"/>
      <c r="AR926" s="333"/>
      <c r="AS926" s="333"/>
      <c r="AT926" s="333"/>
      <c r="AU926" s="333"/>
      <c r="AV926" s="333"/>
      <c r="AW926" s="333"/>
      <c r="AX926" s="333"/>
      <c r="AY926" s="333"/>
      <c r="AZ926" s="333"/>
      <c r="BA926" s="333"/>
      <c r="BB926" s="333"/>
      <c r="BC926" s="333"/>
      <c r="BD926" s="333"/>
      <c r="BE926" s="333"/>
      <c r="BF926" s="333"/>
      <c r="BG926" s="333"/>
      <c r="BH926" s="834">
        <f>AR936</f>
        <v>0</v>
      </c>
      <c r="BI926" s="834" t="str">
        <f>AJ936</f>
        <v/>
      </c>
      <c r="BJ926" s="834">
        <f>AR938</f>
        <v>0</v>
      </c>
      <c r="BK926" s="834" t="str">
        <f>AJ938</f>
        <v/>
      </c>
      <c r="BL926" s="834">
        <f>AR939</f>
        <v>0</v>
      </c>
      <c r="BM926" s="834" t="str">
        <f>AJ939</f>
        <v/>
      </c>
      <c r="BN926" s="834">
        <f>AR940</f>
        <v>1</v>
      </c>
      <c r="BO926" s="834">
        <f>AR941</f>
        <v>1</v>
      </c>
      <c r="BP926" s="834">
        <f>AR942</f>
        <v>0</v>
      </c>
      <c r="BQ926" s="834" t="str">
        <f>AJ942</f>
        <v/>
      </c>
      <c r="BR926" s="834">
        <f>AR943</f>
        <v>0</v>
      </c>
      <c r="BS926" s="834">
        <f>AR944</f>
        <v>0</v>
      </c>
      <c r="BT926" s="834" t="str">
        <f>N926</f>
        <v/>
      </c>
      <c r="BU926" s="834" t="str">
        <f>N927</f>
        <v/>
      </c>
      <c r="BV926" s="834" t="str">
        <f>R929</f>
        <v/>
      </c>
      <c r="BW926" s="834" t="str">
        <f>R935</f>
        <v/>
      </c>
      <c r="BX926" s="834" t="str">
        <f>R936</f>
        <v/>
      </c>
      <c r="BY926" s="56"/>
      <c r="BZ926" s="610" t="b">
        <f>CNTR_CalcRelevant=EUconst_NotRelevant</f>
        <v>0</v>
      </c>
    </row>
    <row r="927" spans="1:78" s="140" customFormat="1" ht="15" customHeight="1" thickBot="1" x14ac:dyDescent="0.25">
      <c r="A927" s="777"/>
      <c r="B927" s="1248"/>
      <c r="C927" s="164"/>
      <c r="D927" s="164"/>
      <c r="E927" s="1625" t="str">
        <f>IF(ISBLANK(E926),"",IF(INDEX(B_InstallationDescription!$E$71:$E$145,MATCH(U925,B_InstallationDescription!$D$71:$D$145,0))&gt;0,INDEX(B_InstallationDescription!$E$71:$E$145,MATCH(U925,B_InstallationDescription!$D$71:$D$145,0)),""))</f>
        <v/>
      </c>
      <c r="F927" s="1626"/>
      <c r="G927" s="1626"/>
      <c r="H927" s="1626"/>
      <c r="I927" s="1626"/>
      <c r="J927" s="1627"/>
      <c r="M927" s="337" t="str">
        <f>Translations!$B$666</f>
        <v>CO2, biomasės kilmės.:</v>
      </c>
      <c r="N927" s="1013" t="str">
        <f>IF(OR(K926="",T927=TRUE),"",INDEX(BC939:BE939,MATCH(K926,BC936:BE936,0)))</f>
        <v/>
      </c>
      <c r="O927" s="1315" t="s">
        <v>257</v>
      </c>
      <c r="P927" s="485"/>
      <c r="Q927" s="343" t="str">
        <f>EUconst_SumBioCO2 &amp; "_" &amp; K926</f>
        <v>SUM_bioCO2_</v>
      </c>
      <c r="R927" s="485"/>
      <c r="S927" s="23"/>
      <c r="T927" s="48" t="str">
        <f>IF(E927="","",MATCH(E927,EUConst_TierActivityListNames,0)&gt;40)</f>
        <v/>
      </c>
      <c r="U927" s="23"/>
      <c r="V927" s="76"/>
      <c r="W927" s="56"/>
      <c r="X927" s="58"/>
      <c r="Y927" s="27" t="s">
        <v>91</v>
      </c>
      <c r="Z927" s="30"/>
      <c r="AA927" s="30"/>
      <c r="AB927" s="30"/>
      <c r="AC927" s="30"/>
      <c r="AD927" s="30"/>
      <c r="AE927" s="27" t="s">
        <v>297</v>
      </c>
      <c r="AF927" s="58"/>
      <c r="AG927" s="495"/>
      <c r="AH927" s="30"/>
      <c r="AI927" s="30"/>
      <c r="AJ927" s="495"/>
      <c r="AK927" s="495"/>
      <c r="AL927" s="333"/>
      <c r="AM927" s="27" t="s">
        <v>303</v>
      </c>
      <c r="AN927" s="496"/>
      <c r="AO927" s="496"/>
      <c r="AP927" s="30"/>
      <c r="AQ927" s="30"/>
      <c r="AR927" s="30"/>
      <c r="AS927" s="30"/>
      <c r="AT927" s="30"/>
      <c r="AU927" s="30"/>
      <c r="AV927" s="27" t="s">
        <v>310</v>
      </c>
      <c r="AW927" s="30"/>
      <c r="AX927" s="483"/>
      <c r="AY927" s="30"/>
      <c r="AZ927" s="30"/>
      <c r="BA927" s="30"/>
      <c r="BB927" s="27" t="s">
        <v>217</v>
      </c>
      <c r="BC927" s="30"/>
      <c r="BD927" s="30"/>
      <c r="BE927" s="30"/>
      <c r="BF927" s="30"/>
      <c r="BG927" s="27" t="s">
        <v>486</v>
      </c>
      <c r="BH927" s="833" t="s">
        <v>552</v>
      </c>
      <c r="BI927" s="833" t="s">
        <v>487</v>
      </c>
      <c r="BJ927" s="833" t="s">
        <v>211</v>
      </c>
      <c r="BK927" s="833" t="s">
        <v>488</v>
      </c>
      <c r="BL927" s="833" t="s">
        <v>68</v>
      </c>
      <c r="BM927" s="833" t="s">
        <v>489</v>
      </c>
      <c r="BN927" s="833" t="s">
        <v>490</v>
      </c>
      <c r="BO927" s="833" t="s">
        <v>491</v>
      </c>
      <c r="BP927" s="833" t="s">
        <v>214</v>
      </c>
      <c r="BQ927" s="833" t="s">
        <v>492</v>
      </c>
      <c r="BR927" s="833" t="s">
        <v>493</v>
      </c>
      <c r="BS927" s="833" t="s">
        <v>494</v>
      </c>
      <c r="BT927" s="833" t="s">
        <v>287</v>
      </c>
      <c r="BU927" s="833" t="s">
        <v>495</v>
      </c>
      <c r="BV927" s="833" t="s">
        <v>498</v>
      </c>
      <c r="BW927" s="833" t="s">
        <v>496</v>
      </c>
      <c r="BX927" s="833" t="s">
        <v>497</v>
      </c>
      <c r="BY927" s="30"/>
      <c r="BZ927" s="30"/>
    </row>
    <row r="928" spans="1:78" s="140" customFormat="1" ht="5.0999999999999996" customHeight="1" thickBot="1" x14ac:dyDescent="0.25">
      <c r="A928" s="777"/>
      <c r="B928" s="1248"/>
      <c r="C928" s="164"/>
      <c r="D928" s="164"/>
      <c r="E928" s="164"/>
      <c r="F928" s="164"/>
      <c r="G928" s="164"/>
      <c r="M928" s="141"/>
      <c r="N928" s="141"/>
      <c r="O928" s="1305"/>
      <c r="P928" s="33"/>
      <c r="Q928" s="33"/>
      <c r="R928" s="33"/>
      <c r="S928" s="23"/>
      <c r="T928" s="23"/>
      <c r="U928" s="23"/>
      <c r="V928" s="76"/>
      <c r="W928" s="30"/>
      <c r="X928" s="30"/>
      <c r="Y928" s="485"/>
      <c r="Z928" s="30"/>
      <c r="AA928" s="30"/>
      <c r="AB928" s="30"/>
      <c r="AC928" s="30"/>
      <c r="AD928" s="30"/>
      <c r="AE928" s="30"/>
      <c r="AF928" s="58"/>
      <c r="AG928" s="30"/>
      <c r="AH928" s="30"/>
      <c r="AI928" s="30"/>
      <c r="AJ928" s="495"/>
      <c r="AK928" s="495"/>
      <c r="AL928" s="333"/>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row>
    <row r="929" spans="1:78" s="140" customFormat="1" ht="12.75" customHeight="1" thickBot="1" x14ac:dyDescent="0.25">
      <c r="A929" s="777"/>
      <c r="B929" s="1248"/>
      <c r="C929" s="164"/>
      <c r="D929" s="164"/>
      <c r="E929" s="1628" t="str">
        <f>IF(E926="","",IF(T927=TRUE,HYPERLINK("#JUMP_14",EUconst_MsgGoOnPFC),HYPERLINK("#JUMP_E_8",EUconst_FurtherGuidancePoint1)))</f>
        <v/>
      </c>
      <c r="F929" s="1628"/>
      <c r="G929" s="1628"/>
      <c r="H929" s="1628"/>
      <c r="I929" s="1628"/>
      <c r="J929" s="1628"/>
      <c r="K929" s="1628"/>
      <c r="L929" s="1628"/>
      <c r="M929" s="1628"/>
      <c r="N929" s="141"/>
      <c r="O929" s="1305"/>
      <c r="P929" s="33"/>
      <c r="Q929" s="343" t="str">
        <f>EUconst_SumNonSustBioCO2 &amp; "_" &amp; K926</f>
        <v>SUM_bioNonSustCO2_</v>
      </c>
      <c r="R929" s="698" t="str">
        <f>IF(OR(K926="",T927=TRUE),"",ROUND(INDEX(BC938:BE938,MATCH(K926,BC936:BE936,0)),0))</f>
        <v/>
      </c>
      <c r="S929" s="23"/>
      <c r="T929" s="23"/>
      <c r="U929" s="23"/>
      <c r="V929" s="30"/>
      <c r="W929" s="30"/>
      <c r="X929" s="30"/>
      <c r="Y929" s="58"/>
      <c r="Z929" s="30"/>
      <c r="AA929" s="30"/>
      <c r="AB929" s="30"/>
      <c r="AC929" s="30"/>
      <c r="AD929" s="30"/>
      <c r="AE929" s="30"/>
      <c r="AF929" s="58"/>
      <c r="AG929" s="30"/>
      <c r="AH929" s="30"/>
      <c r="AI929" s="30"/>
      <c r="AJ929" s="495"/>
      <c r="AK929" s="495"/>
      <c r="AL929" s="333"/>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row>
    <row r="930" spans="1:78" s="140" customFormat="1" ht="5.0999999999999996" customHeight="1" thickBot="1" x14ac:dyDescent="0.25">
      <c r="A930" s="777"/>
      <c r="B930" s="1248"/>
      <c r="C930" s="164"/>
      <c r="D930" s="164"/>
      <c r="E930" s="164"/>
      <c r="F930" s="164"/>
      <c r="G930" s="164"/>
      <c r="M930" s="141"/>
      <c r="N930" s="141"/>
      <c r="O930" s="1305"/>
      <c r="P930" s="23"/>
      <c r="Q930" s="23"/>
      <c r="R930" s="23"/>
      <c r="S930" s="23"/>
      <c r="T930" s="23"/>
      <c r="U930" s="23"/>
      <c r="V930" s="30"/>
      <c r="W930" s="30"/>
      <c r="X930" s="30"/>
      <c r="Y930" s="485"/>
      <c r="Z930" s="30"/>
      <c r="AA930" s="30"/>
      <c r="AB930" s="30"/>
      <c r="AC930" s="30"/>
      <c r="AD930" s="30"/>
      <c r="AE930" s="30"/>
      <c r="AF930" s="58"/>
      <c r="AG930" s="30"/>
      <c r="AH930" s="30"/>
      <c r="AI930" s="30"/>
      <c r="AJ930" s="495"/>
      <c r="AK930" s="495"/>
      <c r="AL930" s="333"/>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row>
    <row r="931" spans="1:78" s="140" customFormat="1" ht="12.75" customHeight="1" thickBot="1" x14ac:dyDescent="0.25">
      <c r="A931" s="777"/>
      <c r="B931" s="1248"/>
      <c r="C931" s="783" t="s">
        <v>4</v>
      </c>
      <c r="D931" s="503" t="str">
        <f>Translations!$B$622</f>
        <v>VD:</v>
      </c>
      <c r="E931" s="1631" t="str">
        <f>Translations!$B$667</f>
        <v>Ar veiklos duomenys gaunami sudedant išmatuotus kiekius (t. y. ne atliekant nuolatinius matavimus)?</v>
      </c>
      <c r="F931" s="1631"/>
      <c r="G931" s="1631"/>
      <c r="H931" s="1631"/>
      <c r="I931" s="1631"/>
      <c r="J931" s="1631"/>
      <c r="K931" s="1631"/>
      <c r="L931" s="1122"/>
      <c r="M931" s="498"/>
      <c r="O931" s="1305"/>
      <c r="P931" s="23"/>
      <c r="Q931" s="23"/>
      <c r="R931" s="23"/>
      <c r="S931" s="23"/>
      <c r="T931" s="23"/>
      <c r="U931" s="23"/>
      <c r="V931" s="30"/>
      <c r="W931" s="30"/>
      <c r="X931" s="30"/>
      <c r="Y931" s="485"/>
      <c r="Z931" s="30"/>
      <c r="AA931" s="30"/>
      <c r="AB931" s="30"/>
      <c r="AC931" s="1115" t="b">
        <f>AND(E926&lt;&gt;"",T927&lt;&gt;TRUE)</f>
        <v>0</v>
      </c>
      <c r="AD931" s="30"/>
      <c r="AE931" s="30"/>
      <c r="AF931" s="58"/>
      <c r="AG931" s="30"/>
      <c r="AH931" s="30"/>
      <c r="AI931" s="30"/>
      <c r="AJ931" s="495"/>
      <c r="AK931" s="495"/>
      <c r="AL931" s="333"/>
      <c r="AM931" s="30"/>
      <c r="AN931" s="30"/>
      <c r="AO931" s="30"/>
      <c r="AP931" s="30"/>
      <c r="AQ931" s="30"/>
      <c r="AR931" s="30"/>
      <c r="AS931" s="30"/>
      <c r="AT931" s="1115" t="b">
        <f>MSPara_BatchReportingMandatory&lt;&gt;TRUE</f>
        <v>0</v>
      </c>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1115" t="b">
        <f>OR(CNTR_CalcRelevant=EUconst_NotRelevant,AND(COUNTA(CNTR_ListRelevantSections)&gt;0,OR(T927=TRUE,E926="")))</f>
        <v>1</v>
      </c>
    </row>
    <row r="932" spans="1:78" s="140" customFormat="1" ht="5.0999999999999996" customHeight="1" thickBot="1" x14ac:dyDescent="0.25">
      <c r="A932" s="777"/>
      <c r="B932" s="1248"/>
      <c r="C932" s="164"/>
      <c r="D932" s="164"/>
      <c r="E932" s="164"/>
      <c r="F932" s="164"/>
      <c r="G932" s="164"/>
      <c r="H932" s="486"/>
      <c r="I932" s="486"/>
      <c r="J932" s="486"/>
      <c r="K932" s="486"/>
      <c r="L932" s="486"/>
      <c r="M932" s="498"/>
      <c r="O932" s="1305"/>
      <c r="P932" s="23"/>
      <c r="Q932" s="23"/>
      <c r="R932" s="23"/>
      <c r="S932" s="23"/>
      <c r="T932" s="23"/>
      <c r="U932" s="23"/>
      <c r="V932" s="30"/>
      <c r="W932" s="30"/>
      <c r="X932" s="30"/>
      <c r="Y932" s="485"/>
      <c r="Z932" s="30"/>
      <c r="AA932" s="30"/>
      <c r="AB932" s="30"/>
      <c r="AC932" s="483"/>
      <c r="AD932" s="30"/>
      <c r="AE932" s="30"/>
      <c r="AF932" s="58"/>
      <c r="AG932" s="30"/>
      <c r="AH932" s="30"/>
      <c r="AI932" s="30"/>
      <c r="AJ932" s="495"/>
      <c r="AK932" s="495"/>
      <c r="AL932" s="333"/>
      <c r="AM932" s="30"/>
      <c r="AN932" s="30"/>
      <c r="AO932" s="30"/>
      <c r="AP932" s="30"/>
      <c r="AQ932" s="30"/>
      <c r="AR932" s="30"/>
      <c r="AS932" s="30"/>
      <c r="AT932" s="483"/>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483"/>
    </row>
    <row r="933" spans="1:78" s="140" customFormat="1" ht="12.75" customHeight="1" thickBot="1" x14ac:dyDescent="0.25">
      <c r="A933" s="777"/>
      <c r="B933" s="1248"/>
      <c r="C933" s="783" t="s">
        <v>5</v>
      </c>
      <c r="D933" s="503" t="str">
        <f>Translations!$B$622</f>
        <v>VD:</v>
      </c>
      <c r="E933" s="1105" t="str">
        <f>Translations!$B$668</f>
        <v>Pradinis kiekis:</v>
      </c>
      <c r="F933" s="1123"/>
      <c r="G933" s="1106" t="str">
        <f>Translations!$B$669</f>
        <v>Galutinis kiekis:</v>
      </c>
      <c r="H933" s="1123"/>
      <c r="I933" s="1106" t="str">
        <f>Translations!$B$670</f>
        <v>Įsigytas kiekis:</v>
      </c>
      <c r="J933" s="1123"/>
      <c r="K933" s="1106" t="str">
        <f>Translations!$B$671</f>
        <v>Perduotas kiekis:</v>
      </c>
      <c r="L933" s="1123"/>
      <c r="M933" s="1107" t="str">
        <f>IF(AND(L931=TRUE,COUNT(F933,H933,J933,L933)&lt;4),EUconst_ERR_Incomplete,"")</f>
        <v/>
      </c>
      <c r="O933" s="1305"/>
      <c r="P933" s="23"/>
      <c r="Q933" s="23"/>
      <c r="R933" s="23"/>
      <c r="S933" s="23"/>
      <c r="T933" s="23"/>
      <c r="U933" s="23"/>
      <c r="V933" s="30"/>
      <c r="W933" s="30"/>
      <c r="X933" s="30"/>
      <c r="Y933" s="485"/>
      <c r="Z933" s="30"/>
      <c r="AA933" s="30"/>
      <c r="AB933" s="30"/>
      <c r="AC933" s="1115" t="b">
        <f>AC931</f>
        <v>0</v>
      </c>
      <c r="AD933" s="30"/>
      <c r="AE933" s="30"/>
      <c r="AF933" s="58"/>
      <c r="AG933" s="30"/>
      <c r="AH933" s="30"/>
      <c r="AI933" s="30"/>
      <c r="AJ933" s="495"/>
      <c r="AK933" s="495"/>
      <c r="AL933" s="333"/>
      <c r="AM933" s="30"/>
      <c r="AN933" s="30"/>
      <c r="AO933" s="30"/>
      <c r="AP933" s="30"/>
      <c r="AQ933" s="30"/>
      <c r="AR933" s="30"/>
      <c r="AS933" s="30"/>
      <c r="AT933" s="1115" t="b">
        <f>AND(AT931=TRUE,L931="")</f>
        <v>0</v>
      </c>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1115" t="b">
        <f>OR(BZ931,AND(NOT(ISBLANK(L931)),L931=FALSE))</f>
        <v>1</v>
      </c>
    </row>
    <row r="934" spans="1:78" s="140" customFormat="1" ht="5.0999999999999996" customHeight="1" thickBot="1" x14ac:dyDescent="0.25">
      <c r="A934" s="777"/>
      <c r="B934" s="1248"/>
      <c r="C934" s="164"/>
      <c r="D934" s="164"/>
      <c r="E934" s="164"/>
      <c r="F934" s="164"/>
      <c r="G934" s="164"/>
      <c r="M934" s="141"/>
      <c r="N934" s="141"/>
      <c r="O934" s="1305"/>
      <c r="P934" s="23"/>
      <c r="Q934" s="23"/>
      <c r="R934" s="23"/>
      <c r="S934" s="23"/>
      <c r="T934" s="23"/>
      <c r="U934" s="23"/>
      <c r="V934" s="30"/>
      <c r="W934" s="30"/>
      <c r="X934" s="30"/>
      <c r="Y934" s="485"/>
      <c r="Z934" s="30"/>
      <c r="AA934" s="30"/>
      <c r="AB934" s="30"/>
      <c r="AC934" s="30"/>
      <c r="AD934" s="30"/>
      <c r="AE934" s="30"/>
      <c r="AF934" s="58"/>
      <c r="AG934" s="30"/>
      <c r="AH934" s="30"/>
      <c r="AI934" s="30"/>
      <c r="AJ934" s="495"/>
      <c r="AK934" s="495"/>
      <c r="AL934" s="333"/>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row>
    <row r="935" spans="1:78" s="140" customFormat="1" ht="12.75" customHeight="1" thickBot="1" x14ac:dyDescent="0.25">
      <c r="A935" s="777"/>
      <c r="B935" s="1248"/>
      <c r="C935" s="164"/>
      <c r="D935" s="164"/>
      <c r="E935" s="164"/>
      <c r="F935" s="497" t="str">
        <f>Translations!$B$333</f>
        <v>Pakopa</v>
      </c>
      <c r="G935" s="1613" t="str">
        <f>Translations!$B$672</f>
        <v>pakopos aprašas</v>
      </c>
      <c r="H935" s="1613"/>
      <c r="I935" s="1608" t="str">
        <f>Translations!$B$158</f>
        <v>Vienetas</v>
      </c>
      <c r="J935" s="1608"/>
      <c r="K935" s="1608" t="str">
        <f>Translations!$B$673</f>
        <v>Vertė</v>
      </c>
      <c r="L935" s="1608"/>
      <c r="M935" s="498" t="str">
        <f>Translations!$B$610</f>
        <v>klaida</v>
      </c>
      <c r="O935" s="1305"/>
      <c r="P935" s="499"/>
      <c r="Q935" s="343" t="str">
        <f>EUconst_SumEnergyIN &amp; "_" &amp; K926</f>
        <v>SUM_EnergyIN_</v>
      </c>
      <c r="R935" s="390" t="str">
        <f>IF(OR(K926="",T927)=TRUE,"",INDEX(BC941:BE941,MATCH(K926,BC936:BE936,0)))</f>
        <v/>
      </c>
      <c r="S935" s="30"/>
      <c r="T935" s="480"/>
      <c r="U935" s="30"/>
      <c r="V935" s="500" t="s">
        <v>298</v>
      </c>
      <c r="W935" s="30"/>
      <c r="X935" s="30"/>
      <c r="Y935" s="485" t="s">
        <v>560</v>
      </c>
      <c r="Z935" s="485" t="s">
        <v>313</v>
      </c>
      <c r="AA935" s="30"/>
      <c r="AB935" s="30"/>
      <c r="AC935" s="496" t="s">
        <v>304</v>
      </c>
      <c r="AD935" s="30"/>
      <c r="AE935" s="30"/>
      <c r="AF935" s="483" t="s">
        <v>300</v>
      </c>
      <c r="AG935" s="483" t="s">
        <v>301</v>
      </c>
      <c r="AH935" s="485" t="s">
        <v>299</v>
      </c>
      <c r="AI935" s="495" t="s">
        <v>302</v>
      </c>
      <c r="AJ935" s="495" t="s">
        <v>561</v>
      </c>
      <c r="AK935" s="501" t="s">
        <v>306</v>
      </c>
      <c r="AL935" s="333"/>
      <c r="AM935" s="30"/>
      <c r="AN935" s="483" t="s">
        <v>300</v>
      </c>
      <c r="AO935" s="483" t="s">
        <v>301</v>
      </c>
      <c r="AP935" s="502" t="s">
        <v>305</v>
      </c>
      <c r="AQ935" s="495" t="s">
        <v>563</v>
      </c>
      <c r="AR935" s="495" t="s">
        <v>562</v>
      </c>
      <c r="AS935" s="501" t="s">
        <v>599</v>
      </c>
      <c r="AT935" s="501" t="s">
        <v>599</v>
      </c>
      <c r="AU935" s="30"/>
      <c r="AV935" s="483"/>
      <c r="AW935" s="483"/>
      <c r="AX935" s="483" t="s">
        <v>316</v>
      </c>
      <c r="AY935" s="483"/>
      <c r="AZ935" s="483"/>
      <c r="BA935" s="483"/>
      <c r="BB935" s="483"/>
      <c r="BC935" s="483"/>
      <c r="BD935" s="483"/>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484" t="s">
        <v>259</v>
      </c>
    </row>
    <row r="936" spans="1:78" s="140" customFormat="1" ht="12.75" customHeight="1" thickBot="1" x14ac:dyDescent="0.25">
      <c r="A936" s="777"/>
      <c r="B936" s="1248"/>
      <c r="C936" s="753" t="s">
        <v>194</v>
      </c>
      <c r="D936" s="503" t="str">
        <f>Translations!$B$622</f>
        <v>VD:</v>
      </c>
      <c r="E936" s="504"/>
      <c r="F936" s="393"/>
      <c r="G936" s="1603" t="str">
        <f>IF(OR(ISBLANK(F936),F936=EUconst_NoTier),"",IF(Z936=0,EUconst_NA,IF(ISERROR(Z936),"",Z936)))</f>
        <v/>
      </c>
      <c r="H936" s="1604"/>
      <c r="I936" s="1108" t="str">
        <f>IF(J936&lt;&gt;"","",AI936)</f>
        <v/>
      </c>
      <c r="J936" s="1109"/>
      <c r="K936" s="1116" t="str">
        <f>IF(L936="",AQ936,"")</f>
        <v/>
      </c>
      <c r="L936" s="1199"/>
      <c r="M936" s="700" t="str">
        <f>IF(AND(E927&lt;&gt;"",OR(F936="",COUNT(K936:L936)=0),Y936&lt;&gt;EUconst_NA,T927&lt;&gt;TRUE),EUconst_ERR_Incomplete,IF(COUNTIF(AX936:AZ936,TRUE)&gt;0,EUconst_ERR_Inconsistent,""))</f>
        <v/>
      </c>
      <c r="O936" s="1305"/>
      <c r="P936" s="635"/>
      <c r="Q936" s="343" t="str">
        <f>EUconst_SumBioEnergyIN &amp; "_" &amp; K926</f>
        <v>SUM_BioEnergyIN_</v>
      </c>
      <c r="R936" s="390" t="str">
        <f>IF(OR(K926="",T927)=TRUE,"",INDEX(BC942:BE942,MATCH(K926,BC936:BE936,0)))</f>
        <v/>
      </c>
      <c r="S936" s="30"/>
      <c r="T936" s="505" t="str">
        <f>EUconst_CNTR_ActivityData&amp;E927</f>
        <v>ActivityData_</v>
      </c>
      <c r="U936" s="488"/>
      <c r="V936" s="505" t="str">
        <f>IF(E926="","",INDEX(B_InstallationDescription!$I$71:$I$145,MATCH(U925,B_InstallationDescription!$D$71:$D$145,0)))</f>
        <v/>
      </c>
      <c r="W936" s="495" t="s">
        <v>533</v>
      </c>
      <c r="X936" s="488"/>
      <c r="Y936" s="506" t="str">
        <f>IF(OR(T927=TRUE,E927=""),"",INDEX(EUwideConstants!$N:$N,MATCH(T936,EUwideConstants!$Q:$Q,0)))</f>
        <v/>
      </c>
      <c r="Z936" s="507" t="str">
        <f>IF(ISBLANK(F936),"",IF(F936=EUconst_NA,"",INDEX(EUwideConstants!$H:$M,MATCH(T936,EUwideConstants!$Q:$Q,0),MATCH(F936,CNTR_TierList,0))))</f>
        <v/>
      </c>
      <c r="AA936" s="508" t="s">
        <v>299</v>
      </c>
      <c r="AB936" s="495"/>
      <c r="AC936" s="509" t="b">
        <f>AC931</f>
        <v>0</v>
      </c>
      <c r="AD936" s="30"/>
      <c r="AE936" s="510" t="str">
        <f>EUconst_CNTR_ActivityData&amp;EUconst_Unit</f>
        <v>ActivityData_Vienetas</v>
      </c>
      <c r="AF936" s="511" t="str">
        <f>IF(AC936=TRUE, IF(COUNTIF(MSPara_SourceStreamCategory,V936)=0,"",INDEX(MSPara_CalcFactorsMatrix,MATCH(V936,MSPara_SourceStreamCategory,0),MATCH(AE936&amp;"_"&amp;2,MSPara_CalcFactors,0))),"")</f>
        <v/>
      </c>
      <c r="AG936" s="512" t="str">
        <f>IF(AC936=TRUE, IF(COUNTIF(MSPara_SourceStreamCategory,V936)=0,"",INDEX(MSPara_CalcFactorsMatrix,MATCH(V936,MSPara_SourceStreamCategory,0),MATCH(AE936&amp;"_"&amp;1,MSPara_CalcFactors,0))),"")</f>
        <v/>
      </c>
      <c r="AH936" s="509" t="str">
        <f>IF(OR(AF936="",AF936=EUconst_NA),IF(OR(AG936=EUconst_NA,AG936=""),"",AG936),AF936)</f>
        <v/>
      </c>
      <c r="AI936" s="506" t="str">
        <f>IF(AC936=TRUE,IF(AH936="",EUconst_t,AH936),"")</f>
        <v/>
      </c>
      <c r="AJ936" s="513" t="str">
        <f>IF(J936="",AI936,J936)</f>
        <v/>
      </c>
      <c r="AK936" s="514" t="b">
        <f>IF(K926=EUconst_Fuel,J936&lt;&gt;"",FALSE)</f>
        <v>0</v>
      </c>
      <c r="AL936" s="333"/>
      <c r="AM936" s="505" t="str">
        <f>EUconst_CNTR_ActivityData&amp;EUconst_Value</f>
        <v>ActivityData_Vertė</v>
      </c>
      <c r="AN936" s="496"/>
      <c r="AO936" s="496"/>
      <c r="AP936" s="509" t="b">
        <f>AND(AND(AH936&lt;&gt;"",AJ936&lt;&gt;""),AJ936=AH936)</f>
        <v>0</v>
      </c>
      <c r="AQ936" s="610" t="str">
        <f>IF(L931=TRUE,SUM(F933)-SUM(H933)+SUM(J933)-SUM(L933),"")</f>
        <v/>
      </c>
      <c r="AR936" s="509">
        <f>IF(Y936=EUconst_NA,0,IF(COUNT(K936:L936)=0,0,IF(L936="",K936,L936)))</f>
        <v>0</v>
      </c>
      <c r="AS936" s="1115" t="b">
        <f>AND(AC936=TRUE,OR(L936&lt;&gt;"",AQ936=""))</f>
        <v>0</v>
      </c>
      <c r="AT936" s="1115" t="b">
        <f>AND(AC936=TRUE,NOT(AS936))</f>
        <v>0</v>
      </c>
      <c r="AU936" s="30"/>
      <c r="AV936" s="483" t="s">
        <v>309</v>
      </c>
      <c r="AW936" s="483" t="s">
        <v>314</v>
      </c>
      <c r="AX936" s="515"/>
      <c r="AY936" s="30" t="s">
        <v>536</v>
      </c>
      <c r="AZ936" s="30"/>
      <c r="BA936" s="30"/>
      <c r="BB936" s="495"/>
      <c r="BC936" s="484" t="str">
        <f>EUconst_Fuel</f>
        <v>Degimas</v>
      </c>
      <c r="BD936" s="484" t="str">
        <f>EUconst_ProcessCarbonate</f>
        <v>Proceso metu išsiskiriančios ŠESD</v>
      </c>
      <c r="BE936" s="484" t="str">
        <f>EUconst_MassBalance</f>
        <v>Masės balansas</v>
      </c>
      <c r="BF936" s="30"/>
      <c r="BG936" s="30"/>
      <c r="BH936" s="30"/>
      <c r="BI936" s="30"/>
      <c r="BJ936" s="30"/>
      <c r="BK936" s="30"/>
      <c r="BL936" s="30"/>
      <c r="BM936" s="30"/>
      <c r="BN936" s="30"/>
      <c r="BO936" s="30"/>
      <c r="BP936" s="30"/>
      <c r="BQ936" s="30"/>
      <c r="BR936" s="30"/>
      <c r="BS936" s="30"/>
      <c r="BT936" s="30"/>
      <c r="BU936" s="30"/>
      <c r="BV936" s="30"/>
      <c r="BW936" s="30"/>
      <c r="BX936" s="30"/>
      <c r="BY936" s="30"/>
      <c r="BZ936" s="515" t="b">
        <f>BZ931</f>
        <v>1</v>
      </c>
    </row>
    <row r="937" spans="1:78" s="140" customFormat="1" ht="5.0999999999999996" customHeight="1" thickBot="1" x14ac:dyDescent="0.25">
      <c r="A937" s="777"/>
      <c r="B937" s="1248"/>
      <c r="C937" s="783"/>
      <c r="D937" s="298"/>
      <c r="F937" s="141"/>
      <c r="G937" s="141"/>
      <c r="H937" s="141" t="s">
        <v>233</v>
      </c>
      <c r="I937" s="516"/>
      <c r="J937" s="516"/>
      <c r="K937" s="141"/>
      <c r="L937" s="141"/>
      <c r="M937" s="701"/>
      <c r="O937" s="1305"/>
      <c r="P937" s="33"/>
      <c r="Q937" s="33"/>
      <c r="R937" s="33"/>
      <c r="S937" s="30"/>
      <c r="T937" s="153"/>
      <c r="U937" s="488"/>
      <c r="V937" s="30"/>
      <c r="W937" s="30"/>
      <c r="X937" s="488"/>
      <c r="Y937" s="517"/>
      <c r="Z937" s="30"/>
      <c r="AA937" s="30"/>
      <c r="AB937" s="30"/>
      <c r="AC937" s="30"/>
      <c r="AD937" s="30"/>
      <c r="AE937" s="30"/>
      <c r="AF937" s="30"/>
      <c r="AG937" s="30"/>
      <c r="AH937" s="30"/>
      <c r="AI937" s="30"/>
      <c r="AJ937" s="30"/>
      <c r="AK937" s="30"/>
      <c r="AL937" s="333"/>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484"/>
    </row>
    <row r="938" spans="1:78" s="140" customFormat="1" ht="12.75" customHeight="1" thickBot="1" x14ac:dyDescent="0.25">
      <c r="A938" s="777"/>
      <c r="B938" s="1248"/>
      <c r="C938" s="783" t="s">
        <v>195</v>
      </c>
      <c r="D938" s="503" t="str">
        <f>Translations!$B$634</f>
        <v>(prelim.) ITF:</v>
      </c>
      <c r="E938" s="504"/>
      <c r="F938" s="518"/>
      <c r="G938" s="1603" t="str">
        <f t="shared" ref="G938:G944" si="224">IF(OR(ISBLANK(F938),F938=EUconst_NoTier),"",IF(Z938=0,EUconst_NotApplicable,IF(ISERROR(Z938),"",Z938)))</f>
        <v/>
      </c>
      <c r="H938" s="1609"/>
      <c r="I938" s="1110" t="str">
        <f>IF(J938&lt;&gt;"","",AI938)</f>
        <v/>
      </c>
      <c r="J938" s="1111"/>
      <c r="K938" s="519" t="str">
        <f t="shared" ref="K938:K944" si="225">IF(L938="",AQ938,"")</f>
        <v/>
      </c>
      <c r="L938" s="520"/>
      <c r="M938" s="700" t="str">
        <f>IF(AND(E927&lt;&gt;"",OR(F938="",COUNT(K938:L938)=0),Y938&lt;&gt;EUconst_NA,T927&lt;&gt;TRUE),EUconst_ERR_Incomplete,IF(COUNTIF(AX938:AZ938,TRUE)&gt;0,EUconst_ERR_Inconsistent,""))</f>
        <v/>
      </c>
      <c r="N938" s="486"/>
      <c r="O938" s="1305"/>
      <c r="P938" s="33"/>
      <c r="Q938" s="33"/>
      <c r="R938" s="33"/>
      <c r="S938" s="30"/>
      <c r="T938" s="521" t="str">
        <f>EUconst_CNTR_EF&amp;E927</f>
        <v>EF_</v>
      </c>
      <c r="U938" s="488"/>
      <c r="V938" s="522" t="str">
        <f>V936</f>
        <v/>
      </c>
      <c r="W938" s="30"/>
      <c r="X938" s="488"/>
      <c r="Y938" s="523" t="str">
        <f>IF(OR(T927=TRUE,E927=""),"",IF(F938=EUconst_NA,EUconst_NA,INDEX(EUwideConstants!$N:$N,MATCH(T938,EUwideConstants!$Q:$Q,0))))</f>
        <v/>
      </c>
      <c r="Z938" s="524" t="str">
        <f>IF(ISBLANK(F938),"",IF(F938=EUconst_NA,"",INDEX(EUwideConstants!$H:$M,MATCH(T938,EUwideConstants!$Q:$Q,0),MATCH(F938,CNTR_TierList,0))))</f>
        <v/>
      </c>
      <c r="AA938" s="525" t="str">
        <f>IF(COUNTIF(EUconst_DefaultValues,Z938)&gt;0,MATCH(Z938,EUconst_DefaultValues,0),"")</f>
        <v/>
      </c>
      <c r="AB938" s="30"/>
      <c r="AC938" s="526" t="b">
        <f>AND(AC936,Y938&lt;&gt;EUconst_NA)</f>
        <v>0</v>
      </c>
      <c r="AD938" s="30"/>
      <c r="AE938" s="510" t="str">
        <f>EUconst_CNTR_EF&amp;EUconst_Unit</f>
        <v>EF_Vienetas</v>
      </c>
      <c r="AF938" s="527" t="str">
        <f>IF(AC938=TRUE, IF(COUNTIF(MSPara_SourceStreamCategory,V938)=0,"",INDEX(MSPara_CalcFactorsMatrix,MATCH(V938,MSPara_SourceStreamCategory,0),MATCH(AE938&amp;"_"&amp;2,MSPara_CalcFactors,0))),"")</f>
        <v/>
      </c>
      <c r="AG938" s="528" t="str">
        <f>IF(AC938=TRUE, IF(COUNTIF(MSPara_SourceStreamCategory,V938)=0,"",INDEX(MSPara_CalcFactorsMatrix,MATCH(V938,MSPara_SourceStreamCategory,0),MATCH(AE938&amp;"_"&amp;1,MSPara_CalcFactors,0))),"")</f>
        <v/>
      </c>
      <c r="AH938" s="529" t="str">
        <f>IF(AA938="","",INDEX(AF938:AG938,3-AA938))</f>
        <v/>
      </c>
      <c r="AI938" s="530" t="str">
        <f>IF(AC938=TRUE,IF(OR(AH938="",AH938=EUconst_NA),IF(K926=EUconst_Fuel,EUconst_tCO2pTJ,EUconst_tCO2pt),AH938),"")</f>
        <v/>
      </c>
      <c r="AJ938" s="526" t="str">
        <f>IF(J938="",AI938,J938)</f>
        <v/>
      </c>
      <c r="AK938" s="531" t="b">
        <f>IF(K926=EUconst_Fuel,J938&lt;&gt;"",FALSE)</f>
        <v>0</v>
      </c>
      <c r="AL938" s="333"/>
      <c r="AM938" s="510" t="str">
        <f>EUconst_CNTR_EF&amp;EUconst_Value</f>
        <v>EF_Vertė</v>
      </c>
      <c r="AN938" s="532" t="str">
        <f>IF(AC938=TRUE,IF(COUNTIF(MSPara_SourceStreamCategory,V938)=0,"",INDEX(MSPara_CalcFactorsMatrix,MATCH(V938,MSPara_SourceStreamCategory,0),MATCH(AM938&amp;"_"&amp;2,MSPara_CalcFactors,0))),"")</f>
        <v/>
      </c>
      <c r="AO938" s="533" t="str">
        <f>IF(AC938=TRUE,IF(COUNTIF(MSPara_SourceStreamCategory,V938)=0,"",INDEX(MSPara_CalcFactorsMatrix,MATCH(V938,MSPara_SourceStreamCategory,0),MATCH(AM938&amp;"_"&amp;1,MSPara_CalcFactors,0))),"")</f>
        <v/>
      </c>
      <c r="AP938" s="526" t="b">
        <f>AND(AND(AH938&lt;&gt;"",AJ938&lt;&gt;""),AJ938=AH938)</f>
        <v>0</v>
      </c>
      <c r="AQ938" s="534" t="str">
        <f>IF(AND(AA938&lt;&gt;"",AP938=TRUE),IF(OR(INDEX(AN938:AO938,3-AA938)=EUconst_NA,INDEX(AN938:AO938,3-AA938)=0),"",INDEX(AN938:AO938,3-AA938)),"")</f>
        <v/>
      </c>
      <c r="AR938" s="526">
        <f>IF(AC938=TRUE,IF(COUNT(K938:L938)=0,0,IF(L938="",K938,L938)),0)</f>
        <v>0</v>
      </c>
      <c r="AS938" s="522" t="b">
        <f>AND(AC938=TRUE,OR(AND(F938&lt;&gt;"",NOT(ISNUMBER(AA938))),L938&lt;&gt;"",F938="",AQ938=""))</f>
        <v>0</v>
      </c>
      <c r="AT938" s="522" t="b">
        <f t="shared" ref="AT938:AT944" si="226">AND(AC938=TRUE,NOT(AS938))</f>
        <v>0</v>
      </c>
      <c r="AU938" s="30"/>
      <c r="AV938" s="535" t="b">
        <f t="shared" ref="AV938:AV944" si="227">AND(ISNUMBER(AA938),AQ938="")</f>
        <v>0</v>
      </c>
      <c r="AW938" s="536" t="b">
        <f t="shared" ref="AW938:AW944" si="228">AND(ISNUMBER(AA938),AQ938&lt;&gt;AR938)</f>
        <v>0</v>
      </c>
      <c r="AX938" s="537" t="b">
        <f>OR(AND(AJ936=EUconst_kNm3,AJ938=EUconst_tCO2pt),AND(AJ936=EUconst_t,AJ938=EUconst_tCO2pkNm3))</f>
        <v>0</v>
      </c>
      <c r="AY938" s="522" t="b">
        <f t="shared" ref="AY938:AY944" si="229">AND(L938&lt;&gt;"",Y938=EUconst_NA)</f>
        <v>0</v>
      </c>
      <c r="AZ938" s="30"/>
      <c r="BA938" s="30"/>
      <c r="BB938" s="538" t="s">
        <v>588</v>
      </c>
      <c r="BC938" s="537" t="str">
        <f>IF(K926=BC936,AR936*IF(AJ938=EUconst_tCO2pTJ,(AR939/1000),1)*AR938*AR940*AR944,"")</f>
        <v/>
      </c>
      <c r="BD938" s="515" t="str">
        <f>IF(K926=BD936,AR936*AR938*AR941*AR944,"")</f>
        <v/>
      </c>
      <c r="BE938" s="514" t="str">
        <f>IF(K926=BE936,3.664*AR936*AR942*AR944,"")</f>
        <v/>
      </c>
      <c r="BF938" s="30"/>
      <c r="BG938" s="30"/>
      <c r="BH938" s="30"/>
      <c r="BI938" s="30"/>
      <c r="BJ938" s="30"/>
      <c r="BK938" s="30"/>
      <c r="BL938" s="30"/>
      <c r="BM938" s="30"/>
      <c r="BN938" s="30"/>
      <c r="BO938" s="30"/>
      <c r="BP938" s="30"/>
      <c r="BQ938" s="30"/>
      <c r="BR938" s="30"/>
      <c r="BS938" s="30"/>
      <c r="BT938" s="30"/>
      <c r="BU938" s="30"/>
      <c r="BV938" s="30"/>
      <c r="BW938" s="30"/>
      <c r="BX938" s="30"/>
      <c r="BY938" s="30"/>
      <c r="BZ938" s="522" t="b">
        <f>OR(BZ936,Y938=EUconst_NA)</f>
        <v>1</v>
      </c>
    </row>
    <row r="939" spans="1:78" s="140" customFormat="1" ht="12.75" customHeight="1" thickBot="1" x14ac:dyDescent="0.25">
      <c r="A939" s="777"/>
      <c r="B939" s="1248"/>
      <c r="C939" s="783" t="s">
        <v>196</v>
      </c>
      <c r="D939" s="503" t="str">
        <f>Translations!$B$636</f>
        <v>GŠV:</v>
      </c>
      <c r="E939" s="504"/>
      <c r="F939" s="539"/>
      <c r="G939" s="1603" t="str">
        <f t="shared" si="224"/>
        <v/>
      </c>
      <c r="H939" s="1604"/>
      <c r="I939" s="1112" t="str">
        <f>AJ939</f>
        <v/>
      </c>
      <c r="J939" s="540"/>
      <c r="K939" s="541" t="str">
        <f t="shared" si="225"/>
        <v/>
      </c>
      <c r="L939" s="542"/>
      <c r="M939" s="700" t="str">
        <f>IF(AND(E927&lt;&gt;"",OR(F939="",COUNT(K939:L939)=0),Y939&lt;&gt;EUconst_NA,T927&lt;&gt;TRUE),EUconst_ERR_Incomplete,IF(COUNTIF(AX939:AZ939,TRUE)&gt;0,EUconst_ERR_Inconsistent,""))</f>
        <v/>
      </c>
      <c r="O939" s="1305"/>
      <c r="P939" s="33"/>
      <c r="Q939" s="33"/>
      <c r="R939" s="33"/>
      <c r="S939" s="30"/>
      <c r="T939" s="543" t="str">
        <f>EUconst_CNTR_NCV&amp;E927</f>
        <v>NCV_</v>
      </c>
      <c r="U939" s="488"/>
      <c r="V939" s="544" t="str">
        <f t="shared" ref="V939:V944" si="230">V938</f>
        <v/>
      </c>
      <c r="W939" s="30"/>
      <c r="X939" s="488"/>
      <c r="Y939" s="545" t="str">
        <f>IF(OR(T927=TRUE,E927=""),"",IF(F939=EUconst_NA,EUconst_NA,INDEX(EUwideConstants!$N:$N,MATCH(T939,EUwideConstants!$Q:$Q,0))))</f>
        <v/>
      </c>
      <c r="Z939" s="546" t="str">
        <f>IF(ISBLANK(F939),"",IF(F939=EUconst_NA,"",INDEX(EUwideConstants!$H:$M,MATCH(T939,EUwideConstants!$Q:$Q,0),MATCH(F939,CNTR_TierList,0))))</f>
        <v/>
      </c>
      <c r="AA939" s="547" t="str">
        <f>IF(COUNTIF(EUconst_DefaultValues,Z939)&gt;0,MATCH(Z939,EUconst_DefaultValues,0),"")</f>
        <v/>
      </c>
      <c r="AB939" s="30"/>
      <c r="AC939" s="548" t="b">
        <f>AND(AC936,Y939&lt;&gt;EUconst_NA)</f>
        <v>0</v>
      </c>
      <c r="AD939" s="30"/>
      <c r="AE939" s="549" t="str">
        <f>EUconst_CNTR_NCV&amp;EUconst_Unit</f>
        <v>NCV_Vienetas</v>
      </c>
      <c r="AF939" s="550" t="str">
        <f>IF(AC939=TRUE, IF(COUNTIF(MSPara_SourceStreamCategory,V939)=0,"",INDEX(MSPara_CalcFactorsMatrix,MATCH(V939,MSPara_SourceStreamCategory,0),MATCH(AE939&amp;"_"&amp;2,MSPara_CalcFactors,0))),"")</f>
        <v/>
      </c>
      <c r="AG939" s="551" t="str">
        <f>IF(AC939=TRUE, IF(COUNTIF(MSPara_SourceStreamCategory,V939)=0,"",INDEX(MSPara_CalcFactorsMatrix,MATCH(V939,MSPara_SourceStreamCategory,0),MATCH(AE939&amp;"_"&amp;1,MSPara_CalcFactors,0))),"")</f>
        <v/>
      </c>
      <c r="AH939" s="552" t="str">
        <f>IF(AA939="","",INDEX(AF939:AG939,3-AA939))</f>
        <v/>
      </c>
      <c r="AI939" s="553"/>
      <c r="AJ939" s="548" t="str">
        <f>IF(AC939=TRUE,IF(AJ936="","",IF(AJ936=EUconst_kNm3,EUconst_GJpkNm3,EUconst_GJpt)),"")</f>
        <v/>
      </c>
      <c r="AK939" s="554"/>
      <c r="AL939" s="333"/>
      <c r="AM939" s="549" t="str">
        <f>EUconst_CNTR_NCV&amp;EUconst_Value</f>
        <v>NCV_Vertė</v>
      </c>
      <c r="AN939" s="555" t="str">
        <f>IF(AC939=TRUE,IF(COUNTIF(MSPara_SourceStreamCategory,V939)=0,"",INDEX(MSPara_CalcFactorsMatrix,MATCH(V939,MSPara_SourceStreamCategory,0),MATCH(AM939&amp;"_"&amp;2,MSPara_CalcFactors,0))),"")</f>
        <v/>
      </c>
      <c r="AO939" s="556" t="str">
        <f>IF(AC939=TRUE,IF(COUNTIF(MSPara_SourceStreamCategory,V939)=0,"",INDEX(MSPara_CalcFactorsMatrix,MATCH(V939,MSPara_SourceStreamCategory,0),MATCH(AM939&amp;"_"&amp;1,MSPara_CalcFactors,0))),"")</f>
        <v/>
      </c>
      <c r="AP939" s="548" t="b">
        <f>AND(AND(AH939&lt;&gt;"",AJ939&lt;&gt;""),AJ939=AH939)</f>
        <v>0</v>
      </c>
      <c r="AQ939" s="557" t="str">
        <f>IF(AND(AA939&lt;&gt;"",AP939=TRUE),IF(OR(INDEX(AN939:AO939,3-AA939)=EUconst_NA,INDEX(AN939:AO939,3-AA939)=0),"",INDEX(AN939:AO939,3-AA939)),"")</f>
        <v/>
      </c>
      <c r="AR939" s="548">
        <f>IF(AC939=TRUE,IF(COUNT(K939:L939)=0,0,IF(L939="",K939,L939)),0)</f>
        <v>0</v>
      </c>
      <c r="AS939" s="544" t="b">
        <f>AND(AC939=TRUE,OR(AND(F939&lt;&gt;"",NOT(ISNUMBER(AA939))),L939&lt;&gt;"",F939="",AQ939=""))</f>
        <v>0</v>
      </c>
      <c r="AT939" s="544" t="b">
        <f t="shared" si="226"/>
        <v>0</v>
      </c>
      <c r="AU939" s="30"/>
      <c r="AV939" s="558" t="b">
        <f t="shared" si="227"/>
        <v>0</v>
      </c>
      <c r="AW939" s="559" t="b">
        <f t="shared" si="228"/>
        <v>0</v>
      </c>
      <c r="AX939" s="30"/>
      <c r="AY939" s="544" t="b">
        <f t="shared" si="229"/>
        <v>0</v>
      </c>
      <c r="AZ939" s="30"/>
      <c r="BA939" s="30"/>
      <c r="BB939" s="538" t="s">
        <v>589</v>
      </c>
      <c r="BC939" s="537" t="str">
        <f>IF(K926=BC936,AR936*IF(AJ938=EUconst_tCO2pTJ,(AR939/1000),1)*AR938*AR940*AR943,"")</f>
        <v/>
      </c>
      <c r="BD939" s="515" t="str">
        <f>IF(K926=BD936,AR936*AR938*AR941*AR943,"")</f>
        <v/>
      </c>
      <c r="BE939" s="514" t="str">
        <f>IF(K926=BE936,3.664*AR936*AR942*AR943,"")</f>
        <v/>
      </c>
      <c r="BF939" s="30"/>
      <c r="BG939" s="30"/>
      <c r="BH939" s="30"/>
      <c r="BI939" s="30"/>
      <c r="BJ939" s="30"/>
      <c r="BK939" s="30"/>
      <c r="BL939" s="30"/>
      <c r="BM939" s="30"/>
      <c r="BN939" s="30"/>
      <c r="BO939" s="30"/>
      <c r="BP939" s="30"/>
      <c r="BQ939" s="30"/>
      <c r="BR939" s="30"/>
      <c r="BS939" s="30"/>
      <c r="BT939" s="30"/>
      <c r="BU939" s="30"/>
      <c r="BV939" s="30"/>
      <c r="BW939" s="30"/>
      <c r="BX939" s="30"/>
      <c r="BY939" s="30"/>
      <c r="BZ939" s="544" t="b">
        <f>OR(BZ936,Y939=EUconst_NA)</f>
        <v>1</v>
      </c>
    </row>
    <row r="940" spans="1:78" s="140" customFormat="1" ht="12.75" customHeight="1" thickBot="1" x14ac:dyDescent="0.25">
      <c r="A940" s="777"/>
      <c r="B940" s="1248"/>
      <c r="C940" s="783" t="s">
        <v>197</v>
      </c>
      <c r="D940" s="503" t="str">
        <f>Translations!$B$638</f>
        <v>Oksidacijos koef.:</v>
      </c>
      <c r="E940" s="504"/>
      <c r="F940" s="539"/>
      <c r="G940" s="1603" t="str">
        <f t="shared" si="224"/>
        <v/>
      </c>
      <c r="H940" s="1604"/>
      <c r="I940" s="1113" t="str">
        <f>IF(OR(AC940=FALSE,Y940=EUconst_NA),"","-")</f>
        <v/>
      </c>
      <c r="J940" s="560"/>
      <c r="K940" s="561" t="str">
        <f t="shared" si="225"/>
        <v/>
      </c>
      <c r="L940" s="694"/>
      <c r="M940" s="700" t="str">
        <f>IF(AND(E927&lt;&gt;"",OR(F940="",COUNT(K940:L940)=0),Y940&lt;&gt;EUconst_NA,T927&lt;&gt;TRUE),EUconst_ERR_Incomplete,IF(COUNTIF(AX940:AZ940,TRUE)&gt;0,EUconst_ERR_Inconsistent,""))</f>
        <v/>
      </c>
      <c r="O940" s="1305"/>
      <c r="P940" s="33"/>
      <c r="Q940" s="33"/>
      <c r="R940" s="33"/>
      <c r="S940" s="30"/>
      <c r="T940" s="543" t="str">
        <f>EUconst_CNTR_OxidationFactor&amp;E927</f>
        <v>OxF_</v>
      </c>
      <c r="U940" s="488"/>
      <c r="V940" s="544" t="str">
        <f t="shared" si="230"/>
        <v/>
      </c>
      <c r="W940" s="30"/>
      <c r="X940" s="488"/>
      <c r="Y940" s="545" t="str">
        <f>IF(OR(T927=TRUE,E927=""),"",INDEX(EUwideConstants!$N:$N,MATCH(T940,EUwideConstants!$Q:$Q,0)))</f>
        <v/>
      </c>
      <c r="Z940" s="546" t="str">
        <f>IF(ISBLANK(F940),"",IF(F940=EUconst_NA,"",INDEX(EUwideConstants!$H:$M,MATCH(T940,EUwideConstants!$Q:$Q,0),MATCH(F940,CNTR_TierList,0))))</f>
        <v/>
      </c>
      <c r="AA940" s="525" t="str">
        <f>IF(F940=1,1,"")</f>
        <v/>
      </c>
      <c r="AB940" s="30"/>
      <c r="AC940" s="548" t="b">
        <f>AND(AC936,Y940&lt;&gt;EUconst_NA)</f>
        <v>0</v>
      </c>
      <c r="AD940" s="30"/>
      <c r="AE940" s="563"/>
      <c r="AG940" s="564"/>
      <c r="AH940" s="553"/>
      <c r="AI940" s="565"/>
      <c r="AJ940" s="553"/>
      <c r="AK940" s="566"/>
      <c r="AL940" s="333"/>
      <c r="AM940" s="549" t="str">
        <f>EUconst_CNTR_OxidationFactor&amp;EUconst_Value</f>
        <v>OxF_Vertė</v>
      </c>
      <c r="AN940" s="567"/>
      <c r="AO940" s="525">
        <v>1</v>
      </c>
      <c r="AP940" s="553"/>
      <c r="AQ940" s="568" t="str">
        <f>IF(AA940="","",AO940)</f>
        <v/>
      </c>
      <c r="AR940" s="548">
        <f>IF(AC940=TRUE,IF(COUNT(K940:L940)=0,0,IF(L940="",K940,L940)),1)</f>
        <v>1</v>
      </c>
      <c r="AS940" s="544" t="b">
        <f>AND(AC940=TRUE,OR(ISNUMBER(L940),NOT(ISNUMBER(AA940))))</f>
        <v>0</v>
      </c>
      <c r="AT940" s="544" t="b">
        <f t="shared" si="226"/>
        <v>0</v>
      </c>
      <c r="AU940" s="30"/>
      <c r="AV940" s="558" t="b">
        <f t="shared" si="227"/>
        <v>0</v>
      </c>
      <c r="AW940" s="559" t="b">
        <f t="shared" si="228"/>
        <v>0</v>
      </c>
      <c r="AX940" s="30"/>
      <c r="AY940" s="585" t="b">
        <f t="shared" si="229"/>
        <v>0</v>
      </c>
      <c r="AZ940" s="522" t="b">
        <f>AR940&gt;100%</f>
        <v>0</v>
      </c>
      <c r="BA940" s="30"/>
      <c r="BB940" s="538" t="s">
        <v>287</v>
      </c>
      <c r="BC940" s="537" t="str">
        <f>IF(K926=BC936,AR936*IF(AJ938=EUconst_tCO2pTJ,(AR939/1000),1)*AR938*AR940*(1-AR943),"")</f>
        <v/>
      </c>
      <c r="BD940" s="515" t="str">
        <f>IF(K926=BD936,AR936*AR938*AR941*(1-AR943),"")</f>
        <v/>
      </c>
      <c r="BE940" s="514" t="str">
        <f>IF(K926=BE936,3.664*AR936*AR942*(1-AR943),"")</f>
        <v/>
      </c>
      <c r="BF940" s="30"/>
      <c r="BG940" s="30"/>
      <c r="BH940" s="30"/>
      <c r="BI940" s="30"/>
      <c r="BJ940" s="30"/>
      <c r="BK940" s="30"/>
      <c r="BL940" s="30"/>
      <c r="BM940" s="30"/>
      <c r="BN940" s="30"/>
      <c r="BO940" s="30"/>
      <c r="BP940" s="30"/>
      <c r="BQ940" s="30"/>
      <c r="BR940" s="30"/>
      <c r="BS940" s="30"/>
      <c r="BT940" s="30"/>
      <c r="BU940" s="30"/>
      <c r="BV940" s="30"/>
      <c r="BW940" s="30"/>
      <c r="BX940" s="30"/>
      <c r="BY940" s="30"/>
      <c r="BZ940" s="544" t="b">
        <f>OR(BZ936,Y940=EUconst_NA)</f>
        <v>1</v>
      </c>
    </row>
    <row r="941" spans="1:78" s="140" customFormat="1" ht="12.75" customHeight="1" thickBot="1" x14ac:dyDescent="0.25">
      <c r="A941" s="777"/>
      <c r="B941" s="1248"/>
      <c r="C941" s="783" t="s">
        <v>198</v>
      </c>
      <c r="D941" s="503" t="str">
        <f>Translations!$B$639</f>
        <v>Konversijos koef.:</v>
      </c>
      <c r="E941" s="504"/>
      <c r="F941" s="539"/>
      <c r="G941" s="1603" t="str">
        <f t="shared" si="224"/>
        <v/>
      </c>
      <c r="H941" s="1604"/>
      <c r="I941" s="1113" t="str">
        <f>IF(OR(AC941=FALSE,Y941=EUconst_NA),"","-")</f>
        <v/>
      </c>
      <c r="J941" s="560"/>
      <c r="K941" s="561" t="str">
        <f t="shared" si="225"/>
        <v/>
      </c>
      <c r="L941" s="694"/>
      <c r="M941" s="700" t="str">
        <f>IF(AND(E927&lt;&gt;"",OR(F941="",COUNT(K941:L941)=0),Y941&lt;&gt;EUconst_NA,T927&lt;&gt;TRUE),EUconst_ERR_Incomplete,IF(COUNTIF(AX941:AZ941,TRUE)&gt;0,EUconst_ERR_Inconsistent,""))</f>
        <v/>
      </c>
      <c r="O941" s="1305"/>
      <c r="P941" s="33"/>
      <c r="Q941" s="33"/>
      <c r="R941" s="33"/>
      <c r="S941" s="30"/>
      <c r="T941" s="543" t="str">
        <f>EUconst_CNTR_ConversionFactor&amp;E927</f>
        <v>ConvF_</v>
      </c>
      <c r="U941" s="488"/>
      <c r="V941" s="544" t="str">
        <f t="shared" si="230"/>
        <v/>
      </c>
      <c r="W941" s="30"/>
      <c r="X941" s="488"/>
      <c r="Y941" s="545" t="str">
        <f>IF(OR(T927=TRUE,E927=""),"",INDEX(EUwideConstants!$N:$N,MATCH(T941,EUwideConstants!$Q:$Q,0)))</f>
        <v/>
      </c>
      <c r="Z941" s="546" t="str">
        <f>IF(ISBLANK(F941),"",IF(F941=EUconst_NA,"",INDEX(EUwideConstants!$H:$M,MATCH(T941,EUwideConstants!$Q:$Q,0),MATCH(F941,CNTR_TierList,0))))</f>
        <v/>
      </c>
      <c r="AA941" s="573" t="str">
        <f>IF(F941=1,1,"")</f>
        <v/>
      </c>
      <c r="AB941" s="30"/>
      <c r="AC941" s="548" t="b">
        <f>AND(AC936,Y941&lt;&gt;EUconst_NA)</f>
        <v>0</v>
      </c>
      <c r="AD941" s="30"/>
      <c r="AE941" s="563"/>
      <c r="AG941" s="564"/>
      <c r="AH941" s="574"/>
      <c r="AI941" s="565"/>
      <c r="AJ941" s="574"/>
      <c r="AK941" s="566"/>
      <c r="AL941" s="333"/>
      <c r="AM941" s="549" t="str">
        <f>EUconst_CNTR_ConversionFactor&amp;EUconst_Value</f>
        <v>ConvF_Vertė</v>
      </c>
      <c r="AN941" s="575"/>
      <c r="AO941" s="573">
        <v>1</v>
      </c>
      <c r="AP941" s="574"/>
      <c r="AQ941" s="576" t="str">
        <f>IF(AA941="","",AO941)</f>
        <v/>
      </c>
      <c r="AR941" s="548">
        <f>IF(AC941=TRUE,IF(COUNT(K941:L941)=0,0,IF(L941="",K941,L941)),1)</f>
        <v>1</v>
      </c>
      <c r="AS941" s="544" t="b">
        <f>AND(AC941=TRUE,OR(ISNUMBER(L941),NOT(ISNUMBER(AA941))))</f>
        <v>0</v>
      </c>
      <c r="AT941" s="544" t="b">
        <f t="shared" si="226"/>
        <v>0</v>
      </c>
      <c r="AU941" s="30"/>
      <c r="AV941" s="558" t="b">
        <f t="shared" si="227"/>
        <v>0</v>
      </c>
      <c r="AW941" s="559" t="b">
        <f t="shared" si="228"/>
        <v>0</v>
      </c>
      <c r="AX941" s="30"/>
      <c r="AY941" s="585" t="b">
        <f t="shared" si="229"/>
        <v>0</v>
      </c>
      <c r="AZ941" s="571" t="b">
        <f>AR941&gt;100%</f>
        <v>0</v>
      </c>
      <c r="BA941" s="30"/>
      <c r="BB941" s="569" t="s">
        <v>481</v>
      </c>
      <c r="BC941" s="570">
        <f>AR936*AR939/1000*(1-AR943)</f>
        <v>0</v>
      </c>
      <c r="BD941" s="571">
        <f>BC941</f>
        <v>0</v>
      </c>
      <c r="BE941" s="572">
        <f>BC941</f>
        <v>0</v>
      </c>
      <c r="BF941" s="30"/>
      <c r="BG941" s="30"/>
      <c r="BH941" s="30"/>
      <c r="BI941" s="30"/>
      <c r="BJ941" s="30"/>
      <c r="BK941" s="30"/>
      <c r="BL941" s="30"/>
      <c r="BM941" s="30"/>
      <c r="BN941" s="30"/>
      <c r="BO941" s="30"/>
      <c r="BP941" s="30"/>
      <c r="BQ941" s="30"/>
      <c r="BR941" s="30"/>
      <c r="BS941" s="30"/>
      <c r="BT941" s="30"/>
      <c r="BU941" s="30"/>
      <c r="BV941" s="30"/>
      <c r="BW941" s="30"/>
      <c r="BX941" s="30"/>
      <c r="BY941" s="30"/>
      <c r="BZ941" s="544" t="b">
        <f>OR(BZ936,Y941=EUconst_NA)</f>
        <v>1</v>
      </c>
    </row>
    <row r="942" spans="1:78" s="140" customFormat="1" ht="12.75" customHeight="1" thickBot="1" x14ac:dyDescent="0.25">
      <c r="A942" s="777"/>
      <c r="B942" s="1248"/>
      <c r="C942" s="783" t="s">
        <v>324</v>
      </c>
      <c r="D942" s="503" t="str">
        <f>Translations!$B$640</f>
        <v>Anglies kiekis (C):</v>
      </c>
      <c r="E942" s="504"/>
      <c r="F942" s="539"/>
      <c r="G942" s="1603" t="str">
        <f t="shared" si="224"/>
        <v/>
      </c>
      <c r="H942" s="1604"/>
      <c r="I942" s="1113" t="str">
        <f>AJ942</f>
        <v/>
      </c>
      <c r="J942" s="577"/>
      <c r="K942" s="578" t="str">
        <f t="shared" si="225"/>
        <v/>
      </c>
      <c r="L942" s="579"/>
      <c r="M942" s="700" t="str">
        <f>IF(AND(E927&lt;&gt;"",OR(F942="",COUNT(K942:L942)=0),Y942&lt;&gt;EUconst_NA,T927&lt;&gt;TRUE),EUconst_ERR_Incomplete,IF(COUNTIF(AX942:AZ942,TRUE)&gt;0,EUconst_ERR_Inconsistent,""))</f>
        <v/>
      </c>
      <c r="O942" s="1305"/>
      <c r="P942" s="33"/>
      <c r="Q942" s="33"/>
      <c r="R942" s="33"/>
      <c r="S942" s="30"/>
      <c r="T942" s="543" t="str">
        <f>EUconst_CNTR_CarbonContent&amp;E927</f>
        <v>CarbC_</v>
      </c>
      <c r="U942" s="488"/>
      <c r="V942" s="544" t="str">
        <f t="shared" si="230"/>
        <v/>
      </c>
      <c r="W942" s="30"/>
      <c r="X942" s="488"/>
      <c r="Y942" s="545" t="str">
        <f>IF(OR(T927=TRUE,E927=""),"",INDEX(EUwideConstants!$N:$N,MATCH(T942,EUwideConstants!$Q:$Q,0)))</f>
        <v/>
      </c>
      <c r="Z942" s="546" t="str">
        <f>IF(ISBLANK(F942),"",IF(F942=EUconst_NA,"",INDEX(EUwideConstants!$H:$M,MATCH(T942,EUwideConstants!$Q:$Q,0),MATCH(F942,CNTR_TierList,0))))</f>
        <v/>
      </c>
      <c r="AA942" s="580" t="str">
        <f>IF(COUNTIF(EUconst_DefaultValues,Z942)&gt;0,MATCH(Z942,EUconst_DefaultValues,0),"")</f>
        <v/>
      </c>
      <c r="AB942" s="30"/>
      <c r="AC942" s="548" t="b">
        <f>AND(AC936,Y942&lt;&gt;EUconst_NA)</f>
        <v>0</v>
      </c>
      <c r="AD942" s="30"/>
      <c r="AE942" s="549" t="str">
        <f>EUconst_CNTR_CarbonContent&amp;EUconst_Unit</f>
        <v>CarbC_Vienetas</v>
      </c>
      <c r="AF942" s="550" t="str">
        <f>IF(AC942=TRUE, IF(COUNTIF(MSPara_SourceStreamCategory,V942)=0,"",INDEX(MSPara_CalcFactorsMatrix,MATCH(V942,MSPara_SourceStreamCategory,0),MATCH(AE942&amp;"_"&amp;2,MSPara_CalcFactors,0))),"")</f>
        <v/>
      </c>
      <c r="AG942" s="551" t="str">
        <f>IF(AC942=TRUE, IF(COUNTIF(MSPara_SourceStreamCategory,V942)=0,"",INDEX(MSPara_CalcFactorsMatrix,MATCH(V942,MSPara_SourceStreamCategory,0),MATCH(AE942&amp;"_"&amp;1,MSPara_CalcFactors,0))),"")</f>
        <v/>
      </c>
      <c r="AH942" s="581" t="str">
        <f>IF(AA942="","",INDEX(AF942:AG942,3-AA942))</f>
        <v/>
      </c>
      <c r="AI942" s="565"/>
      <c r="AJ942" s="582" t="str">
        <f>IF(AC942=TRUE,IF(AJ936="","",IF(AJ936=EUconst_kNm3,EUconst_tCpkNm3,EUconst_tCpt)),"")</f>
        <v/>
      </c>
      <c r="AK942" s="566"/>
      <c r="AL942" s="333"/>
      <c r="AM942" s="549" t="str">
        <f>EUconst_CNTR_CarbonContent&amp;EUconst_Value</f>
        <v>CarbC_Vertė</v>
      </c>
      <c r="AN942" s="555" t="str">
        <f>IF(AC942=TRUE,IF(COUNTIF(MSPara_SourceStreamCategory,V942)=0,"",INDEX(MSPara_CalcFactorsMatrix,MATCH(V942,MSPara_SourceStreamCategory,0),MATCH(AM942&amp;"_"&amp;2,MSPara_CalcFactors,0))),"")</f>
        <v/>
      </c>
      <c r="AO942" s="583" t="str">
        <f>IF(AC942=TRUE,IF(COUNTIF(MSPara_SourceStreamCategory,V942)=0,"",INDEX(MSPara_CalcFactorsMatrix,MATCH(V942,MSPara_SourceStreamCategory,0),MATCH(AM942&amp;"_"&amp;1,MSPara_CalcFactors,0))),"")</f>
        <v/>
      </c>
      <c r="AP942" s="548" t="b">
        <f>AND(AND(AH942&lt;&gt;"",AJ942&lt;&gt;""),AJ942=AH942)</f>
        <v>0</v>
      </c>
      <c r="AQ942" s="584" t="str">
        <f>IF(AND(AA942&lt;&gt;"",AP942=TRUE),IF(OR(INDEX(AN942:AO942,3-AA942)=EUconst_NA,INDEX(AN942:AO942,3-AA942)=0),"",INDEX(AN942:AO942,3-AA942)),"")</f>
        <v/>
      </c>
      <c r="AR942" s="548">
        <f>IF(AC942=TRUE,IF(COUNT(K942:L942)=0,0,IF(L942="",K942,L942)),0)</f>
        <v>0</v>
      </c>
      <c r="AS942" s="544" t="b">
        <f>AND(AC942=TRUE,OR(AND(F942&lt;&gt;"",NOT(ISNUMBER(AA942))),L942&lt;&gt;"",F942="",AQ942=""))</f>
        <v>0</v>
      </c>
      <c r="AT942" s="544" t="b">
        <f t="shared" si="226"/>
        <v>0</v>
      </c>
      <c r="AU942" s="30"/>
      <c r="AV942" s="558" t="b">
        <f t="shared" si="227"/>
        <v>0</v>
      </c>
      <c r="AW942" s="559" t="b">
        <f t="shared" si="228"/>
        <v>0</v>
      </c>
      <c r="AX942" s="537" t="b">
        <f>OR(AND(AJ936=EUconst_kNm3,AJ942=EUconst_tCpt),AND(AJ936=EUconst_t,AJ942=EUconst_tCpkNm3))</f>
        <v>0</v>
      </c>
      <c r="AY942" s="544" t="b">
        <f t="shared" si="229"/>
        <v>0</v>
      </c>
      <c r="AZ942" s="30"/>
      <c r="BA942" s="30"/>
      <c r="BB942" s="569" t="s">
        <v>482</v>
      </c>
      <c r="BC942" s="570">
        <f>AR936*AR939/1000*AR943</f>
        <v>0</v>
      </c>
      <c r="BD942" s="571">
        <f>BC942</f>
        <v>0</v>
      </c>
      <c r="BE942" s="572">
        <f>BC942</f>
        <v>0</v>
      </c>
      <c r="BF942" s="30"/>
      <c r="BG942" s="30"/>
      <c r="BH942" s="30"/>
      <c r="BI942" s="30"/>
      <c r="BJ942" s="30"/>
      <c r="BK942" s="30"/>
      <c r="BL942" s="30"/>
      <c r="BM942" s="30"/>
      <c r="BN942" s="30"/>
      <c r="BO942" s="30"/>
      <c r="BP942" s="30"/>
      <c r="BQ942" s="30"/>
      <c r="BR942" s="30"/>
      <c r="BS942" s="30"/>
      <c r="BT942" s="30"/>
      <c r="BU942" s="30"/>
      <c r="BV942" s="30"/>
      <c r="BW942" s="30"/>
      <c r="BX942" s="30"/>
      <c r="BY942" s="30"/>
      <c r="BZ942" s="544" t="b">
        <f>OR(BZ936,Y942=EUconst_NA)</f>
        <v>1</v>
      </c>
    </row>
    <row r="943" spans="1:78" s="140" customFormat="1" ht="12.75" customHeight="1" x14ac:dyDescent="0.2">
      <c r="A943" s="777"/>
      <c r="B943" s="1248"/>
      <c r="C943" s="753" t="s">
        <v>325</v>
      </c>
      <c r="D943" s="503" t="str">
        <f>Translations!$B$641</f>
        <v>Biomasės dalis (BioC):</v>
      </c>
      <c r="E943" s="504"/>
      <c r="F943" s="539"/>
      <c r="G943" s="1603" t="str">
        <f t="shared" si="224"/>
        <v/>
      </c>
      <c r="H943" s="1604"/>
      <c r="I943" s="1113" t="str">
        <f>IF(OR(AC943=FALSE,Y943=EUconst_NA),"","-")</f>
        <v/>
      </c>
      <c r="J943" s="560"/>
      <c r="K943" s="561" t="str">
        <f t="shared" si="225"/>
        <v/>
      </c>
      <c r="L943" s="694"/>
      <c r="M943" s="700" t="str">
        <f>IF(AND(E927&lt;&gt;"",OR(F943="",COUNT(K943:L943)=0),Y943&lt;&gt;EUconst_NA,T927&lt;&gt;TRUE),EUconst_ERR_Incomplete,IF(COUNTIF(AX943:AZ943,TRUE)&gt;0,EUconst_ERR_Inconsistent,""))</f>
        <v/>
      </c>
      <c r="O943" s="1305"/>
      <c r="P943" s="635"/>
      <c r="Q943" s="635"/>
      <c r="R943" s="635"/>
      <c r="S943" s="30"/>
      <c r="T943" s="543" t="str">
        <f>EUconst_CNTR_BiomassContent&amp;E927</f>
        <v>BioC_</v>
      </c>
      <c r="U943" s="488"/>
      <c r="V943" s="585" t="str">
        <f t="shared" si="230"/>
        <v/>
      </c>
      <c r="W943" s="522" t="str">
        <f>IF(COUNTIF(MSPara_SourceStreamCategory,V943)=0,"",INDEX(MSPara_IsFossil,MATCH(V943,MSPara_SourceStreamCategory,0)))</f>
        <v/>
      </c>
      <c r="X943" s="488"/>
      <c r="Y943" s="545" t="str">
        <f>IF(OR(T927=TRUE,E927=""),"",IF(OR(W943=TRUE,F943=EUconst_NA),EUconst_NA,INDEX(EUwideConstants!$N:$N,MATCH(T943,EUwideConstants!$Q:$Q,0))))</f>
        <v/>
      </c>
      <c r="Z943" s="546" t="str">
        <f>IF(ISBLANK(F943),"",IF(F943=EUconst_NA,"",INDEX(EUwideConstants!$H:$M,MATCH(T943,EUwideConstants!$Q:$Q,0),MATCH(F943,CNTR_TierList,0))))</f>
        <v/>
      </c>
      <c r="AA943" s="586" t="str">
        <f>IF(F943=1,1,"")</f>
        <v/>
      </c>
      <c r="AB943" s="30"/>
      <c r="AC943" s="548" t="b">
        <f>AND(AC936,Y943&lt;&gt;EUconst_NA)</f>
        <v>0</v>
      </c>
      <c r="AD943" s="30"/>
      <c r="AE943" s="563"/>
      <c r="AG943" s="564"/>
      <c r="AH943" s="553"/>
      <c r="AI943" s="565"/>
      <c r="AJ943" s="553"/>
      <c r="AK943" s="566"/>
      <c r="AL943" s="333"/>
      <c r="AM943" s="549" t="str">
        <f>EUconst_CNTR_BiomassContent&amp;EUconst_Value</f>
        <v>BioC_Vertė</v>
      </c>
      <c r="AO943" s="587" t="str">
        <f>IF(AC943=TRUE,IF(COUNTIF(MSPara_SourceStreamCategory,V943)=0,"",INDEX(MSPara_CalcFactorsMatrix,MATCH(V943,MSPara_SourceStreamCategory,0),MATCH(AM943&amp;"_"&amp;2,MSPara_CalcFactors,0))),"")</f>
        <v/>
      </c>
      <c r="AP943" s="553"/>
      <c r="AQ943" s="568" t="str">
        <f>IF(OR(AA943="",AO943=EUconst_NA),"",AO943)</f>
        <v/>
      </c>
      <c r="AR943" s="548">
        <f>IF(AC943=TRUE,IF(COUNT(K943:L943)=0,0,IF(L943="",K943,L943)),0)</f>
        <v>0</v>
      </c>
      <c r="AS943" s="544" t="b">
        <f>AND(AC943=TRUE,OR(AND(F943&lt;&gt;"",NOT(ISNUMBER(AA943))),L943&lt;&gt;"",F943="",AQ943=""))</f>
        <v>0</v>
      </c>
      <c r="AT943" s="544" t="b">
        <f t="shared" si="226"/>
        <v>0</v>
      </c>
      <c r="AU943" s="30"/>
      <c r="AV943" s="558" t="b">
        <f t="shared" si="227"/>
        <v>0</v>
      </c>
      <c r="AW943" s="559" t="b">
        <f t="shared" si="228"/>
        <v>0</v>
      </c>
      <c r="AX943" s="30"/>
      <c r="AY943" s="585" t="b">
        <f t="shared" si="229"/>
        <v>0</v>
      </c>
      <c r="AZ943" s="522" t="b">
        <f>OR(AR943&gt;100%,(AR943+AR944)&gt;100%)</f>
        <v>0</v>
      </c>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544" t="b">
        <f>OR(BZ936,Y943=EUconst_NA)</f>
        <v>1</v>
      </c>
    </row>
    <row r="944" spans="1:78" s="140" customFormat="1" ht="12.75" customHeight="1" thickBot="1" x14ac:dyDescent="0.25">
      <c r="A944" s="777"/>
      <c r="B944" s="1248"/>
      <c r="C944" s="753" t="s">
        <v>448</v>
      </c>
      <c r="D944" s="503" t="str">
        <f>Translations!$B$647</f>
        <v>Netvarios BioC dalis:</v>
      </c>
      <c r="E944" s="504"/>
      <c r="F944" s="588"/>
      <c r="G944" s="1603" t="str">
        <f t="shared" si="224"/>
        <v/>
      </c>
      <c r="H944" s="1604"/>
      <c r="I944" s="1114" t="str">
        <f>IF(OR(AC944=FALSE,Y944=EUconst_NA),"","-")</f>
        <v/>
      </c>
      <c r="J944" s="560"/>
      <c r="K944" s="589" t="str">
        <f t="shared" si="225"/>
        <v/>
      </c>
      <c r="L944" s="1100"/>
      <c r="M944" s="700" t="str">
        <f>IF(AND(E927&lt;&gt;"",OR(F944="",COUNT(K944:L944)=0),Y944&lt;&gt;EUconst_NA,T927&lt;&gt;TRUE),EUconst_ERR_Incomplete,IF(COUNTIF(AX944:AZ944,TRUE)&gt;0,EUconst_ERR_Inconsistent,""))</f>
        <v/>
      </c>
      <c r="O944" s="1305"/>
      <c r="P944" s="635"/>
      <c r="Q944" s="635"/>
      <c r="R944" s="635"/>
      <c r="S944" s="30"/>
      <c r="T944" s="590" t="str">
        <f>EUconst_CNTR_BiomassContent&amp;E927</f>
        <v>BioC_</v>
      </c>
      <c r="U944" s="488"/>
      <c r="V944" s="570" t="str">
        <f t="shared" si="230"/>
        <v/>
      </c>
      <c r="W944" s="571" t="str">
        <f>IF(COUNTIF(MSPara_SourceStreamCategory,V944)=0,"",INDEX(MSPara_IsFossil,MATCH(V944,MSPara_SourceStreamCategory,0)))</f>
        <v/>
      </c>
      <c r="X944" s="488"/>
      <c r="Y944" s="591" t="str">
        <f>IF(OR(T927=TRUE,E927=""),"",IF(OR(W944=TRUE,F944=EUconst_NA),EUconst_NA,INDEX(EUwideConstants!$N:$N,MATCH(T944,EUwideConstants!$Q:$Q,0))))</f>
        <v/>
      </c>
      <c r="Z944" s="592" t="str">
        <f>IF(ISBLANK(F944),"",IF(F944=EUconst_NA,"",INDEX(EUwideConstants!$H:$M,MATCH(T944,EUwideConstants!$Q:$Q,0),MATCH(F944,CNTR_TierList,0))))</f>
        <v/>
      </c>
      <c r="AA944" s="593" t="str">
        <f>IF(F944=1,1,"")</f>
        <v/>
      </c>
      <c r="AB944" s="30"/>
      <c r="AC944" s="594" t="b">
        <f>AND(AC936,Y944&lt;&gt;EUconst_NA)</f>
        <v>0</v>
      </c>
      <c r="AD944" s="30"/>
      <c r="AE944" s="595"/>
      <c r="AF944" s="596"/>
      <c r="AG944" s="597"/>
      <c r="AH944" s="598"/>
      <c r="AI944" s="598"/>
      <c r="AJ944" s="598"/>
      <c r="AK944" s="599"/>
      <c r="AL944" s="333"/>
      <c r="AM944" s="600" t="str">
        <f>EUconst_CNTR_BiomassContent&amp;EUconst_Value</f>
        <v>BioC_Vertė</v>
      </c>
      <c r="AN944" s="596"/>
      <c r="AO944" s="601" t="str">
        <f>IF(AC944=TRUE,IF(COUNTIF(MSPara_SourceStreamCategory,V944)=0,"",INDEX(MSPara_CalcFactorsMatrix,MATCH(V944,MSPara_SourceStreamCategory,0),MATCH(AM944&amp;"_"&amp;2,MSPara_CalcFactors,0))),"")</f>
        <v/>
      </c>
      <c r="AP944" s="598"/>
      <c r="AQ944" s="602" t="str">
        <f>IF(OR(AA944="",AO944=EUconst_NA),"",AO944)</f>
        <v/>
      </c>
      <c r="AR944" s="594">
        <f>IF(AC944=TRUE,IF(COUNT(K944:L944)=0,0,IF(L944="",K944,L944)),0)</f>
        <v>0</v>
      </c>
      <c r="AS944" s="603" t="b">
        <f>AND(AC944=TRUE,OR(AND(F944&lt;&gt;"",NOT(ISNUMBER(AA944))),L944&lt;&gt;"",F944="",AQ944=""))</f>
        <v>0</v>
      </c>
      <c r="AT944" s="603" t="b">
        <f t="shared" si="226"/>
        <v>0</v>
      </c>
      <c r="AU944" s="30"/>
      <c r="AV944" s="604" t="b">
        <f t="shared" si="227"/>
        <v>0</v>
      </c>
      <c r="AW944" s="605" t="b">
        <f t="shared" si="228"/>
        <v>0</v>
      </c>
      <c r="AX944" s="30"/>
      <c r="AY944" s="570" t="b">
        <f t="shared" si="229"/>
        <v>0</v>
      </c>
      <c r="AZ944" s="571" t="b">
        <f>OR(AR943&gt;100%,(AR943+AR944)&gt;100%)</f>
        <v>0</v>
      </c>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571" t="b">
        <f>OR(BZ936,Y944=EUconst_NA)</f>
        <v>1</v>
      </c>
    </row>
    <row r="945" spans="1:78" s="140" customFormat="1" ht="5.0999999999999996" customHeight="1" x14ac:dyDescent="0.2">
      <c r="A945" s="777"/>
      <c r="B945" s="1248"/>
      <c r="C945" s="164"/>
      <c r="D945" s="178"/>
      <c r="O945" s="1305"/>
      <c r="P945" s="33"/>
      <c r="Q945" s="33"/>
      <c r="R945" s="33"/>
      <c r="S945" s="172"/>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row>
    <row r="946" spans="1:78" s="140" customFormat="1" ht="12.75" customHeight="1" x14ac:dyDescent="0.2">
      <c r="A946" s="777"/>
      <c r="B946" s="1248"/>
      <c r="C946" s="164"/>
      <c r="D946" s="1629" t="str">
        <f>Translations!$B$674</f>
        <v>Pakopos galioja nuo:</v>
      </c>
      <c r="E946" s="1629"/>
      <c r="F946" s="1630"/>
      <c r="G946" s="1014"/>
      <c r="H946" s="606" t="str">
        <f>Translations!$B$675</f>
        <v>iki:</v>
      </c>
      <c r="I946" s="1014"/>
      <c r="J946" s="1620" t="str">
        <f>Translations!$B$676</f>
        <v>Atliekų katalogo numeris (jeigu taikytina):</v>
      </c>
      <c r="K946" s="1621"/>
      <c r="L946" s="1621"/>
      <c r="M946" s="1622"/>
      <c r="N946" s="1232"/>
      <c r="O946" s="1305"/>
      <c r="P946" s="33"/>
      <c r="Q946" s="33"/>
      <c r="R946" s="33"/>
      <c r="S946" s="1233"/>
      <c r="T946" s="483"/>
      <c r="U946" s="483"/>
      <c r="V946" s="48" t="b">
        <f>IF(V936="",FALSE,INDEX(CNTR_IsWaste,MATCH(V936,MSParameters!$A$218:$A$376,0)))</f>
        <v>0</v>
      </c>
      <c r="W946" s="1233" t="s">
        <v>1689</v>
      </c>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2" t="b">
        <f>BZ936</f>
        <v>1</v>
      </c>
    </row>
    <row r="947" spans="1:78" s="140" customFormat="1" ht="5.0999999999999996" customHeight="1" x14ac:dyDescent="0.2">
      <c r="A947" s="777"/>
      <c r="B947" s="1248"/>
      <c r="C947" s="164"/>
      <c r="D947" s="606"/>
      <c r="E947" s="486"/>
      <c r="F947" s="486"/>
      <c r="G947" s="486"/>
      <c r="H947" s="486"/>
      <c r="I947" s="486"/>
      <c r="J947" s="486"/>
      <c r="K947" s="486"/>
      <c r="L947" s="486"/>
      <c r="M947" s="486"/>
      <c r="N947" s="486"/>
      <c r="O947" s="1305"/>
      <c r="P947" s="33"/>
      <c r="Q947" s="33"/>
      <c r="R947" s="33"/>
      <c r="S947" s="172"/>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row>
    <row r="948" spans="1:78" s="140" customFormat="1" ht="12.75" customHeight="1" x14ac:dyDescent="0.2">
      <c r="A948" s="777"/>
      <c r="B948" s="1248"/>
      <c r="C948" s="164"/>
      <c r="D948" s="486"/>
      <c r="E948" s="486"/>
      <c r="F948" s="486"/>
      <c r="G948" s="486"/>
      <c r="H948" s="486"/>
      <c r="I948" s="486"/>
      <c r="J948" s="486"/>
      <c r="K948" s="486"/>
      <c r="L948" s="486"/>
      <c r="M948" s="606" t="str">
        <f>Translations!$B$677</f>
        <v>Stebėsenos plane šiam sukėlikliui suteiktas identifikatorius:</v>
      </c>
      <c r="N948" s="705"/>
      <c r="O948" s="1305"/>
      <c r="P948" s="33"/>
      <c r="Q948" s="33"/>
      <c r="R948" s="33"/>
      <c r="S948" s="172"/>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2" t="b">
        <f>BZ946</f>
        <v>1</v>
      </c>
    </row>
    <row r="949" spans="1:78" s="140" customFormat="1" ht="5.0999999999999996" customHeight="1" x14ac:dyDescent="0.2">
      <c r="A949" s="784"/>
      <c r="B949" s="1316"/>
      <c r="D949" s="178"/>
      <c r="O949" s="1317"/>
      <c r="P949" s="488"/>
      <c r="Q949" s="488"/>
      <c r="R949" s="488"/>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row>
    <row r="950" spans="1:78" s="140" customFormat="1" x14ac:dyDescent="0.2">
      <c r="A950" s="784"/>
      <c r="B950" s="1316"/>
      <c r="D950" s="1618" t="str">
        <f>Translations!$B$160</f>
        <v>Pastabos:</v>
      </c>
      <c r="E950" s="1619"/>
      <c r="F950" s="1605"/>
      <c r="G950" s="1606"/>
      <c r="H950" s="1606"/>
      <c r="I950" s="1606"/>
      <c r="J950" s="1606"/>
      <c r="K950" s="1606"/>
      <c r="L950" s="1606"/>
      <c r="M950" s="1606"/>
      <c r="N950" s="1607"/>
      <c r="O950" s="1317"/>
      <c r="P950" s="488"/>
      <c r="Q950" s="488"/>
      <c r="R950" s="488"/>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2" t="b">
        <f>BZ946</f>
        <v>1</v>
      </c>
    </row>
    <row r="951" spans="1:78" s="28" customFormat="1" ht="12.75" customHeight="1" thickBot="1" x14ac:dyDescent="0.25">
      <c r="A951" s="777"/>
      <c r="B951" s="1312"/>
      <c r="C951" s="490"/>
      <c r="D951" s="491"/>
      <c r="E951" s="492"/>
      <c r="F951" s="490"/>
      <c r="G951" s="493"/>
      <c r="H951" s="493"/>
      <c r="I951" s="493"/>
      <c r="J951" s="493"/>
      <c r="K951" s="493"/>
      <c r="L951" s="493"/>
      <c r="M951" s="493"/>
      <c r="N951" s="493"/>
      <c r="O951" s="1313"/>
      <c r="P951" s="485"/>
      <c r="Q951" s="485"/>
      <c r="R951" s="485"/>
      <c r="S951" s="58"/>
      <c r="T951" s="58"/>
      <c r="U951" s="489"/>
      <c r="V951" s="58"/>
      <c r="W951" s="58"/>
      <c r="X951" s="489"/>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30"/>
      <c r="BJ951" s="30"/>
      <c r="BK951" s="30"/>
      <c r="BL951" s="58"/>
      <c r="BM951" s="58"/>
      <c r="BN951" s="58"/>
      <c r="BO951" s="58"/>
      <c r="BP951" s="58"/>
      <c r="BQ951" s="58"/>
      <c r="BR951" s="58"/>
      <c r="BS951" s="58"/>
      <c r="BT951" s="58"/>
      <c r="BU951" s="58"/>
      <c r="BV951" s="58"/>
      <c r="BW951" s="58"/>
      <c r="BX951" s="58"/>
      <c r="BY951" s="58"/>
      <c r="BZ951" s="58"/>
    </row>
    <row r="952" spans="1:78" s="28" customFormat="1" ht="12.75" customHeight="1" thickBot="1" x14ac:dyDescent="0.25">
      <c r="A952" s="782"/>
      <c r="B952" s="1312"/>
      <c r="C952" s="486"/>
      <c r="D952" s="178"/>
      <c r="E952" s="487"/>
      <c r="F952" s="486"/>
      <c r="G952" s="478"/>
      <c r="H952" s="478"/>
      <c r="I952" s="478"/>
      <c r="J952" s="478"/>
      <c r="K952" s="486"/>
      <c r="L952" s="478"/>
      <c r="M952" s="478"/>
      <c r="N952" s="478"/>
      <c r="O952" s="1313"/>
      <c r="P952" s="485"/>
      <c r="Q952" s="485"/>
      <c r="R952" s="485"/>
      <c r="S952" s="23"/>
      <c r="T952" s="27" t="str">
        <f>IF(ISBLANK(E953),"",MATCH(E953,CNTR_SourceStreamNames,0))</f>
        <v/>
      </c>
      <c r="U952" s="609" t="str">
        <f>IF(ISBLANK(E953),"",INDEX(B_InstallationDescription!$D$71:$D$145,MATCH(E953,CNTR_SourceStreamNames,0)))</f>
        <v/>
      </c>
      <c r="V952" s="76"/>
      <c r="W952" s="56"/>
      <c r="X952" s="56"/>
      <c r="Y952" s="56"/>
      <c r="Z952" s="58"/>
      <c r="AA952" s="58"/>
      <c r="AB952" s="58"/>
      <c r="AC952" s="58"/>
      <c r="AD952" s="58"/>
      <c r="AE952" s="58"/>
      <c r="AF952" s="58"/>
      <c r="AG952" s="58"/>
      <c r="AH952" s="58"/>
      <c r="AI952" s="58"/>
      <c r="AJ952" s="58"/>
      <c r="AK952" s="482"/>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6"/>
      <c r="BI952" s="56"/>
      <c r="BJ952" s="56"/>
      <c r="BK952" s="56"/>
      <c r="BL952" s="56"/>
      <c r="BM952" s="56"/>
      <c r="BN952" s="56"/>
      <c r="BO952" s="56"/>
      <c r="BP952" s="56"/>
      <c r="BQ952" s="56"/>
      <c r="BR952" s="56"/>
      <c r="BS952" s="56"/>
      <c r="BT952" s="56"/>
      <c r="BU952" s="56"/>
      <c r="BV952" s="56"/>
      <c r="BW952" s="56"/>
      <c r="BX952" s="56"/>
      <c r="BY952" s="56"/>
      <c r="BZ952" s="484" t="s">
        <v>259</v>
      </c>
    </row>
    <row r="953" spans="1:78" s="140" customFormat="1" ht="15" customHeight="1" thickBot="1" x14ac:dyDescent="0.25">
      <c r="A953" s="1302" t="str">
        <f>IF(E953="","","PRINT")</f>
        <v/>
      </c>
      <c r="B953" s="1248"/>
      <c r="C953" s="608">
        <f>C926+1</f>
        <v>34</v>
      </c>
      <c r="D953" s="164"/>
      <c r="E953" s="1610"/>
      <c r="F953" s="1611"/>
      <c r="G953" s="1611"/>
      <c r="H953" s="1611"/>
      <c r="I953" s="1611"/>
      <c r="J953" s="1612"/>
      <c r="K953" s="1623" t="str">
        <f>IF(E954="","",INDEX(EUwideConstants!$F$353:$F$394,MATCH(E954,EUConst_TierActivityListNames,0)))</f>
        <v/>
      </c>
      <c r="L953" s="1624"/>
      <c r="M953" s="494" t="str">
        <f>Translations!$B$665</f>
        <v>CO2, iškastinio kuro kilmės:</v>
      </c>
      <c r="N953" s="1012" t="str">
        <f>IF(OR(K953="",T954=TRUE),"",INDEX(BC967:BE967,MATCH(K953,BC963:BE963,0)))</f>
        <v/>
      </c>
      <c r="O953" s="1314" t="s">
        <v>257</v>
      </c>
      <c r="P953" s="1303" t="str">
        <f>IF(AND(E953&lt;&gt;"",COUNTIF(P954:$P$2089,"PRINT")=0),"PRINT","")</f>
        <v/>
      </c>
      <c r="Q953" s="343" t="str">
        <f>EUconst_SumCO2 &amp; "_" &amp; K953</f>
        <v>SUM_CO2_</v>
      </c>
      <c r="R953" s="485"/>
      <c r="S953" s="23"/>
      <c r="T953" s="500" t="s">
        <v>387</v>
      </c>
      <c r="U953" s="23"/>
      <c r="V953" s="76"/>
      <c r="W953" s="56"/>
      <c r="X953" s="58"/>
      <c r="Y953" s="58"/>
      <c r="Z953" s="58"/>
      <c r="AA953" s="58"/>
      <c r="AB953" s="58"/>
      <c r="AC953" s="58"/>
      <c r="AD953" s="58"/>
      <c r="AE953" s="58"/>
      <c r="AF953" s="58"/>
      <c r="AG953" s="58"/>
      <c r="AH953" s="58"/>
      <c r="AI953" s="333"/>
      <c r="AJ953" s="333"/>
      <c r="AK953" s="333"/>
      <c r="AL953" s="333"/>
      <c r="AM953" s="333"/>
      <c r="AN953" s="333"/>
      <c r="AO953" s="333"/>
      <c r="AP953" s="333"/>
      <c r="AQ953" s="333"/>
      <c r="AR953" s="333"/>
      <c r="AS953" s="333"/>
      <c r="AT953" s="333"/>
      <c r="AU953" s="333"/>
      <c r="AV953" s="333"/>
      <c r="AW953" s="333"/>
      <c r="AX953" s="333"/>
      <c r="AY953" s="333"/>
      <c r="AZ953" s="333"/>
      <c r="BA953" s="333"/>
      <c r="BB953" s="333"/>
      <c r="BC953" s="333"/>
      <c r="BD953" s="333"/>
      <c r="BE953" s="333"/>
      <c r="BF953" s="333"/>
      <c r="BG953" s="333"/>
      <c r="BH953" s="834">
        <f>AR963</f>
        <v>0</v>
      </c>
      <c r="BI953" s="834" t="str">
        <f>AJ963</f>
        <v/>
      </c>
      <c r="BJ953" s="834">
        <f>AR965</f>
        <v>0</v>
      </c>
      <c r="BK953" s="834" t="str">
        <f>AJ965</f>
        <v/>
      </c>
      <c r="BL953" s="834">
        <f>AR966</f>
        <v>0</v>
      </c>
      <c r="BM953" s="834" t="str">
        <f>AJ966</f>
        <v/>
      </c>
      <c r="BN953" s="834">
        <f>AR967</f>
        <v>1</v>
      </c>
      <c r="BO953" s="834">
        <f>AR968</f>
        <v>1</v>
      </c>
      <c r="BP953" s="834">
        <f>AR969</f>
        <v>0</v>
      </c>
      <c r="BQ953" s="834" t="str">
        <f>AJ969</f>
        <v/>
      </c>
      <c r="BR953" s="834">
        <f>AR970</f>
        <v>0</v>
      </c>
      <c r="BS953" s="834">
        <f>AR971</f>
        <v>0</v>
      </c>
      <c r="BT953" s="834" t="str">
        <f>N953</f>
        <v/>
      </c>
      <c r="BU953" s="834" t="str">
        <f>N954</f>
        <v/>
      </c>
      <c r="BV953" s="834" t="str">
        <f>R956</f>
        <v/>
      </c>
      <c r="BW953" s="834" t="str">
        <f>R962</f>
        <v/>
      </c>
      <c r="BX953" s="834" t="str">
        <f>R963</f>
        <v/>
      </c>
      <c r="BY953" s="56"/>
      <c r="BZ953" s="610" t="b">
        <f>CNTR_CalcRelevant=EUconst_NotRelevant</f>
        <v>0</v>
      </c>
    </row>
    <row r="954" spans="1:78" s="140" customFormat="1" ht="15" customHeight="1" thickBot="1" x14ac:dyDescent="0.25">
      <c r="A954" s="777"/>
      <c r="B954" s="1248"/>
      <c r="C954" s="164"/>
      <c r="D954" s="164"/>
      <c r="E954" s="1625" t="str">
        <f>IF(ISBLANK(E953),"",IF(INDEX(B_InstallationDescription!$E$71:$E$145,MATCH(U952,B_InstallationDescription!$D$71:$D$145,0))&gt;0,INDEX(B_InstallationDescription!$E$71:$E$145,MATCH(U952,B_InstallationDescription!$D$71:$D$145,0)),""))</f>
        <v/>
      </c>
      <c r="F954" s="1626"/>
      <c r="G954" s="1626"/>
      <c r="H954" s="1626"/>
      <c r="I954" s="1626"/>
      <c r="J954" s="1627"/>
      <c r="M954" s="337" t="str">
        <f>Translations!$B$666</f>
        <v>CO2, biomasės kilmės.:</v>
      </c>
      <c r="N954" s="1013" t="str">
        <f>IF(OR(K953="",T954=TRUE),"",INDEX(BC966:BE966,MATCH(K953,BC963:BE963,0)))</f>
        <v/>
      </c>
      <c r="O954" s="1315" t="s">
        <v>257</v>
      </c>
      <c r="P954" s="485"/>
      <c r="Q954" s="343" t="str">
        <f>EUconst_SumBioCO2 &amp; "_" &amp; K953</f>
        <v>SUM_bioCO2_</v>
      </c>
      <c r="R954" s="485"/>
      <c r="S954" s="23"/>
      <c r="T954" s="48" t="str">
        <f>IF(E954="","",MATCH(E954,EUConst_TierActivityListNames,0)&gt;40)</f>
        <v/>
      </c>
      <c r="U954" s="23"/>
      <c r="V954" s="76"/>
      <c r="W954" s="56"/>
      <c r="X954" s="58"/>
      <c r="Y954" s="27" t="s">
        <v>91</v>
      </c>
      <c r="Z954" s="30"/>
      <c r="AA954" s="30"/>
      <c r="AB954" s="30"/>
      <c r="AC954" s="30"/>
      <c r="AD954" s="30"/>
      <c r="AE954" s="27" t="s">
        <v>297</v>
      </c>
      <c r="AF954" s="58"/>
      <c r="AG954" s="495"/>
      <c r="AH954" s="30"/>
      <c r="AI954" s="30"/>
      <c r="AJ954" s="495"/>
      <c r="AK954" s="495"/>
      <c r="AL954" s="333"/>
      <c r="AM954" s="27" t="s">
        <v>303</v>
      </c>
      <c r="AN954" s="496"/>
      <c r="AO954" s="496"/>
      <c r="AP954" s="30"/>
      <c r="AQ954" s="30"/>
      <c r="AR954" s="30"/>
      <c r="AS954" s="30"/>
      <c r="AT954" s="30"/>
      <c r="AU954" s="30"/>
      <c r="AV954" s="27" t="s">
        <v>310</v>
      </c>
      <c r="AW954" s="30"/>
      <c r="AX954" s="483"/>
      <c r="AY954" s="30"/>
      <c r="AZ954" s="30"/>
      <c r="BA954" s="30"/>
      <c r="BB954" s="27" t="s">
        <v>217</v>
      </c>
      <c r="BC954" s="30"/>
      <c r="BD954" s="30"/>
      <c r="BE954" s="30"/>
      <c r="BF954" s="30"/>
      <c r="BG954" s="27" t="s">
        <v>486</v>
      </c>
      <c r="BH954" s="833" t="s">
        <v>552</v>
      </c>
      <c r="BI954" s="833" t="s">
        <v>487</v>
      </c>
      <c r="BJ954" s="833" t="s">
        <v>211</v>
      </c>
      <c r="BK954" s="833" t="s">
        <v>488</v>
      </c>
      <c r="BL954" s="833" t="s">
        <v>68</v>
      </c>
      <c r="BM954" s="833" t="s">
        <v>489</v>
      </c>
      <c r="BN954" s="833" t="s">
        <v>490</v>
      </c>
      <c r="BO954" s="833" t="s">
        <v>491</v>
      </c>
      <c r="BP954" s="833" t="s">
        <v>214</v>
      </c>
      <c r="BQ954" s="833" t="s">
        <v>492</v>
      </c>
      <c r="BR954" s="833" t="s">
        <v>493</v>
      </c>
      <c r="BS954" s="833" t="s">
        <v>494</v>
      </c>
      <c r="BT954" s="833" t="s">
        <v>287</v>
      </c>
      <c r="BU954" s="833" t="s">
        <v>495</v>
      </c>
      <c r="BV954" s="833" t="s">
        <v>498</v>
      </c>
      <c r="BW954" s="833" t="s">
        <v>496</v>
      </c>
      <c r="BX954" s="833" t="s">
        <v>497</v>
      </c>
      <c r="BY954" s="30"/>
      <c r="BZ954" s="30"/>
    </row>
    <row r="955" spans="1:78" s="140" customFormat="1" ht="5.0999999999999996" customHeight="1" thickBot="1" x14ac:dyDescent="0.25">
      <c r="A955" s="777"/>
      <c r="B955" s="1248"/>
      <c r="C955" s="164"/>
      <c r="D955" s="164"/>
      <c r="E955" s="164"/>
      <c r="F955" s="164"/>
      <c r="G955" s="164"/>
      <c r="M955" s="141"/>
      <c r="N955" s="141"/>
      <c r="O955" s="1305"/>
      <c r="P955" s="33"/>
      <c r="Q955" s="33"/>
      <c r="R955" s="33"/>
      <c r="S955" s="23"/>
      <c r="T955" s="23"/>
      <c r="U955" s="23"/>
      <c r="V955" s="76"/>
      <c r="W955" s="30"/>
      <c r="X955" s="30"/>
      <c r="Y955" s="485"/>
      <c r="Z955" s="30"/>
      <c r="AA955" s="30"/>
      <c r="AB955" s="30"/>
      <c r="AC955" s="30"/>
      <c r="AD955" s="30"/>
      <c r="AE955" s="30"/>
      <c r="AF955" s="58"/>
      <c r="AG955" s="30"/>
      <c r="AH955" s="30"/>
      <c r="AI955" s="30"/>
      <c r="AJ955" s="495"/>
      <c r="AK955" s="495"/>
      <c r="AL955" s="333"/>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row>
    <row r="956" spans="1:78" s="140" customFormat="1" ht="12.75" customHeight="1" thickBot="1" x14ac:dyDescent="0.25">
      <c r="A956" s="777"/>
      <c r="B956" s="1248"/>
      <c r="C956" s="164"/>
      <c r="D956" s="164"/>
      <c r="E956" s="1628" t="str">
        <f>IF(E953="","",IF(T954=TRUE,HYPERLINK("#JUMP_14",EUconst_MsgGoOnPFC),HYPERLINK("#JUMP_E_8",EUconst_FurtherGuidancePoint1)))</f>
        <v/>
      </c>
      <c r="F956" s="1628"/>
      <c r="G956" s="1628"/>
      <c r="H956" s="1628"/>
      <c r="I956" s="1628"/>
      <c r="J956" s="1628"/>
      <c r="K956" s="1628"/>
      <c r="L956" s="1628"/>
      <c r="M956" s="1628"/>
      <c r="N956" s="141"/>
      <c r="O956" s="1305"/>
      <c r="P956" s="33"/>
      <c r="Q956" s="343" t="str">
        <f>EUconst_SumNonSustBioCO2 &amp; "_" &amp; K953</f>
        <v>SUM_bioNonSustCO2_</v>
      </c>
      <c r="R956" s="698" t="str">
        <f>IF(OR(K953="",T954=TRUE),"",ROUND(INDEX(BC965:BE965,MATCH(K953,BC963:BE963,0)),0))</f>
        <v/>
      </c>
      <c r="S956" s="23"/>
      <c r="T956" s="23"/>
      <c r="U956" s="23"/>
      <c r="V956" s="30"/>
      <c r="W956" s="30"/>
      <c r="X956" s="30"/>
      <c r="Y956" s="58"/>
      <c r="Z956" s="30"/>
      <c r="AA956" s="30"/>
      <c r="AB956" s="30"/>
      <c r="AC956" s="30"/>
      <c r="AD956" s="30"/>
      <c r="AE956" s="30"/>
      <c r="AF956" s="58"/>
      <c r="AG956" s="30"/>
      <c r="AH956" s="30"/>
      <c r="AI956" s="30"/>
      <c r="AJ956" s="495"/>
      <c r="AK956" s="495"/>
      <c r="AL956" s="333"/>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row>
    <row r="957" spans="1:78" s="140" customFormat="1" ht="5.0999999999999996" customHeight="1" thickBot="1" x14ac:dyDescent="0.25">
      <c r="A957" s="777"/>
      <c r="B957" s="1248"/>
      <c r="C957" s="164"/>
      <c r="D957" s="164"/>
      <c r="E957" s="164"/>
      <c r="F957" s="164"/>
      <c r="G957" s="164"/>
      <c r="M957" s="141"/>
      <c r="N957" s="141"/>
      <c r="O957" s="1305"/>
      <c r="P957" s="23"/>
      <c r="Q957" s="23"/>
      <c r="R957" s="23"/>
      <c r="S957" s="23"/>
      <c r="T957" s="23"/>
      <c r="U957" s="23"/>
      <c r="V957" s="30"/>
      <c r="W957" s="30"/>
      <c r="X957" s="30"/>
      <c r="Y957" s="485"/>
      <c r="Z957" s="30"/>
      <c r="AA957" s="30"/>
      <c r="AB957" s="30"/>
      <c r="AC957" s="30"/>
      <c r="AD957" s="30"/>
      <c r="AE957" s="30"/>
      <c r="AF957" s="58"/>
      <c r="AG957" s="30"/>
      <c r="AH957" s="30"/>
      <c r="AI957" s="30"/>
      <c r="AJ957" s="495"/>
      <c r="AK957" s="495"/>
      <c r="AL957" s="333"/>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row>
    <row r="958" spans="1:78" s="140" customFormat="1" ht="12.75" customHeight="1" thickBot="1" x14ac:dyDescent="0.25">
      <c r="A958" s="777"/>
      <c r="B958" s="1248"/>
      <c r="C958" s="783" t="s">
        <v>4</v>
      </c>
      <c r="D958" s="503" t="str">
        <f>Translations!$B$622</f>
        <v>VD:</v>
      </c>
      <c r="E958" s="1631" t="str">
        <f>Translations!$B$667</f>
        <v>Ar veiklos duomenys gaunami sudedant išmatuotus kiekius (t. y. ne atliekant nuolatinius matavimus)?</v>
      </c>
      <c r="F958" s="1631"/>
      <c r="G958" s="1631"/>
      <c r="H958" s="1631"/>
      <c r="I958" s="1631"/>
      <c r="J958" s="1631"/>
      <c r="K958" s="1631"/>
      <c r="L958" s="1122"/>
      <c r="M958" s="498"/>
      <c r="O958" s="1305"/>
      <c r="P958" s="23"/>
      <c r="Q958" s="23"/>
      <c r="R958" s="23"/>
      <c r="S958" s="23"/>
      <c r="T958" s="23"/>
      <c r="U958" s="23"/>
      <c r="V958" s="30"/>
      <c r="W958" s="30"/>
      <c r="X958" s="30"/>
      <c r="Y958" s="485"/>
      <c r="Z958" s="30"/>
      <c r="AA958" s="30"/>
      <c r="AB958" s="30"/>
      <c r="AC958" s="1115" t="b">
        <f>AND(E953&lt;&gt;"",T954&lt;&gt;TRUE)</f>
        <v>0</v>
      </c>
      <c r="AD958" s="30"/>
      <c r="AE958" s="30"/>
      <c r="AF958" s="58"/>
      <c r="AG958" s="30"/>
      <c r="AH958" s="30"/>
      <c r="AI958" s="30"/>
      <c r="AJ958" s="495"/>
      <c r="AK958" s="495"/>
      <c r="AL958" s="333"/>
      <c r="AM958" s="30"/>
      <c r="AN958" s="30"/>
      <c r="AO958" s="30"/>
      <c r="AP958" s="30"/>
      <c r="AQ958" s="30"/>
      <c r="AR958" s="30"/>
      <c r="AS958" s="30"/>
      <c r="AT958" s="1115" t="b">
        <f>MSPara_BatchReportingMandatory&lt;&gt;TRUE</f>
        <v>0</v>
      </c>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1115" t="b">
        <f>OR(CNTR_CalcRelevant=EUconst_NotRelevant,AND(COUNTA(CNTR_ListRelevantSections)&gt;0,OR(T954=TRUE,E953="")))</f>
        <v>1</v>
      </c>
    </row>
    <row r="959" spans="1:78" s="140" customFormat="1" ht="5.0999999999999996" customHeight="1" thickBot="1" x14ac:dyDescent="0.25">
      <c r="A959" s="777"/>
      <c r="B959" s="1248"/>
      <c r="C959" s="164"/>
      <c r="D959" s="164"/>
      <c r="E959" s="164"/>
      <c r="F959" s="164"/>
      <c r="G959" s="164"/>
      <c r="H959" s="486"/>
      <c r="I959" s="486"/>
      <c r="J959" s="486"/>
      <c r="K959" s="486"/>
      <c r="L959" s="486"/>
      <c r="M959" s="498"/>
      <c r="O959" s="1305"/>
      <c r="P959" s="23"/>
      <c r="Q959" s="23"/>
      <c r="R959" s="23"/>
      <c r="S959" s="23"/>
      <c r="T959" s="23"/>
      <c r="U959" s="23"/>
      <c r="V959" s="30"/>
      <c r="W959" s="30"/>
      <c r="X959" s="30"/>
      <c r="Y959" s="485"/>
      <c r="Z959" s="30"/>
      <c r="AA959" s="30"/>
      <c r="AB959" s="30"/>
      <c r="AC959" s="483"/>
      <c r="AD959" s="30"/>
      <c r="AE959" s="30"/>
      <c r="AF959" s="58"/>
      <c r="AG959" s="30"/>
      <c r="AH959" s="30"/>
      <c r="AI959" s="30"/>
      <c r="AJ959" s="495"/>
      <c r="AK959" s="495"/>
      <c r="AL959" s="333"/>
      <c r="AM959" s="30"/>
      <c r="AN959" s="30"/>
      <c r="AO959" s="30"/>
      <c r="AP959" s="30"/>
      <c r="AQ959" s="30"/>
      <c r="AR959" s="30"/>
      <c r="AS959" s="30"/>
      <c r="AT959" s="483"/>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483"/>
    </row>
    <row r="960" spans="1:78" s="140" customFormat="1" ht="12.75" customHeight="1" thickBot="1" x14ac:dyDescent="0.25">
      <c r="A960" s="777"/>
      <c r="B960" s="1248"/>
      <c r="C960" s="783" t="s">
        <v>5</v>
      </c>
      <c r="D960" s="503" t="str">
        <f>Translations!$B$622</f>
        <v>VD:</v>
      </c>
      <c r="E960" s="1105" t="str">
        <f>Translations!$B$668</f>
        <v>Pradinis kiekis:</v>
      </c>
      <c r="F960" s="1123"/>
      <c r="G960" s="1106" t="str">
        <f>Translations!$B$669</f>
        <v>Galutinis kiekis:</v>
      </c>
      <c r="H960" s="1123"/>
      <c r="I960" s="1106" t="str">
        <f>Translations!$B$670</f>
        <v>Įsigytas kiekis:</v>
      </c>
      <c r="J960" s="1123"/>
      <c r="K960" s="1106" t="str">
        <f>Translations!$B$671</f>
        <v>Perduotas kiekis:</v>
      </c>
      <c r="L960" s="1123"/>
      <c r="M960" s="1107" t="str">
        <f>IF(AND(L958=TRUE,COUNT(F960,H960,J960,L960)&lt;4),EUconst_ERR_Incomplete,"")</f>
        <v/>
      </c>
      <c r="O960" s="1305"/>
      <c r="P960" s="23"/>
      <c r="Q960" s="23"/>
      <c r="R960" s="23"/>
      <c r="S960" s="23"/>
      <c r="T960" s="23"/>
      <c r="U960" s="23"/>
      <c r="V960" s="30"/>
      <c r="W960" s="30"/>
      <c r="X960" s="30"/>
      <c r="Y960" s="485"/>
      <c r="Z960" s="30"/>
      <c r="AA960" s="30"/>
      <c r="AB960" s="30"/>
      <c r="AC960" s="1115" t="b">
        <f>AC958</f>
        <v>0</v>
      </c>
      <c r="AD960" s="30"/>
      <c r="AE960" s="30"/>
      <c r="AF960" s="58"/>
      <c r="AG960" s="30"/>
      <c r="AH960" s="30"/>
      <c r="AI960" s="30"/>
      <c r="AJ960" s="495"/>
      <c r="AK960" s="495"/>
      <c r="AL960" s="333"/>
      <c r="AM960" s="30"/>
      <c r="AN960" s="30"/>
      <c r="AO960" s="30"/>
      <c r="AP960" s="30"/>
      <c r="AQ960" s="30"/>
      <c r="AR960" s="30"/>
      <c r="AS960" s="30"/>
      <c r="AT960" s="1115" t="b">
        <f>AND(AT958=TRUE,L958="")</f>
        <v>0</v>
      </c>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1115" t="b">
        <f>OR(BZ958,AND(NOT(ISBLANK(L958)),L958=FALSE))</f>
        <v>1</v>
      </c>
    </row>
    <row r="961" spans="1:78" s="140" customFormat="1" ht="5.0999999999999996" customHeight="1" thickBot="1" x14ac:dyDescent="0.25">
      <c r="A961" s="777"/>
      <c r="B961" s="1248"/>
      <c r="C961" s="164"/>
      <c r="D961" s="164"/>
      <c r="E961" s="164"/>
      <c r="F961" s="164"/>
      <c r="G961" s="164"/>
      <c r="M961" s="141"/>
      <c r="N961" s="141"/>
      <c r="O961" s="1305"/>
      <c r="P961" s="23"/>
      <c r="Q961" s="23"/>
      <c r="R961" s="23"/>
      <c r="S961" s="23"/>
      <c r="T961" s="23"/>
      <c r="U961" s="23"/>
      <c r="V961" s="30"/>
      <c r="W961" s="30"/>
      <c r="X961" s="30"/>
      <c r="Y961" s="485"/>
      <c r="Z961" s="30"/>
      <c r="AA961" s="30"/>
      <c r="AB961" s="30"/>
      <c r="AC961" s="30"/>
      <c r="AD961" s="30"/>
      <c r="AE961" s="30"/>
      <c r="AF961" s="58"/>
      <c r="AG961" s="30"/>
      <c r="AH961" s="30"/>
      <c r="AI961" s="30"/>
      <c r="AJ961" s="495"/>
      <c r="AK961" s="495"/>
      <c r="AL961" s="333"/>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row>
    <row r="962" spans="1:78" s="140" customFormat="1" ht="12.75" customHeight="1" thickBot="1" x14ac:dyDescent="0.25">
      <c r="A962" s="777"/>
      <c r="B962" s="1248"/>
      <c r="C962" s="164"/>
      <c r="D962" s="164"/>
      <c r="E962" s="164"/>
      <c r="F962" s="497" t="str">
        <f>Translations!$B$333</f>
        <v>Pakopa</v>
      </c>
      <c r="G962" s="1613" t="str">
        <f>Translations!$B$672</f>
        <v>pakopos aprašas</v>
      </c>
      <c r="H962" s="1613"/>
      <c r="I962" s="1608" t="str">
        <f>Translations!$B$158</f>
        <v>Vienetas</v>
      </c>
      <c r="J962" s="1608"/>
      <c r="K962" s="1608" t="str">
        <f>Translations!$B$673</f>
        <v>Vertė</v>
      </c>
      <c r="L962" s="1608"/>
      <c r="M962" s="498" t="str">
        <f>Translations!$B$610</f>
        <v>klaida</v>
      </c>
      <c r="O962" s="1305"/>
      <c r="P962" s="499"/>
      <c r="Q962" s="343" t="str">
        <f>EUconst_SumEnergyIN &amp; "_" &amp; K953</f>
        <v>SUM_EnergyIN_</v>
      </c>
      <c r="R962" s="390" t="str">
        <f>IF(OR(K953="",T954)=TRUE,"",INDEX(BC968:BE968,MATCH(K953,BC963:BE963,0)))</f>
        <v/>
      </c>
      <c r="S962" s="30"/>
      <c r="T962" s="480"/>
      <c r="U962" s="30"/>
      <c r="V962" s="500" t="s">
        <v>298</v>
      </c>
      <c r="W962" s="30"/>
      <c r="X962" s="30"/>
      <c r="Y962" s="485" t="s">
        <v>560</v>
      </c>
      <c r="Z962" s="485" t="s">
        <v>313</v>
      </c>
      <c r="AA962" s="30"/>
      <c r="AB962" s="30"/>
      <c r="AC962" s="496" t="s">
        <v>304</v>
      </c>
      <c r="AD962" s="30"/>
      <c r="AE962" s="30"/>
      <c r="AF962" s="483" t="s">
        <v>300</v>
      </c>
      <c r="AG962" s="483" t="s">
        <v>301</v>
      </c>
      <c r="AH962" s="485" t="s">
        <v>299</v>
      </c>
      <c r="AI962" s="495" t="s">
        <v>302</v>
      </c>
      <c r="AJ962" s="495" t="s">
        <v>561</v>
      </c>
      <c r="AK962" s="501" t="s">
        <v>306</v>
      </c>
      <c r="AL962" s="333"/>
      <c r="AM962" s="30"/>
      <c r="AN962" s="483" t="s">
        <v>300</v>
      </c>
      <c r="AO962" s="483" t="s">
        <v>301</v>
      </c>
      <c r="AP962" s="502" t="s">
        <v>305</v>
      </c>
      <c r="AQ962" s="495" t="s">
        <v>563</v>
      </c>
      <c r="AR962" s="495" t="s">
        <v>562</v>
      </c>
      <c r="AS962" s="501" t="s">
        <v>599</v>
      </c>
      <c r="AT962" s="501" t="s">
        <v>599</v>
      </c>
      <c r="AU962" s="30"/>
      <c r="AV962" s="483"/>
      <c r="AW962" s="483"/>
      <c r="AX962" s="483" t="s">
        <v>316</v>
      </c>
      <c r="AY962" s="483"/>
      <c r="AZ962" s="483"/>
      <c r="BA962" s="483"/>
      <c r="BB962" s="483"/>
      <c r="BC962" s="483"/>
      <c r="BD962" s="483"/>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484" t="s">
        <v>259</v>
      </c>
    </row>
    <row r="963" spans="1:78" s="140" customFormat="1" ht="12.75" customHeight="1" thickBot="1" x14ac:dyDescent="0.25">
      <c r="A963" s="777"/>
      <c r="B963" s="1248"/>
      <c r="C963" s="753" t="s">
        <v>194</v>
      </c>
      <c r="D963" s="503" t="str">
        <f>Translations!$B$622</f>
        <v>VD:</v>
      </c>
      <c r="E963" s="504"/>
      <c r="F963" s="393"/>
      <c r="G963" s="1603" t="str">
        <f>IF(OR(ISBLANK(F963),F963=EUconst_NoTier),"",IF(Z963=0,EUconst_NA,IF(ISERROR(Z963),"",Z963)))</f>
        <v/>
      </c>
      <c r="H963" s="1604"/>
      <c r="I963" s="1108" t="str">
        <f>IF(J963&lt;&gt;"","",AI963)</f>
        <v/>
      </c>
      <c r="J963" s="1109"/>
      <c r="K963" s="1116" t="str">
        <f>IF(L963="",AQ963,"")</f>
        <v/>
      </c>
      <c r="L963" s="1199"/>
      <c r="M963" s="700" t="str">
        <f>IF(AND(E954&lt;&gt;"",OR(F963="",COUNT(K963:L963)=0),Y963&lt;&gt;EUconst_NA,T954&lt;&gt;TRUE),EUconst_ERR_Incomplete,IF(COUNTIF(AX963:AZ963,TRUE)&gt;0,EUconst_ERR_Inconsistent,""))</f>
        <v/>
      </c>
      <c r="O963" s="1305"/>
      <c r="P963" s="635"/>
      <c r="Q963" s="343" t="str">
        <f>EUconst_SumBioEnergyIN &amp; "_" &amp; K953</f>
        <v>SUM_BioEnergyIN_</v>
      </c>
      <c r="R963" s="390" t="str">
        <f>IF(OR(K953="",T954)=TRUE,"",INDEX(BC969:BE969,MATCH(K953,BC963:BE963,0)))</f>
        <v/>
      </c>
      <c r="S963" s="30"/>
      <c r="T963" s="505" t="str">
        <f>EUconst_CNTR_ActivityData&amp;E954</f>
        <v>ActivityData_</v>
      </c>
      <c r="U963" s="488"/>
      <c r="V963" s="505" t="str">
        <f>IF(E953="","",INDEX(B_InstallationDescription!$I$71:$I$145,MATCH(U952,B_InstallationDescription!$D$71:$D$145,0)))</f>
        <v/>
      </c>
      <c r="W963" s="495" t="s">
        <v>533</v>
      </c>
      <c r="X963" s="488"/>
      <c r="Y963" s="506" t="str">
        <f>IF(OR(T954=TRUE,E954=""),"",INDEX(EUwideConstants!$N:$N,MATCH(T963,EUwideConstants!$Q:$Q,0)))</f>
        <v/>
      </c>
      <c r="Z963" s="507" t="str">
        <f>IF(ISBLANK(F963),"",IF(F963=EUconst_NA,"",INDEX(EUwideConstants!$H:$M,MATCH(T963,EUwideConstants!$Q:$Q,0),MATCH(F963,CNTR_TierList,0))))</f>
        <v/>
      </c>
      <c r="AA963" s="508" t="s">
        <v>299</v>
      </c>
      <c r="AB963" s="495"/>
      <c r="AC963" s="509" t="b">
        <f>AC958</f>
        <v>0</v>
      </c>
      <c r="AD963" s="30"/>
      <c r="AE963" s="510" t="str">
        <f>EUconst_CNTR_ActivityData&amp;EUconst_Unit</f>
        <v>ActivityData_Vienetas</v>
      </c>
      <c r="AF963" s="511" t="str">
        <f>IF(AC963=TRUE, IF(COUNTIF(MSPara_SourceStreamCategory,V963)=0,"",INDEX(MSPara_CalcFactorsMatrix,MATCH(V963,MSPara_SourceStreamCategory,0),MATCH(AE963&amp;"_"&amp;2,MSPara_CalcFactors,0))),"")</f>
        <v/>
      </c>
      <c r="AG963" s="512" t="str">
        <f>IF(AC963=TRUE, IF(COUNTIF(MSPara_SourceStreamCategory,V963)=0,"",INDEX(MSPara_CalcFactorsMatrix,MATCH(V963,MSPara_SourceStreamCategory,0),MATCH(AE963&amp;"_"&amp;1,MSPara_CalcFactors,0))),"")</f>
        <v/>
      </c>
      <c r="AH963" s="509" t="str">
        <f>IF(OR(AF963="",AF963=EUconst_NA),IF(OR(AG963=EUconst_NA,AG963=""),"",AG963),AF963)</f>
        <v/>
      </c>
      <c r="AI963" s="506" t="str">
        <f>IF(AC963=TRUE,IF(AH963="",EUconst_t,AH963),"")</f>
        <v/>
      </c>
      <c r="AJ963" s="513" t="str">
        <f>IF(J963="",AI963,J963)</f>
        <v/>
      </c>
      <c r="AK963" s="514" t="b">
        <f>IF(K953=EUconst_Fuel,J963&lt;&gt;"",FALSE)</f>
        <v>0</v>
      </c>
      <c r="AL963" s="333"/>
      <c r="AM963" s="505" t="str">
        <f>EUconst_CNTR_ActivityData&amp;EUconst_Value</f>
        <v>ActivityData_Vertė</v>
      </c>
      <c r="AN963" s="496"/>
      <c r="AO963" s="496"/>
      <c r="AP963" s="509" t="b">
        <f>AND(AND(AH963&lt;&gt;"",AJ963&lt;&gt;""),AJ963=AH963)</f>
        <v>0</v>
      </c>
      <c r="AQ963" s="610" t="str">
        <f>IF(L958=TRUE,SUM(F960)-SUM(H960)+SUM(J960)-SUM(L960),"")</f>
        <v/>
      </c>
      <c r="AR963" s="509">
        <f>IF(Y963=EUconst_NA,0,IF(COUNT(K963:L963)=0,0,IF(L963="",K963,L963)))</f>
        <v>0</v>
      </c>
      <c r="AS963" s="1115" t="b">
        <f>AND(AC963=TRUE,OR(L963&lt;&gt;"",AQ963=""))</f>
        <v>0</v>
      </c>
      <c r="AT963" s="1115" t="b">
        <f>AND(AC963=TRUE,NOT(AS963))</f>
        <v>0</v>
      </c>
      <c r="AU963" s="30"/>
      <c r="AV963" s="483" t="s">
        <v>309</v>
      </c>
      <c r="AW963" s="483" t="s">
        <v>314</v>
      </c>
      <c r="AX963" s="515"/>
      <c r="AY963" s="30" t="s">
        <v>536</v>
      </c>
      <c r="AZ963" s="30"/>
      <c r="BA963" s="30"/>
      <c r="BB963" s="495"/>
      <c r="BC963" s="484" t="str">
        <f>EUconst_Fuel</f>
        <v>Degimas</v>
      </c>
      <c r="BD963" s="484" t="str">
        <f>EUconst_ProcessCarbonate</f>
        <v>Proceso metu išsiskiriančios ŠESD</v>
      </c>
      <c r="BE963" s="484" t="str">
        <f>EUconst_MassBalance</f>
        <v>Masės balansas</v>
      </c>
      <c r="BF963" s="30"/>
      <c r="BG963" s="30"/>
      <c r="BH963" s="30"/>
      <c r="BI963" s="30"/>
      <c r="BJ963" s="30"/>
      <c r="BK963" s="30"/>
      <c r="BL963" s="30"/>
      <c r="BM963" s="30"/>
      <c r="BN963" s="30"/>
      <c r="BO963" s="30"/>
      <c r="BP963" s="30"/>
      <c r="BQ963" s="30"/>
      <c r="BR963" s="30"/>
      <c r="BS963" s="30"/>
      <c r="BT963" s="30"/>
      <c r="BU963" s="30"/>
      <c r="BV963" s="30"/>
      <c r="BW963" s="30"/>
      <c r="BX963" s="30"/>
      <c r="BY963" s="30"/>
      <c r="BZ963" s="515" t="b">
        <f>BZ958</f>
        <v>1</v>
      </c>
    </row>
    <row r="964" spans="1:78" s="140" customFormat="1" ht="5.0999999999999996" customHeight="1" thickBot="1" x14ac:dyDescent="0.25">
      <c r="A964" s="777"/>
      <c r="B964" s="1248"/>
      <c r="C964" s="783"/>
      <c r="D964" s="298"/>
      <c r="F964" s="141"/>
      <c r="G964" s="141"/>
      <c r="H964" s="141" t="s">
        <v>233</v>
      </c>
      <c r="I964" s="516"/>
      <c r="J964" s="516"/>
      <c r="K964" s="141"/>
      <c r="L964" s="141"/>
      <c r="M964" s="701"/>
      <c r="O964" s="1305"/>
      <c r="P964" s="33"/>
      <c r="Q964" s="33"/>
      <c r="R964" s="33"/>
      <c r="S964" s="30"/>
      <c r="T964" s="153"/>
      <c r="U964" s="488"/>
      <c r="V964" s="30"/>
      <c r="W964" s="30"/>
      <c r="X964" s="488"/>
      <c r="Y964" s="517"/>
      <c r="Z964" s="30"/>
      <c r="AA964" s="30"/>
      <c r="AB964" s="30"/>
      <c r="AC964" s="30"/>
      <c r="AD964" s="30"/>
      <c r="AE964" s="30"/>
      <c r="AF964" s="30"/>
      <c r="AG964" s="30"/>
      <c r="AH964" s="30"/>
      <c r="AI964" s="30"/>
      <c r="AJ964" s="30"/>
      <c r="AK964" s="30"/>
      <c r="AL964" s="333"/>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484"/>
    </row>
    <row r="965" spans="1:78" s="140" customFormat="1" ht="12.75" customHeight="1" thickBot="1" x14ac:dyDescent="0.25">
      <c r="A965" s="777"/>
      <c r="B965" s="1248"/>
      <c r="C965" s="783" t="s">
        <v>195</v>
      </c>
      <c r="D965" s="503" t="str">
        <f>Translations!$B$634</f>
        <v>(prelim.) ITF:</v>
      </c>
      <c r="E965" s="504"/>
      <c r="F965" s="518"/>
      <c r="G965" s="1603" t="str">
        <f t="shared" ref="G965:G971" si="231">IF(OR(ISBLANK(F965),F965=EUconst_NoTier),"",IF(Z965=0,EUconst_NotApplicable,IF(ISERROR(Z965),"",Z965)))</f>
        <v/>
      </c>
      <c r="H965" s="1609"/>
      <c r="I965" s="1110" t="str">
        <f>IF(J965&lt;&gt;"","",AI965)</f>
        <v/>
      </c>
      <c r="J965" s="1111"/>
      <c r="K965" s="519" t="str">
        <f t="shared" ref="K965:K971" si="232">IF(L965="",AQ965,"")</f>
        <v/>
      </c>
      <c r="L965" s="520"/>
      <c r="M965" s="700" t="str">
        <f>IF(AND(E954&lt;&gt;"",OR(F965="",COUNT(K965:L965)=0),Y965&lt;&gt;EUconst_NA,T954&lt;&gt;TRUE),EUconst_ERR_Incomplete,IF(COUNTIF(AX965:AZ965,TRUE)&gt;0,EUconst_ERR_Inconsistent,""))</f>
        <v/>
      </c>
      <c r="N965" s="486"/>
      <c r="O965" s="1305"/>
      <c r="P965" s="33"/>
      <c r="Q965" s="33"/>
      <c r="R965" s="33"/>
      <c r="S965" s="30"/>
      <c r="T965" s="521" t="str">
        <f>EUconst_CNTR_EF&amp;E954</f>
        <v>EF_</v>
      </c>
      <c r="U965" s="488"/>
      <c r="V965" s="522" t="str">
        <f>V963</f>
        <v/>
      </c>
      <c r="W965" s="30"/>
      <c r="X965" s="488"/>
      <c r="Y965" s="523" t="str">
        <f>IF(OR(T954=TRUE,E954=""),"",IF(F965=EUconst_NA,EUconst_NA,INDEX(EUwideConstants!$N:$N,MATCH(T965,EUwideConstants!$Q:$Q,0))))</f>
        <v/>
      </c>
      <c r="Z965" s="524" t="str">
        <f>IF(ISBLANK(F965),"",IF(F965=EUconst_NA,"",INDEX(EUwideConstants!$H:$M,MATCH(T965,EUwideConstants!$Q:$Q,0),MATCH(F965,CNTR_TierList,0))))</f>
        <v/>
      </c>
      <c r="AA965" s="525" t="str">
        <f>IF(COUNTIF(EUconst_DefaultValues,Z965)&gt;0,MATCH(Z965,EUconst_DefaultValues,0),"")</f>
        <v/>
      </c>
      <c r="AB965" s="30"/>
      <c r="AC965" s="526" t="b">
        <f>AND(AC963,Y965&lt;&gt;EUconst_NA)</f>
        <v>0</v>
      </c>
      <c r="AD965" s="30"/>
      <c r="AE965" s="510" t="str">
        <f>EUconst_CNTR_EF&amp;EUconst_Unit</f>
        <v>EF_Vienetas</v>
      </c>
      <c r="AF965" s="527" t="str">
        <f>IF(AC965=TRUE, IF(COUNTIF(MSPara_SourceStreamCategory,V965)=0,"",INDEX(MSPara_CalcFactorsMatrix,MATCH(V965,MSPara_SourceStreamCategory,0),MATCH(AE965&amp;"_"&amp;2,MSPara_CalcFactors,0))),"")</f>
        <v/>
      </c>
      <c r="AG965" s="528" t="str">
        <f>IF(AC965=TRUE, IF(COUNTIF(MSPara_SourceStreamCategory,V965)=0,"",INDEX(MSPara_CalcFactorsMatrix,MATCH(V965,MSPara_SourceStreamCategory,0),MATCH(AE965&amp;"_"&amp;1,MSPara_CalcFactors,0))),"")</f>
        <v/>
      </c>
      <c r="AH965" s="529" t="str">
        <f>IF(AA965="","",INDEX(AF965:AG965,3-AA965))</f>
        <v/>
      </c>
      <c r="AI965" s="530" t="str">
        <f>IF(AC965=TRUE,IF(OR(AH965="",AH965=EUconst_NA),IF(K953=EUconst_Fuel,EUconst_tCO2pTJ,EUconst_tCO2pt),AH965),"")</f>
        <v/>
      </c>
      <c r="AJ965" s="526" t="str">
        <f>IF(J965="",AI965,J965)</f>
        <v/>
      </c>
      <c r="AK965" s="531" t="b">
        <f>IF(K953=EUconst_Fuel,J965&lt;&gt;"",FALSE)</f>
        <v>0</v>
      </c>
      <c r="AL965" s="333"/>
      <c r="AM965" s="510" t="str">
        <f>EUconst_CNTR_EF&amp;EUconst_Value</f>
        <v>EF_Vertė</v>
      </c>
      <c r="AN965" s="532" t="str">
        <f>IF(AC965=TRUE,IF(COUNTIF(MSPara_SourceStreamCategory,V965)=0,"",INDEX(MSPara_CalcFactorsMatrix,MATCH(V965,MSPara_SourceStreamCategory,0),MATCH(AM965&amp;"_"&amp;2,MSPara_CalcFactors,0))),"")</f>
        <v/>
      </c>
      <c r="AO965" s="533" t="str">
        <f>IF(AC965=TRUE,IF(COUNTIF(MSPara_SourceStreamCategory,V965)=0,"",INDEX(MSPara_CalcFactorsMatrix,MATCH(V965,MSPara_SourceStreamCategory,0),MATCH(AM965&amp;"_"&amp;1,MSPara_CalcFactors,0))),"")</f>
        <v/>
      </c>
      <c r="AP965" s="526" t="b">
        <f>AND(AND(AH965&lt;&gt;"",AJ965&lt;&gt;""),AJ965=AH965)</f>
        <v>0</v>
      </c>
      <c r="AQ965" s="534" t="str">
        <f>IF(AND(AA965&lt;&gt;"",AP965=TRUE),IF(OR(INDEX(AN965:AO965,3-AA965)=EUconst_NA,INDEX(AN965:AO965,3-AA965)=0),"",INDEX(AN965:AO965,3-AA965)),"")</f>
        <v/>
      </c>
      <c r="AR965" s="526">
        <f>IF(AC965=TRUE,IF(COUNT(K965:L965)=0,0,IF(L965="",K965,L965)),0)</f>
        <v>0</v>
      </c>
      <c r="AS965" s="522" t="b">
        <f>AND(AC965=TRUE,OR(AND(F965&lt;&gt;"",NOT(ISNUMBER(AA965))),L965&lt;&gt;"",F965="",AQ965=""))</f>
        <v>0</v>
      </c>
      <c r="AT965" s="522" t="b">
        <f t="shared" ref="AT965:AT971" si="233">AND(AC965=TRUE,NOT(AS965))</f>
        <v>0</v>
      </c>
      <c r="AU965" s="30"/>
      <c r="AV965" s="535" t="b">
        <f t="shared" ref="AV965:AV971" si="234">AND(ISNUMBER(AA965),AQ965="")</f>
        <v>0</v>
      </c>
      <c r="AW965" s="536" t="b">
        <f t="shared" ref="AW965:AW971" si="235">AND(ISNUMBER(AA965),AQ965&lt;&gt;AR965)</f>
        <v>0</v>
      </c>
      <c r="AX965" s="537" t="b">
        <f>OR(AND(AJ963=EUconst_kNm3,AJ965=EUconst_tCO2pt),AND(AJ963=EUconst_t,AJ965=EUconst_tCO2pkNm3))</f>
        <v>0</v>
      </c>
      <c r="AY965" s="522" t="b">
        <f t="shared" ref="AY965:AY971" si="236">AND(L965&lt;&gt;"",Y965=EUconst_NA)</f>
        <v>0</v>
      </c>
      <c r="AZ965" s="30"/>
      <c r="BA965" s="30"/>
      <c r="BB965" s="538" t="s">
        <v>588</v>
      </c>
      <c r="BC965" s="537" t="str">
        <f>IF(K953=BC963,AR963*IF(AJ965=EUconst_tCO2pTJ,(AR966/1000),1)*AR965*AR967*AR971,"")</f>
        <v/>
      </c>
      <c r="BD965" s="515" t="str">
        <f>IF(K953=BD963,AR963*AR965*AR968*AR971,"")</f>
        <v/>
      </c>
      <c r="BE965" s="514" t="str">
        <f>IF(K953=BE963,3.664*AR963*AR969*AR971,"")</f>
        <v/>
      </c>
      <c r="BF965" s="30"/>
      <c r="BG965" s="30"/>
      <c r="BH965" s="30"/>
      <c r="BI965" s="30"/>
      <c r="BJ965" s="30"/>
      <c r="BK965" s="30"/>
      <c r="BL965" s="30"/>
      <c r="BM965" s="30"/>
      <c r="BN965" s="30"/>
      <c r="BO965" s="30"/>
      <c r="BP965" s="30"/>
      <c r="BQ965" s="30"/>
      <c r="BR965" s="30"/>
      <c r="BS965" s="30"/>
      <c r="BT965" s="30"/>
      <c r="BU965" s="30"/>
      <c r="BV965" s="30"/>
      <c r="BW965" s="30"/>
      <c r="BX965" s="30"/>
      <c r="BY965" s="30"/>
      <c r="BZ965" s="522" t="b">
        <f>OR(BZ963,Y965=EUconst_NA)</f>
        <v>1</v>
      </c>
    </row>
    <row r="966" spans="1:78" s="140" customFormat="1" ht="12.75" customHeight="1" thickBot="1" x14ac:dyDescent="0.25">
      <c r="A966" s="777"/>
      <c r="B966" s="1248"/>
      <c r="C966" s="783" t="s">
        <v>196</v>
      </c>
      <c r="D966" s="503" t="str">
        <f>Translations!$B$636</f>
        <v>GŠV:</v>
      </c>
      <c r="E966" s="504"/>
      <c r="F966" s="539"/>
      <c r="G966" s="1603" t="str">
        <f t="shared" si="231"/>
        <v/>
      </c>
      <c r="H966" s="1604"/>
      <c r="I966" s="1112" t="str">
        <f>AJ966</f>
        <v/>
      </c>
      <c r="J966" s="540"/>
      <c r="K966" s="541" t="str">
        <f t="shared" si="232"/>
        <v/>
      </c>
      <c r="L966" s="542"/>
      <c r="M966" s="700" t="str">
        <f>IF(AND(E954&lt;&gt;"",OR(F966="",COUNT(K966:L966)=0),Y966&lt;&gt;EUconst_NA,T954&lt;&gt;TRUE),EUconst_ERR_Incomplete,IF(COUNTIF(AX966:AZ966,TRUE)&gt;0,EUconst_ERR_Inconsistent,""))</f>
        <v/>
      </c>
      <c r="O966" s="1305"/>
      <c r="P966" s="33"/>
      <c r="Q966" s="33"/>
      <c r="R966" s="33"/>
      <c r="S966" s="30"/>
      <c r="T966" s="543" t="str">
        <f>EUconst_CNTR_NCV&amp;E954</f>
        <v>NCV_</v>
      </c>
      <c r="U966" s="488"/>
      <c r="V966" s="544" t="str">
        <f t="shared" ref="V966:V971" si="237">V965</f>
        <v/>
      </c>
      <c r="W966" s="30"/>
      <c r="X966" s="488"/>
      <c r="Y966" s="545" t="str">
        <f>IF(OR(T954=TRUE,E954=""),"",IF(F966=EUconst_NA,EUconst_NA,INDEX(EUwideConstants!$N:$N,MATCH(T966,EUwideConstants!$Q:$Q,0))))</f>
        <v/>
      </c>
      <c r="Z966" s="546" t="str">
        <f>IF(ISBLANK(F966),"",IF(F966=EUconst_NA,"",INDEX(EUwideConstants!$H:$M,MATCH(T966,EUwideConstants!$Q:$Q,0),MATCH(F966,CNTR_TierList,0))))</f>
        <v/>
      </c>
      <c r="AA966" s="547" t="str">
        <f>IF(COUNTIF(EUconst_DefaultValues,Z966)&gt;0,MATCH(Z966,EUconst_DefaultValues,0),"")</f>
        <v/>
      </c>
      <c r="AB966" s="30"/>
      <c r="AC966" s="548" t="b">
        <f>AND(AC963,Y966&lt;&gt;EUconst_NA)</f>
        <v>0</v>
      </c>
      <c r="AD966" s="30"/>
      <c r="AE966" s="549" t="str">
        <f>EUconst_CNTR_NCV&amp;EUconst_Unit</f>
        <v>NCV_Vienetas</v>
      </c>
      <c r="AF966" s="550" t="str">
        <f>IF(AC966=TRUE, IF(COUNTIF(MSPara_SourceStreamCategory,V966)=0,"",INDEX(MSPara_CalcFactorsMatrix,MATCH(V966,MSPara_SourceStreamCategory,0),MATCH(AE966&amp;"_"&amp;2,MSPara_CalcFactors,0))),"")</f>
        <v/>
      </c>
      <c r="AG966" s="551" t="str">
        <f>IF(AC966=TRUE, IF(COUNTIF(MSPara_SourceStreamCategory,V966)=0,"",INDEX(MSPara_CalcFactorsMatrix,MATCH(V966,MSPara_SourceStreamCategory,0),MATCH(AE966&amp;"_"&amp;1,MSPara_CalcFactors,0))),"")</f>
        <v/>
      </c>
      <c r="AH966" s="552" t="str">
        <f>IF(AA966="","",INDEX(AF966:AG966,3-AA966))</f>
        <v/>
      </c>
      <c r="AI966" s="553"/>
      <c r="AJ966" s="548" t="str">
        <f>IF(AC966=TRUE,IF(AJ963="","",IF(AJ963=EUconst_kNm3,EUconst_GJpkNm3,EUconst_GJpt)),"")</f>
        <v/>
      </c>
      <c r="AK966" s="554"/>
      <c r="AL966" s="333"/>
      <c r="AM966" s="549" t="str">
        <f>EUconst_CNTR_NCV&amp;EUconst_Value</f>
        <v>NCV_Vertė</v>
      </c>
      <c r="AN966" s="555" t="str">
        <f>IF(AC966=TRUE,IF(COUNTIF(MSPara_SourceStreamCategory,V966)=0,"",INDEX(MSPara_CalcFactorsMatrix,MATCH(V966,MSPara_SourceStreamCategory,0),MATCH(AM966&amp;"_"&amp;2,MSPara_CalcFactors,0))),"")</f>
        <v/>
      </c>
      <c r="AO966" s="556" t="str">
        <f>IF(AC966=TRUE,IF(COUNTIF(MSPara_SourceStreamCategory,V966)=0,"",INDEX(MSPara_CalcFactorsMatrix,MATCH(V966,MSPara_SourceStreamCategory,0),MATCH(AM966&amp;"_"&amp;1,MSPara_CalcFactors,0))),"")</f>
        <v/>
      </c>
      <c r="AP966" s="548" t="b">
        <f>AND(AND(AH966&lt;&gt;"",AJ966&lt;&gt;""),AJ966=AH966)</f>
        <v>0</v>
      </c>
      <c r="AQ966" s="557" t="str">
        <f>IF(AND(AA966&lt;&gt;"",AP966=TRUE),IF(OR(INDEX(AN966:AO966,3-AA966)=EUconst_NA,INDEX(AN966:AO966,3-AA966)=0),"",INDEX(AN966:AO966,3-AA966)),"")</f>
        <v/>
      </c>
      <c r="AR966" s="548">
        <f>IF(AC966=TRUE,IF(COUNT(K966:L966)=0,0,IF(L966="",K966,L966)),0)</f>
        <v>0</v>
      </c>
      <c r="AS966" s="544" t="b">
        <f>AND(AC966=TRUE,OR(AND(F966&lt;&gt;"",NOT(ISNUMBER(AA966))),L966&lt;&gt;"",F966="",AQ966=""))</f>
        <v>0</v>
      </c>
      <c r="AT966" s="544" t="b">
        <f t="shared" si="233"/>
        <v>0</v>
      </c>
      <c r="AU966" s="30"/>
      <c r="AV966" s="558" t="b">
        <f t="shared" si="234"/>
        <v>0</v>
      </c>
      <c r="AW966" s="559" t="b">
        <f t="shared" si="235"/>
        <v>0</v>
      </c>
      <c r="AX966" s="30"/>
      <c r="AY966" s="544" t="b">
        <f t="shared" si="236"/>
        <v>0</v>
      </c>
      <c r="AZ966" s="30"/>
      <c r="BA966" s="30"/>
      <c r="BB966" s="538" t="s">
        <v>589</v>
      </c>
      <c r="BC966" s="537" t="str">
        <f>IF(K953=BC963,AR963*IF(AJ965=EUconst_tCO2pTJ,(AR966/1000),1)*AR965*AR967*AR970,"")</f>
        <v/>
      </c>
      <c r="BD966" s="515" t="str">
        <f>IF(K953=BD963,AR963*AR965*AR968*AR970,"")</f>
        <v/>
      </c>
      <c r="BE966" s="514" t="str">
        <f>IF(K953=BE963,3.664*AR963*AR969*AR970,"")</f>
        <v/>
      </c>
      <c r="BF966" s="30"/>
      <c r="BG966" s="30"/>
      <c r="BH966" s="30"/>
      <c r="BI966" s="30"/>
      <c r="BJ966" s="30"/>
      <c r="BK966" s="30"/>
      <c r="BL966" s="30"/>
      <c r="BM966" s="30"/>
      <c r="BN966" s="30"/>
      <c r="BO966" s="30"/>
      <c r="BP966" s="30"/>
      <c r="BQ966" s="30"/>
      <c r="BR966" s="30"/>
      <c r="BS966" s="30"/>
      <c r="BT966" s="30"/>
      <c r="BU966" s="30"/>
      <c r="BV966" s="30"/>
      <c r="BW966" s="30"/>
      <c r="BX966" s="30"/>
      <c r="BY966" s="30"/>
      <c r="BZ966" s="544" t="b">
        <f>OR(BZ963,Y966=EUconst_NA)</f>
        <v>1</v>
      </c>
    </row>
    <row r="967" spans="1:78" s="140" customFormat="1" ht="12.75" customHeight="1" thickBot="1" x14ac:dyDescent="0.25">
      <c r="A967" s="777"/>
      <c r="B967" s="1248"/>
      <c r="C967" s="783" t="s">
        <v>197</v>
      </c>
      <c r="D967" s="503" t="str">
        <f>Translations!$B$638</f>
        <v>Oksidacijos koef.:</v>
      </c>
      <c r="E967" s="504"/>
      <c r="F967" s="539"/>
      <c r="G967" s="1603" t="str">
        <f t="shared" si="231"/>
        <v/>
      </c>
      <c r="H967" s="1604"/>
      <c r="I967" s="1113" t="str">
        <f>IF(OR(AC967=FALSE,Y967=EUconst_NA),"","-")</f>
        <v/>
      </c>
      <c r="J967" s="560"/>
      <c r="K967" s="561" t="str">
        <f t="shared" si="232"/>
        <v/>
      </c>
      <c r="L967" s="694"/>
      <c r="M967" s="700" t="str">
        <f>IF(AND(E954&lt;&gt;"",OR(F967="",COUNT(K967:L967)=0),Y967&lt;&gt;EUconst_NA,T954&lt;&gt;TRUE),EUconst_ERR_Incomplete,IF(COUNTIF(AX967:AZ967,TRUE)&gt;0,EUconst_ERR_Inconsistent,""))</f>
        <v/>
      </c>
      <c r="O967" s="1305"/>
      <c r="P967" s="33"/>
      <c r="Q967" s="33"/>
      <c r="R967" s="33"/>
      <c r="S967" s="30"/>
      <c r="T967" s="543" t="str">
        <f>EUconst_CNTR_OxidationFactor&amp;E954</f>
        <v>OxF_</v>
      </c>
      <c r="U967" s="488"/>
      <c r="V967" s="544" t="str">
        <f t="shared" si="237"/>
        <v/>
      </c>
      <c r="W967" s="30"/>
      <c r="X967" s="488"/>
      <c r="Y967" s="545" t="str">
        <f>IF(OR(T954=TRUE,E954=""),"",INDEX(EUwideConstants!$N:$N,MATCH(T967,EUwideConstants!$Q:$Q,0)))</f>
        <v/>
      </c>
      <c r="Z967" s="546" t="str">
        <f>IF(ISBLANK(F967),"",IF(F967=EUconst_NA,"",INDEX(EUwideConstants!$H:$M,MATCH(T967,EUwideConstants!$Q:$Q,0),MATCH(F967,CNTR_TierList,0))))</f>
        <v/>
      </c>
      <c r="AA967" s="525" t="str">
        <f>IF(F967=1,1,"")</f>
        <v/>
      </c>
      <c r="AB967" s="30"/>
      <c r="AC967" s="548" t="b">
        <f>AND(AC963,Y967&lt;&gt;EUconst_NA)</f>
        <v>0</v>
      </c>
      <c r="AD967" s="30"/>
      <c r="AE967" s="563"/>
      <c r="AG967" s="564"/>
      <c r="AH967" s="553"/>
      <c r="AI967" s="565"/>
      <c r="AJ967" s="553"/>
      <c r="AK967" s="566"/>
      <c r="AL967" s="333"/>
      <c r="AM967" s="549" t="str">
        <f>EUconst_CNTR_OxidationFactor&amp;EUconst_Value</f>
        <v>OxF_Vertė</v>
      </c>
      <c r="AN967" s="567"/>
      <c r="AO967" s="525">
        <v>1</v>
      </c>
      <c r="AP967" s="553"/>
      <c r="AQ967" s="568" t="str">
        <f>IF(AA967="","",AO967)</f>
        <v/>
      </c>
      <c r="AR967" s="548">
        <f>IF(AC967=TRUE,IF(COUNT(K967:L967)=0,0,IF(L967="",K967,L967)),1)</f>
        <v>1</v>
      </c>
      <c r="AS967" s="544" t="b">
        <f>AND(AC967=TRUE,OR(ISNUMBER(L967),NOT(ISNUMBER(AA967))))</f>
        <v>0</v>
      </c>
      <c r="AT967" s="544" t="b">
        <f t="shared" si="233"/>
        <v>0</v>
      </c>
      <c r="AU967" s="30"/>
      <c r="AV967" s="558" t="b">
        <f t="shared" si="234"/>
        <v>0</v>
      </c>
      <c r="AW967" s="559" t="b">
        <f t="shared" si="235"/>
        <v>0</v>
      </c>
      <c r="AX967" s="30"/>
      <c r="AY967" s="585" t="b">
        <f t="shared" si="236"/>
        <v>0</v>
      </c>
      <c r="AZ967" s="522" t="b">
        <f>AR967&gt;100%</f>
        <v>0</v>
      </c>
      <c r="BA967" s="30"/>
      <c r="BB967" s="538" t="s">
        <v>287</v>
      </c>
      <c r="BC967" s="537" t="str">
        <f>IF(K953=BC963,AR963*IF(AJ965=EUconst_tCO2pTJ,(AR966/1000),1)*AR965*AR967*(1-AR970),"")</f>
        <v/>
      </c>
      <c r="BD967" s="515" t="str">
        <f>IF(K953=BD963,AR963*AR965*AR968*(1-AR970),"")</f>
        <v/>
      </c>
      <c r="BE967" s="514" t="str">
        <f>IF(K953=BE963,3.664*AR963*AR969*(1-AR970),"")</f>
        <v/>
      </c>
      <c r="BF967" s="30"/>
      <c r="BG967" s="30"/>
      <c r="BH967" s="30"/>
      <c r="BI967" s="30"/>
      <c r="BJ967" s="30"/>
      <c r="BK967" s="30"/>
      <c r="BL967" s="30"/>
      <c r="BM967" s="30"/>
      <c r="BN967" s="30"/>
      <c r="BO967" s="30"/>
      <c r="BP967" s="30"/>
      <c r="BQ967" s="30"/>
      <c r="BR967" s="30"/>
      <c r="BS967" s="30"/>
      <c r="BT967" s="30"/>
      <c r="BU967" s="30"/>
      <c r="BV967" s="30"/>
      <c r="BW967" s="30"/>
      <c r="BX967" s="30"/>
      <c r="BY967" s="30"/>
      <c r="BZ967" s="544" t="b">
        <f>OR(BZ963,Y967=EUconst_NA)</f>
        <v>1</v>
      </c>
    </row>
    <row r="968" spans="1:78" s="140" customFormat="1" ht="12.75" customHeight="1" thickBot="1" x14ac:dyDescent="0.25">
      <c r="A968" s="777"/>
      <c r="B968" s="1248"/>
      <c r="C968" s="783" t="s">
        <v>198</v>
      </c>
      <c r="D968" s="503" t="str">
        <f>Translations!$B$639</f>
        <v>Konversijos koef.:</v>
      </c>
      <c r="E968" s="504"/>
      <c r="F968" s="539"/>
      <c r="G968" s="1603" t="str">
        <f t="shared" si="231"/>
        <v/>
      </c>
      <c r="H968" s="1604"/>
      <c r="I968" s="1113" t="str">
        <f>IF(OR(AC968=FALSE,Y968=EUconst_NA),"","-")</f>
        <v/>
      </c>
      <c r="J968" s="560"/>
      <c r="K968" s="561" t="str">
        <f t="shared" si="232"/>
        <v/>
      </c>
      <c r="L968" s="694"/>
      <c r="M968" s="700" t="str">
        <f>IF(AND(E954&lt;&gt;"",OR(F968="",COUNT(K968:L968)=0),Y968&lt;&gt;EUconst_NA,T954&lt;&gt;TRUE),EUconst_ERR_Incomplete,IF(COUNTIF(AX968:AZ968,TRUE)&gt;0,EUconst_ERR_Inconsistent,""))</f>
        <v/>
      </c>
      <c r="O968" s="1305"/>
      <c r="P968" s="33"/>
      <c r="Q968" s="33"/>
      <c r="R968" s="33"/>
      <c r="S968" s="30"/>
      <c r="T968" s="543" t="str">
        <f>EUconst_CNTR_ConversionFactor&amp;E954</f>
        <v>ConvF_</v>
      </c>
      <c r="U968" s="488"/>
      <c r="V968" s="544" t="str">
        <f t="shared" si="237"/>
        <v/>
      </c>
      <c r="W968" s="30"/>
      <c r="X968" s="488"/>
      <c r="Y968" s="545" t="str">
        <f>IF(OR(T954=TRUE,E954=""),"",INDEX(EUwideConstants!$N:$N,MATCH(T968,EUwideConstants!$Q:$Q,0)))</f>
        <v/>
      </c>
      <c r="Z968" s="546" t="str">
        <f>IF(ISBLANK(F968),"",IF(F968=EUconst_NA,"",INDEX(EUwideConstants!$H:$M,MATCH(T968,EUwideConstants!$Q:$Q,0),MATCH(F968,CNTR_TierList,0))))</f>
        <v/>
      </c>
      <c r="AA968" s="573" t="str">
        <f>IF(F968=1,1,"")</f>
        <v/>
      </c>
      <c r="AB968" s="30"/>
      <c r="AC968" s="548" t="b">
        <f>AND(AC963,Y968&lt;&gt;EUconst_NA)</f>
        <v>0</v>
      </c>
      <c r="AD968" s="30"/>
      <c r="AE968" s="563"/>
      <c r="AG968" s="564"/>
      <c r="AH968" s="574"/>
      <c r="AI968" s="565"/>
      <c r="AJ968" s="574"/>
      <c r="AK968" s="566"/>
      <c r="AL968" s="333"/>
      <c r="AM968" s="549" t="str">
        <f>EUconst_CNTR_ConversionFactor&amp;EUconst_Value</f>
        <v>ConvF_Vertė</v>
      </c>
      <c r="AN968" s="575"/>
      <c r="AO968" s="573">
        <v>1</v>
      </c>
      <c r="AP968" s="574"/>
      <c r="AQ968" s="576" t="str">
        <f>IF(AA968="","",AO968)</f>
        <v/>
      </c>
      <c r="AR968" s="548">
        <f>IF(AC968=TRUE,IF(COUNT(K968:L968)=0,0,IF(L968="",K968,L968)),1)</f>
        <v>1</v>
      </c>
      <c r="AS968" s="544" t="b">
        <f>AND(AC968=TRUE,OR(ISNUMBER(L968),NOT(ISNUMBER(AA968))))</f>
        <v>0</v>
      </c>
      <c r="AT968" s="544" t="b">
        <f t="shared" si="233"/>
        <v>0</v>
      </c>
      <c r="AU968" s="30"/>
      <c r="AV968" s="558" t="b">
        <f t="shared" si="234"/>
        <v>0</v>
      </c>
      <c r="AW968" s="559" t="b">
        <f t="shared" si="235"/>
        <v>0</v>
      </c>
      <c r="AX968" s="30"/>
      <c r="AY968" s="585" t="b">
        <f t="shared" si="236"/>
        <v>0</v>
      </c>
      <c r="AZ968" s="571" t="b">
        <f>AR968&gt;100%</f>
        <v>0</v>
      </c>
      <c r="BA968" s="30"/>
      <c r="BB968" s="569" t="s">
        <v>481</v>
      </c>
      <c r="BC968" s="570">
        <f>AR963*AR966/1000*(1-AR970)</f>
        <v>0</v>
      </c>
      <c r="BD968" s="571">
        <f>BC968</f>
        <v>0</v>
      </c>
      <c r="BE968" s="572">
        <f>BC968</f>
        <v>0</v>
      </c>
      <c r="BF968" s="30"/>
      <c r="BG968" s="30"/>
      <c r="BH968" s="30"/>
      <c r="BI968" s="30"/>
      <c r="BJ968" s="30"/>
      <c r="BK968" s="30"/>
      <c r="BL968" s="30"/>
      <c r="BM968" s="30"/>
      <c r="BN968" s="30"/>
      <c r="BO968" s="30"/>
      <c r="BP968" s="30"/>
      <c r="BQ968" s="30"/>
      <c r="BR968" s="30"/>
      <c r="BS968" s="30"/>
      <c r="BT968" s="30"/>
      <c r="BU968" s="30"/>
      <c r="BV968" s="30"/>
      <c r="BW968" s="30"/>
      <c r="BX968" s="30"/>
      <c r="BY968" s="30"/>
      <c r="BZ968" s="544" t="b">
        <f>OR(BZ963,Y968=EUconst_NA)</f>
        <v>1</v>
      </c>
    </row>
    <row r="969" spans="1:78" s="140" customFormat="1" ht="12.75" customHeight="1" thickBot="1" x14ac:dyDescent="0.25">
      <c r="A969" s="777"/>
      <c r="B969" s="1248"/>
      <c r="C969" s="783" t="s">
        <v>324</v>
      </c>
      <c r="D969" s="503" t="str">
        <f>Translations!$B$640</f>
        <v>Anglies kiekis (C):</v>
      </c>
      <c r="E969" s="504"/>
      <c r="F969" s="539"/>
      <c r="G969" s="1603" t="str">
        <f t="shared" si="231"/>
        <v/>
      </c>
      <c r="H969" s="1604"/>
      <c r="I969" s="1113" t="str">
        <f>AJ969</f>
        <v/>
      </c>
      <c r="J969" s="577"/>
      <c r="K969" s="578" t="str">
        <f t="shared" si="232"/>
        <v/>
      </c>
      <c r="L969" s="579"/>
      <c r="M969" s="700" t="str">
        <f>IF(AND(E954&lt;&gt;"",OR(F969="",COUNT(K969:L969)=0),Y969&lt;&gt;EUconst_NA,T954&lt;&gt;TRUE),EUconst_ERR_Incomplete,IF(COUNTIF(AX969:AZ969,TRUE)&gt;0,EUconst_ERR_Inconsistent,""))</f>
        <v/>
      </c>
      <c r="O969" s="1305"/>
      <c r="P969" s="33"/>
      <c r="Q969" s="33"/>
      <c r="R969" s="33"/>
      <c r="S969" s="30"/>
      <c r="T969" s="543" t="str">
        <f>EUconst_CNTR_CarbonContent&amp;E954</f>
        <v>CarbC_</v>
      </c>
      <c r="U969" s="488"/>
      <c r="V969" s="544" t="str">
        <f t="shared" si="237"/>
        <v/>
      </c>
      <c r="W969" s="30"/>
      <c r="X969" s="488"/>
      <c r="Y969" s="545" t="str">
        <f>IF(OR(T954=TRUE,E954=""),"",INDEX(EUwideConstants!$N:$N,MATCH(T969,EUwideConstants!$Q:$Q,0)))</f>
        <v/>
      </c>
      <c r="Z969" s="546" t="str">
        <f>IF(ISBLANK(F969),"",IF(F969=EUconst_NA,"",INDEX(EUwideConstants!$H:$M,MATCH(T969,EUwideConstants!$Q:$Q,0),MATCH(F969,CNTR_TierList,0))))</f>
        <v/>
      </c>
      <c r="AA969" s="580" t="str">
        <f>IF(COUNTIF(EUconst_DefaultValues,Z969)&gt;0,MATCH(Z969,EUconst_DefaultValues,0),"")</f>
        <v/>
      </c>
      <c r="AB969" s="30"/>
      <c r="AC969" s="548" t="b">
        <f>AND(AC963,Y969&lt;&gt;EUconst_NA)</f>
        <v>0</v>
      </c>
      <c r="AD969" s="30"/>
      <c r="AE969" s="549" t="str">
        <f>EUconst_CNTR_CarbonContent&amp;EUconst_Unit</f>
        <v>CarbC_Vienetas</v>
      </c>
      <c r="AF969" s="550" t="str">
        <f>IF(AC969=TRUE, IF(COUNTIF(MSPara_SourceStreamCategory,V969)=0,"",INDEX(MSPara_CalcFactorsMatrix,MATCH(V969,MSPara_SourceStreamCategory,0),MATCH(AE969&amp;"_"&amp;2,MSPara_CalcFactors,0))),"")</f>
        <v/>
      </c>
      <c r="AG969" s="551" t="str">
        <f>IF(AC969=TRUE, IF(COUNTIF(MSPara_SourceStreamCategory,V969)=0,"",INDEX(MSPara_CalcFactorsMatrix,MATCH(V969,MSPara_SourceStreamCategory,0),MATCH(AE969&amp;"_"&amp;1,MSPara_CalcFactors,0))),"")</f>
        <v/>
      </c>
      <c r="AH969" s="581" t="str">
        <f>IF(AA969="","",INDEX(AF969:AG969,3-AA969))</f>
        <v/>
      </c>
      <c r="AI969" s="565"/>
      <c r="AJ969" s="582" t="str">
        <f>IF(AC969=TRUE,IF(AJ963="","",IF(AJ963=EUconst_kNm3,EUconst_tCpkNm3,EUconst_tCpt)),"")</f>
        <v/>
      </c>
      <c r="AK969" s="566"/>
      <c r="AL969" s="333"/>
      <c r="AM969" s="549" t="str">
        <f>EUconst_CNTR_CarbonContent&amp;EUconst_Value</f>
        <v>CarbC_Vertė</v>
      </c>
      <c r="AN969" s="555" t="str">
        <f>IF(AC969=TRUE,IF(COUNTIF(MSPara_SourceStreamCategory,V969)=0,"",INDEX(MSPara_CalcFactorsMatrix,MATCH(V969,MSPara_SourceStreamCategory,0),MATCH(AM969&amp;"_"&amp;2,MSPara_CalcFactors,0))),"")</f>
        <v/>
      </c>
      <c r="AO969" s="583" t="str">
        <f>IF(AC969=TRUE,IF(COUNTIF(MSPara_SourceStreamCategory,V969)=0,"",INDEX(MSPara_CalcFactorsMatrix,MATCH(V969,MSPara_SourceStreamCategory,0),MATCH(AM969&amp;"_"&amp;1,MSPara_CalcFactors,0))),"")</f>
        <v/>
      </c>
      <c r="AP969" s="548" t="b">
        <f>AND(AND(AH969&lt;&gt;"",AJ969&lt;&gt;""),AJ969=AH969)</f>
        <v>0</v>
      </c>
      <c r="AQ969" s="584" t="str">
        <f>IF(AND(AA969&lt;&gt;"",AP969=TRUE),IF(OR(INDEX(AN969:AO969,3-AA969)=EUconst_NA,INDEX(AN969:AO969,3-AA969)=0),"",INDEX(AN969:AO969,3-AA969)),"")</f>
        <v/>
      </c>
      <c r="AR969" s="548">
        <f>IF(AC969=TRUE,IF(COUNT(K969:L969)=0,0,IF(L969="",K969,L969)),0)</f>
        <v>0</v>
      </c>
      <c r="AS969" s="544" t="b">
        <f>AND(AC969=TRUE,OR(AND(F969&lt;&gt;"",NOT(ISNUMBER(AA969))),L969&lt;&gt;"",F969="",AQ969=""))</f>
        <v>0</v>
      </c>
      <c r="AT969" s="544" t="b">
        <f t="shared" si="233"/>
        <v>0</v>
      </c>
      <c r="AU969" s="30"/>
      <c r="AV969" s="558" t="b">
        <f t="shared" si="234"/>
        <v>0</v>
      </c>
      <c r="AW969" s="559" t="b">
        <f t="shared" si="235"/>
        <v>0</v>
      </c>
      <c r="AX969" s="537" t="b">
        <f>OR(AND(AJ963=EUconst_kNm3,AJ969=EUconst_tCpt),AND(AJ963=EUconst_t,AJ969=EUconst_tCpkNm3))</f>
        <v>0</v>
      </c>
      <c r="AY969" s="544" t="b">
        <f t="shared" si="236"/>
        <v>0</v>
      </c>
      <c r="AZ969" s="30"/>
      <c r="BA969" s="30"/>
      <c r="BB969" s="569" t="s">
        <v>482</v>
      </c>
      <c r="BC969" s="570">
        <f>AR963*AR966/1000*AR970</f>
        <v>0</v>
      </c>
      <c r="BD969" s="571">
        <f>BC969</f>
        <v>0</v>
      </c>
      <c r="BE969" s="572">
        <f>BC969</f>
        <v>0</v>
      </c>
      <c r="BF969" s="30"/>
      <c r="BG969" s="30"/>
      <c r="BH969" s="30"/>
      <c r="BI969" s="30"/>
      <c r="BJ969" s="30"/>
      <c r="BK969" s="30"/>
      <c r="BL969" s="30"/>
      <c r="BM969" s="30"/>
      <c r="BN969" s="30"/>
      <c r="BO969" s="30"/>
      <c r="BP969" s="30"/>
      <c r="BQ969" s="30"/>
      <c r="BR969" s="30"/>
      <c r="BS969" s="30"/>
      <c r="BT969" s="30"/>
      <c r="BU969" s="30"/>
      <c r="BV969" s="30"/>
      <c r="BW969" s="30"/>
      <c r="BX969" s="30"/>
      <c r="BY969" s="30"/>
      <c r="BZ969" s="544" t="b">
        <f>OR(BZ963,Y969=EUconst_NA)</f>
        <v>1</v>
      </c>
    </row>
    <row r="970" spans="1:78" s="140" customFormat="1" ht="12.75" customHeight="1" x14ac:dyDescent="0.2">
      <c r="A970" s="777"/>
      <c r="B970" s="1248"/>
      <c r="C970" s="753" t="s">
        <v>325</v>
      </c>
      <c r="D970" s="503" t="str">
        <f>Translations!$B$641</f>
        <v>Biomasės dalis (BioC):</v>
      </c>
      <c r="E970" s="504"/>
      <c r="F970" s="539"/>
      <c r="G970" s="1603" t="str">
        <f t="shared" si="231"/>
        <v/>
      </c>
      <c r="H970" s="1604"/>
      <c r="I970" s="1113" t="str">
        <f>IF(OR(AC970=FALSE,Y970=EUconst_NA),"","-")</f>
        <v/>
      </c>
      <c r="J970" s="560"/>
      <c r="K970" s="561" t="str">
        <f t="shared" si="232"/>
        <v/>
      </c>
      <c r="L970" s="694"/>
      <c r="M970" s="700" t="str">
        <f>IF(AND(E954&lt;&gt;"",OR(F970="",COUNT(K970:L970)=0),Y970&lt;&gt;EUconst_NA,T954&lt;&gt;TRUE),EUconst_ERR_Incomplete,IF(COUNTIF(AX970:AZ970,TRUE)&gt;0,EUconst_ERR_Inconsistent,""))</f>
        <v/>
      </c>
      <c r="O970" s="1305"/>
      <c r="P970" s="635"/>
      <c r="Q970" s="635"/>
      <c r="R970" s="635"/>
      <c r="S970" s="30"/>
      <c r="T970" s="543" t="str">
        <f>EUconst_CNTR_BiomassContent&amp;E954</f>
        <v>BioC_</v>
      </c>
      <c r="U970" s="488"/>
      <c r="V970" s="585" t="str">
        <f t="shared" si="237"/>
        <v/>
      </c>
      <c r="W970" s="522" t="str">
        <f>IF(COUNTIF(MSPara_SourceStreamCategory,V970)=0,"",INDEX(MSPara_IsFossil,MATCH(V970,MSPara_SourceStreamCategory,0)))</f>
        <v/>
      </c>
      <c r="X970" s="488"/>
      <c r="Y970" s="545" t="str">
        <f>IF(OR(T954=TRUE,E954=""),"",IF(OR(W970=TRUE,F970=EUconst_NA),EUconst_NA,INDEX(EUwideConstants!$N:$N,MATCH(T970,EUwideConstants!$Q:$Q,0))))</f>
        <v/>
      </c>
      <c r="Z970" s="546" t="str">
        <f>IF(ISBLANK(F970),"",IF(F970=EUconst_NA,"",INDEX(EUwideConstants!$H:$M,MATCH(T970,EUwideConstants!$Q:$Q,0),MATCH(F970,CNTR_TierList,0))))</f>
        <v/>
      </c>
      <c r="AA970" s="586" t="str">
        <f>IF(F970=1,1,"")</f>
        <v/>
      </c>
      <c r="AB970" s="30"/>
      <c r="AC970" s="548" t="b">
        <f>AND(AC963,Y970&lt;&gt;EUconst_NA)</f>
        <v>0</v>
      </c>
      <c r="AD970" s="30"/>
      <c r="AE970" s="563"/>
      <c r="AG970" s="564"/>
      <c r="AH970" s="553"/>
      <c r="AI970" s="565"/>
      <c r="AJ970" s="553"/>
      <c r="AK970" s="566"/>
      <c r="AL970" s="333"/>
      <c r="AM970" s="549" t="str">
        <f>EUconst_CNTR_BiomassContent&amp;EUconst_Value</f>
        <v>BioC_Vertė</v>
      </c>
      <c r="AO970" s="587" t="str">
        <f>IF(AC970=TRUE,IF(COUNTIF(MSPara_SourceStreamCategory,V970)=0,"",INDEX(MSPara_CalcFactorsMatrix,MATCH(V970,MSPara_SourceStreamCategory,0),MATCH(AM970&amp;"_"&amp;2,MSPara_CalcFactors,0))),"")</f>
        <v/>
      </c>
      <c r="AP970" s="553"/>
      <c r="AQ970" s="568" t="str">
        <f>IF(OR(AA970="",AO970=EUconst_NA),"",AO970)</f>
        <v/>
      </c>
      <c r="AR970" s="548">
        <f>IF(AC970=TRUE,IF(COUNT(K970:L970)=0,0,IF(L970="",K970,L970)),0)</f>
        <v>0</v>
      </c>
      <c r="AS970" s="544" t="b">
        <f>AND(AC970=TRUE,OR(AND(F970&lt;&gt;"",NOT(ISNUMBER(AA970))),L970&lt;&gt;"",F970="",AQ970=""))</f>
        <v>0</v>
      </c>
      <c r="AT970" s="544" t="b">
        <f t="shared" si="233"/>
        <v>0</v>
      </c>
      <c r="AU970" s="30"/>
      <c r="AV970" s="558" t="b">
        <f t="shared" si="234"/>
        <v>0</v>
      </c>
      <c r="AW970" s="559" t="b">
        <f t="shared" si="235"/>
        <v>0</v>
      </c>
      <c r="AX970" s="30"/>
      <c r="AY970" s="585" t="b">
        <f t="shared" si="236"/>
        <v>0</v>
      </c>
      <c r="AZ970" s="522" t="b">
        <f>OR(AR970&gt;100%,(AR970+AR971)&gt;100%)</f>
        <v>0</v>
      </c>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544" t="b">
        <f>OR(BZ963,Y970=EUconst_NA)</f>
        <v>1</v>
      </c>
    </row>
    <row r="971" spans="1:78" s="140" customFormat="1" ht="12.75" customHeight="1" thickBot="1" x14ac:dyDescent="0.25">
      <c r="A971" s="777"/>
      <c r="B971" s="1248"/>
      <c r="C971" s="753" t="s">
        <v>448</v>
      </c>
      <c r="D971" s="503" t="str">
        <f>Translations!$B$647</f>
        <v>Netvarios BioC dalis:</v>
      </c>
      <c r="E971" s="504"/>
      <c r="F971" s="588"/>
      <c r="G971" s="1603" t="str">
        <f t="shared" si="231"/>
        <v/>
      </c>
      <c r="H971" s="1604"/>
      <c r="I971" s="1114" t="str">
        <f>IF(OR(AC971=FALSE,Y971=EUconst_NA),"","-")</f>
        <v/>
      </c>
      <c r="J971" s="560"/>
      <c r="K971" s="589" t="str">
        <f t="shared" si="232"/>
        <v/>
      </c>
      <c r="L971" s="1100"/>
      <c r="M971" s="700" t="str">
        <f>IF(AND(E954&lt;&gt;"",OR(F971="",COUNT(K971:L971)=0),Y971&lt;&gt;EUconst_NA,T954&lt;&gt;TRUE),EUconst_ERR_Incomplete,IF(COUNTIF(AX971:AZ971,TRUE)&gt;0,EUconst_ERR_Inconsistent,""))</f>
        <v/>
      </c>
      <c r="O971" s="1305"/>
      <c r="P971" s="635"/>
      <c r="Q971" s="635"/>
      <c r="R971" s="635"/>
      <c r="S971" s="30"/>
      <c r="T971" s="590" t="str">
        <f>EUconst_CNTR_BiomassContent&amp;E954</f>
        <v>BioC_</v>
      </c>
      <c r="U971" s="488"/>
      <c r="V971" s="570" t="str">
        <f t="shared" si="237"/>
        <v/>
      </c>
      <c r="W971" s="571" t="str">
        <f>IF(COUNTIF(MSPara_SourceStreamCategory,V971)=0,"",INDEX(MSPara_IsFossil,MATCH(V971,MSPara_SourceStreamCategory,0)))</f>
        <v/>
      </c>
      <c r="X971" s="488"/>
      <c r="Y971" s="591" t="str">
        <f>IF(OR(T954=TRUE,E954=""),"",IF(OR(W971=TRUE,F971=EUconst_NA),EUconst_NA,INDEX(EUwideConstants!$N:$N,MATCH(T971,EUwideConstants!$Q:$Q,0))))</f>
        <v/>
      </c>
      <c r="Z971" s="592" t="str">
        <f>IF(ISBLANK(F971),"",IF(F971=EUconst_NA,"",INDEX(EUwideConstants!$H:$M,MATCH(T971,EUwideConstants!$Q:$Q,0),MATCH(F971,CNTR_TierList,0))))</f>
        <v/>
      </c>
      <c r="AA971" s="593" t="str">
        <f>IF(F971=1,1,"")</f>
        <v/>
      </c>
      <c r="AB971" s="30"/>
      <c r="AC971" s="594" t="b">
        <f>AND(AC963,Y971&lt;&gt;EUconst_NA)</f>
        <v>0</v>
      </c>
      <c r="AD971" s="30"/>
      <c r="AE971" s="595"/>
      <c r="AF971" s="596"/>
      <c r="AG971" s="597"/>
      <c r="AH971" s="598"/>
      <c r="AI971" s="598"/>
      <c r="AJ971" s="598"/>
      <c r="AK971" s="599"/>
      <c r="AL971" s="333"/>
      <c r="AM971" s="600" t="str">
        <f>EUconst_CNTR_BiomassContent&amp;EUconst_Value</f>
        <v>BioC_Vertė</v>
      </c>
      <c r="AN971" s="596"/>
      <c r="AO971" s="601" t="str">
        <f>IF(AC971=TRUE,IF(COUNTIF(MSPara_SourceStreamCategory,V971)=0,"",INDEX(MSPara_CalcFactorsMatrix,MATCH(V971,MSPara_SourceStreamCategory,0),MATCH(AM971&amp;"_"&amp;2,MSPara_CalcFactors,0))),"")</f>
        <v/>
      </c>
      <c r="AP971" s="598"/>
      <c r="AQ971" s="602" t="str">
        <f>IF(OR(AA971="",AO971=EUconst_NA),"",AO971)</f>
        <v/>
      </c>
      <c r="AR971" s="594">
        <f>IF(AC971=TRUE,IF(COUNT(K971:L971)=0,0,IF(L971="",K971,L971)),0)</f>
        <v>0</v>
      </c>
      <c r="AS971" s="603" t="b">
        <f>AND(AC971=TRUE,OR(AND(F971&lt;&gt;"",NOT(ISNUMBER(AA971))),L971&lt;&gt;"",F971="",AQ971=""))</f>
        <v>0</v>
      </c>
      <c r="AT971" s="603" t="b">
        <f t="shared" si="233"/>
        <v>0</v>
      </c>
      <c r="AU971" s="30"/>
      <c r="AV971" s="604" t="b">
        <f t="shared" si="234"/>
        <v>0</v>
      </c>
      <c r="AW971" s="605" t="b">
        <f t="shared" si="235"/>
        <v>0</v>
      </c>
      <c r="AX971" s="30"/>
      <c r="AY971" s="570" t="b">
        <f t="shared" si="236"/>
        <v>0</v>
      </c>
      <c r="AZ971" s="571" t="b">
        <f>OR(AR970&gt;100%,(AR970+AR971)&gt;100%)</f>
        <v>0</v>
      </c>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571" t="b">
        <f>OR(BZ963,Y971=EUconst_NA)</f>
        <v>1</v>
      </c>
    </row>
    <row r="972" spans="1:78" s="140" customFormat="1" ht="5.0999999999999996" customHeight="1" x14ac:dyDescent="0.2">
      <c r="A972" s="777"/>
      <c r="B972" s="1248"/>
      <c r="C972" s="164"/>
      <c r="D972" s="178"/>
      <c r="O972" s="1305"/>
      <c r="P972" s="33"/>
      <c r="Q972" s="33"/>
      <c r="R972" s="33"/>
      <c r="S972" s="172"/>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row>
    <row r="973" spans="1:78" s="140" customFormat="1" ht="12.75" customHeight="1" x14ac:dyDescent="0.2">
      <c r="A973" s="777"/>
      <c r="B973" s="1248"/>
      <c r="C973" s="164"/>
      <c r="D973" s="1629" t="str">
        <f>Translations!$B$674</f>
        <v>Pakopos galioja nuo:</v>
      </c>
      <c r="E973" s="1629"/>
      <c r="F973" s="1630"/>
      <c r="G973" s="1014"/>
      <c r="H973" s="606" t="str">
        <f>Translations!$B$675</f>
        <v>iki:</v>
      </c>
      <c r="I973" s="1014"/>
      <c r="J973" s="1620" t="str">
        <f>Translations!$B$676</f>
        <v>Atliekų katalogo numeris (jeigu taikytina):</v>
      </c>
      <c r="K973" s="1621"/>
      <c r="L973" s="1621"/>
      <c r="M973" s="1622"/>
      <c r="N973" s="1232"/>
      <c r="O973" s="1305"/>
      <c r="P973" s="33"/>
      <c r="Q973" s="33"/>
      <c r="R973" s="33"/>
      <c r="S973" s="1233"/>
      <c r="T973" s="483"/>
      <c r="U973" s="483"/>
      <c r="V973" s="48" t="b">
        <f>IF(V963="",FALSE,INDEX(CNTR_IsWaste,MATCH(V963,MSParameters!$A$218:$A$376,0)))</f>
        <v>0</v>
      </c>
      <c r="W973" s="1233" t="s">
        <v>1689</v>
      </c>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2" t="b">
        <f>BZ963</f>
        <v>1</v>
      </c>
    </row>
    <row r="974" spans="1:78" s="140" customFormat="1" ht="5.0999999999999996" customHeight="1" x14ac:dyDescent="0.2">
      <c r="A974" s="777"/>
      <c r="B974" s="1248"/>
      <c r="C974" s="164"/>
      <c r="D974" s="606"/>
      <c r="E974" s="486"/>
      <c r="F974" s="486"/>
      <c r="G974" s="486"/>
      <c r="H974" s="486"/>
      <c r="I974" s="486"/>
      <c r="J974" s="486"/>
      <c r="K974" s="486"/>
      <c r="L974" s="486"/>
      <c r="M974" s="486"/>
      <c r="N974" s="486"/>
      <c r="O974" s="1305"/>
      <c r="P974" s="33"/>
      <c r="Q974" s="33"/>
      <c r="R974" s="33"/>
      <c r="S974" s="172"/>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row>
    <row r="975" spans="1:78" s="140" customFormat="1" ht="12.75" customHeight="1" x14ac:dyDescent="0.2">
      <c r="A975" s="777"/>
      <c r="B975" s="1248"/>
      <c r="C975" s="164"/>
      <c r="D975" s="486"/>
      <c r="E975" s="486"/>
      <c r="F975" s="486"/>
      <c r="G975" s="486"/>
      <c r="H975" s="486"/>
      <c r="I975" s="486"/>
      <c r="J975" s="486"/>
      <c r="K975" s="486"/>
      <c r="L975" s="486"/>
      <c r="M975" s="606" t="str">
        <f>Translations!$B$677</f>
        <v>Stebėsenos plane šiam sukėlikliui suteiktas identifikatorius:</v>
      </c>
      <c r="N975" s="705"/>
      <c r="O975" s="1305"/>
      <c r="P975" s="33"/>
      <c r="Q975" s="33"/>
      <c r="R975" s="33"/>
      <c r="S975" s="172"/>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2" t="b">
        <f>BZ973</f>
        <v>1</v>
      </c>
    </row>
    <row r="976" spans="1:78" s="140" customFormat="1" ht="5.0999999999999996" customHeight="1" x14ac:dyDescent="0.2">
      <c r="A976" s="784"/>
      <c r="B976" s="1316"/>
      <c r="D976" s="178"/>
      <c r="O976" s="1317"/>
      <c r="P976" s="488"/>
      <c r="Q976" s="488"/>
      <c r="R976" s="488"/>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row>
    <row r="977" spans="1:78" s="140" customFormat="1" x14ac:dyDescent="0.2">
      <c r="A977" s="784"/>
      <c r="B977" s="1316"/>
      <c r="D977" s="1618" t="str">
        <f>Translations!$B$160</f>
        <v>Pastabos:</v>
      </c>
      <c r="E977" s="1619"/>
      <c r="F977" s="1605"/>
      <c r="G977" s="1606"/>
      <c r="H977" s="1606"/>
      <c r="I977" s="1606"/>
      <c r="J977" s="1606"/>
      <c r="K977" s="1606"/>
      <c r="L977" s="1606"/>
      <c r="M977" s="1606"/>
      <c r="N977" s="1607"/>
      <c r="O977" s="1317"/>
      <c r="P977" s="488"/>
      <c r="Q977" s="488"/>
      <c r="R977" s="488"/>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2" t="b">
        <f>BZ973</f>
        <v>1</v>
      </c>
    </row>
    <row r="978" spans="1:78" s="28" customFormat="1" ht="12.75" customHeight="1" thickBot="1" x14ac:dyDescent="0.25">
      <c r="A978" s="777"/>
      <c r="B978" s="1312"/>
      <c r="C978" s="490"/>
      <c r="D978" s="491"/>
      <c r="E978" s="492"/>
      <c r="F978" s="490"/>
      <c r="G978" s="493"/>
      <c r="H978" s="493"/>
      <c r="I978" s="493"/>
      <c r="J978" s="493"/>
      <c r="K978" s="493"/>
      <c r="L978" s="493"/>
      <c r="M978" s="493"/>
      <c r="N978" s="493"/>
      <c r="O978" s="1313"/>
      <c r="P978" s="485"/>
      <c r="Q978" s="485"/>
      <c r="R978" s="485"/>
      <c r="S978" s="58"/>
      <c r="T978" s="58"/>
      <c r="U978" s="489"/>
      <c r="V978" s="58"/>
      <c r="W978" s="58"/>
      <c r="X978" s="489"/>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30"/>
      <c r="BJ978" s="30"/>
      <c r="BK978" s="30"/>
      <c r="BL978" s="58"/>
      <c r="BM978" s="58"/>
      <c r="BN978" s="58"/>
      <c r="BO978" s="58"/>
      <c r="BP978" s="58"/>
      <c r="BQ978" s="58"/>
      <c r="BR978" s="58"/>
      <c r="BS978" s="58"/>
      <c r="BT978" s="58"/>
      <c r="BU978" s="58"/>
      <c r="BV978" s="58"/>
      <c r="BW978" s="58"/>
      <c r="BX978" s="58"/>
      <c r="BY978" s="58"/>
      <c r="BZ978" s="58"/>
    </row>
    <row r="979" spans="1:78" s="28" customFormat="1" ht="12.75" customHeight="1" thickBot="1" x14ac:dyDescent="0.25">
      <c r="A979" s="782"/>
      <c r="B979" s="1312"/>
      <c r="C979" s="486"/>
      <c r="D979" s="178"/>
      <c r="E979" s="487"/>
      <c r="F979" s="486"/>
      <c r="G979" s="478"/>
      <c r="H979" s="478"/>
      <c r="I979" s="478"/>
      <c r="J979" s="478"/>
      <c r="K979" s="486"/>
      <c r="L979" s="478"/>
      <c r="M979" s="478"/>
      <c r="N979" s="478"/>
      <c r="O979" s="1313"/>
      <c r="P979" s="485"/>
      <c r="Q979" s="485"/>
      <c r="R979" s="485"/>
      <c r="S979" s="23"/>
      <c r="T979" s="27" t="str">
        <f>IF(ISBLANK(E980),"",MATCH(E980,CNTR_SourceStreamNames,0))</f>
        <v/>
      </c>
      <c r="U979" s="609" t="str">
        <f>IF(ISBLANK(E980),"",INDEX(B_InstallationDescription!$D$71:$D$145,MATCH(E980,CNTR_SourceStreamNames,0)))</f>
        <v/>
      </c>
      <c r="V979" s="76"/>
      <c r="W979" s="56"/>
      <c r="X979" s="56"/>
      <c r="Y979" s="56"/>
      <c r="Z979" s="58"/>
      <c r="AA979" s="58"/>
      <c r="AB979" s="58"/>
      <c r="AC979" s="58"/>
      <c r="AD979" s="58"/>
      <c r="AE979" s="58"/>
      <c r="AF979" s="58"/>
      <c r="AG979" s="58"/>
      <c r="AH979" s="58"/>
      <c r="AI979" s="58"/>
      <c r="AJ979" s="58"/>
      <c r="AK979" s="482"/>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6"/>
      <c r="BI979" s="56"/>
      <c r="BJ979" s="56"/>
      <c r="BK979" s="56"/>
      <c r="BL979" s="56"/>
      <c r="BM979" s="56"/>
      <c r="BN979" s="56"/>
      <c r="BO979" s="56"/>
      <c r="BP979" s="56"/>
      <c r="BQ979" s="56"/>
      <c r="BR979" s="56"/>
      <c r="BS979" s="56"/>
      <c r="BT979" s="56"/>
      <c r="BU979" s="56"/>
      <c r="BV979" s="56"/>
      <c r="BW979" s="56"/>
      <c r="BX979" s="56"/>
      <c r="BY979" s="56"/>
      <c r="BZ979" s="484" t="s">
        <v>259</v>
      </c>
    </row>
    <row r="980" spans="1:78" s="140" customFormat="1" ht="15" customHeight="1" thickBot="1" x14ac:dyDescent="0.25">
      <c r="A980" s="1302" t="str">
        <f>IF(E980="","","PRINT")</f>
        <v/>
      </c>
      <c r="B980" s="1248"/>
      <c r="C980" s="608">
        <f>C953+1</f>
        <v>35</v>
      </c>
      <c r="D980" s="164"/>
      <c r="E980" s="1610"/>
      <c r="F980" s="1611"/>
      <c r="G980" s="1611"/>
      <c r="H980" s="1611"/>
      <c r="I980" s="1611"/>
      <c r="J980" s="1612"/>
      <c r="K980" s="1623" t="str">
        <f>IF(E981="","",INDEX(EUwideConstants!$F$353:$F$394,MATCH(E981,EUConst_TierActivityListNames,0)))</f>
        <v/>
      </c>
      <c r="L980" s="1624"/>
      <c r="M980" s="494" t="str">
        <f>Translations!$B$665</f>
        <v>CO2, iškastinio kuro kilmės:</v>
      </c>
      <c r="N980" s="1012" t="str">
        <f>IF(OR(K980="",T981=TRUE),"",INDEX(BC994:BE994,MATCH(K980,BC990:BE990,0)))</f>
        <v/>
      </c>
      <c r="O980" s="1314" t="s">
        <v>257</v>
      </c>
      <c r="P980" s="1303" t="str">
        <f>IF(AND(E980&lt;&gt;"",COUNTIF(P981:$P$2089,"PRINT")=0),"PRINT","")</f>
        <v/>
      </c>
      <c r="Q980" s="343" t="str">
        <f>EUconst_SumCO2 &amp; "_" &amp; K980</f>
        <v>SUM_CO2_</v>
      </c>
      <c r="R980" s="485"/>
      <c r="S980" s="23"/>
      <c r="T980" s="500" t="s">
        <v>387</v>
      </c>
      <c r="U980" s="23"/>
      <c r="V980" s="76"/>
      <c r="W980" s="56"/>
      <c r="X980" s="58"/>
      <c r="Y980" s="58"/>
      <c r="Z980" s="58"/>
      <c r="AA980" s="58"/>
      <c r="AB980" s="58"/>
      <c r="AC980" s="58"/>
      <c r="AD980" s="58"/>
      <c r="AE980" s="58"/>
      <c r="AF980" s="58"/>
      <c r="AG980" s="58"/>
      <c r="AH980" s="58"/>
      <c r="AI980" s="333"/>
      <c r="AJ980" s="333"/>
      <c r="AK980" s="333"/>
      <c r="AL980" s="333"/>
      <c r="AM980" s="333"/>
      <c r="AN980" s="333"/>
      <c r="AO980" s="333"/>
      <c r="AP980" s="333"/>
      <c r="AQ980" s="333"/>
      <c r="AR980" s="333"/>
      <c r="AS980" s="333"/>
      <c r="AT980" s="333"/>
      <c r="AU980" s="333"/>
      <c r="AV980" s="333"/>
      <c r="AW980" s="333"/>
      <c r="AX980" s="333"/>
      <c r="AY980" s="333"/>
      <c r="AZ980" s="333"/>
      <c r="BA980" s="333"/>
      <c r="BB980" s="333"/>
      <c r="BC980" s="333"/>
      <c r="BD980" s="333"/>
      <c r="BE980" s="333"/>
      <c r="BF980" s="333"/>
      <c r="BG980" s="333"/>
      <c r="BH980" s="834">
        <f>AR990</f>
        <v>0</v>
      </c>
      <c r="BI980" s="834" t="str">
        <f>AJ990</f>
        <v/>
      </c>
      <c r="BJ980" s="834">
        <f>AR992</f>
        <v>0</v>
      </c>
      <c r="BK980" s="834" t="str">
        <f>AJ992</f>
        <v/>
      </c>
      <c r="BL980" s="834">
        <f>AR993</f>
        <v>0</v>
      </c>
      <c r="BM980" s="834" t="str">
        <f>AJ993</f>
        <v/>
      </c>
      <c r="BN980" s="834">
        <f>AR994</f>
        <v>1</v>
      </c>
      <c r="BO980" s="834">
        <f>AR995</f>
        <v>1</v>
      </c>
      <c r="BP980" s="834">
        <f>AR996</f>
        <v>0</v>
      </c>
      <c r="BQ980" s="834" t="str">
        <f>AJ996</f>
        <v/>
      </c>
      <c r="BR980" s="834">
        <f>AR997</f>
        <v>0</v>
      </c>
      <c r="BS980" s="834">
        <f>AR998</f>
        <v>0</v>
      </c>
      <c r="BT980" s="834" t="str">
        <f>N980</f>
        <v/>
      </c>
      <c r="BU980" s="834" t="str">
        <f>N981</f>
        <v/>
      </c>
      <c r="BV980" s="834" t="str">
        <f>R983</f>
        <v/>
      </c>
      <c r="BW980" s="834" t="str">
        <f>R989</f>
        <v/>
      </c>
      <c r="BX980" s="834" t="str">
        <f>R990</f>
        <v/>
      </c>
      <c r="BY980" s="56"/>
      <c r="BZ980" s="610" t="b">
        <f>CNTR_CalcRelevant=EUconst_NotRelevant</f>
        <v>0</v>
      </c>
    </row>
    <row r="981" spans="1:78" s="140" customFormat="1" ht="15" customHeight="1" thickBot="1" x14ac:dyDescent="0.25">
      <c r="A981" s="777"/>
      <c r="B981" s="1248"/>
      <c r="C981" s="164"/>
      <c r="D981" s="164"/>
      <c r="E981" s="1625" t="str">
        <f>IF(ISBLANK(E980),"",IF(INDEX(B_InstallationDescription!$E$71:$E$145,MATCH(U979,B_InstallationDescription!$D$71:$D$145,0))&gt;0,INDEX(B_InstallationDescription!$E$71:$E$145,MATCH(U979,B_InstallationDescription!$D$71:$D$145,0)),""))</f>
        <v/>
      </c>
      <c r="F981" s="1626"/>
      <c r="G981" s="1626"/>
      <c r="H981" s="1626"/>
      <c r="I981" s="1626"/>
      <c r="J981" s="1627"/>
      <c r="M981" s="337" t="str">
        <f>Translations!$B$666</f>
        <v>CO2, biomasės kilmės.:</v>
      </c>
      <c r="N981" s="1013" t="str">
        <f>IF(OR(K980="",T981=TRUE),"",INDEX(BC993:BE993,MATCH(K980,BC990:BE990,0)))</f>
        <v/>
      </c>
      <c r="O981" s="1315" t="s">
        <v>257</v>
      </c>
      <c r="P981" s="485"/>
      <c r="Q981" s="343" t="str">
        <f>EUconst_SumBioCO2 &amp; "_" &amp; K980</f>
        <v>SUM_bioCO2_</v>
      </c>
      <c r="R981" s="485"/>
      <c r="S981" s="23"/>
      <c r="T981" s="48" t="str">
        <f>IF(E981="","",MATCH(E981,EUConst_TierActivityListNames,0)&gt;40)</f>
        <v/>
      </c>
      <c r="U981" s="23"/>
      <c r="V981" s="76"/>
      <c r="W981" s="56"/>
      <c r="X981" s="58"/>
      <c r="Y981" s="27" t="s">
        <v>91</v>
      </c>
      <c r="Z981" s="30"/>
      <c r="AA981" s="30"/>
      <c r="AB981" s="30"/>
      <c r="AC981" s="30"/>
      <c r="AD981" s="30"/>
      <c r="AE981" s="27" t="s">
        <v>297</v>
      </c>
      <c r="AF981" s="58"/>
      <c r="AG981" s="495"/>
      <c r="AH981" s="30"/>
      <c r="AI981" s="30"/>
      <c r="AJ981" s="495"/>
      <c r="AK981" s="495"/>
      <c r="AL981" s="333"/>
      <c r="AM981" s="27" t="s">
        <v>303</v>
      </c>
      <c r="AN981" s="496"/>
      <c r="AO981" s="496"/>
      <c r="AP981" s="30"/>
      <c r="AQ981" s="30"/>
      <c r="AR981" s="30"/>
      <c r="AS981" s="30"/>
      <c r="AT981" s="30"/>
      <c r="AU981" s="30"/>
      <c r="AV981" s="27" t="s">
        <v>310</v>
      </c>
      <c r="AW981" s="30"/>
      <c r="AX981" s="483"/>
      <c r="AY981" s="30"/>
      <c r="AZ981" s="30"/>
      <c r="BA981" s="30"/>
      <c r="BB981" s="27" t="s">
        <v>217</v>
      </c>
      <c r="BC981" s="30"/>
      <c r="BD981" s="30"/>
      <c r="BE981" s="30"/>
      <c r="BF981" s="30"/>
      <c r="BG981" s="27" t="s">
        <v>486</v>
      </c>
      <c r="BH981" s="833" t="s">
        <v>552</v>
      </c>
      <c r="BI981" s="833" t="s">
        <v>487</v>
      </c>
      <c r="BJ981" s="833" t="s">
        <v>211</v>
      </c>
      <c r="BK981" s="833" t="s">
        <v>488</v>
      </c>
      <c r="BL981" s="833" t="s">
        <v>68</v>
      </c>
      <c r="BM981" s="833" t="s">
        <v>489</v>
      </c>
      <c r="BN981" s="833" t="s">
        <v>490</v>
      </c>
      <c r="BO981" s="833" t="s">
        <v>491</v>
      </c>
      <c r="BP981" s="833" t="s">
        <v>214</v>
      </c>
      <c r="BQ981" s="833" t="s">
        <v>492</v>
      </c>
      <c r="BR981" s="833" t="s">
        <v>493</v>
      </c>
      <c r="BS981" s="833" t="s">
        <v>494</v>
      </c>
      <c r="BT981" s="833" t="s">
        <v>287</v>
      </c>
      <c r="BU981" s="833" t="s">
        <v>495</v>
      </c>
      <c r="BV981" s="833" t="s">
        <v>498</v>
      </c>
      <c r="BW981" s="833" t="s">
        <v>496</v>
      </c>
      <c r="BX981" s="833" t="s">
        <v>497</v>
      </c>
      <c r="BY981" s="30"/>
      <c r="BZ981" s="30"/>
    </row>
    <row r="982" spans="1:78" s="140" customFormat="1" ht="5.0999999999999996" customHeight="1" thickBot="1" x14ac:dyDescent="0.25">
      <c r="A982" s="777"/>
      <c r="B982" s="1248"/>
      <c r="C982" s="164"/>
      <c r="D982" s="164"/>
      <c r="E982" s="164"/>
      <c r="F982" s="164"/>
      <c r="G982" s="164"/>
      <c r="M982" s="141"/>
      <c r="N982" s="141"/>
      <c r="O982" s="1305"/>
      <c r="P982" s="33"/>
      <c r="Q982" s="33"/>
      <c r="R982" s="33"/>
      <c r="S982" s="23"/>
      <c r="T982" s="23"/>
      <c r="U982" s="23"/>
      <c r="V982" s="76"/>
      <c r="W982" s="30"/>
      <c r="X982" s="30"/>
      <c r="Y982" s="485"/>
      <c r="Z982" s="30"/>
      <c r="AA982" s="30"/>
      <c r="AB982" s="30"/>
      <c r="AC982" s="30"/>
      <c r="AD982" s="30"/>
      <c r="AE982" s="30"/>
      <c r="AF982" s="58"/>
      <c r="AG982" s="30"/>
      <c r="AH982" s="30"/>
      <c r="AI982" s="30"/>
      <c r="AJ982" s="495"/>
      <c r="AK982" s="495"/>
      <c r="AL982" s="333"/>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row>
    <row r="983" spans="1:78" s="140" customFormat="1" ht="12.75" customHeight="1" thickBot="1" x14ac:dyDescent="0.25">
      <c r="A983" s="777"/>
      <c r="B983" s="1248"/>
      <c r="C983" s="164"/>
      <c r="D983" s="164"/>
      <c r="E983" s="1628" t="str">
        <f>IF(E980="","",IF(T981=TRUE,HYPERLINK("#JUMP_14",EUconst_MsgGoOnPFC),HYPERLINK("#JUMP_E_8",EUconst_FurtherGuidancePoint1)))</f>
        <v/>
      </c>
      <c r="F983" s="1628"/>
      <c r="G983" s="1628"/>
      <c r="H983" s="1628"/>
      <c r="I983" s="1628"/>
      <c r="J983" s="1628"/>
      <c r="K983" s="1628"/>
      <c r="L983" s="1628"/>
      <c r="M983" s="1628"/>
      <c r="N983" s="141"/>
      <c r="O983" s="1305"/>
      <c r="P983" s="33"/>
      <c r="Q983" s="343" t="str">
        <f>EUconst_SumNonSustBioCO2 &amp; "_" &amp; K980</f>
        <v>SUM_bioNonSustCO2_</v>
      </c>
      <c r="R983" s="698" t="str">
        <f>IF(OR(K980="",T981=TRUE),"",ROUND(INDEX(BC992:BE992,MATCH(K980,BC990:BE990,0)),0))</f>
        <v/>
      </c>
      <c r="S983" s="23"/>
      <c r="T983" s="23"/>
      <c r="U983" s="23"/>
      <c r="V983" s="30"/>
      <c r="W983" s="30"/>
      <c r="X983" s="30"/>
      <c r="Y983" s="58"/>
      <c r="Z983" s="30"/>
      <c r="AA983" s="30"/>
      <c r="AB983" s="30"/>
      <c r="AC983" s="30"/>
      <c r="AD983" s="30"/>
      <c r="AE983" s="30"/>
      <c r="AF983" s="58"/>
      <c r="AG983" s="30"/>
      <c r="AH983" s="30"/>
      <c r="AI983" s="30"/>
      <c r="AJ983" s="495"/>
      <c r="AK983" s="495"/>
      <c r="AL983" s="333"/>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row>
    <row r="984" spans="1:78" s="140" customFormat="1" ht="5.0999999999999996" customHeight="1" thickBot="1" x14ac:dyDescent="0.25">
      <c r="A984" s="777"/>
      <c r="B984" s="1248"/>
      <c r="C984" s="164"/>
      <c r="D984" s="164"/>
      <c r="E984" s="164"/>
      <c r="F984" s="164"/>
      <c r="G984" s="164"/>
      <c r="M984" s="141"/>
      <c r="N984" s="141"/>
      <c r="O984" s="1305"/>
      <c r="P984" s="23"/>
      <c r="Q984" s="23"/>
      <c r="R984" s="23"/>
      <c r="S984" s="23"/>
      <c r="T984" s="23"/>
      <c r="U984" s="23"/>
      <c r="V984" s="30"/>
      <c r="W984" s="30"/>
      <c r="X984" s="30"/>
      <c r="Y984" s="485"/>
      <c r="Z984" s="30"/>
      <c r="AA984" s="30"/>
      <c r="AB984" s="30"/>
      <c r="AC984" s="30"/>
      <c r="AD984" s="30"/>
      <c r="AE984" s="30"/>
      <c r="AF984" s="58"/>
      <c r="AG984" s="30"/>
      <c r="AH984" s="30"/>
      <c r="AI984" s="30"/>
      <c r="AJ984" s="495"/>
      <c r="AK984" s="495"/>
      <c r="AL984" s="333"/>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row>
    <row r="985" spans="1:78" s="140" customFormat="1" ht="12.75" customHeight="1" thickBot="1" x14ac:dyDescent="0.25">
      <c r="A985" s="777"/>
      <c r="B985" s="1248"/>
      <c r="C985" s="783" t="s">
        <v>4</v>
      </c>
      <c r="D985" s="503" t="str">
        <f>Translations!$B$622</f>
        <v>VD:</v>
      </c>
      <c r="E985" s="1631" t="str">
        <f>Translations!$B$667</f>
        <v>Ar veiklos duomenys gaunami sudedant išmatuotus kiekius (t. y. ne atliekant nuolatinius matavimus)?</v>
      </c>
      <c r="F985" s="1631"/>
      <c r="G985" s="1631"/>
      <c r="H985" s="1631"/>
      <c r="I985" s="1631"/>
      <c r="J985" s="1631"/>
      <c r="K985" s="1631"/>
      <c r="L985" s="1122"/>
      <c r="M985" s="498"/>
      <c r="O985" s="1305"/>
      <c r="P985" s="23"/>
      <c r="Q985" s="23"/>
      <c r="R985" s="23"/>
      <c r="S985" s="23"/>
      <c r="T985" s="23"/>
      <c r="U985" s="23"/>
      <c r="V985" s="30"/>
      <c r="W985" s="30"/>
      <c r="X985" s="30"/>
      <c r="Y985" s="485"/>
      <c r="Z985" s="30"/>
      <c r="AA985" s="30"/>
      <c r="AB985" s="30"/>
      <c r="AC985" s="1115" t="b">
        <f>AND(E980&lt;&gt;"",T981&lt;&gt;TRUE)</f>
        <v>0</v>
      </c>
      <c r="AD985" s="30"/>
      <c r="AE985" s="30"/>
      <c r="AF985" s="58"/>
      <c r="AG985" s="30"/>
      <c r="AH985" s="30"/>
      <c r="AI985" s="30"/>
      <c r="AJ985" s="495"/>
      <c r="AK985" s="495"/>
      <c r="AL985" s="333"/>
      <c r="AM985" s="30"/>
      <c r="AN985" s="30"/>
      <c r="AO985" s="30"/>
      <c r="AP985" s="30"/>
      <c r="AQ985" s="30"/>
      <c r="AR985" s="30"/>
      <c r="AS985" s="30"/>
      <c r="AT985" s="1115" t="b">
        <f>MSPara_BatchReportingMandatory&lt;&gt;TRUE</f>
        <v>0</v>
      </c>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1115" t="b">
        <f>OR(CNTR_CalcRelevant=EUconst_NotRelevant,AND(COUNTA(CNTR_ListRelevantSections)&gt;0,OR(T981=TRUE,E980="")))</f>
        <v>1</v>
      </c>
    </row>
    <row r="986" spans="1:78" s="140" customFormat="1" ht="5.0999999999999996" customHeight="1" thickBot="1" x14ac:dyDescent="0.25">
      <c r="A986" s="777"/>
      <c r="B986" s="1248"/>
      <c r="C986" s="164"/>
      <c r="D986" s="164"/>
      <c r="E986" s="164"/>
      <c r="F986" s="164"/>
      <c r="G986" s="164"/>
      <c r="H986" s="486"/>
      <c r="I986" s="486"/>
      <c r="J986" s="486"/>
      <c r="K986" s="486"/>
      <c r="L986" s="486"/>
      <c r="M986" s="498"/>
      <c r="O986" s="1305"/>
      <c r="P986" s="23"/>
      <c r="Q986" s="23"/>
      <c r="R986" s="23"/>
      <c r="S986" s="23"/>
      <c r="T986" s="23"/>
      <c r="U986" s="23"/>
      <c r="V986" s="30"/>
      <c r="W986" s="30"/>
      <c r="X986" s="30"/>
      <c r="Y986" s="485"/>
      <c r="Z986" s="30"/>
      <c r="AA986" s="30"/>
      <c r="AB986" s="30"/>
      <c r="AC986" s="483"/>
      <c r="AD986" s="30"/>
      <c r="AE986" s="30"/>
      <c r="AF986" s="58"/>
      <c r="AG986" s="30"/>
      <c r="AH986" s="30"/>
      <c r="AI986" s="30"/>
      <c r="AJ986" s="495"/>
      <c r="AK986" s="495"/>
      <c r="AL986" s="333"/>
      <c r="AM986" s="30"/>
      <c r="AN986" s="30"/>
      <c r="AO986" s="30"/>
      <c r="AP986" s="30"/>
      <c r="AQ986" s="30"/>
      <c r="AR986" s="30"/>
      <c r="AS986" s="30"/>
      <c r="AT986" s="483"/>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483"/>
    </row>
    <row r="987" spans="1:78" s="140" customFormat="1" ht="12.75" customHeight="1" thickBot="1" x14ac:dyDescent="0.25">
      <c r="A987" s="777"/>
      <c r="B987" s="1248"/>
      <c r="C987" s="783" t="s">
        <v>5</v>
      </c>
      <c r="D987" s="503" t="str">
        <f>Translations!$B$622</f>
        <v>VD:</v>
      </c>
      <c r="E987" s="1105" t="str">
        <f>Translations!$B$668</f>
        <v>Pradinis kiekis:</v>
      </c>
      <c r="F987" s="1123"/>
      <c r="G987" s="1106" t="str">
        <f>Translations!$B$669</f>
        <v>Galutinis kiekis:</v>
      </c>
      <c r="H987" s="1123"/>
      <c r="I987" s="1106" t="str">
        <f>Translations!$B$670</f>
        <v>Įsigytas kiekis:</v>
      </c>
      <c r="J987" s="1123"/>
      <c r="K987" s="1106" t="str">
        <f>Translations!$B$671</f>
        <v>Perduotas kiekis:</v>
      </c>
      <c r="L987" s="1123"/>
      <c r="M987" s="1107" t="str">
        <f>IF(AND(L985=TRUE,COUNT(F987,H987,J987,L987)&lt;4),EUconst_ERR_Incomplete,"")</f>
        <v/>
      </c>
      <c r="O987" s="1305"/>
      <c r="P987" s="23"/>
      <c r="Q987" s="23"/>
      <c r="R987" s="23"/>
      <c r="S987" s="23"/>
      <c r="T987" s="23"/>
      <c r="U987" s="23"/>
      <c r="V987" s="30"/>
      <c r="W987" s="30"/>
      <c r="X987" s="30"/>
      <c r="Y987" s="485"/>
      <c r="Z987" s="30"/>
      <c r="AA987" s="30"/>
      <c r="AB987" s="30"/>
      <c r="AC987" s="1115" t="b">
        <f>AC985</f>
        <v>0</v>
      </c>
      <c r="AD987" s="30"/>
      <c r="AE987" s="30"/>
      <c r="AF987" s="58"/>
      <c r="AG987" s="30"/>
      <c r="AH987" s="30"/>
      <c r="AI987" s="30"/>
      <c r="AJ987" s="495"/>
      <c r="AK987" s="495"/>
      <c r="AL987" s="333"/>
      <c r="AM987" s="30"/>
      <c r="AN987" s="30"/>
      <c r="AO987" s="30"/>
      <c r="AP987" s="30"/>
      <c r="AQ987" s="30"/>
      <c r="AR987" s="30"/>
      <c r="AS987" s="30"/>
      <c r="AT987" s="1115" t="b">
        <f>AND(AT985=TRUE,L985="")</f>
        <v>0</v>
      </c>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1115" t="b">
        <f>OR(BZ985,AND(NOT(ISBLANK(L985)),L985=FALSE))</f>
        <v>1</v>
      </c>
    </row>
    <row r="988" spans="1:78" s="140" customFormat="1" ht="5.0999999999999996" customHeight="1" thickBot="1" x14ac:dyDescent="0.25">
      <c r="A988" s="777"/>
      <c r="B988" s="1248"/>
      <c r="C988" s="164"/>
      <c r="D988" s="164"/>
      <c r="E988" s="164"/>
      <c r="F988" s="164"/>
      <c r="G988" s="164"/>
      <c r="M988" s="141"/>
      <c r="N988" s="141"/>
      <c r="O988" s="1305"/>
      <c r="P988" s="23"/>
      <c r="Q988" s="23"/>
      <c r="R988" s="23"/>
      <c r="S988" s="23"/>
      <c r="T988" s="23"/>
      <c r="U988" s="23"/>
      <c r="V988" s="30"/>
      <c r="W988" s="30"/>
      <c r="X988" s="30"/>
      <c r="Y988" s="485"/>
      <c r="Z988" s="30"/>
      <c r="AA988" s="30"/>
      <c r="AB988" s="30"/>
      <c r="AC988" s="30"/>
      <c r="AD988" s="30"/>
      <c r="AE988" s="30"/>
      <c r="AF988" s="58"/>
      <c r="AG988" s="30"/>
      <c r="AH988" s="30"/>
      <c r="AI988" s="30"/>
      <c r="AJ988" s="495"/>
      <c r="AK988" s="495"/>
      <c r="AL988" s="333"/>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row>
    <row r="989" spans="1:78" s="140" customFormat="1" ht="12.75" customHeight="1" thickBot="1" x14ac:dyDescent="0.25">
      <c r="A989" s="777"/>
      <c r="B989" s="1248"/>
      <c r="C989" s="164"/>
      <c r="D989" s="164"/>
      <c r="E989" s="164"/>
      <c r="F989" s="497" t="str">
        <f>Translations!$B$333</f>
        <v>Pakopa</v>
      </c>
      <c r="G989" s="1613" t="str">
        <f>Translations!$B$672</f>
        <v>pakopos aprašas</v>
      </c>
      <c r="H989" s="1613"/>
      <c r="I989" s="1608" t="str">
        <f>Translations!$B$158</f>
        <v>Vienetas</v>
      </c>
      <c r="J989" s="1608"/>
      <c r="K989" s="1608" t="str">
        <f>Translations!$B$673</f>
        <v>Vertė</v>
      </c>
      <c r="L989" s="1608"/>
      <c r="M989" s="498" t="str">
        <f>Translations!$B$610</f>
        <v>klaida</v>
      </c>
      <c r="O989" s="1305"/>
      <c r="P989" s="499"/>
      <c r="Q989" s="343" t="str">
        <f>EUconst_SumEnergyIN &amp; "_" &amp; K980</f>
        <v>SUM_EnergyIN_</v>
      </c>
      <c r="R989" s="390" t="str">
        <f>IF(OR(K980="",T981)=TRUE,"",INDEX(BC995:BE995,MATCH(K980,BC990:BE990,0)))</f>
        <v/>
      </c>
      <c r="S989" s="30"/>
      <c r="T989" s="480"/>
      <c r="U989" s="30"/>
      <c r="V989" s="500" t="s">
        <v>298</v>
      </c>
      <c r="W989" s="30"/>
      <c r="X989" s="30"/>
      <c r="Y989" s="485" t="s">
        <v>560</v>
      </c>
      <c r="Z989" s="485" t="s">
        <v>313</v>
      </c>
      <c r="AA989" s="30"/>
      <c r="AB989" s="30"/>
      <c r="AC989" s="496" t="s">
        <v>304</v>
      </c>
      <c r="AD989" s="30"/>
      <c r="AE989" s="30"/>
      <c r="AF989" s="483" t="s">
        <v>300</v>
      </c>
      <c r="AG989" s="483" t="s">
        <v>301</v>
      </c>
      <c r="AH989" s="485" t="s">
        <v>299</v>
      </c>
      <c r="AI989" s="495" t="s">
        <v>302</v>
      </c>
      <c r="AJ989" s="495" t="s">
        <v>561</v>
      </c>
      <c r="AK989" s="501" t="s">
        <v>306</v>
      </c>
      <c r="AL989" s="333"/>
      <c r="AM989" s="30"/>
      <c r="AN989" s="483" t="s">
        <v>300</v>
      </c>
      <c r="AO989" s="483" t="s">
        <v>301</v>
      </c>
      <c r="AP989" s="502" t="s">
        <v>305</v>
      </c>
      <c r="AQ989" s="495" t="s">
        <v>563</v>
      </c>
      <c r="AR989" s="495" t="s">
        <v>562</v>
      </c>
      <c r="AS989" s="501" t="s">
        <v>599</v>
      </c>
      <c r="AT989" s="501" t="s">
        <v>599</v>
      </c>
      <c r="AU989" s="30"/>
      <c r="AV989" s="483"/>
      <c r="AW989" s="483"/>
      <c r="AX989" s="483" t="s">
        <v>316</v>
      </c>
      <c r="AY989" s="483"/>
      <c r="AZ989" s="483"/>
      <c r="BA989" s="483"/>
      <c r="BB989" s="483"/>
      <c r="BC989" s="483"/>
      <c r="BD989" s="483"/>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484" t="s">
        <v>259</v>
      </c>
    </row>
    <row r="990" spans="1:78" s="140" customFormat="1" ht="12.75" customHeight="1" thickBot="1" x14ac:dyDescent="0.25">
      <c r="A990" s="777"/>
      <c r="B990" s="1248"/>
      <c r="C990" s="753" t="s">
        <v>194</v>
      </c>
      <c r="D990" s="503" t="str">
        <f>Translations!$B$622</f>
        <v>VD:</v>
      </c>
      <c r="E990" s="504"/>
      <c r="F990" s="393"/>
      <c r="G990" s="1603" t="str">
        <f>IF(OR(ISBLANK(F990),F990=EUconst_NoTier),"",IF(Z990=0,EUconst_NA,IF(ISERROR(Z990),"",Z990)))</f>
        <v/>
      </c>
      <c r="H990" s="1604"/>
      <c r="I990" s="1108" t="str">
        <f>IF(J990&lt;&gt;"","",AI990)</f>
        <v/>
      </c>
      <c r="J990" s="1109"/>
      <c r="K990" s="1116" t="str">
        <f>IF(L990="",AQ990,"")</f>
        <v/>
      </c>
      <c r="L990" s="1199"/>
      <c r="M990" s="700" t="str">
        <f>IF(AND(E981&lt;&gt;"",OR(F990="",COUNT(K990:L990)=0),Y990&lt;&gt;EUconst_NA,T981&lt;&gt;TRUE),EUconst_ERR_Incomplete,IF(COUNTIF(AX990:AZ990,TRUE)&gt;0,EUconst_ERR_Inconsistent,""))</f>
        <v/>
      </c>
      <c r="O990" s="1305"/>
      <c r="P990" s="635"/>
      <c r="Q990" s="343" t="str">
        <f>EUconst_SumBioEnergyIN &amp; "_" &amp; K980</f>
        <v>SUM_BioEnergyIN_</v>
      </c>
      <c r="R990" s="390" t="str">
        <f>IF(OR(K980="",T981)=TRUE,"",INDEX(BC996:BE996,MATCH(K980,BC990:BE990,0)))</f>
        <v/>
      </c>
      <c r="S990" s="30"/>
      <c r="T990" s="505" t="str">
        <f>EUconst_CNTR_ActivityData&amp;E981</f>
        <v>ActivityData_</v>
      </c>
      <c r="U990" s="488"/>
      <c r="V990" s="505" t="str">
        <f>IF(E980="","",INDEX(B_InstallationDescription!$I$71:$I$145,MATCH(U979,B_InstallationDescription!$D$71:$D$145,0)))</f>
        <v/>
      </c>
      <c r="W990" s="495" t="s">
        <v>533</v>
      </c>
      <c r="X990" s="488"/>
      <c r="Y990" s="506" t="str">
        <f>IF(OR(T981=TRUE,E981=""),"",INDEX(EUwideConstants!$N:$N,MATCH(T990,EUwideConstants!$Q:$Q,0)))</f>
        <v/>
      </c>
      <c r="Z990" s="507" t="str">
        <f>IF(ISBLANK(F990),"",IF(F990=EUconst_NA,"",INDEX(EUwideConstants!$H:$M,MATCH(T990,EUwideConstants!$Q:$Q,0),MATCH(F990,CNTR_TierList,0))))</f>
        <v/>
      </c>
      <c r="AA990" s="508" t="s">
        <v>299</v>
      </c>
      <c r="AB990" s="495"/>
      <c r="AC990" s="509" t="b">
        <f>AC985</f>
        <v>0</v>
      </c>
      <c r="AD990" s="30"/>
      <c r="AE990" s="510" t="str">
        <f>EUconst_CNTR_ActivityData&amp;EUconst_Unit</f>
        <v>ActivityData_Vienetas</v>
      </c>
      <c r="AF990" s="511" t="str">
        <f>IF(AC990=TRUE, IF(COUNTIF(MSPara_SourceStreamCategory,V990)=0,"",INDEX(MSPara_CalcFactorsMatrix,MATCH(V990,MSPara_SourceStreamCategory,0),MATCH(AE990&amp;"_"&amp;2,MSPara_CalcFactors,0))),"")</f>
        <v/>
      </c>
      <c r="AG990" s="512" t="str">
        <f>IF(AC990=TRUE, IF(COUNTIF(MSPara_SourceStreamCategory,V990)=0,"",INDEX(MSPara_CalcFactorsMatrix,MATCH(V990,MSPara_SourceStreamCategory,0),MATCH(AE990&amp;"_"&amp;1,MSPara_CalcFactors,0))),"")</f>
        <v/>
      </c>
      <c r="AH990" s="509" t="str">
        <f>IF(OR(AF990="",AF990=EUconst_NA),IF(OR(AG990=EUconst_NA,AG990=""),"",AG990),AF990)</f>
        <v/>
      </c>
      <c r="AI990" s="506" t="str">
        <f>IF(AC990=TRUE,IF(AH990="",EUconst_t,AH990),"")</f>
        <v/>
      </c>
      <c r="AJ990" s="513" t="str">
        <f>IF(J990="",AI990,J990)</f>
        <v/>
      </c>
      <c r="AK990" s="514" t="b">
        <f>IF(K980=EUconst_Fuel,J990&lt;&gt;"",FALSE)</f>
        <v>0</v>
      </c>
      <c r="AL990" s="333"/>
      <c r="AM990" s="505" t="str">
        <f>EUconst_CNTR_ActivityData&amp;EUconst_Value</f>
        <v>ActivityData_Vertė</v>
      </c>
      <c r="AN990" s="496"/>
      <c r="AO990" s="496"/>
      <c r="AP990" s="509" t="b">
        <f>AND(AND(AH990&lt;&gt;"",AJ990&lt;&gt;""),AJ990=AH990)</f>
        <v>0</v>
      </c>
      <c r="AQ990" s="610" t="str">
        <f>IF(L985=TRUE,SUM(F987)-SUM(H987)+SUM(J987)-SUM(L987),"")</f>
        <v/>
      </c>
      <c r="AR990" s="509">
        <f>IF(Y990=EUconst_NA,0,IF(COUNT(K990:L990)=0,0,IF(L990="",K990,L990)))</f>
        <v>0</v>
      </c>
      <c r="AS990" s="1115" t="b">
        <f>AND(AC990=TRUE,OR(L990&lt;&gt;"",AQ990=""))</f>
        <v>0</v>
      </c>
      <c r="AT990" s="1115" t="b">
        <f>AND(AC990=TRUE,NOT(AS990))</f>
        <v>0</v>
      </c>
      <c r="AU990" s="30"/>
      <c r="AV990" s="483" t="s">
        <v>309</v>
      </c>
      <c r="AW990" s="483" t="s">
        <v>314</v>
      </c>
      <c r="AX990" s="515"/>
      <c r="AY990" s="30" t="s">
        <v>536</v>
      </c>
      <c r="AZ990" s="30"/>
      <c r="BA990" s="30"/>
      <c r="BB990" s="495"/>
      <c r="BC990" s="484" t="str">
        <f>EUconst_Fuel</f>
        <v>Degimas</v>
      </c>
      <c r="BD990" s="484" t="str">
        <f>EUconst_ProcessCarbonate</f>
        <v>Proceso metu išsiskiriančios ŠESD</v>
      </c>
      <c r="BE990" s="484" t="str">
        <f>EUconst_MassBalance</f>
        <v>Masės balansas</v>
      </c>
      <c r="BF990" s="30"/>
      <c r="BG990" s="30"/>
      <c r="BH990" s="30"/>
      <c r="BI990" s="30"/>
      <c r="BJ990" s="30"/>
      <c r="BK990" s="30"/>
      <c r="BL990" s="30"/>
      <c r="BM990" s="30"/>
      <c r="BN990" s="30"/>
      <c r="BO990" s="30"/>
      <c r="BP990" s="30"/>
      <c r="BQ990" s="30"/>
      <c r="BR990" s="30"/>
      <c r="BS990" s="30"/>
      <c r="BT990" s="30"/>
      <c r="BU990" s="30"/>
      <c r="BV990" s="30"/>
      <c r="BW990" s="30"/>
      <c r="BX990" s="30"/>
      <c r="BY990" s="30"/>
      <c r="BZ990" s="515" t="b">
        <f>BZ985</f>
        <v>1</v>
      </c>
    </row>
    <row r="991" spans="1:78" s="140" customFormat="1" ht="5.0999999999999996" customHeight="1" thickBot="1" x14ac:dyDescent="0.25">
      <c r="A991" s="777"/>
      <c r="B991" s="1248"/>
      <c r="C991" s="783"/>
      <c r="D991" s="298"/>
      <c r="F991" s="141"/>
      <c r="G991" s="141"/>
      <c r="H991" s="141" t="s">
        <v>233</v>
      </c>
      <c r="I991" s="516"/>
      <c r="J991" s="516"/>
      <c r="K991" s="141"/>
      <c r="L991" s="141"/>
      <c r="M991" s="701"/>
      <c r="O991" s="1305"/>
      <c r="P991" s="33"/>
      <c r="Q991" s="33"/>
      <c r="R991" s="33"/>
      <c r="S991" s="30"/>
      <c r="T991" s="153"/>
      <c r="U991" s="488"/>
      <c r="V991" s="30"/>
      <c r="W991" s="30"/>
      <c r="X991" s="488"/>
      <c r="Y991" s="517"/>
      <c r="Z991" s="30"/>
      <c r="AA991" s="30"/>
      <c r="AB991" s="30"/>
      <c r="AC991" s="30"/>
      <c r="AD991" s="30"/>
      <c r="AE991" s="30"/>
      <c r="AF991" s="30"/>
      <c r="AG991" s="30"/>
      <c r="AH991" s="30"/>
      <c r="AI991" s="30"/>
      <c r="AJ991" s="30"/>
      <c r="AK991" s="30"/>
      <c r="AL991" s="333"/>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484"/>
    </row>
    <row r="992" spans="1:78" s="140" customFormat="1" ht="12.75" customHeight="1" thickBot="1" x14ac:dyDescent="0.25">
      <c r="A992" s="777"/>
      <c r="B992" s="1248"/>
      <c r="C992" s="783" t="s">
        <v>195</v>
      </c>
      <c r="D992" s="503" t="str">
        <f>Translations!$B$634</f>
        <v>(prelim.) ITF:</v>
      </c>
      <c r="E992" s="504"/>
      <c r="F992" s="518"/>
      <c r="G992" s="1603" t="str">
        <f t="shared" ref="G992:G998" si="238">IF(OR(ISBLANK(F992),F992=EUconst_NoTier),"",IF(Z992=0,EUconst_NotApplicable,IF(ISERROR(Z992),"",Z992)))</f>
        <v/>
      </c>
      <c r="H992" s="1609"/>
      <c r="I992" s="1110" t="str">
        <f>IF(J992&lt;&gt;"","",AI992)</f>
        <v/>
      </c>
      <c r="J992" s="1111"/>
      <c r="K992" s="519" t="str">
        <f t="shared" ref="K992:K998" si="239">IF(L992="",AQ992,"")</f>
        <v/>
      </c>
      <c r="L992" s="520"/>
      <c r="M992" s="700" t="str">
        <f>IF(AND(E981&lt;&gt;"",OR(F992="",COUNT(K992:L992)=0),Y992&lt;&gt;EUconst_NA,T981&lt;&gt;TRUE),EUconst_ERR_Incomplete,IF(COUNTIF(AX992:AZ992,TRUE)&gt;0,EUconst_ERR_Inconsistent,""))</f>
        <v/>
      </c>
      <c r="N992" s="486"/>
      <c r="O992" s="1305"/>
      <c r="P992" s="33"/>
      <c r="Q992" s="33"/>
      <c r="R992" s="33"/>
      <c r="S992" s="30"/>
      <c r="T992" s="521" t="str">
        <f>EUconst_CNTR_EF&amp;E981</f>
        <v>EF_</v>
      </c>
      <c r="U992" s="488"/>
      <c r="V992" s="522" t="str">
        <f>V990</f>
        <v/>
      </c>
      <c r="W992" s="30"/>
      <c r="X992" s="488"/>
      <c r="Y992" s="523" t="str">
        <f>IF(OR(T981=TRUE,E981=""),"",IF(F992=EUconst_NA,EUconst_NA,INDEX(EUwideConstants!$N:$N,MATCH(T992,EUwideConstants!$Q:$Q,0))))</f>
        <v/>
      </c>
      <c r="Z992" s="524" t="str">
        <f>IF(ISBLANK(F992),"",IF(F992=EUconst_NA,"",INDEX(EUwideConstants!$H:$M,MATCH(T992,EUwideConstants!$Q:$Q,0),MATCH(F992,CNTR_TierList,0))))</f>
        <v/>
      </c>
      <c r="AA992" s="525" t="str">
        <f>IF(COUNTIF(EUconst_DefaultValues,Z992)&gt;0,MATCH(Z992,EUconst_DefaultValues,0),"")</f>
        <v/>
      </c>
      <c r="AB992" s="30"/>
      <c r="AC992" s="526" t="b">
        <f>AND(AC990,Y992&lt;&gt;EUconst_NA)</f>
        <v>0</v>
      </c>
      <c r="AD992" s="30"/>
      <c r="AE992" s="510" t="str">
        <f>EUconst_CNTR_EF&amp;EUconst_Unit</f>
        <v>EF_Vienetas</v>
      </c>
      <c r="AF992" s="527" t="str">
        <f>IF(AC992=TRUE, IF(COUNTIF(MSPara_SourceStreamCategory,V992)=0,"",INDEX(MSPara_CalcFactorsMatrix,MATCH(V992,MSPara_SourceStreamCategory,0),MATCH(AE992&amp;"_"&amp;2,MSPara_CalcFactors,0))),"")</f>
        <v/>
      </c>
      <c r="AG992" s="528" t="str">
        <f>IF(AC992=TRUE, IF(COUNTIF(MSPara_SourceStreamCategory,V992)=0,"",INDEX(MSPara_CalcFactorsMatrix,MATCH(V992,MSPara_SourceStreamCategory,0),MATCH(AE992&amp;"_"&amp;1,MSPara_CalcFactors,0))),"")</f>
        <v/>
      </c>
      <c r="AH992" s="529" t="str">
        <f>IF(AA992="","",INDEX(AF992:AG992,3-AA992))</f>
        <v/>
      </c>
      <c r="AI992" s="530" t="str">
        <f>IF(AC992=TRUE,IF(OR(AH992="",AH992=EUconst_NA),IF(K980=EUconst_Fuel,EUconst_tCO2pTJ,EUconst_tCO2pt),AH992),"")</f>
        <v/>
      </c>
      <c r="AJ992" s="526" t="str">
        <f>IF(J992="",AI992,J992)</f>
        <v/>
      </c>
      <c r="AK992" s="531" t="b">
        <f>IF(K980=EUconst_Fuel,J992&lt;&gt;"",FALSE)</f>
        <v>0</v>
      </c>
      <c r="AL992" s="333"/>
      <c r="AM992" s="510" t="str">
        <f>EUconst_CNTR_EF&amp;EUconst_Value</f>
        <v>EF_Vertė</v>
      </c>
      <c r="AN992" s="532" t="str">
        <f>IF(AC992=TRUE,IF(COUNTIF(MSPara_SourceStreamCategory,V992)=0,"",INDEX(MSPara_CalcFactorsMatrix,MATCH(V992,MSPara_SourceStreamCategory,0),MATCH(AM992&amp;"_"&amp;2,MSPara_CalcFactors,0))),"")</f>
        <v/>
      </c>
      <c r="AO992" s="533" t="str">
        <f>IF(AC992=TRUE,IF(COUNTIF(MSPara_SourceStreamCategory,V992)=0,"",INDEX(MSPara_CalcFactorsMatrix,MATCH(V992,MSPara_SourceStreamCategory,0),MATCH(AM992&amp;"_"&amp;1,MSPara_CalcFactors,0))),"")</f>
        <v/>
      </c>
      <c r="AP992" s="526" t="b">
        <f>AND(AND(AH992&lt;&gt;"",AJ992&lt;&gt;""),AJ992=AH992)</f>
        <v>0</v>
      </c>
      <c r="AQ992" s="534" t="str">
        <f>IF(AND(AA992&lt;&gt;"",AP992=TRUE),IF(OR(INDEX(AN992:AO992,3-AA992)=EUconst_NA,INDEX(AN992:AO992,3-AA992)=0),"",INDEX(AN992:AO992,3-AA992)),"")</f>
        <v/>
      </c>
      <c r="AR992" s="526">
        <f>IF(AC992=TRUE,IF(COUNT(K992:L992)=0,0,IF(L992="",K992,L992)),0)</f>
        <v>0</v>
      </c>
      <c r="AS992" s="522" t="b">
        <f>AND(AC992=TRUE,OR(AND(F992&lt;&gt;"",NOT(ISNUMBER(AA992))),L992&lt;&gt;"",F992="",AQ992=""))</f>
        <v>0</v>
      </c>
      <c r="AT992" s="522" t="b">
        <f t="shared" ref="AT992:AT998" si="240">AND(AC992=TRUE,NOT(AS992))</f>
        <v>0</v>
      </c>
      <c r="AU992" s="30"/>
      <c r="AV992" s="535" t="b">
        <f t="shared" ref="AV992:AV998" si="241">AND(ISNUMBER(AA992),AQ992="")</f>
        <v>0</v>
      </c>
      <c r="AW992" s="536" t="b">
        <f t="shared" ref="AW992:AW998" si="242">AND(ISNUMBER(AA992),AQ992&lt;&gt;AR992)</f>
        <v>0</v>
      </c>
      <c r="AX992" s="537" t="b">
        <f>OR(AND(AJ990=EUconst_kNm3,AJ992=EUconst_tCO2pt),AND(AJ990=EUconst_t,AJ992=EUconst_tCO2pkNm3))</f>
        <v>0</v>
      </c>
      <c r="AY992" s="522" t="b">
        <f t="shared" ref="AY992:AY998" si="243">AND(L992&lt;&gt;"",Y992=EUconst_NA)</f>
        <v>0</v>
      </c>
      <c r="AZ992" s="30"/>
      <c r="BA992" s="30"/>
      <c r="BB992" s="538" t="s">
        <v>588</v>
      </c>
      <c r="BC992" s="537" t="str">
        <f>IF(K980=BC990,AR990*IF(AJ992=EUconst_tCO2pTJ,(AR993/1000),1)*AR992*AR994*AR998,"")</f>
        <v/>
      </c>
      <c r="BD992" s="515" t="str">
        <f>IF(K980=BD990,AR990*AR992*AR995*AR998,"")</f>
        <v/>
      </c>
      <c r="BE992" s="514" t="str">
        <f>IF(K980=BE990,3.664*AR990*AR996*AR998,"")</f>
        <v/>
      </c>
      <c r="BF992" s="30"/>
      <c r="BG992" s="30"/>
      <c r="BH992" s="30"/>
      <c r="BI992" s="30"/>
      <c r="BJ992" s="30"/>
      <c r="BK992" s="30"/>
      <c r="BL992" s="30"/>
      <c r="BM992" s="30"/>
      <c r="BN992" s="30"/>
      <c r="BO992" s="30"/>
      <c r="BP992" s="30"/>
      <c r="BQ992" s="30"/>
      <c r="BR992" s="30"/>
      <c r="BS992" s="30"/>
      <c r="BT992" s="30"/>
      <c r="BU992" s="30"/>
      <c r="BV992" s="30"/>
      <c r="BW992" s="30"/>
      <c r="BX992" s="30"/>
      <c r="BY992" s="30"/>
      <c r="BZ992" s="522" t="b">
        <f>OR(BZ990,Y992=EUconst_NA)</f>
        <v>1</v>
      </c>
    </row>
    <row r="993" spans="1:78" s="140" customFormat="1" ht="12.75" customHeight="1" thickBot="1" x14ac:dyDescent="0.25">
      <c r="A993" s="777"/>
      <c r="B993" s="1248"/>
      <c r="C993" s="783" t="s">
        <v>196</v>
      </c>
      <c r="D993" s="503" t="str">
        <f>Translations!$B$636</f>
        <v>GŠV:</v>
      </c>
      <c r="E993" s="504"/>
      <c r="F993" s="539"/>
      <c r="G993" s="1603" t="str">
        <f t="shared" si="238"/>
        <v/>
      </c>
      <c r="H993" s="1604"/>
      <c r="I993" s="1112" t="str">
        <f>AJ993</f>
        <v/>
      </c>
      <c r="J993" s="540"/>
      <c r="K993" s="541" t="str">
        <f t="shared" si="239"/>
        <v/>
      </c>
      <c r="L993" s="542"/>
      <c r="M993" s="700" t="str">
        <f>IF(AND(E981&lt;&gt;"",OR(F993="",COUNT(K993:L993)=0),Y993&lt;&gt;EUconst_NA,T981&lt;&gt;TRUE),EUconst_ERR_Incomplete,IF(COUNTIF(AX993:AZ993,TRUE)&gt;0,EUconst_ERR_Inconsistent,""))</f>
        <v/>
      </c>
      <c r="O993" s="1305"/>
      <c r="P993" s="33"/>
      <c r="Q993" s="33"/>
      <c r="R993" s="33"/>
      <c r="S993" s="30"/>
      <c r="T993" s="543" t="str">
        <f>EUconst_CNTR_NCV&amp;E981</f>
        <v>NCV_</v>
      </c>
      <c r="U993" s="488"/>
      <c r="V993" s="544" t="str">
        <f t="shared" ref="V993:V998" si="244">V992</f>
        <v/>
      </c>
      <c r="W993" s="30"/>
      <c r="X993" s="488"/>
      <c r="Y993" s="545" t="str">
        <f>IF(OR(T981=TRUE,E981=""),"",IF(F993=EUconst_NA,EUconst_NA,INDEX(EUwideConstants!$N:$N,MATCH(T993,EUwideConstants!$Q:$Q,0))))</f>
        <v/>
      </c>
      <c r="Z993" s="546" t="str">
        <f>IF(ISBLANK(F993),"",IF(F993=EUconst_NA,"",INDEX(EUwideConstants!$H:$M,MATCH(T993,EUwideConstants!$Q:$Q,0),MATCH(F993,CNTR_TierList,0))))</f>
        <v/>
      </c>
      <c r="AA993" s="547" t="str">
        <f>IF(COUNTIF(EUconst_DefaultValues,Z993)&gt;0,MATCH(Z993,EUconst_DefaultValues,0),"")</f>
        <v/>
      </c>
      <c r="AB993" s="30"/>
      <c r="AC993" s="548" t="b">
        <f>AND(AC990,Y993&lt;&gt;EUconst_NA)</f>
        <v>0</v>
      </c>
      <c r="AD993" s="30"/>
      <c r="AE993" s="549" t="str">
        <f>EUconst_CNTR_NCV&amp;EUconst_Unit</f>
        <v>NCV_Vienetas</v>
      </c>
      <c r="AF993" s="550" t="str">
        <f>IF(AC993=TRUE, IF(COUNTIF(MSPara_SourceStreamCategory,V993)=0,"",INDEX(MSPara_CalcFactorsMatrix,MATCH(V993,MSPara_SourceStreamCategory,0),MATCH(AE993&amp;"_"&amp;2,MSPara_CalcFactors,0))),"")</f>
        <v/>
      </c>
      <c r="AG993" s="551" t="str">
        <f>IF(AC993=TRUE, IF(COUNTIF(MSPara_SourceStreamCategory,V993)=0,"",INDEX(MSPara_CalcFactorsMatrix,MATCH(V993,MSPara_SourceStreamCategory,0),MATCH(AE993&amp;"_"&amp;1,MSPara_CalcFactors,0))),"")</f>
        <v/>
      </c>
      <c r="AH993" s="552" t="str">
        <f>IF(AA993="","",INDEX(AF993:AG993,3-AA993))</f>
        <v/>
      </c>
      <c r="AI993" s="553"/>
      <c r="AJ993" s="548" t="str">
        <f>IF(AC993=TRUE,IF(AJ990="","",IF(AJ990=EUconst_kNm3,EUconst_GJpkNm3,EUconst_GJpt)),"")</f>
        <v/>
      </c>
      <c r="AK993" s="554"/>
      <c r="AL993" s="333"/>
      <c r="AM993" s="549" t="str">
        <f>EUconst_CNTR_NCV&amp;EUconst_Value</f>
        <v>NCV_Vertė</v>
      </c>
      <c r="AN993" s="555" t="str">
        <f>IF(AC993=TRUE,IF(COUNTIF(MSPara_SourceStreamCategory,V993)=0,"",INDEX(MSPara_CalcFactorsMatrix,MATCH(V993,MSPara_SourceStreamCategory,0),MATCH(AM993&amp;"_"&amp;2,MSPara_CalcFactors,0))),"")</f>
        <v/>
      </c>
      <c r="AO993" s="556" t="str">
        <f>IF(AC993=TRUE,IF(COUNTIF(MSPara_SourceStreamCategory,V993)=0,"",INDEX(MSPara_CalcFactorsMatrix,MATCH(V993,MSPara_SourceStreamCategory,0),MATCH(AM993&amp;"_"&amp;1,MSPara_CalcFactors,0))),"")</f>
        <v/>
      </c>
      <c r="AP993" s="548" t="b">
        <f>AND(AND(AH993&lt;&gt;"",AJ993&lt;&gt;""),AJ993=AH993)</f>
        <v>0</v>
      </c>
      <c r="AQ993" s="557" t="str">
        <f>IF(AND(AA993&lt;&gt;"",AP993=TRUE),IF(OR(INDEX(AN993:AO993,3-AA993)=EUconst_NA,INDEX(AN993:AO993,3-AA993)=0),"",INDEX(AN993:AO993,3-AA993)),"")</f>
        <v/>
      </c>
      <c r="AR993" s="548">
        <f>IF(AC993=TRUE,IF(COUNT(K993:L993)=0,0,IF(L993="",K993,L993)),0)</f>
        <v>0</v>
      </c>
      <c r="AS993" s="544" t="b">
        <f>AND(AC993=TRUE,OR(AND(F993&lt;&gt;"",NOT(ISNUMBER(AA993))),L993&lt;&gt;"",F993="",AQ993=""))</f>
        <v>0</v>
      </c>
      <c r="AT993" s="544" t="b">
        <f t="shared" si="240"/>
        <v>0</v>
      </c>
      <c r="AU993" s="30"/>
      <c r="AV993" s="558" t="b">
        <f t="shared" si="241"/>
        <v>0</v>
      </c>
      <c r="AW993" s="559" t="b">
        <f t="shared" si="242"/>
        <v>0</v>
      </c>
      <c r="AX993" s="30"/>
      <c r="AY993" s="544" t="b">
        <f t="shared" si="243"/>
        <v>0</v>
      </c>
      <c r="AZ993" s="30"/>
      <c r="BA993" s="30"/>
      <c r="BB993" s="538" t="s">
        <v>589</v>
      </c>
      <c r="BC993" s="537" t="str">
        <f>IF(K980=BC990,AR990*IF(AJ992=EUconst_tCO2pTJ,(AR993/1000),1)*AR992*AR994*AR997,"")</f>
        <v/>
      </c>
      <c r="BD993" s="515" t="str">
        <f>IF(K980=BD990,AR990*AR992*AR995*AR997,"")</f>
        <v/>
      </c>
      <c r="BE993" s="514" t="str">
        <f>IF(K980=BE990,3.664*AR990*AR996*AR997,"")</f>
        <v/>
      </c>
      <c r="BF993" s="30"/>
      <c r="BG993" s="30"/>
      <c r="BH993" s="30"/>
      <c r="BI993" s="30"/>
      <c r="BJ993" s="30"/>
      <c r="BK993" s="30"/>
      <c r="BL993" s="30"/>
      <c r="BM993" s="30"/>
      <c r="BN993" s="30"/>
      <c r="BO993" s="30"/>
      <c r="BP993" s="30"/>
      <c r="BQ993" s="30"/>
      <c r="BR993" s="30"/>
      <c r="BS993" s="30"/>
      <c r="BT993" s="30"/>
      <c r="BU993" s="30"/>
      <c r="BV993" s="30"/>
      <c r="BW993" s="30"/>
      <c r="BX993" s="30"/>
      <c r="BY993" s="30"/>
      <c r="BZ993" s="544" t="b">
        <f>OR(BZ990,Y993=EUconst_NA)</f>
        <v>1</v>
      </c>
    </row>
    <row r="994" spans="1:78" s="140" customFormat="1" ht="12.75" customHeight="1" thickBot="1" x14ac:dyDescent="0.25">
      <c r="A994" s="777"/>
      <c r="B994" s="1248"/>
      <c r="C994" s="783" t="s">
        <v>197</v>
      </c>
      <c r="D994" s="503" t="str">
        <f>Translations!$B$638</f>
        <v>Oksidacijos koef.:</v>
      </c>
      <c r="E994" s="504"/>
      <c r="F994" s="539"/>
      <c r="G994" s="1603" t="str">
        <f t="shared" si="238"/>
        <v/>
      </c>
      <c r="H994" s="1604"/>
      <c r="I994" s="1113" t="str">
        <f>IF(OR(AC994=FALSE,Y994=EUconst_NA),"","-")</f>
        <v/>
      </c>
      <c r="J994" s="560"/>
      <c r="K994" s="561" t="str">
        <f t="shared" si="239"/>
        <v/>
      </c>
      <c r="L994" s="694"/>
      <c r="M994" s="700" t="str">
        <f>IF(AND(E981&lt;&gt;"",OR(F994="",COUNT(K994:L994)=0),Y994&lt;&gt;EUconst_NA,T981&lt;&gt;TRUE),EUconst_ERR_Incomplete,IF(COUNTIF(AX994:AZ994,TRUE)&gt;0,EUconst_ERR_Inconsistent,""))</f>
        <v/>
      </c>
      <c r="O994" s="1305"/>
      <c r="P994" s="33"/>
      <c r="Q994" s="33"/>
      <c r="R994" s="33"/>
      <c r="S994" s="30"/>
      <c r="T994" s="543" t="str">
        <f>EUconst_CNTR_OxidationFactor&amp;E981</f>
        <v>OxF_</v>
      </c>
      <c r="U994" s="488"/>
      <c r="V994" s="544" t="str">
        <f t="shared" si="244"/>
        <v/>
      </c>
      <c r="W994" s="30"/>
      <c r="X994" s="488"/>
      <c r="Y994" s="545" t="str">
        <f>IF(OR(T981=TRUE,E981=""),"",INDEX(EUwideConstants!$N:$N,MATCH(T994,EUwideConstants!$Q:$Q,0)))</f>
        <v/>
      </c>
      <c r="Z994" s="546" t="str">
        <f>IF(ISBLANK(F994),"",IF(F994=EUconst_NA,"",INDEX(EUwideConstants!$H:$M,MATCH(T994,EUwideConstants!$Q:$Q,0),MATCH(F994,CNTR_TierList,0))))</f>
        <v/>
      </c>
      <c r="AA994" s="525" t="str">
        <f>IF(F994=1,1,"")</f>
        <v/>
      </c>
      <c r="AB994" s="30"/>
      <c r="AC994" s="548" t="b">
        <f>AND(AC990,Y994&lt;&gt;EUconst_NA)</f>
        <v>0</v>
      </c>
      <c r="AD994" s="30"/>
      <c r="AE994" s="563"/>
      <c r="AG994" s="564"/>
      <c r="AH994" s="553"/>
      <c r="AI994" s="565"/>
      <c r="AJ994" s="553"/>
      <c r="AK994" s="566"/>
      <c r="AL994" s="333"/>
      <c r="AM994" s="549" t="str">
        <f>EUconst_CNTR_OxidationFactor&amp;EUconst_Value</f>
        <v>OxF_Vertė</v>
      </c>
      <c r="AN994" s="567"/>
      <c r="AO994" s="525">
        <v>1</v>
      </c>
      <c r="AP994" s="553"/>
      <c r="AQ994" s="568" t="str">
        <f>IF(AA994="","",AO994)</f>
        <v/>
      </c>
      <c r="AR994" s="548">
        <f>IF(AC994=TRUE,IF(COUNT(K994:L994)=0,0,IF(L994="",K994,L994)),1)</f>
        <v>1</v>
      </c>
      <c r="AS994" s="544" t="b">
        <f>AND(AC994=TRUE,OR(ISNUMBER(L994),NOT(ISNUMBER(AA994))))</f>
        <v>0</v>
      </c>
      <c r="AT994" s="544" t="b">
        <f t="shared" si="240"/>
        <v>0</v>
      </c>
      <c r="AU994" s="30"/>
      <c r="AV994" s="558" t="b">
        <f t="shared" si="241"/>
        <v>0</v>
      </c>
      <c r="AW994" s="559" t="b">
        <f t="shared" si="242"/>
        <v>0</v>
      </c>
      <c r="AX994" s="30"/>
      <c r="AY994" s="585" t="b">
        <f t="shared" si="243"/>
        <v>0</v>
      </c>
      <c r="AZ994" s="522" t="b">
        <f>AR994&gt;100%</f>
        <v>0</v>
      </c>
      <c r="BA994" s="30"/>
      <c r="BB994" s="538" t="s">
        <v>287</v>
      </c>
      <c r="BC994" s="537" t="str">
        <f>IF(K980=BC990,AR990*IF(AJ992=EUconst_tCO2pTJ,(AR993/1000),1)*AR992*AR994*(1-AR997),"")</f>
        <v/>
      </c>
      <c r="BD994" s="515" t="str">
        <f>IF(K980=BD990,AR990*AR992*AR995*(1-AR997),"")</f>
        <v/>
      </c>
      <c r="BE994" s="514" t="str">
        <f>IF(K980=BE990,3.664*AR990*AR996*(1-AR997),"")</f>
        <v/>
      </c>
      <c r="BF994" s="30"/>
      <c r="BG994" s="30"/>
      <c r="BH994" s="30"/>
      <c r="BI994" s="30"/>
      <c r="BJ994" s="30"/>
      <c r="BK994" s="30"/>
      <c r="BL994" s="30"/>
      <c r="BM994" s="30"/>
      <c r="BN994" s="30"/>
      <c r="BO994" s="30"/>
      <c r="BP994" s="30"/>
      <c r="BQ994" s="30"/>
      <c r="BR994" s="30"/>
      <c r="BS994" s="30"/>
      <c r="BT994" s="30"/>
      <c r="BU994" s="30"/>
      <c r="BV994" s="30"/>
      <c r="BW994" s="30"/>
      <c r="BX994" s="30"/>
      <c r="BY994" s="30"/>
      <c r="BZ994" s="544" t="b">
        <f>OR(BZ990,Y994=EUconst_NA)</f>
        <v>1</v>
      </c>
    </row>
    <row r="995" spans="1:78" s="140" customFormat="1" ht="12.75" customHeight="1" thickBot="1" x14ac:dyDescent="0.25">
      <c r="A995" s="777"/>
      <c r="B995" s="1248"/>
      <c r="C995" s="783" t="s">
        <v>198</v>
      </c>
      <c r="D995" s="503" t="str">
        <f>Translations!$B$639</f>
        <v>Konversijos koef.:</v>
      </c>
      <c r="E995" s="504"/>
      <c r="F995" s="539"/>
      <c r="G995" s="1603" t="str">
        <f t="shared" si="238"/>
        <v/>
      </c>
      <c r="H995" s="1604"/>
      <c r="I995" s="1113" t="str">
        <f>IF(OR(AC995=FALSE,Y995=EUconst_NA),"","-")</f>
        <v/>
      </c>
      <c r="J995" s="560"/>
      <c r="K995" s="561" t="str">
        <f t="shared" si="239"/>
        <v/>
      </c>
      <c r="L995" s="694"/>
      <c r="M995" s="700" t="str">
        <f>IF(AND(E981&lt;&gt;"",OR(F995="",COUNT(K995:L995)=0),Y995&lt;&gt;EUconst_NA,T981&lt;&gt;TRUE),EUconst_ERR_Incomplete,IF(COUNTIF(AX995:AZ995,TRUE)&gt;0,EUconst_ERR_Inconsistent,""))</f>
        <v/>
      </c>
      <c r="O995" s="1305"/>
      <c r="P995" s="33"/>
      <c r="Q995" s="33"/>
      <c r="R995" s="33"/>
      <c r="S995" s="30"/>
      <c r="T995" s="543" t="str">
        <f>EUconst_CNTR_ConversionFactor&amp;E981</f>
        <v>ConvF_</v>
      </c>
      <c r="U995" s="488"/>
      <c r="V995" s="544" t="str">
        <f t="shared" si="244"/>
        <v/>
      </c>
      <c r="W995" s="30"/>
      <c r="X995" s="488"/>
      <c r="Y995" s="545" t="str">
        <f>IF(OR(T981=TRUE,E981=""),"",INDEX(EUwideConstants!$N:$N,MATCH(T995,EUwideConstants!$Q:$Q,0)))</f>
        <v/>
      </c>
      <c r="Z995" s="546" t="str">
        <f>IF(ISBLANK(F995),"",IF(F995=EUconst_NA,"",INDEX(EUwideConstants!$H:$M,MATCH(T995,EUwideConstants!$Q:$Q,0),MATCH(F995,CNTR_TierList,0))))</f>
        <v/>
      </c>
      <c r="AA995" s="573" t="str">
        <f>IF(F995=1,1,"")</f>
        <v/>
      </c>
      <c r="AB995" s="30"/>
      <c r="AC995" s="548" t="b">
        <f>AND(AC990,Y995&lt;&gt;EUconst_NA)</f>
        <v>0</v>
      </c>
      <c r="AD995" s="30"/>
      <c r="AE995" s="563"/>
      <c r="AG995" s="564"/>
      <c r="AH995" s="574"/>
      <c r="AI995" s="565"/>
      <c r="AJ995" s="574"/>
      <c r="AK995" s="566"/>
      <c r="AL995" s="333"/>
      <c r="AM995" s="549" t="str">
        <f>EUconst_CNTR_ConversionFactor&amp;EUconst_Value</f>
        <v>ConvF_Vertė</v>
      </c>
      <c r="AN995" s="575"/>
      <c r="AO995" s="573">
        <v>1</v>
      </c>
      <c r="AP995" s="574"/>
      <c r="AQ995" s="576" t="str">
        <f>IF(AA995="","",AO995)</f>
        <v/>
      </c>
      <c r="AR995" s="548">
        <f>IF(AC995=TRUE,IF(COUNT(K995:L995)=0,0,IF(L995="",K995,L995)),1)</f>
        <v>1</v>
      </c>
      <c r="AS995" s="544" t="b">
        <f>AND(AC995=TRUE,OR(ISNUMBER(L995),NOT(ISNUMBER(AA995))))</f>
        <v>0</v>
      </c>
      <c r="AT995" s="544" t="b">
        <f t="shared" si="240"/>
        <v>0</v>
      </c>
      <c r="AU995" s="30"/>
      <c r="AV995" s="558" t="b">
        <f t="shared" si="241"/>
        <v>0</v>
      </c>
      <c r="AW995" s="559" t="b">
        <f t="shared" si="242"/>
        <v>0</v>
      </c>
      <c r="AX995" s="30"/>
      <c r="AY995" s="585" t="b">
        <f t="shared" si="243"/>
        <v>0</v>
      </c>
      <c r="AZ995" s="571" t="b">
        <f>AR995&gt;100%</f>
        <v>0</v>
      </c>
      <c r="BA995" s="30"/>
      <c r="BB995" s="569" t="s">
        <v>481</v>
      </c>
      <c r="BC995" s="570">
        <f>AR990*AR993/1000*(1-AR997)</f>
        <v>0</v>
      </c>
      <c r="BD995" s="571">
        <f>BC995</f>
        <v>0</v>
      </c>
      <c r="BE995" s="572">
        <f>BC995</f>
        <v>0</v>
      </c>
      <c r="BF995" s="30"/>
      <c r="BG995" s="30"/>
      <c r="BH995" s="30"/>
      <c r="BI995" s="30"/>
      <c r="BJ995" s="30"/>
      <c r="BK995" s="30"/>
      <c r="BL995" s="30"/>
      <c r="BM995" s="30"/>
      <c r="BN995" s="30"/>
      <c r="BO995" s="30"/>
      <c r="BP995" s="30"/>
      <c r="BQ995" s="30"/>
      <c r="BR995" s="30"/>
      <c r="BS995" s="30"/>
      <c r="BT995" s="30"/>
      <c r="BU995" s="30"/>
      <c r="BV995" s="30"/>
      <c r="BW995" s="30"/>
      <c r="BX995" s="30"/>
      <c r="BY995" s="30"/>
      <c r="BZ995" s="544" t="b">
        <f>OR(BZ990,Y995=EUconst_NA)</f>
        <v>1</v>
      </c>
    </row>
    <row r="996" spans="1:78" s="140" customFormat="1" ht="12.75" customHeight="1" thickBot="1" x14ac:dyDescent="0.25">
      <c r="A996" s="777"/>
      <c r="B996" s="1248"/>
      <c r="C996" s="783" t="s">
        <v>324</v>
      </c>
      <c r="D996" s="503" t="str">
        <f>Translations!$B$640</f>
        <v>Anglies kiekis (C):</v>
      </c>
      <c r="E996" s="504"/>
      <c r="F996" s="539"/>
      <c r="G996" s="1603" t="str">
        <f t="shared" si="238"/>
        <v/>
      </c>
      <c r="H996" s="1604"/>
      <c r="I996" s="1113" t="str">
        <f>AJ996</f>
        <v/>
      </c>
      <c r="J996" s="577"/>
      <c r="K996" s="578" t="str">
        <f t="shared" si="239"/>
        <v/>
      </c>
      <c r="L996" s="579"/>
      <c r="M996" s="700" t="str">
        <f>IF(AND(E981&lt;&gt;"",OR(F996="",COUNT(K996:L996)=0),Y996&lt;&gt;EUconst_NA,T981&lt;&gt;TRUE),EUconst_ERR_Incomplete,IF(COUNTIF(AX996:AZ996,TRUE)&gt;0,EUconst_ERR_Inconsistent,""))</f>
        <v/>
      </c>
      <c r="O996" s="1305"/>
      <c r="P996" s="33"/>
      <c r="Q996" s="33"/>
      <c r="R996" s="33"/>
      <c r="S996" s="30"/>
      <c r="T996" s="543" t="str">
        <f>EUconst_CNTR_CarbonContent&amp;E981</f>
        <v>CarbC_</v>
      </c>
      <c r="U996" s="488"/>
      <c r="V996" s="544" t="str">
        <f t="shared" si="244"/>
        <v/>
      </c>
      <c r="W996" s="30"/>
      <c r="X996" s="488"/>
      <c r="Y996" s="545" t="str">
        <f>IF(OR(T981=TRUE,E981=""),"",INDEX(EUwideConstants!$N:$N,MATCH(T996,EUwideConstants!$Q:$Q,0)))</f>
        <v/>
      </c>
      <c r="Z996" s="546" t="str">
        <f>IF(ISBLANK(F996),"",IF(F996=EUconst_NA,"",INDEX(EUwideConstants!$H:$M,MATCH(T996,EUwideConstants!$Q:$Q,0),MATCH(F996,CNTR_TierList,0))))</f>
        <v/>
      </c>
      <c r="AA996" s="580" t="str">
        <f>IF(COUNTIF(EUconst_DefaultValues,Z996)&gt;0,MATCH(Z996,EUconst_DefaultValues,0),"")</f>
        <v/>
      </c>
      <c r="AB996" s="30"/>
      <c r="AC996" s="548" t="b">
        <f>AND(AC990,Y996&lt;&gt;EUconst_NA)</f>
        <v>0</v>
      </c>
      <c r="AD996" s="30"/>
      <c r="AE996" s="549" t="str">
        <f>EUconst_CNTR_CarbonContent&amp;EUconst_Unit</f>
        <v>CarbC_Vienetas</v>
      </c>
      <c r="AF996" s="550" t="str">
        <f>IF(AC996=TRUE, IF(COUNTIF(MSPara_SourceStreamCategory,V996)=0,"",INDEX(MSPara_CalcFactorsMatrix,MATCH(V996,MSPara_SourceStreamCategory,0),MATCH(AE996&amp;"_"&amp;2,MSPara_CalcFactors,0))),"")</f>
        <v/>
      </c>
      <c r="AG996" s="551" t="str">
        <f>IF(AC996=TRUE, IF(COUNTIF(MSPara_SourceStreamCategory,V996)=0,"",INDEX(MSPara_CalcFactorsMatrix,MATCH(V996,MSPara_SourceStreamCategory,0),MATCH(AE996&amp;"_"&amp;1,MSPara_CalcFactors,0))),"")</f>
        <v/>
      </c>
      <c r="AH996" s="581" t="str">
        <f>IF(AA996="","",INDEX(AF996:AG996,3-AA996))</f>
        <v/>
      </c>
      <c r="AI996" s="565"/>
      <c r="AJ996" s="582" t="str">
        <f>IF(AC996=TRUE,IF(AJ990="","",IF(AJ990=EUconst_kNm3,EUconst_tCpkNm3,EUconst_tCpt)),"")</f>
        <v/>
      </c>
      <c r="AK996" s="566"/>
      <c r="AL996" s="333"/>
      <c r="AM996" s="549" t="str">
        <f>EUconst_CNTR_CarbonContent&amp;EUconst_Value</f>
        <v>CarbC_Vertė</v>
      </c>
      <c r="AN996" s="555" t="str">
        <f>IF(AC996=TRUE,IF(COUNTIF(MSPara_SourceStreamCategory,V996)=0,"",INDEX(MSPara_CalcFactorsMatrix,MATCH(V996,MSPara_SourceStreamCategory,0),MATCH(AM996&amp;"_"&amp;2,MSPara_CalcFactors,0))),"")</f>
        <v/>
      </c>
      <c r="AO996" s="583" t="str">
        <f>IF(AC996=TRUE,IF(COUNTIF(MSPara_SourceStreamCategory,V996)=0,"",INDEX(MSPara_CalcFactorsMatrix,MATCH(V996,MSPara_SourceStreamCategory,0),MATCH(AM996&amp;"_"&amp;1,MSPara_CalcFactors,0))),"")</f>
        <v/>
      </c>
      <c r="AP996" s="548" t="b">
        <f>AND(AND(AH996&lt;&gt;"",AJ996&lt;&gt;""),AJ996=AH996)</f>
        <v>0</v>
      </c>
      <c r="AQ996" s="584" t="str">
        <f>IF(AND(AA996&lt;&gt;"",AP996=TRUE),IF(OR(INDEX(AN996:AO996,3-AA996)=EUconst_NA,INDEX(AN996:AO996,3-AA996)=0),"",INDEX(AN996:AO996,3-AA996)),"")</f>
        <v/>
      </c>
      <c r="AR996" s="548">
        <f>IF(AC996=TRUE,IF(COUNT(K996:L996)=0,0,IF(L996="",K996,L996)),0)</f>
        <v>0</v>
      </c>
      <c r="AS996" s="544" t="b">
        <f>AND(AC996=TRUE,OR(AND(F996&lt;&gt;"",NOT(ISNUMBER(AA996))),L996&lt;&gt;"",F996="",AQ996=""))</f>
        <v>0</v>
      </c>
      <c r="AT996" s="544" t="b">
        <f t="shared" si="240"/>
        <v>0</v>
      </c>
      <c r="AU996" s="30"/>
      <c r="AV996" s="558" t="b">
        <f t="shared" si="241"/>
        <v>0</v>
      </c>
      <c r="AW996" s="559" t="b">
        <f t="shared" si="242"/>
        <v>0</v>
      </c>
      <c r="AX996" s="537" t="b">
        <f>OR(AND(AJ990=EUconst_kNm3,AJ996=EUconst_tCpt),AND(AJ990=EUconst_t,AJ996=EUconst_tCpkNm3))</f>
        <v>0</v>
      </c>
      <c r="AY996" s="544" t="b">
        <f t="shared" si="243"/>
        <v>0</v>
      </c>
      <c r="AZ996" s="30"/>
      <c r="BA996" s="30"/>
      <c r="BB996" s="569" t="s">
        <v>482</v>
      </c>
      <c r="BC996" s="570">
        <f>AR990*AR993/1000*AR997</f>
        <v>0</v>
      </c>
      <c r="BD996" s="571">
        <f>BC996</f>
        <v>0</v>
      </c>
      <c r="BE996" s="572">
        <f>BC996</f>
        <v>0</v>
      </c>
      <c r="BF996" s="30"/>
      <c r="BG996" s="30"/>
      <c r="BH996" s="30"/>
      <c r="BI996" s="30"/>
      <c r="BJ996" s="30"/>
      <c r="BK996" s="30"/>
      <c r="BL996" s="30"/>
      <c r="BM996" s="30"/>
      <c r="BN996" s="30"/>
      <c r="BO996" s="30"/>
      <c r="BP996" s="30"/>
      <c r="BQ996" s="30"/>
      <c r="BR996" s="30"/>
      <c r="BS996" s="30"/>
      <c r="BT996" s="30"/>
      <c r="BU996" s="30"/>
      <c r="BV996" s="30"/>
      <c r="BW996" s="30"/>
      <c r="BX996" s="30"/>
      <c r="BY996" s="30"/>
      <c r="BZ996" s="544" t="b">
        <f>OR(BZ990,Y996=EUconst_NA)</f>
        <v>1</v>
      </c>
    </row>
    <row r="997" spans="1:78" s="140" customFormat="1" ht="12.75" customHeight="1" x14ac:dyDescent="0.2">
      <c r="A997" s="777"/>
      <c r="B997" s="1248"/>
      <c r="C997" s="753" t="s">
        <v>325</v>
      </c>
      <c r="D997" s="503" t="str">
        <f>Translations!$B$641</f>
        <v>Biomasės dalis (BioC):</v>
      </c>
      <c r="E997" s="504"/>
      <c r="F997" s="539"/>
      <c r="G997" s="1603" t="str">
        <f t="shared" si="238"/>
        <v/>
      </c>
      <c r="H997" s="1604"/>
      <c r="I997" s="1113" t="str">
        <f>IF(OR(AC997=FALSE,Y997=EUconst_NA),"","-")</f>
        <v/>
      </c>
      <c r="J997" s="560"/>
      <c r="K997" s="561" t="str">
        <f t="shared" si="239"/>
        <v/>
      </c>
      <c r="L997" s="694"/>
      <c r="M997" s="700" t="str">
        <f>IF(AND(E981&lt;&gt;"",OR(F997="",COUNT(K997:L997)=0),Y997&lt;&gt;EUconst_NA,T981&lt;&gt;TRUE),EUconst_ERR_Incomplete,IF(COUNTIF(AX997:AZ997,TRUE)&gt;0,EUconst_ERR_Inconsistent,""))</f>
        <v/>
      </c>
      <c r="O997" s="1305"/>
      <c r="P997" s="635"/>
      <c r="Q997" s="635"/>
      <c r="R997" s="635"/>
      <c r="S997" s="30"/>
      <c r="T997" s="543" t="str">
        <f>EUconst_CNTR_BiomassContent&amp;E981</f>
        <v>BioC_</v>
      </c>
      <c r="U997" s="488"/>
      <c r="V997" s="585" t="str">
        <f t="shared" si="244"/>
        <v/>
      </c>
      <c r="W997" s="522" t="str">
        <f>IF(COUNTIF(MSPara_SourceStreamCategory,V997)=0,"",INDEX(MSPara_IsFossil,MATCH(V997,MSPara_SourceStreamCategory,0)))</f>
        <v/>
      </c>
      <c r="X997" s="488"/>
      <c r="Y997" s="545" t="str">
        <f>IF(OR(T981=TRUE,E981=""),"",IF(OR(W997=TRUE,F997=EUconst_NA),EUconst_NA,INDEX(EUwideConstants!$N:$N,MATCH(T997,EUwideConstants!$Q:$Q,0))))</f>
        <v/>
      </c>
      <c r="Z997" s="546" t="str">
        <f>IF(ISBLANK(F997),"",IF(F997=EUconst_NA,"",INDEX(EUwideConstants!$H:$M,MATCH(T997,EUwideConstants!$Q:$Q,0),MATCH(F997,CNTR_TierList,0))))</f>
        <v/>
      </c>
      <c r="AA997" s="586" t="str">
        <f>IF(F997=1,1,"")</f>
        <v/>
      </c>
      <c r="AB997" s="30"/>
      <c r="AC997" s="548" t="b">
        <f>AND(AC990,Y997&lt;&gt;EUconst_NA)</f>
        <v>0</v>
      </c>
      <c r="AD997" s="30"/>
      <c r="AE997" s="563"/>
      <c r="AG997" s="564"/>
      <c r="AH997" s="553"/>
      <c r="AI997" s="565"/>
      <c r="AJ997" s="553"/>
      <c r="AK997" s="566"/>
      <c r="AL997" s="333"/>
      <c r="AM997" s="549" t="str">
        <f>EUconst_CNTR_BiomassContent&amp;EUconst_Value</f>
        <v>BioC_Vertė</v>
      </c>
      <c r="AO997" s="587" t="str">
        <f>IF(AC997=TRUE,IF(COUNTIF(MSPara_SourceStreamCategory,V997)=0,"",INDEX(MSPara_CalcFactorsMatrix,MATCH(V997,MSPara_SourceStreamCategory,0),MATCH(AM997&amp;"_"&amp;2,MSPara_CalcFactors,0))),"")</f>
        <v/>
      </c>
      <c r="AP997" s="553"/>
      <c r="AQ997" s="568" t="str">
        <f>IF(OR(AA997="",AO997=EUconst_NA),"",AO997)</f>
        <v/>
      </c>
      <c r="AR997" s="548">
        <f>IF(AC997=TRUE,IF(COUNT(K997:L997)=0,0,IF(L997="",K997,L997)),0)</f>
        <v>0</v>
      </c>
      <c r="AS997" s="544" t="b">
        <f>AND(AC997=TRUE,OR(AND(F997&lt;&gt;"",NOT(ISNUMBER(AA997))),L997&lt;&gt;"",F997="",AQ997=""))</f>
        <v>0</v>
      </c>
      <c r="AT997" s="544" t="b">
        <f t="shared" si="240"/>
        <v>0</v>
      </c>
      <c r="AU997" s="30"/>
      <c r="AV997" s="558" t="b">
        <f t="shared" si="241"/>
        <v>0</v>
      </c>
      <c r="AW997" s="559" t="b">
        <f t="shared" si="242"/>
        <v>0</v>
      </c>
      <c r="AX997" s="30"/>
      <c r="AY997" s="585" t="b">
        <f t="shared" si="243"/>
        <v>0</v>
      </c>
      <c r="AZ997" s="522" t="b">
        <f>OR(AR997&gt;100%,(AR997+AR998)&gt;100%)</f>
        <v>0</v>
      </c>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544" t="b">
        <f>OR(BZ990,Y997=EUconst_NA)</f>
        <v>1</v>
      </c>
    </row>
    <row r="998" spans="1:78" s="140" customFormat="1" ht="12.75" customHeight="1" thickBot="1" x14ac:dyDescent="0.25">
      <c r="A998" s="777"/>
      <c r="B998" s="1248"/>
      <c r="C998" s="753" t="s">
        <v>448</v>
      </c>
      <c r="D998" s="503" t="str">
        <f>Translations!$B$647</f>
        <v>Netvarios BioC dalis:</v>
      </c>
      <c r="E998" s="504"/>
      <c r="F998" s="588"/>
      <c r="G998" s="1603" t="str">
        <f t="shared" si="238"/>
        <v/>
      </c>
      <c r="H998" s="1604"/>
      <c r="I998" s="1114" t="str">
        <f>IF(OR(AC998=FALSE,Y998=EUconst_NA),"","-")</f>
        <v/>
      </c>
      <c r="J998" s="560"/>
      <c r="K998" s="589" t="str">
        <f t="shared" si="239"/>
        <v/>
      </c>
      <c r="L998" s="1100"/>
      <c r="M998" s="700" t="str">
        <f>IF(AND(E981&lt;&gt;"",OR(F998="",COUNT(K998:L998)=0),Y998&lt;&gt;EUconst_NA,T981&lt;&gt;TRUE),EUconst_ERR_Incomplete,IF(COUNTIF(AX998:AZ998,TRUE)&gt;0,EUconst_ERR_Inconsistent,""))</f>
        <v/>
      </c>
      <c r="O998" s="1305"/>
      <c r="P998" s="635"/>
      <c r="Q998" s="635"/>
      <c r="R998" s="635"/>
      <c r="S998" s="30"/>
      <c r="T998" s="590" t="str">
        <f>EUconst_CNTR_BiomassContent&amp;E981</f>
        <v>BioC_</v>
      </c>
      <c r="U998" s="488"/>
      <c r="V998" s="570" t="str">
        <f t="shared" si="244"/>
        <v/>
      </c>
      <c r="W998" s="571" t="str">
        <f>IF(COUNTIF(MSPara_SourceStreamCategory,V998)=0,"",INDEX(MSPara_IsFossil,MATCH(V998,MSPara_SourceStreamCategory,0)))</f>
        <v/>
      </c>
      <c r="X998" s="488"/>
      <c r="Y998" s="591" t="str">
        <f>IF(OR(T981=TRUE,E981=""),"",IF(OR(W998=TRUE,F998=EUconst_NA),EUconst_NA,INDEX(EUwideConstants!$N:$N,MATCH(T998,EUwideConstants!$Q:$Q,0))))</f>
        <v/>
      </c>
      <c r="Z998" s="592" t="str">
        <f>IF(ISBLANK(F998),"",IF(F998=EUconst_NA,"",INDEX(EUwideConstants!$H:$M,MATCH(T998,EUwideConstants!$Q:$Q,0),MATCH(F998,CNTR_TierList,0))))</f>
        <v/>
      </c>
      <c r="AA998" s="593" t="str">
        <f>IF(F998=1,1,"")</f>
        <v/>
      </c>
      <c r="AB998" s="30"/>
      <c r="AC998" s="594" t="b">
        <f>AND(AC990,Y998&lt;&gt;EUconst_NA)</f>
        <v>0</v>
      </c>
      <c r="AD998" s="30"/>
      <c r="AE998" s="595"/>
      <c r="AF998" s="596"/>
      <c r="AG998" s="597"/>
      <c r="AH998" s="598"/>
      <c r="AI998" s="598"/>
      <c r="AJ998" s="598"/>
      <c r="AK998" s="599"/>
      <c r="AL998" s="333"/>
      <c r="AM998" s="600" t="str">
        <f>EUconst_CNTR_BiomassContent&amp;EUconst_Value</f>
        <v>BioC_Vertė</v>
      </c>
      <c r="AN998" s="596"/>
      <c r="AO998" s="601" t="str">
        <f>IF(AC998=TRUE,IF(COUNTIF(MSPara_SourceStreamCategory,V998)=0,"",INDEX(MSPara_CalcFactorsMatrix,MATCH(V998,MSPara_SourceStreamCategory,0),MATCH(AM998&amp;"_"&amp;2,MSPara_CalcFactors,0))),"")</f>
        <v/>
      </c>
      <c r="AP998" s="598"/>
      <c r="AQ998" s="602" t="str">
        <f>IF(OR(AA998="",AO998=EUconst_NA),"",AO998)</f>
        <v/>
      </c>
      <c r="AR998" s="594">
        <f>IF(AC998=TRUE,IF(COUNT(K998:L998)=0,0,IF(L998="",K998,L998)),0)</f>
        <v>0</v>
      </c>
      <c r="AS998" s="603" t="b">
        <f>AND(AC998=TRUE,OR(AND(F998&lt;&gt;"",NOT(ISNUMBER(AA998))),L998&lt;&gt;"",F998="",AQ998=""))</f>
        <v>0</v>
      </c>
      <c r="AT998" s="603" t="b">
        <f t="shared" si="240"/>
        <v>0</v>
      </c>
      <c r="AU998" s="30"/>
      <c r="AV998" s="604" t="b">
        <f t="shared" si="241"/>
        <v>0</v>
      </c>
      <c r="AW998" s="605" t="b">
        <f t="shared" si="242"/>
        <v>0</v>
      </c>
      <c r="AX998" s="30"/>
      <c r="AY998" s="570" t="b">
        <f t="shared" si="243"/>
        <v>0</v>
      </c>
      <c r="AZ998" s="571" t="b">
        <f>OR(AR997&gt;100%,(AR997+AR998)&gt;100%)</f>
        <v>0</v>
      </c>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571" t="b">
        <f>OR(BZ990,Y998=EUconst_NA)</f>
        <v>1</v>
      </c>
    </row>
    <row r="999" spans="1:78" s="140" customFormat="1" ht="5.0999999999999996" customHeight="1" x14ac:dyDescent="0.2">
      <c r="A999" s="777"/>
      <c r="B999" s="1248"/>
      <c r="C999" s="164"/>
      <c r="D999" s="178"/>
      <c r="O999" s="1305"/>
      <c r="P999" s="33"/>
      <c r="Q999" s="33"/>
      <c r="R999" s="33"/>
      <c r="S999" s="172"/>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row>
    <row r="1000" spans="1:78" s="140" customFormat="1" ht="12.75" customHeight="1" x14ac:dyDescent="0.2">
      <c r="A1000" s="777"/>
      <c r="B1000" s="1248"/>
      <c r="C1000" s="164"/>
      <c r="D1000" s="1629" t="str">
        <f>Translations!$B$674</f>
        <v>Pakopos galioja nuo:</v>
      </c>
      <c r="E1000" s="1629"/>
      <c r="F1000" s="1630"/>
      <c r="G1000" s="1014"/>
      <c r="H1000" s="606" t="str">
        <f>Translations!$B$675</f>
        <v>iki:</v>
      </c>
      <c r="I1000" s="1014"/>
      <c r="J1000" s="1620" t="str">
        <f>Translations!$B$676</f>
        <v>Atliekų katalogo numeris (jeigu taikytina):</v>
      </c>
      <c r="K1000" s="1621"/>
      <c r="L1000" s="1621"/>
      <c r="M1000" s="1622"/>
      <c r="N1000" s="1232"/>
      <c r="O1000" s="1305"/>
      <c r="P1000" s="33"/>
      <c r="Q1000" s="33"/>
      <c r="R1000" s="33"/>
      <c r="S1000" s="1233"/>
      <c r="T1000" s="483"/>
      <c r="U1000" s="483"/>
      <c r="V1000" s="48" t="b">
        <f>IF(V990="",FALSE,INDEX(CNTR_IsWaste,MATCH(V990,MSParameters!$A$218:$A$376,0)))</f>
        <v>0</v>
      </c>
      <c r="W1000" s="1233" t="s">
        <v>1689</v>
      </c>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2" t="b">
        <f>BZ990</f>
        <v>1</v>
      </c>
    </row>
    <row r="1001" spans="1:78" s="140" customFormat="1" ht="5.0999999999999996" customHeight="1" x14ac:dyDescent="0.2">
      <c r="A1001" s="777"/>
      <c r="B1001" s="1248"/>
      <c r="C1001" s="164"/>
      <c r="D1001" s="606"/>
      <c r="E1001" s="486"/>
      <c r="F1001" s="486"/>
      <c r="G1001" s="486"/>
      <c r="H1001" s="486"/>
      <c r="I1001" s="486"/>
      <c r="J1001" s="486"/>
      <c r="K1001" s="486"/>
      <c r="L1001" s="486"/>
      <c r="M1001" s="486"/>
      <c r="N1001" s="486"/>
      <c r="O1001" s="1305"/>
      <c r="P1001" s="33"/>
      <c r="Q1001" s="33"/>
      <c r="R1001" s="33"/>
      <c r="S1001" s="172"/>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row>
    <row r="1002" spans="1:78" s="140" customFormat="1" ht="12.75" customHeight="1" x14ac:dyDescent="0.2">
      <c r="A1002" s="777"/>
      <c r="B1002" s="1248"/>
      <c r="C1002" s="164"/>
      <c r="D1002" s="486"/>
      <c r="E1002" s="486"/>
      <c r="F1002" s="486"/>
      <c r="G1002" s="486"/>
      <c r="H1002" s="486"/>
      <c r="I1002" s="486"/>
      <c r="J1002" s="486"/>
      <c r="K1002" s="486"/>
      <c r="L1002" s="486"/>
      <c r="M1002" s="606" t="str">
        <f>Translations!$B$677</f>
        <v>Stebėsenos plane šiam sukėlikliui suteiktas identifikatorius:</v>
      </c>
      <c r="N1002" s="705"/>
      <c r="O1002" s="1305"/>
      <c r="P1002" s="33"/>
      <c r="Q1002" s="33"/>
      <c r="R1002" s="33"/>
      <c r="S1002" s="172"/>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2" t="b">
        <f>BZ1000</f>
        <v>1</v>
      </c>
    </row>
    <row r="1003" spans="1:78" s="140" customFormat="1" ht="5.0999999999999996" customHeight="1" x14ac:dyDescent="0.2">
      <c r="A1003" s="784"/>
      <c r="B1003" s="1316"/>
      <c r="D1003" s="178"/>
      <c r="O1003" s="1317"/>
      <c r="P1003" s="488"/>
      <c r="Q1003" s="488"/>
      <c r="R1003" s="488"/>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row>
    <row r="1004" spans="1:78" s="140" customFormat="1" x14ac:dyDescent="0.2">
      <c r="A1004" s="784"/>
      <c r="B1004" s="1316"/>
      <c r="D1004" s="1618" t="str">
        <f>Translations!$B$160</f>
        <v>Pastabos:</v>
      </c>
      <c r="E1004" s="1619"/>
      <c r="F1004" s="1605"/>
      <c r="G1004" s="1606"/>
      <c r="H1004" s="1606"/>
      <c r="I1004" s="1606"/>
      <c r="J1004" s="1606"/>
      <c r="K1004" s="1606"/>
      <c r="L1004" s="1606"/>
      <c r="M1004" s="1606"/>
      <c r="N1004" s="1607"/>
      <c r="O1004" s="1317"/>
      <c r="P1004" s="488"/>
      <c r="Q1004" s="488"/>
      <c r="R1004" s="488"/>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2" t="b">
        <f>BZ1000</f>
        <v>1</v>
      </c>
    </row>
    <row r="1005" spans="1:78" s="28" customFormat="1" ht="12.75" customHeight="1" thickBot="1" x14ac:dyDescent="0.25">
      <c r="A1005" s="777"/>
      <c r="B1005" s="1312"/>
      <c r="C1005" s="490"/>
      <c r="D1005" s="491"/>
      <c r="E1005" s="492"/>
      <c r="F1005" s="490"/>
      <c r="G1005" s="493"/>
      <c r="H1005" s="493"/>
      <c r="I1005" s="493"/>
      <c r="J1005" s="493"/>
      <c r="K1005" s="493"/>
      <c r="L1005" s="493"/>
      <c r="M1005" s="493"/>
      <c r="N1005" s="493"/>
      <c r="O1005" s="1313"/>
      <c r="P1005" s="485"/>
      <c r="Q1005" s="485"/>
      <c r="R1005" s="485"/>
      <c r="S1005" s="58"/>
      <c r="T1005" s="58"/>
      <c r="U1005" s="489"/>
      <c r="V1005" s="58"/>
      <c r="W1005" s="58"/>
      <c r="X1005" s="489"/>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58"/>
      <c r="AT1005" s="58"/>
      <c r="AU1005" s="58"/>
      <c r="AV1005" s="58"/>
      <c r="AW1005" s="58"/>
      <c r="AX1005" s="58"/>
      <c r="AY1005" s="58"/>
      <c r="AZ1005" s="58"/>
      <c r="BA1005" s="58"/>
      <c r="BB1005" s="58"/>
      <c r="BC1005" s="58"/>
      <c r="BD1005" s="58"/>
      <c r="BE1005" s="58"/>
      <c r="BF1005" s="58"/>
      <c r="BG1005" s="58"/>
      <c r="BH1005" s="58"/>
      <c r="BI1005" s="30"/>
      <c r="BJ1005" s="30"/>
      <c r="BK1005" s="30"/>
      <c r="BL1005" s="58"/>
      <c r="BM1005" s="58"/>
      <c r="BN1005" s="58"/>
      <c r="BO1005" s="58"/>
      <c r="BP1005" s="58"/>
      <c r="BQ1005" s="58"/>
      <c r="BR1005" s="58"/>
      <c r="BS1005" s="58"/>
      <c r="BT1005" s="58"/>
      <c r="BU1005" s="58"/>
      <c r="BV1005" s="58"/>
      <c r="BW1005" s="58"/>
      <c r="BX1005" s="58"/>
      <c r="BY1005" s="58"/>
      <c r="BZ1005" s="58"/>
    </row>
    <row r="1006" spans="1:78" s="28" customFormat="1" ht="12.75" customHeight="1" thickBot="1" x14ac:dyDescent="0.25">
      <c r="A1006" s="782"/>
      <c r="B1006" s="1312"/>
      <c r="C1006" s="486"/>
      <c r="D1006" s="178"/>
      <c r="E1006" s="487"/>
      <c r="F1006" s="486"/>
      <c r="G1006" s="478"/>
      <c r="H1006" s="478"/>
      <c r="I1006" s="478"/>
      <c r="J1006" s="478"/>
      <c r="K1006" s="486"/>
      <c r="L1006" s="478"/>
      <c r="M1006" s="478"/>
      <c r="N1006" s="478"/>
      <c r="O1006" s="1313"/>
      <c r="P1006" s="485"/>
      <c r="Q1006" s="485"/>
      <c r="R1006" s="485"/>
      <c r="S1006" s="23"/>
      <c r="T1006" s="27" t="str">
        <f>IF(ISBLANK(E1007),"",MATCH(E1007,CNTR_SourceStreamNames,0))</f>
        <v/>
      </c>
      <c r="U1006" s="609" t="str">
        <f>IF(ISBLANK(E1007),"",INDEX(B_InstallationDescription!$D$71:$D$145,MATCH(E1007,CNTR_SourceStreamNames,0)))</f>
        <v/>
      </c>
      <c r="V1006" s="76"/>
      <c r="W1006" s="56"/>
      <c r="X1006" s="56"/>
      <c r="Y1006" s="56"/>
      <c r="Z1006" s="58"/>
      <c r="AA1006" s="58"/>
      <c r="AB1006" s="58"/>
      <c r="AC1006" s="58"/>
      <c r="AD1006" s="58"/>
      <c r="AE1006" s="58"/>
      <c r="AF1006" s="58"/>
      <c r="AG1006" s="58"/>
      <c r="AH1006" s="58"/>
      <c r="AI1006" s="58"/>
      <c r="AJ1006" s="58"/>
      <c r="AK1006" s="482"/>
      <c r="AL1006" s="58"/>
      <c r="AM1006" s="58"/>
      <c r="AN1006" s="58"/>
      <c r="AO1006" s="58"/>
      <c r="AP1006" s="58"/>
      <c r="AQ1006" s="58"/>
      <c r="AR1006" s="58"/>
      <c r="AS1006" s="58"/>
      <c r="AT1006" s="58"/>
      <c r="AU1006" s="58"/>
      <c r="AV1006" s="58"/>
      <c r="AW1006" s="58"/>
      <c r="AX1006" s="58"/>
      <c r="AY1006" s="58"/>
      <c r="AZ1006" s="58"/>
      <c r="BA1006" s="58"/>
      <c r="BB1006" s="58"/>
      <c r="BC1006" s="58"/>
      <c r="BD1006" s="58"/>
      <c r="BE1006" s="58"/>
      <c r="BF1006" s="58"/>
      <c r="BG1006" s="58"/>
      <c r="BH1006" s="56"/>
      <c r="BI1006" s="56"/>
      <c r="BJ1006" s="56"/>
      <c r="BK1006" s="56"/>
      <c r="BL1006" s="56"/>
      <c r="BM1006" s="56"/>
      <c r="BN1006" s="56"/>
      <c r="BO1006" s="56"/>
      <c r="BP1006" s="56"/>
      <c r="BQ1006" s="56"/>
      <c r="BR1006" s="56"/>
      <c r="BS1006" s="56"/>
      <c r="BT1006" s="56"/>
      <c r="BU1006" s="56"/>
      <c r="BV1006" s="56"/>
      <c r="BW1006" s="56"/>
      <c r="BX1006" s="56"/>
      <c r="BY1006" s="56"/>
      <c r="BZ1006" s="484" t="s">
        <v>259</v>
      </c>
    </row>
    <row r="1007" spans="1:78" s="140" customFormat="1" ht="15" customHeight="1" thickBot="1" x14ac:dyDescent="0.25">
      <c r="A1007" s="1302" t="str">
        <f>IF(E1007="","","PRINT")</f>
        <v/>
      </c>
      <c r="B1007" s="1248"/>
      <c r="C1007" s="608">
        <f>C980+1</f>
        <v>36</v>
      </c>
      <c r="D1007" s="164"/>
      <c r="E1007" s="1610"/>
      <c r="F1007" s="1611"/>
      <c r="G1007" s="1611"/>
      <c r="H1007" s="1611"/>
      <c r="I1007" s="1611"/>
      <c r="J1007" s="1612"/>
      <c r="K1007" s="1623" t="str">
        <f>IF(E1008="","",INDEX(EUwideConstants!$F$353:$F$394,MATCH(E1008,EUConst_TierActivityListNames,0)))</f>
        <v/>
      </c>
      <c r="L1007" s="1624"/>
      <c r="M1007" s="494" t="str">
        <f>Translations!$B$665</f>
        <v>CO2, iškastinio kuro kilmės:</v>
      </c>
      <c r="N1007" s="1012" t="str">
        <f>IF(OR(K1007="",T1008=TRUE),"",INDEX(BC1021:BE1021,MATCH(K1007,BC1017:BE1017,0)))</f>
        <v/>
      </c>
      <c r="O1007" s="1314" t="s">
        <v>257</v>
      </c>
      <c r="P1007" s="1303" t="str">
        <f>IF(AND(E1007&lt;&gt;"",COUNTIF(P1008:$P$2089,"PRINT")=0),"PRINT","")</f>
        <v/>
      </c>
      <c r="Q1007" s="343" t="str">
        <f>EUconst_SumCO2 &amp; "_" &amp; K1007</f>
        <v>SUM_CO2_</v>
      </c>
      <c r="R1007" s="485"/>
      <c r="S1007" s="23"/>
      <c r="T1007" s="500" t="s">
        <v>387</v>
      </c>
      <c r="U1007" s="23"/>
      <c r="V1007" s="76"/>
      <c r="W1007" s="56"/>
      <c r="X1007" s="58"/>
      <c r="Y1007" s="58"/>
      <c r="Z1007" s="58"/>
      <c r="AA1007" s="58"/>
      <c r="AB1007" s="58"/>
      <c r="AC1007" s="58"/>
      <c r="AD1007" s="58"/>
      <c r="AE1007" s="58"/>
      <c r="AF1007" s="58"/>
      <c r="AG1007" s="58"/>
      <c r="AH1007" s="58"/>
      <c r="AI1007" s="333"/>
      <c r="AJ1007" s="333"/>
      <c r="AK1007" s="333"/>
      <c r="AL1007" s="333"/>
      <c r="AM1007" s="333"/>
      <c r="AN1007" s="333"/>
      <c r="AO1007" s="333"/>
      <c r="AP1007" s="333"/>
      <c r="AQ1007" s="333"/>
      <c r="AR1007" s="333"/>
      <c r="AS1007" s="333"/>
      <c r="AT1007" s="333"/>
      <c r="AU1007" s="333"/>
      <c r="AV1007" s="333"/>
      <c r="AW1007" s="333"/>
      <c r="AX1007" s="333"/>
      <c r="AY1007" s="333"/>
      <c r="AZ1007" s="333"/>
      <c r="BA1007" s="333"/>
      <c r="BB1007" s="333"/>
      <c r="BC1007" s="333"/>
      <c r="BD1007" s="333"/>
      <c r="BE1007" s="333"/>
      <c r="BF1007" s="333"/>
      <c r="BG1007" s="333"/>
      <c r="BH1007" s="834">
        <f>AR1017</f>
        <v>0</v>
      </c>
      <c r="BI1007" s="834" t="str">
        <f>AJ1017</f>
        <v/>
      </c>
      <c r="BJ1007" s="834">
        <f>AR1019</f>
        <v>0</v>
      </c>
      <c r="BK1007" s="834" t="str">
        <f>AJ1019</f>
        <v/>
      </c>
      <c r="BL1007" s="834">
        <f>AR1020</f>
        <v>0</v>
      </c>
      <c r="BM1007" s="834" t="str">
        <f>AJ1020</f>
        <v/>
      </c>
      <c r="BN1007" s="834">
        <f>AR1021</f>
        <v>1</v>
      </c>
      <c r="BO1007" s="834">
        <f>AR1022</f>
        <v>1</v>
      </c>
      <c r="BP1007" s="834">
        <f>AR1023</f>
        <v>0</v>
      </c>
      <c r="BQ1007" s="834" t="str">
        <f>AJ1023</f>
        <v/>
      </c>
      <c r="BR1007" s="834">
        <f>AR1024</f>
        <v>0</v>
      </c>
      <c r="BS1007" s="834">
        <f>AR1025</f>
        <v>0</v>
      </c>
      <c r="BT1007" s="834" t="str">
        <f>N1007</f>
        <v/>
      </c>
      <c r="BU1007" s="834" t="str">
        <f>N1008</f>
        <v/>
      </c>
      <c r="BV1007" s="834" t="str">
        <f>R1010</f>
        <v/>
      </c>
      <c r="BW1007" s="834" t="str">
        <f>R1016</f>
        <v/>
      </c>
      <c r="BX1007" s="834" t="str">
        <f>R1017</f>
        <v/>
      </c>
      <c r="BY1007" s="56"/>
      <c r="BZ1007" s="610" t="b">
        <f>CNTR_CalcRelevant=EUconst_NotRelevant</f>
        <v>0</v>
      </c>
    </row>
    <row r="1008" spans="1:78" s="140" customFormat="1" ht="15" customHeight="1" thickBot="1" x14ac:dyDescent="0.25">
      <c r="A1008" s="777"/>
      <c r="B1008" s="1248"/>
      <c r="C1008" s="164"/>
      <c r="D1008" s="164"/>
      <c r="E1008" s="1625" t="str">
        <f>IF(ISBLANK(E1007),"",IF(INDEX(B_InstallationDescription!$E$71:$E$145,MATCH(U1006,B_InstallationDescription!$D$71:$D$145,0))&gt;0,INDEX(B_InstallationDescription!$E$71:$E$145,MATCH(U1006,B_InstallationDescription!$D$71:$D$145,0)),""))</f>
        <v/>
      </c>
      <c r="F1008" s="1626"/>
      <c r="G1008" s="1626"/>
      <c r="H1008" s="1626"/>
      <c r="I1008" s="1626"/>
      <c r="J1008" s="1627"/>
      <c r="M1008" s="337" t="str">
        <f>Translations!$B$666</f>
        <v>CO2, biomasės kilmės.:</v>
      </c>
      <c r="N1008" s="1013" t="str">
        <f>IF(OR(K1007="",T1008=TRUE),"",INDEX(BC1020:BE1020,MATCH(K1007,BC1017:BE1017,0)))</f>
        <v/>
      </c>
      <c r="O1008" s="1315" t="s">
        <v>257</v>
      </c>
      <c r="P1008" s="485"/>
      <c r="Q1008" s="343" t="str">
        <f>EUconst_SumBioCO2 &amp; "_" &amp; K1007</f>
        <v>SUM_bioCO2_</v>
      </c>
      <c r="R1008" s="485"/>
      <c r="S1008" s="23"/>
      <c r="T1008" s="48" t="str">
        <f>IF(E1008="","",MATCH(E1008,EUConst_TierActivityListNames,0)&gt;40)</f>
        <v/>
      </c>
      <c r="U1008" s="23"/>
      <c r="V1008" s="76"/>
      <c r="W1008" s="56"/>
      <c r="X1008" s="58"/>
      <c r="Y1008" s="27" t="s">
        <v>91</v>
      </c>
      <c r="Z1008" s="30"/>
      <c r="AA1008" s="30"/>
      <c r="AB1008" s="30"/>
      <c r="AC1008" s="30"/>
      <c r="AD1008" s="30"/>
      <c r="AE1008" s="27" t="s">
        <v>297</v>
      </c>
      <c r="AF1008" s="58"/>
      <c r="AG1008" s="495"/>
      <c r="AH1008" s="30"/>
      <c r="AI1008" s="30"/>
      <c r="AJ1008" s="495"/>
      <c r="AK1008" s="495"/>
      <c r="AL1008" s="333"/>
      <c r="AM1008" s="27" t="s">
        <v>303</v>
      </c>
      <c r="AN1008" s="496"/>
      <c r="AO1008" s="496"/>
      <c r="AP1008" s="30"/>
      <c r="AQ1008" s="30"/>
      <c r="AR1008" s="30"/>
      <c r="AS1008" s="30"/>
      <c r="AT1008" s="30"/>
      <c r="AU1008" s="30"/>
      <c r="AV1008" s="27" t="s">
        <v>310</v>
      </c>
      <c r="AW1008" s="30"/>
      <c r="AX1008" s="483"/>
      <c r="AY1008" s="30"/>
      <c r="AZ1008" s="30"/>
      <c r="BA1008" s="30"/>
      <c r="BB1008" s="27" t="s">
        <v>217</v>
      </c>
      <c r="BC1008" s="30"/>
      <c r="BD1008" s="30"/>
      <c r="BE1008" s="30"/>
      <c r="BF1008" s="30"/>
      <c r="BG1008" s="27" t="s">
        <v>486</v>
      </c>
      <c r="BH1008" s="833" t="s">
        <v>552</v>
      </c>
      <c r="BI1008" s="833" t="s">
        <v>487</v>
      </c>
      <c r="BJ1008" s="833" t="s">
        <v>211</v>
      </c>
      <c r="BK1008" s="833" t="s">
        <v>488</v>
      </c>
      <c r="BL1008" s="833" t="s">
        <v>68</v>
      </c>
      <c r="BM1008" s="833" t="s">
        <v>489</v>
      </c>
      <c r="BN1008" s="833" t="s">
        <v>490</v>
      </c>
      <c r="BO1008" s="833" t="s">
        <v>491</v>
      </c>
      <c r="BP1008" s="833" t="s">
        <v>214</v>
      </c>
      <c r="BQ1008" s="833" t="s">
        <v>492</v>
      </c>
      <c r="BR1008" s="833" t="s">
        <v>493</v>
      </c>
      <c r="BS1008" s="833" t="s">
        <v>494</v>
      </c>
      <c r="BT1008" s="833" t="s">
        <v>287</v>
      </c>
      <c r="BU1008" s="833" t="s">
        <v>495</v>
      </c>
      <c r="BV1008" s="833" t="s">
        <v>498</v>
      </c>
      <c r="BW1008" s="833" t="s">
        <v>496</v>
      </c>
      <c r="BX1008" s="833" t="s">
        <v>497</v>
      </c>
      <c r="BY1008" s="30"/>
      <c r="BZ1008" s="30"/>
    </row>
    <row r="1009" spans="1:78" s="140" customFormat="1" ht="5.0999999999999996" customHeight="1" thickBot="1" x14ac:dyDescent="0.25">
      <c r="A1009" s="777"/>
      <c r="B1009" s="1248"/>
      <c r="C1009" s="164"/>
      <c r="D1009" s="164"/>
      <c r="E1009" s="164"/>
      <c r="F1009" s="164"/>
      <c r="G1009" s="164"/>
      <c r="M1009" s="141"/>
      <c r="N1009" s="141"/>
      <c r="O1009" s="1305"/>
      <c r="P1009" s="33"/>
      <c r="Q1009" s="33"/>
      <c r="R1009" s="33"/>
      <c r="S1009" s="23"/>
      <c r="T1009" s="23"/>
      <c r="U1009" s="23"/>
      <c r="V1009" s="76"/>
      <c r="W1009" s="30"/>
      <c r="X1009" s="30"/>
      <c r="Y1009" s="485"/>
      <c r="Z1009" s="30"/>
      <c r="AA1009" s="30"/>
      <c r="AB1009" s="30"/>
      <c r="AC1009" s="30"/>
      <c r="AD1009" s="30"/>
      <c r="AE1009" s="30"/>
      <c r="AF1009" s="58"/>
      <c r="AG1009" s="30"/>
      <c r="AH1009" s="30"/>
      <c r="AI1009" s="30"/>
      <c r="AJ1009" s="495"/>
      <c r="AK1009" s="495"/>
      <c r="AL1009" s="333"/>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row>
    <row r="1010" spans="1:78" s="140" customFormat="1" ht="12.75" customHeight="1" thickBot="1" x14ac:dyDescent="0.25">
      <c r="A1010" s="777"/>
      <c r="B1010" s="1248"/>
      <c r="C1010" s="164"/>
      <c r="D1010" s="164"/>
      <c r="E1010" s="1628" t="str">
        <f>IF(E1007="","",IF(T1008=TRUE,HYPERLINK("#JUMP_14",EUconst_MsgGoOnPFC),HYPERLINK("#JUMP_E_8",EUconst_FurtherGuidancePoint1)))</f>
        <v/>
      </c>
      <c r="F1010" s="1628"/>
      <c r="G1010" s="1628"/>
      <c r="H1010" s="1628"/>
      <c r="I1010" s="1628"/>
      <c r="J1010" s="1628"/>
      <c r="K1010" s="1628"/>
      <c r="L1010" s="1628"/>
      <c r="M1010" s="1628"/>
      <c r="N1010" s="141"/>
      <c r="O1010" s="1305"/>
      <c r="P1010" s="33"/>
      <c r="Q1010" s="343" t="str">
        <f>EUconst_SumNonSustBioCO2 &amp; "_" &amp; K1007</f>
        <v>SUM_bioNonSustCO2_</v>
      </c>
      <c r="R1010" s="698" t="str">
        <f>IF(OR(K1007="",T1008=TRUE),"",ROUND(INDEX(BC1019:BE1019,MATCH(K1007,BC1017:BE1017,0)),0))</f>
        <v/>
      </c>
      <c r="S1010" s="23"/>
      <c r="T1010" s="23"/>
      <c r="U1010" s="23"/>
      <c r="V1010" s="30"/>
      <c r="W1010" s="30"/>
      <c r="X1010" s="30"/>
      <c r="Y1010" s="58"/>
      <c r="Z1010" s="30"/>
      <c r="AA1010" s="30"/>
      <c r="AB1010" s="30"/>
      <c r="AC1010" s="30"/>
      <c r="AD1010" s="30"/>
      <c r="AE1010" s="30"/>
      <c r="AF1010" s="58"/>
      <c r="AG1010" s="30"/>
      <c r="AH1010" s="30"/>
      <c r="AI1010" s="30"/>
      <c r="AJ1010" s="495"/>
      <c r="AK1010" s="495"/>
      <c r="AL1010" s="333"/>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row>
    <row r="1011" spans="1:78" s="140" customFormat="1" ht="5.0999999999999996" customHeight="1" thickBot="1" x14ac:dyDescent="0.25">
      <c r="A1011" s="777"/>
      <c r="B1011" s="1248"/>
      <c r="C1011" s="164"/>
      <c r="D1011" s="164"/>
      <c r="E1011" s="164"/>
      <c r="F1011" s="164"/>
      <c r="G1011" s="164"/>
      <c r="M1011" s="141"/>
      <c r="N1011" s="141"/>
      <c r="O1011" s="1305"/>
      <c r="P1011" s="23"/>
      <c r="Q1011" s="23"/>
      <c r="R1011" s="23"/>
      <c r="S1011" s="23"/>
      <c r="T1011" s="23"/>
      <c r="U1011" s="23"/>
      <c r="V1011" s="30"/>
      <c r="W1011" s="30"/>
      <c r="X1011" s="30"/>
      <c r="Y1011" s="485"/>
      <c r="Z1011" s="30"/>
      <c r="AA1011" s="30"/>
      <c r="AB1011" s="30"/>
      <c r="AC1011" s="30"/>
      <c r="AD1011" s="30"/>
      <c r="AE1011" s="30"/>
      <c r="AF1011" s="58"/>
      <c r="AG1011" s="30"/>
      <c r="AH1011" s="30"/>
      <c r="AI1011" s="30"/>
      <c r="AJ1011" s="495"/>
      <c r="AK1011" s="495"/>
      <c r="AL1011" s="333"/>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row>
    <row r="1012" spans="1:78" s="140" customFormat="1" ht="12.75" customHeight="1" thickBot="1" x14ac:dyDescent="0.25">
      <c r="A1012" s="777"/>
      <c r="B1012" s="1248"/>
      <c r="C1012" s="783" t="s">
        <v>4</v>
      </c>
      <c r="D1012" s="503" t="str">
        <f>Translations!$B$622</f>
        <v>VD:</v>
      </c>
      <c r="E1012" s="1631" t="str">
        <f>Translations!$B$667</f>
        <v>Ar veiklos duomenys gaunami sudedant išmatuotus kiekius (t. y. ne atliekant nuolatinius matavimus)?</v>
      </c>
      <c r="F1012" s="1631"/>
      <c r="G1012" s="1631"/>
      <c r="H1012" s="1631"/>
      <c r="I1012" s="1631"/>
      <c r="J1012" s="1631"/>
      <c r="K1012" s="1631"/>
      <c r="L1012" s="1122"/>
      <c r="M1012" s="498"/>
      <c r="O1012" s="1305"/>
      <c r="P1012" s="23"/>
      <c r="Q1012" s="23"/>
      <c r="R1012" s="23"/>
      <c r="S1012" s="23"/>
      <c r="T1012" s="23"/>
      <c r="U1012" s="23"/>
      <c r="V1012" s="30"/>
      <c r="W1012" s="30"/>
      <c r="X1012" s="30"/>
      <c r="Y1012" s="485"/>
      <c r="Z1012" s="30"/>
      <c r="AA1012" s="30"/>
      <c r="AB1012" s="30"/>
      <c r="AC1012" s="1115" t="b">
        <f>AND(E1007&lt;&gt;"",T1008&lt;&gt;TRUE)</f>
        <v>0</v>
      </c>
      <c r="AD1012" s="30"/>
      <c r="AE1012" s="30"/>
      <c r="AF1012" s="58"/>
      <c r="AG1012" s="30"/>
      <c r="AH1012" s="30"/>
      <c r="AI1012" s="30"/>
      <c r="AJ1012" s="495"/>
      <c r="AK1012" s="495"/>
      <c r="AL1012" s="333"/>
      <c r="AM1012" s="30"/>
      <c r="AN1012" s="30"/>
      <c r="AO1012" s="30"/>
      <c r="AP1012" s="30"/>
      <c r="AQ1012" s="30"/>
      <c r="AR1012" s="30"/>
      <c r="AS1012" s="30"/>
      <c r="AT1012" s="1115" t="b">
        <f>MSPara_BatchReportingMandatory&lt;&gt;TRUE</f>
        <v>0</v>
      </c>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1115" t="b">
        <f>OR(CNTR_CalcRelevant=EUconst_NotRelevant,AND(COUNTA(CNTR_ListRelevantSections)&gt;0,OR(T1008=TRUE,E1007="")))</f>
        <v>1</v>
      </c>
    </row>
    <row r="1013" spans="1:78" s="140" customFormat="1" ht="5.0999999999999996" customHeight="1" thickBot="1" x14ac:dyDescent="0.25">
      <c r="A1013" s="777"/>
      <c r="B1013" s="1248"/>
      <c r="C1013" s="164"/>
      <c r="D1013" s="164"/>
      <c r="E1013" s="164"/>
      <c r="F1013" s="164"/>
      <c r="G1013" s="164"/>
      <c r="H1013" s="486"/>
      <c r="I1013" s="486"/>
      <c r="J1013" s="486"/>
      <c r="K1013" s="486"/>
      <c r="L1013" s="486"/>
      <c r="M1013" s="498"/>
      <c r="O1013" s="1305"/>
      <c r="P1013" s="23"/>
      <c r="Q1013" s="23"/>
      <c r="R1013" s="23"/>
      <c r="S1013" s="23"/>
      <c r="T1013" s="23"/>
      <c r="U1013" s="23"/>
      <c r="V1013" s="30"/>
      <c r="W1013" s="30"/>
      <c r="X1013" s="30"/>
      <c r="Y1013" s="485"/>
      <c r="Z1013" s="30"/>
      <c r="AA1013" s="30"/>
      <c r="AB1013" s="30"/>
      <c r="AC1013" s="483"/>
      <c r="AD1013" s="30"/>
      <c r="AE1013" s="30"/>
      <c r="AF1013" s="58"/>
      <c r="AG1013" s="30"/>
      <c r="AH1013" s="30"/>
      <c r="AI1013" s="30"/>
      <c r="AJ1013" s="495"/>
      <c r="AK1013" s="495"/>
      <c r="AL1013" s="333"/>
      <c r="AM1013" s="30"/>
      <c r="AN1013" s="30"/>
      <c r="AO1013" s="30"/>
      <c r="AP1013" s="30"/>
      <c r="AQ1013" s="30"/>
      <c r="AR1013" s="30"/>
      <c r="AS1013" s="30"/>
      <c r="AT1013" s="483"/>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483"/>
    </row>
    <row r="1014" spans="1:78" s="140" customFormat="1" ht="12.75" customHeight="1" thickBot="1" x14ac:dyDescent="0.25">
      <c r="A1014" s="777"/>
      <c r="B1014" s="1248"/>
      <c r="C1014" s="783" t="s">
        <v>5</v>
      </c>
      <c r="D1014" s="503" t="str">
        <f>Translations!$B$622</f>
        <v>VD:</v>
      </c>
      <c r="E1014" s="1105" t="str">
        <f>Translations!$B$668</f>
        <v>Pradinis kiekis:</v>
      </c>
      <c r="F1014" s="1123"/>
      <c r="G1014" s="1106" t="str">
        <f>Translations!$B$669</f>
        <v>Galutinis kiekis:</v>
      </c>
      <c r="H1014" s="1123"/>
      <c r="I1014" s="1106" t="str">
        <f>Translations!$B$670</f>
        <v>Įsigytas kiekis:</v>
      </c>
      <c r="J1014" s="1123"/>
      <c r="K1014" s="1106" t="str">
        <f>Translations!$B$671</f>
        <v>Perduotas kiekis:</v>
      </c>
      <c r="L1014" s="1123"/>
      <c r="M1014" s="1107" t="str">
        <f>IF(AND(L1012=TRUE,COUNT(F1014,H1014,J1014,L1014)&lt;4),EUconst_ERR_Incomplete,"")</f>
        <v/>
      </c>
      <c r="O1014" s="1305"/>
      <c r="P1014" s="23"/>
      <c r="Q1014" s="23"/>
      <c r="R1014" s="23"/>
      <c r="S1014" s="23"/>
      <c r="T1014" s="23"/>
      <c r="U1014" s="23"/>
      <c r="V1014" s="30"/>
      <c r="W1014" s="30"/>
      <c r="X1014" s="30"/>
      <c r="Y1014" s="485"/>
      <c r="Z1014" s="30"/>
      <c r="AA1014" s="30"/>
      <c r="AB1014" s="30"/>
      <c r="AC1014" s="1115" t="b">
        <f>AC1012</f>
        <v>0</v>
      </c>
      <c r="AD1014" s="30"/>
      <c r="AE1014" s="30"/>
      <c r="AF1014" s="58"/>
      <c r="AG1014" s="30"/>
      <c r="AH1014" s="30"/>
      <c r="AI1014" s="30"/>
      <c r="AJ1014" s="495"/>
      <c r="AK1014" s="495"/>
      <c r="AL1014" s="333"/>
      <c r="AM1014" s="30"/>
      <c r="AN1014" s="30"/>
      <c r="AO1014" s="30"/>
      <c r="AP1014" s="30"/>
      <c r="AQ1014" s="30"/>
      <c r="AR1014" s="30"/>
      <c r="AS1014" s="30"/>
      <c r="AT1014" s="1115" t="b">
        <f>AND(AT1012=TRUE,L1012="")</f>
        <v>0</v>
      </c>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1115" t="b">
        <f>OR(BZ1012,AND(NOT(ISBLANK(L1012)),L1012=FALSE))</f>
        <v>1</v>
      </c>
    </row>
    <row r="1015" spans="1:78" s="140" customFormat="1" ht="5.0999999999999996" customHeight="1" thickBot="1" x14ac:dyDescent="0.25">
      <c r="A1015" s="777"/>
      <c r="B1015" s="1248"/>
      <c r="C1015" s="164"/>
      <c r="D1015" s="164"/>
      <c r="E1015" s="164"/>
      <c r="F1015" s="164"/>
      <c r="G1015" s="164"/>
      <c r="M1015" s="141"/>
      <c r="N1015" s="141"/>
      <c r="O1015" s="1305"/>
      <c r="P1015" s="23"/>
      <c r="Q1015" s="23"/>
      <c r="R1015" s="23"/>
      <c r="S1015" s="23"/>
      <c r="T1015" s="23"/>
      <c r="U1015" s="23"/>
      <c r="V1015" s="30"/>
      <c r="W1015" s="30"/>
      <c r="X1015" s="30"/>
      <c r="Y1015" s="485"/>
      <c r="Z1015" s="30"/>
      <c r="AA1015" s="30"/>
      <c r="AB1015" s="30"/>
      <c r="AC1015" s="30"/>
      <c r="AD1015" s="30"/>
      <c r="AE1015" s="30"/>
      <c r="AF1015" s="58"/>
      <c r="AG1015" s="30"/>
      <c r="AH1015" s="30"/>
      <c r="AI1015" s="30"/>
      <c r="AJ1015" s="495"/>
      <c r="AK1015" s="495"/>
      <c r="AL1015" s="333"/>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row>
    <row r="1016" spans="1:78" s="140" customFormat="1" ht="12.75" customHeight="1" thickBot="1" x14ac:dyDescent="0.25">
      <c r="A1016" s="777"/>
      <c r="B1016" s="1248"/>
      <c r="C1016" s="164"/>
      <c r="D1016" s="164"/>
      <c r="E1016" s="164"/>
      <c r="F1016" s="497" t="str">
        <f>Translations!$B$333</f>
        <v>Pakopa</v>
      </c>
      <c r="G1016" s="1613" t="str">
        <f>Translations!$B$672</f>
        <v>pakopos aprašas</v>
      </c>
      <c r="H1016" s="1613"/>
      <c r="I1016" s="1608" t="str">
        <f>Translations!$B$158</f>
        <v>Vienetas</v>
      </c>
      <c r="J1016" s="1608"/>
      <c r="K1016" s="1608" t="str">
        <f>Translations!$B$673</f>
        <v>Vertė</v>
      </c>
      <c r="L1016" s="1608"/>
      <c r="M1016" s="498" t="str">
        <f>Translations!$B$610</f>
        <v>klaida</v>
      </c>
      <c r="O1016" s="1305"/>
      <c r="P1016" s="499"/>
      <c r="Q1016" s="343" t="str">
        <f>EUconst_SumEnergyIN &amp; "_" &amp; K1007</f>
        <v>SUM_EnergyIN_</v>
      </c>
      <c r="R1016" s="390" t="str">
        <f>IF(OR(K1007="",T1008)=TRUE,"",INDEX(BC1022:BE1022,MATCH(K1007,BC1017:BE1017,0)))</f>
        <v/>
      </c>
      <c r="S1016" s="30"/>
      <c r="T1016" s="480"/>
      <c r="U1016" s="30"/>
      <c r="V1016" s="500" t="s">
        <v>298</v>
      </c>
      <c r="W1016" s="30"/>
      <c r="X1016" s="30"/>
      <c r="Y1016" s="485" t="s">
        <v>560</v>
      </c>
      <c r="Z1016" s="485" t="s">
        <v>313</v>
      </c>
      <c r="AA1016" s="30"/>
      <c r="AB1016" s="30"/>
      <c r="AC1016" s="496" t="s">
        <v>304</v>
      </c>
      <c r="AD1016" s="30"/>
      <c r="AE1016" s="30"/>
      <c r="AF1016" s="483" t="s">
        <v>300</v>
      </c>
      <c r="AG1016" s="483" t="s">
        <v>301</v>
      </c>
      <c r="AH1016" s="485" t="s">
        <v>299</v>
      </c>
      <c r="AI1016" s="495" t="s">
        <v>302</v>
      </c>
      <c r="AJ1016" s="495" t="s">
        <v>561</v>
      </c>
      <c r="AK1016" s="501" t="s">
        <v>306</v>
      </c>
      <c r="AL1016" s="333"/>
      <c r="AM1016" s="30"/>
      <c r="AN1016" s="483" t="s">
        <v>300</v>
      </c>
      <c r="AO1016" s="483" t="s">
        <v>301</v>
      </c>
      <c r="AP1016" s="502" t="s">
        <v>305</v>
      </c>
      <c r="AQ1016" s="495" t="s">
        <v>563</v>
      </c>
      <c r="AR1016" s="495" t="s">
        <v>562</v>
      </c>
      <c r="AS1016" s="501" t="s">
        <v>599</v>
      </c>
      <c r="AT1016" s="501" t="s">
        <v>599</v>
      </c>
      <c r="AU1016" s="30"/>
      <c r="AV1016" s="483"/>
      <c r="AW1016" s="483"/>
      <c r="AX1016" s="483" t="s">
        <v>316</v>
      </c>
      <c r="AY1016" s="483"/>
      <c r="AZ1016" s="483"/>
      <c r="BA1016" s="483"/>
      <c r="BB1016" s="483"/>
      <c r="BC1016" s="483"/>
      <c r="BD1016" s="483"/>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484" t="s">
        <v>259</v>
      </c>
    </row>
    <row r="1017" spans="1:78" s="140" customFormat="1" ht="12.75" customHeight="1" thickBot="1" x14ac:dyDescent="0.25">
      <c r="A1017" s="777"/>
      <c r="B1017" s="1248"/>
      <c r="C1017" s="753" t="s">
        <v>194</v>
      </c>
      <c r="D1017" s="503" t="str">
        <f>Translations!$B$622</f>
        <v>VD:</v>
      </c>
      <c r="E1017" s="504"/>
      <c r="F1017" s="393"/>
      <c r="G1017" s="1603" t="str">
        <f>IF(OR(ISBLANK(F1017),F1017=EUconst_NoTier),"",IF(Z1017=0,EUconst_NA,IF(ISERROR(Z1017),"",Z1017)))</f>
        <v/>
      </c>
      <c r="H1017" s="1604"/>
      <c r="I1017" s="1108" t="str">
        <f>IF(J1017&lt;&gt;"","",AI1017)</f>
        <v/>
      </c>
      <c r="J1017" s="1109"/>
      <c r="K1017" s="1116" t="str">
        <f>IF(L1017="",AQ1017,"")</f>
        <v/>
      </c>
      <c r="L1017" s="1199"/>
      <c r="M1017" s="700" t="str">
        <f>IF(AND(E1008&lt;&gt;"",OR(F1017="",COUNT(K1017:L1017)=0),Y1017&lt;&gt;EUconst_NA,T1008&lt;&gt;TRUE),EUconst_ERR_Incomplete,IF(COUNTIF(AX1017:AZ1017,TRUE)&gt;0,EUconst_ERR_Inconsistent,""))</f>
        <v/>
      </c>
      <c r="O1017" s="1305"/>
      <c r="P1017" s="635"/>
      <c r="Q1017" s="343" t="str">
        <f>EUconst_SumBioEnergyIN &amp; "_" &amp; K1007</f>
        <v>SUM_BioEnergyIN_</v>
      </c>
      <c r="R1017" s="390" t="str">
        <f>IF(OR(K1007="",T1008)=TRUE,"",INDEX(BC1023:BE1023,MATCH(K1007,BC1017:BE1017,0)))</f>
        <v/>
      </c>
      <c r="S1017" s="30"/>
      <c r="T1017" s="505" t="str">
        <f>EUconst_CNTR_ActivityData&amp;E1008</f>
        <v>ActivityData_</v>
      </c>
      <c r="U1017" s="488"/>
      <c r="V1017" s="505" t="str">
        <f>IF(E1007="","",INDEX(B_InstallationDescription!$I$71:$I$145,MATCH(U1006,B_InstallationDescription!$D$71:$D$145,0)))</f>
        <v/>
      </c>
      <c r="W1017" s="495" t="s">
        <v>533</v>
      </c>
      <c r="X1017" s="488"/>
      <c r="Y1017" s="506" t="str">
        <f>IF(OR(T1008=TRUE,E1008=""),"",INDEX(EUwideConstants!$N:$N,MATCH(T1017,EUwideConstants!$Q:$Q,0)))</f>
        <v/>
      </c>
      <c r="Z1017" s="507" t="str">
        <f>IF(ISBLANK(F1017),"",IF(F1017=EUconst_NA,"",INDEX(EUwideConstants!$H:$M,MATCH(T1017,EUwideConstants!$Q:$Q,0),MATCH(F1017,CNTR_TierList,0))))</f>
        <v/>
      </c>
      <c r="AA1017" s="508" t="s">
        <v>299</v>
      </c>
      <c r="AB1017" s="495"/>
      <c r="AC1017" s="509" t="b">
        <f>AC1012</f>
        <v>0</v>
      </c>
      <c r="AD1017" s="30"/>
      <c r="AE1017" s="510" t="str">
        <f>EUconst_CNTR_ActivityData&amp;EUconst_Unit</f>
        <v>ActivityData_Vienetas</v>
      </c>
      <c r="AF1017" s="511" t="str">
        <f>IF(AC1017=TRUE, IF(COUNTIF(MSPara_SourceStreamCategory,V1017)=0,"",INDEX(MSPara_CalcFactorsMatrix,MATCH(V1017,MSPara_SourceStreamCategory,0),MATCH(AE1017&amp;"_"&amp;2,MSPara_CalcFactors,0))),"")</f>
        <v/>
      </c>
      <c r="AG1017" s="512" t="str">
        <f>IF(AC1017=TRUE, IF(COUNTIF(MSPara_SourceStreamCategory,V1017)=0,"",INDEX(MSPara_CalcFactorsMatrix,MATCH(V1017,MSPara_SourceStreamCategory,0),MATCH(AE1017&amp;"_"&amp;1,MSPara_CalcFactors,0))),"")</f>
        <v/>
      </c>
      <c r="AH1017" s="509" t="str">
        <f>IF(OR(AF1017="",AF1017=EUconst_NA),IF(OR(AG1017=EUconst_NA,AG1017=""),"",AG1017),AF1017)</f>
        <v/>
      </c>
      <c r="AI1017" s="506" t="str">
        <f>IF(AC1017=TRUE,IF(AH1017="",EUconst_t,AH1017),"")</f>
        <v/>
      </c>
      <c r="AJ1017" s="513" t="str">
        <f>IF(J1017="",AI1017,J1017)</f>
        <v/>
      </c>
      <c r="AK1017" s="514" t="b">
        <f>IF(K1007=EUconst_Fuel,J1017&lt;&gt;"",FALSE)</f>
        <v>0</v>
      </c>
      <c r="AL1017" s="333"/>
      <c r="AM1017" s="505" t="str">
        <f>EUconst_CNTR_ActivityData&amp;EUconst_Value</f>
        <v>ActivityData_Vertė</v>
      </c>
      <c r="AN1017" s="496"/>
      <c r="AO1017" s="496"/>
      <c r="AP1017" s="509" t="b">
        <f>AND(AND(AH1017&lt;&gt;"",AJ1017&lt;&gt;""),AJ1017=AH1017)</f>
        <v>0</v>
      </c>
      <c r="AQ1017" s="610" t="str">
        <f>IF(L1012=TRUE,SUM(F1014)-SUM(H1014)+SUM(J1014)-SUM(L1014),"")</f>
        <v/>
      </c>
      <c r="AR1017" s="509">
        <f>IF(Y1017=EUconst_NA,0,IF(COUNT(K1017:L1017)=0,0,IF(L1017="",K1017,L1017)))</f>
        <v>0</v>
      </c>
      <c r="AS1017" s="1115" t="b">
        <f>AND(AC1017=TRUE,OR(L1017&lt;&gt;"",AQ1017=""))</f>
        <v>0</v>
      </c>
      <c r="AT1017" s="1115" t="b">
        <f>AND(AC1017=TRUE,NOT(AS1017))</f>
        <v>0</v>
      </c>
      <c r="AU1017" s="30"/>
      <c r="AV1017" s="483" t="s">
        <v>309</v>
      </c>
      <c r="AW1017" s="483" t="s">
        <v>314</v>
      </c>
      <c r="AX1017" s="515"/>
      <c r="AY1017" s="30" t="s">
        <v>536</v>
      </c>
      <c r="AZ1017" s="30"/>
      <c r="BA1017" s="30"/>
      <c r="BB1017" s="495"/>
      <c r="BC1017" s="484" t="str">
        <f>EUconst_Fuel</f>
        <v>Degimas</v>
      </c>
      <c r="BD1017" s="484" t="str">
        <f>EUconst_ProcessCarbonate</f>
        <v>Proceso metu išsiskiriančios ŠESD</v>
      </c>
      <c r="BE1017" s="484" t="str">
        <f>EUconst_MassBalance</f>
        <v>Masės balansas</v>
      </c>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515" t="b">
        <f>BZ1012</f>
        <v>1</v>
      </c>
    </row>
    <row r="1018" spans="1:78" s="140" customFormat="1" ht="5.0999999999999996" customHeight="1" thickBot="1" x14ac:dyDescent="0.25">
      <c r="A1018" s="777"/>
      <c r="B1018" s="1248"/>
      <c r="C1018" s="783"/>
      <c r="D1018" s="298"/>
      <c r="F1018" s="141"/>
      <c r="G1018" s="141"/>
      <c r="H1018" s="141" t="s">
        <v>233</v>
      </c>
      <c r="I1018" s="516"/>
      <c r="J1018" s="516"/>
      <c r="K1018" s="141"/>
      <c r="L1018" s="141"/>
      <c r="M1018" s="701"/>
      <c r="O1018" s="1305"/>
      <c r="P1018" s="33"/>
      <c r="Q1018" s="33"/>
      <c r="R1018" s="33"/>
      <c r="S1018" s="30"/>
      <c r="T1018" s="153"/>
      <c r="U1018" s="488"/>
      <c r="V1018" s="30"/>
      <c r="W1018" s="30"/>
      <c r="X1018" s="488"/>
      <c r="Y1018" s="517"/>
      <c r="Z1018" s="30"/>
      <c r="AA1018" s="30"/>
      <c r="AB1018" s="30"/>
      <c r="AC1018" s="30"/>
      <c r="AD1018" s="30"/>
      <c r="AE1018" s="30"/>
      <c r="AF1018" s="30"/>
      <c r="AG1018" s="30"/>
      <c r="AH1018" s="30"/>
      <c r="AI1018" s="30"/>
      <c r="AJ1018" s="30"/>
      <c r="AK1018" s="30"/>
      <c r="AL1018" s="333"/>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484"/>
    </row>
    <row r="1019" spans="1:78" s="140" customFormat="1" ht="12.75" customHeight="1" thickBot="1" x14ac:dyDescent="0.25">
      <c r="A1019" s="777"/>
      <c r="B1019" s="1248"/>
      <c r="C1019" s="783" t="s">
        <v>195</v>
      </c>
      <c r="D1019" s="503" t="str">
        <f>Translations!$B$634</f>
        <v>(prelim.) ITF:</v>
      </c>
      <c r="E1019" s="504"/>
      <c r="F1019" s="518"/>
      <c r="G1019" s="1603" t="str">
        <f t="shared" ref="G1019:G1025" si="245">IF(OR(ISBLANK(F1019),F1019=EUconst_NoTier),"",IF(Z1019=0,EUconst_NotApplicable,IF(ISERROR(Z1019),"",Z1019)))</f>
        <v/>
      </c>
      <c r="H1019" s="1609"/>
      <c r="I1019" s="1110" t="str">
        <f>IF(J1019&lt;&gt;"","",AI1019)</f>
        <v/>
      </c>
      <c r="J1019" s="1111"/>
      <c r="K1019" s="519" t="str">
        <f t="shared" ref="K1019:K1025" si="246">IF(L1019="",AQ1019,"")</f>
        <v/>
      </c>
      <c r="L1019" s="520"/>
      <c r="M1019" s="700" t="str">
        <f>IF(AND(E1008&lt;&gt;"",OR(F1019="",COUNT(K1019:L1019)=0),Y1019&lt;&gt;EUconst_NA,T1008&lt;&gt;TRUE),EUconst_ERR_Incomplete,IF(COUNTIF(AX1019:AZ1019,TRUE)&gt;0,EUconst_ERR_Inconsistent,""))</f>
        <v/>
      </c>
      <c r="N1019" s="486"/>
      <c r="O1019" s="1305"/>
      <c r="P1019" s="33"/>
      <c r="Q1019" s="33"/>
      <c r="R1019" s="33"/>
      <c r="S1019" s="30"/>
      <c r="T1019" s="521" t="str">
        <f>EUconst_CNTR_EF&amp;E1008</f>
        <v>EF_</v>
      </c>
      <c r="U1019" s="488"/>
      <c r="V1019" s="522" t="str">
        <f>V1017</f>
        <v/>
      </c>
      <c r="W1019" s="30"/>
      <c r="X1019" s="488"/>
      <c r="Y1019" s="523" t="str">
        <f>IF(OR(T1008=TRUE,E1008=""),"",IF(F1019=EUconst_NA,EUconst_NA,INDEX(EUwideConstants!$N:$N,MATCH(T1019,EUwideConstants!$Q:$Q,0))))</f>
        <v/>
      </c>
      <c r="Z1019" s="524" t="str">
        <f>IF(ISBLANK(F1019),"",IF(F1019=EUconst_NA,"",INDEX(EUwideConstants!$H:$M,MATCH(T1019,EUwideConstants!$Q:$Q,0),MATCH(F1019,CNTR_TierList,0))))</f>
        <v/>
      </c>
      <c r="AA1019" s="525" t="str">
        <f>IF(COUNTIF(EUconst_DefaultValues,Z1019)&gt;0,MATCH(Z1019,EUconst_DefaultValues,0),"")</f>
        <v/>
      </c>
      <c r="AB1019" s="30"/>
      <c r="AC1019" s="526" t="b">
        <f>AND(AC1017,Y1019&lt;&gt;EUconst_NA)</f>
        <v>0</v>
      </c>
      <c r="AD1019" s="30"/>
      <c r="AE1019" s="510" t="str">
        <f>EUconst_CNTR_EF&amp;EUconst_Unit</f>
        <v>EF_Vienetas</v>
      </c>
      <c r="AF1019" s="527" t="str">
        <f>IF(AC1019=TRUE, IF(COUNTIF(MSPara_SourceStreamCategory,V1019)=0,"",INDEX(MSPara_CalcFactorsMatrix,MATCH(V1019,MSPara_SourceStreamCategory,0),MATCH(AE1019&amp;"_"&amp;2,MSPara_CalcFactors,0))),"")</f>
        <v/>
      </c>
      <c r="AG1019" s="528" t="str">
        <f>IF(AC1019=TRUE, IF(COUNTIF(MSPara_SourceStreamCategory,V1019)=0,"",INDEX(MSPara_CalcFactorsMatrix,MATCH(V1019,MSPara_SourceStreamCategory,0),MATCH(AE1019&amp;"_"&amp;1,MSPara_CalcFactors,0))),"")</f>
        <v/>
      </c>
      <c r="AH1019" s="529" t="str">
        <f>IF(AA1019="","",INDEX(AF1019:AG1019,3-AA1019))</f>
        <v/>
      </c>
      <c r="AI1019" s="530" t="str">
        <f>IF(AC1019=TRUE,IF(OR(AH1019="",AH1019=EUconst_NA),IF(K1007=EUconst_Fuel,EUconst_tCO2pTJ,EUconst_tCO2pt),AH1019),"")</f>
        <v/>
      </c>
      <c r="AJ1019" s="526" t="str">
        <f>IF(J1019="",AI1019,J1019)</f>
        <v/>
      </c>
      <c r="AK1019" s="531" t="b">
        <f>IF(K1007=EUconst_Fuel,J1019&lt;&gt;"",FALSE)</f>
        <v>0</v>
      </c>
      <c r="AL1019" s="333"/>
      <c r="AM1019" s="510" t="str">
        <f>EUconst_CNTR_EF&amp;EUconst_Value</f>
        <v>EF_Vertė</v>
      </c>
      <c r="AN1019" s="532" t="str">
        <f>IF(AC1019=TRUE,IF(COUNTIF(MSPara_SourceStreamCategory,V1019)=0,"",INDEX(MSPara_CalcFactorsMatrix,MATCH(V1019,MSPara_SourceStreamCategory,0),MATCH(AM1019&amp;"_"&amp;2,MSPara_CalcFactors,0))),"")</f>
        <v/>
      </c>
      <c r="AO1019" s="533" t="str">
        <f>IF(AC1019=TRUE,IF(COUNTIF(MSPara_SourceStreamCategory,V1019)=0,"",INDEX(MSPara_CalcFactorsMatrix,MATCH(V1019,MSPara_SourceStreamCategory,0),MATCH(AM1019&amp;"_"&amp;1,MSPara_CalcFactors,0))),"")</f>
        <v/>
      </c>
      <c r="AP1019" s="526" t="b">
        <f>AND(AND(AH1019&lt;&gt;"",AJ1019&lt;&gt;""),AJ1019=AH1019)</f>
        <v>0</v>
      </c>
      <c r="AQ1019" s="534" t="str">
        <f>IF(AND(AA1019&lt;&gt;"",AP1019=TRUE),IF(OR(INDEX(AN1019:AO1019,3-AA1019)=EUconst_NA,INDEX(AN1019:AO1019,3-AA1019)=0),"",INDEX(AN1019:AO1019,3-AA1019)),"")</f>
        <v/>
      </c>
      <c r="AR1019" s="526">
        <f>IF(AC1019=TRUE,IF(COUNT(K1019:L1019)=0,0,IF(L1019="",K1019,L1019)),0)</f>
        <v>0</v>
      </c>
      <c r="AS1019" s="522" t="b">
        <f>AND(AC1019=TRUE,OR(AND(F1019&lt;&gt;"",NOT(ISNUMBER(AA1019))),L1019&lt;&gt;"",F1019="",AQ1019=""))</f>
        <v>0</v>
      </c>
      <c r="AT1019" s="522" t="b">
        <f t="shared" ref="AT1019:AT1025" si="247">AND(AC1019=TRUE,NOT(AS1019))</f>
        <v>0</v>
      </c>
      <c r="AU1019" s="30"/>
      <c r="AV1019" s="535" t="b">
        <f t="shared" ref="AV1019:AV1025" si="248">AND(ISNUMBER(AA1019),AQ1019="")</f>
        <v>0</v>
      </c>
      <c r="AW1019" s="536" t="b">
        <f t="shared" ref="AW1019:AW1025" si="249">AND(ISNUMBER(AA1019),AQ1019&lt;&gt;AR1019)</f>
        <v>0</v>
      </c>
      <c r="AX1019" s="537" t="b">
        <f>OR(AND(AJ1017=EUconst_kNm3,AJ1019=EUconst_tCO2pt),AND(AJ1017=EUconst_t,AJ1019=EUconst_tCO2pkNm3))</f>
        <v>0</v>
      </c>
      <c r="AY1019" s="522" t="b">
        <f t="shared" ref="AY1019:AY1025" si="250">AND(L1019&lt;&gt;"",Y1019=EUconst_NA)</f>
        <v>0</v>
      </c>
      <c r="AZ1019" s="30"/>
      <c r="BA1019" s="30"/>
      <c r="BB1019" s="538" t="s">
        <v>588</v>
      </c>
      <c r="BC1019" s="537" t="str">
        <f>IF(K1007=BC1017,AR1017*IF(AJ1019=EUconst_tCO2pTJ,(AR1020/1000),1)*AR1019*AR1021*AR1025,"")</f>
        <v/>
      </c>
      <c r="BD1019" s="515" t="str">
        <f>IF(K1007=BD1017,AR1017*AR1019*AR1022*AR1025,"")</f>
        <v/>
      </c>
      <c r="BE1019" s="514" t="str">
        <f>IF(K1007=BE1017,3.664*AR1017*AR1023*AR1025,"")</f>
        <v/>
      </c>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522" t="b">
        <f>OR(BZ1017,Y1019=EUconst_NA)</f>
        <v>1</v>
      </c>
    </row>
    <row r="1020" spans="1:78" s="140" customFormat="1" ht="12.75" customHeight="1" thickBot="1" x14ac:dyDescent="0.25">
      <c r="A1020" s="777"/>
      <c r="B1020" s="1248"/>
      <c r="C1020" s="783" t="s">
        <v>196</v>
      </c>
      <c r="D1020" s="503" t="str">
        <f>Translations!$B$636</f>
        <v>GŠV:</v>
      </c>
      <c r="E1020" s="504"/>
      <c r="F1020" s="539"/>
      <c r="G1020" s="1603" t="str">
        <f t="shared" si="245"/>
        <v/>
      </c>
      <c r="H1020" s="1604"/>
      <c r="I1020" s="1112" t="str">
        <f>AJ1020</f>
        <v/>
      </c>
      <c r="J1020" s="540"/>
      <c r="K1020" s="541" t="str">
        <f t="shared" si="246"/>
        <v/>
      </c>
      <c r="L1020" s="542"/>
      <c r="M1020" s="700" t="str">
        <f>IF(AND(E1008&lt;&gt;"",OR(F1020="",COUNT(K1020:L1020)=0),Y1020&lt;&gt;EUconst_NA,T1008&lt;&gt;TRUE),EUconst_ERR_Incomplete,IF(COUNTIF(AX1020:AZ1020,TRUE)&gt;0,EUconst_ERR_Inconsistent,""))</f>
        <v/>
      </c>
      <c r="O1020" s="1305"/>
      <c r="P1020" s="33"/>
      <c r="Q1020" s="33"/>
      <c r="R1020" s="33"/>
      <c r="S1020" s="30"/>
      <c r="T1020" s="543" t="str">
        <f>EUconst_CNTR_NCV&amp;E1008</f>
        <v>NCV_</v>
      </c>
      <c r="U1020" s="488"/>
      <c r="V1020" s="544" t="str">
        <f t="shared" ref="V1020:V1025" si="251">V1019</f>
        <v/>
      </c>
      <c r="W1020" s="30"/>
      <c r="X1020" s="488"/>
      <c r="Y1020" s="545" t="str">
        <f>IF(OR(T1008=TRUE,E1008=""),"",IF(F1020=EUconst_NA,EUconst_NA,INDEX(EUwideConstants!$N:$N,MATCH(T1020,EUwideConstants!$Q:$Q,0))))</f>
        <v/>
      </c>
      <c r="Z1020" s="546" t="str">
        <f>IF(ISBLANK(F1020),"",IF(F1020=EUconst_NA,"",INDEX(EUwideConstants!$H:$M,MATCH(T1020,EUwideConstants!$Q:$Q,0),MATCH(F1020,CNTR_TierList,0))))</f>
        <v/>
      </c>
      <c r="AA1020" s="547" t="str">
        <f>IF(COUNTIF(EUconst_DefaultValues,Z1020)&gt;0,MATCH(Z1020,EUconst_DefaultValues,0),"")</f>
        <v/>
      </c>
      <c r="AB1020" s="30"/>
      <c r="AC1020" s="548" t="b">
        <f>AND(AC1017,Y1020&lt;&gt;EUconst_NA)</f>
        <v>0</v>
      </c>
      <c r="AD1020" s="30"/>
      <c r="AE1020" s="549" t="str">
        <f>EUconst_CNTR_NCV&amp;EUconst_Unit</f>
        <v>NCV_Vienetas</v>
      </c>
      <c r="AF1020" s="550" t="str">
        <f>IF(AC1020=TRUE, IF(COUNTIF(MSPara_SourceStreamCategory,V1020)=0,"",INDEX(MSPara_CalcFactorsMatrix,MATCH(V1020,MSPara_SourceStreamCategory,0),MATCH(AE1020&amp;"_"&amp;2,MSPara_CalcFactors,0))),"")</f>
        <v/>
      </c>
      <c r="AG1020" s="551" t="str">
        <f>IF(AC1020=TRUE, IF(COUNTIF(MSPara_SourceStreamCategory,V1020)=0,"",INDEX(MSPara_CalcFactorsMatrix,MATCH(V1020,MSPara_SourceStreamCategory,0),MATCH(AE1020&amp;"_"&amp;1,MSPara_CalcFactors,0))),"")</f>
        <v/>
      </c>
      <c r="AH1020" s="552" t="str">
        <f>IF(AA1020="","",INDEX(AF1020:AG1020,3-AA1020))</f>
        <v/>
      </c>
      <c r="AI1020" s="553"/>
      <c r="AJ1020" s="548" t="str">
        <f>IF(AC1020=TRUE,IF(AJ1017="","",IF(AJ1017=EUconst_kNm3,EUconst_GJpkNm3,EUconst_GJpt)),"")</f>
        <v/>
      </c>
      <c r="AK1020" s="554"/>
      <c r="AL1020" s="333"/>
      <c r="AM1020" s="549" t="str">
        <f>EUconst_CNTR_NCV&amp;EUconst_Value</f>
        <v>NCV_Vertė</v>
      </c>
      <c r="AN1020" s="555" t="str">
        <f>IF(AC1020=TRUE,IF(COUNTIF(MSPara_SourceStreamCategory,V1020)=0,"",INDEX(MSPara_CalcFactorsMatrix,MATCH(V1020,MSPara_SourceStreamCategory,0),MATCH(AM1020&amp;"_"&amp;2,MSPara_CalcFactors,0))),"")</f>
        <v/>
      </c>
      <c r="AO1020" s="556" t="str">
        <f>IF(AC1020=TRUE,IF(COUNTIF(MSPara_SourceStreamCategory,V1020)=0,"",INDEX(MSPara_CalcFactorsMatrix,MATCH(V1020,MSPara_SourceStreamCategory,0),MATCH(AM1020&amp;"_"&amp;1,MSPara_CalcFactors,0))),"")</f>
        <v/>
      </c>
      <c r="AP1020" s="548" t="b">
        <f>AND(AND(AH1020&lt;&gt;"",AJ1020&lt;&gt;""),AJ1020=AH1020)</f>
        <v>0</v>
      </c>
      <c r="AQ1020" s="557" t="str">
        <f>IF(AND(AA1020&lt;&gt;"",AP1020=TRUE),IF(OR(INDEX(AN1020:AO1020,3-AA1020)=EUconst_NA,INDEX(AN1020:AO1020,3-AA1020)=0),"",INDEX(AN1020:AO1020,3-AA1020)),"")</f>
        <v/>
      </c>
      <c r="AR1020" s="548">
        <f>IF(AC1020=TRUE,IF(COUNT(K1020:L1020)=0,0,IF(L1020="",K1020,L1020)),0)</f>
        <v>0</v>
      </c>
      <c r="AS1020" s="544" t="b">
        <f>AND(AC1020=TRUE,OR(AND(F1020&lt;&gt;"",NOT(ISNUMBER(AA1020))),L1020&lt;&gt;"",F1020="",AQ1020=""))</f>
        <v>0</v>
      </c>
      <c r="AT1020" s="544" t="b">
        <f t="shared" si="247"/>
        <v>0</v>
      </c>
      <c r="AU1020" s="30"/>
      <c r="AV1020" s="558" t="b">
        <f t="shared" si="248"/>
        <v>0</v>
      </c>
      <c r="AW1020" s="559" t="b">
        <f t="shared" si="249"/>
        <v>0</v>
      </c>
      <c r="AX1020" s="30"/>
      <c r="AY1020" s="544" t="b">
        <f t="shared" si="250"/>
        <v>0</v>
      </c>
      <c r="AZ1020" s="30"/>
      <c r="BA1020" s="30"/>
      <c r="BB1020" s="538" t="s">
        <v>589</v>
      </c>
      <c r="BC1020" s="537" t="str">
        <f>IF(K1007=BC1017,AR1017*IF(AJ1019=EUconst_tCO2pTJ,(AR1020/1000),1)*AR1019*AR1021*AR1024,"")</f>
        <v/>
      </c>
      <c r="BD1020" s="515" t="str">
        <f>IF(K1007=BD1017,AR1017*AR1019*AR1022*AR1024,"")</f>
        <v/>
      </c>
      <c r="BE1020" s="514" t="str">
        <f>IF(K1007=BE1017,3.664*AR1017*AR1023*AR1024,"")</f>
        <v/>
      </c>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544" t="b">
        <f>OR(BZ1017,Y1020=EUconst_NA)</f>
        <v>1</v>
      </c>
    </row>
    <row r="1021" spans="1:78" s="140" customFormat="1" ht="12.75" customHeight="1" thickBot="1" x14ac:dyDescent="0.25">
      <c r="A1021" s="777"/>
      <c r="B1021" s="1248"/>
      <c r="C1021" s="783" t="s">
        <v>197</v>
      </c>
      <c r="D1021" s="503" t="str">
        <f>Translations!$B$638</f>
        <v>Oksidacijos koef.:</v>
      </c>
      <c r="E1021" s="504"/>
      <c r="F1021" s="539"/>
      <c r="G1021" s="1603" t="str">
        <f t="shared" si="245"/>
        <v/>
      </c>
      <c r="H1021" s="1604"/>
      <c r="I1021" s="1113" t="str">
        <f>IF(OR(AC1021=FALSE,Y1021=EUconst_NA),"","-")</f>
        <v/>
      </c>
      <c r="J1021" s="560"/>
      <c r="K1021" s="561" t="str">
        <f t="shared" si="246"/>
        <v/>
      </c>
      <c r="L1021" s="694"/>
      <c r="M1021" s="700" t="str">
        <f>IF(AND(E1008&lt;&gt;"",OR(F1021="",COUNT(K1021:L1021)=0),Y1021&lt;&gt;EUconst_NA,T1008&lt;&gt;TRUE),EUconst_ERR_Incomplete,IF(COUNTIF(AX1021:AZ1021,TRUE)&gt;0,EUconst_ERR_Inconsistent,""))</f>
        <v/>
      </c>
      <c r="O1021" s="1305"/>
      <c r="P1021" s="33"/>
      <c r="Q1021" s="33"/>
      <c r="R1021" s="33"/>
      <c r="S1021" s="30"/>
      <c r="T1021" s="543" t="str">
        <f>EUconst_CNTR_OxidationFactor&amp;E1008</f>
        <v>OxF_</v>
      </c>
      <c r="U1021" s="488"/>
      <c r="V1021" s="544" t="str">
        <f t="shared" si="251"/>
        <v/>
      </c>
      <c r="W1021" s="30"/>
      <c r="X1021" s="488"/>
      <c r="Y1021" s="545" t="str">
        <f>IF(OR(T1008=TRUE,E1008=""),"",INDEX(EUwideConstants!$N:$N,MATCH(T1021,EUwideConstants!$Q:$Q,0)))</f>
        <v/>
      </c>
      <c r="Z1021" s="546" t="str">
        <f>IF(ISBLANK(F1021),"",IF(F1021=EUconst_NA,"",INDEX(EUwideConstants!$H:$M,MATCH(T1021,EUwideConstants!$Q:$Q,0),MATCH(F1021,CNTR_TierList,0))))</f>
        <v/>
      </c>
      <c r="AA1021" s="525" t="str">
        <f>IF(F1021=1,1,"")</f>
        <v/>
      </c>
      <c r="AB1021" s="30"/>
      <c r="AC1021" s="548" t="b">
        <f>AND(AC1017,Y1021&lt;&gt;EUconst_NA)</f>
        <v>0</v>
      </c>
      <c r="AD1021" s="30"/>
      <c r="AE1021" s="563"/>
      <c r="AG1021" s="564"/>
      <c r="AH1021" s="553"/>
      <c r="AI1021" s="565"/>
      <c r="AJ1021" s="553"/>
      <c r="AK1021" s="566"/>
      <c r="AL1021" s="333"/>
      <c r="AM1021" s="549" t="str">
        <f>EUconst_CNTR_OxidationFactor&amp;EUconst_Value</f>
        <v>OxF_Vertė</v>
      </c>
      <c r="AN1021" s="567"/>
      <c r="AO1021" s="525">
        <v>1</v>
      </c>
      <c r="AP1021" s="553"/>
      <c r="AQ1021" s="568" t="str">
        <f>IF(AA1021="","",AO1021)</f>
        <v/>
      </c>
      <c r="AR1021" s="548">
        <f>IF(AC1021=TRUE,IF(COUNT(K1021:L1021)=0,0,IF(L1021="",K1021,L1021)),1)</f>
        <v>1</v>
      </c>
      <c r="AS1021" s="544" t="b">
        <f>AND(AC1021=TRUE,OR(ISNUMBER(L1021),NOT(ISNUMBER(AA1021))))</f>
        <v>0</v>
      </c>
      <c r="AT1021" s="544" t="b">
        <f t="shared" si="247"/>
        <v>0</v>
      </c>
      <c r="AU1021" s="30"/>
      <c r="AV1021" s="558" t="b">
        <f t="shared" si="248"/>
        <v>0</v>
      </c>
      <c r="AW1021" s="559" t="b">
        <f t="shared" si="249"/>
        <v>0</v>
      </c>
      <c r="AX1021" s="30"/>
      <c r="AY1021" s="585" t="b">
        <f t="shared" si="250"/>
        <v>0</v>
      </c>
      <c r="AZ1021" s="522" t="b">
        <f>AR1021&gt;100%</f>
        <v>0</v>
      </c>
      <c r="BA1021" s="30"/>
      <c r="BB1021" s="538" t="s">
        <v>287</v>
      </c>
      <c r="BC1021" s="537" t="str">
        <f>IF(K1007=BC1017,AR1017*IF(AJ1019=EUconst_tCO2pTJ,(AR1020/1000),1)*AR1019*AR1021*(1-AR1024),"")</f>
        <v/>
      </c>
      <c r="BD1021" s="515" t="str">
        <f>IF(K1007=BD1017,AR1017*AR1019*AR1022*(1-AR1024),"")</f>
        <v/>
      </c>
      <c r="BE1021" s="514" t="str">
        <f>IF(K1007=BE1017,3.664*AR1017*AR1023*(1-AR1024),"")</f>
        <v/>
      </c>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544" t="b">
        <f>OR(BZ1017,Y1021=EUconst_NA)</f>
        <v>1</v>
      </c>
    </row>
    <row r="1022" spans="1:78" s="140" customFormat="1" ht="12.75" customHeight="1" thickBot="1" x14ac:dyDescent="0.25">
      <c r="A1022" s="777"/>
      <c r="B1022" s="1248"/>
      <c r="C1022" s="783" t="s">
        <v>198</v>
      </c>
      <c r="D1022" s="503" t="str">
        <f>Translations!$B$639</f>
        <v>Konversijos koef.:</v>
      </c>
      <c r="E1022" s="504"/>
      <c r="F1022" s="539"/>
      <c r="G1022" s="1603" t="str">
        <f t="shared" si="245"/>
        <v/>
      </c>
      <c r="H1022" s="1604"/>
      <c r="I1022" s="1113" t="str">
        <f>IF(OR(AC1022=FALSE,Y1022=EUconst_NA),"","-")</f>
        <v/>
      </c>
      <c r="J1022" s="560"/>
      <c r="K1022" s="561" t="str">
        <f t="shared" si="246"/>
        <v/>
      </c>
      <c r="L1022" s="694"/>
      <c r="M1022" s="700" t="str">
        <f>IF(AND(E1008&lt;&gt;"",OR(F1022="",COUNT(K1022:L1022)=0),Y1022&lt;&gt;EUconst_NA,T1008&lt;&gt;TRUE),EUconst_ERR_Incomplete,IF(COUNTIF(AX1022:AZ1022,TRUE)&gt;0,EUconst_ERR_Inconsistent,""))</f>
        <v/>
      </c>
      <c r="O1022" s="1305"/>
      <c r="P1022" s="33"/>
      <c r="Q1022" s="33"/>
      <c r="R1022" s="33"/>
      <c r="S1022" s="30"/>
      <c r="T1022" s="543" t="str">
        <f>EUconst_CNTR_ConversionFactor&amp;E1008</f>
        <v>ConvF_</v>
      </c>
      <c r="U1022" s="488"/>
      <c r="V1022" s="544" t="str">
        <f t="shared" si="251"/>
        <v/>
      </c>
      <c r="W1022" s="30"/>
      <c r="X1022" s="488"/>
      <c r="Y1022" s="545" t="str">
        <f>IF(OR(T1008=TRUE,E1008=""),"",INDEX(EUwideConstants!$N:$N,MATCH(T1022,EUwideConstants!$Q:$Q,0)))</f>
        <v/>
      </c>
      <c r="Z1022" s="546" t="str">
        <f>IF(ISBLANK(F1022),"",IF(F1022=EUconst_NA,"",INDEX(EUwideConstants!$H:$M,MATCH(T1022,EUwideConstants!$Q:$Q,0),MATCH(F1022,CNTR_TierList,0))))</f>
        <v/>
      </c>
      <c r="AA1022" s="573" t="str">
        <f>IF(F1022=1,1,"")</f>
        <v/>
      </c>
      <c r="AB1022" s="30"/>
      <c r="AC1022" s="548" t="b">
        <f>AND(AC1017,Y1022&lt;&gt;EUconst_NA)</f>
        <v>0</v>
      </c>
      <c r="AD1022" s="30"/>
      <c r="AE1022" s="563"/>
      <c r="AG1022" s="564"/>
      <c r="AH1022" s="574"/>
      <c r="AI1022" s="565"/>
      <c r="AJ1022" s="574"/>
      <c r="AK1022" s="566"/>
      <c r="AL1022" s="333"/>
      <c r="AM1022" s="549" t="str">
        <f>EUconst_CNTR_ConversionFactor&amp;EUconst_Value</f>
        <v>ConvF_Vertė</v>
      </c>
      <c r="AN1022" s="575"/>
      <c r="AO1022" s="573">
        <v>1</v>
      </c>
      <c r="AP1022" s="574"/>
      <c r="AQ1022" s="576" t="str">
        <f>IF(AA1022="","",AO1022)</f>
        <v/>
      </c>
      <c r="AR1022" s="548">
        <f>IF(AC1022=TRUE,IF(COUNT(K1022:L1022)=0,0,IF(L1022="",K1022,L1022)),1)</f>
        <v>1</v>
      </c>
      <c r="AS1022" s="544" t="b">
        <f>AND(AC1022=TRUE,OR(ISNUMBER(L1022),NOT(ISNUMBER(AA1022))))</f>
        <v>0</v>
      </c>
      <c r="AT1022" s="544" t="b">
        <f t="shared" si="247"/>
        <v>0</v>
      </c>
      <c r="AU1022" s="30"/>
      <c r="AV1022" s="558" t="b">
        <f t="shared" si="248"/>
        <v>0</v>
      </c>
      <c r="AW1022" s="559" t="b">
        <f t="shared" si="249"/>
        <v>0</v>
      </c>
      <c r="AX1022" s="30"/>
      <c r="AY1022" s="585" t="b">
        <f t="shared" si="250"/>
        <v>0</v>
      </c>
      <c r="AZ1022" s="571" t="b">
        <f>AR1022&gt;100%</f>
        <v>0</v>
      </c>
      <c r="BA1022" s="30"/>
      <c r="BB1022" s="569" t="s">
        <v>481</v>
      </c>
      <c r="BC1022" s="570">
        <f>AR1017*AR1020/1000*(1-AR1024)</f>
        <v>0</v>
      </c>
      <c r="BD1022" s="571">
        <f>BC1022</f>
        <v>0</v>
      </c>
      <c r="BE1022" s="572">
        <f>BC1022</f>
        <v>0</v>
      </c>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544" t="b">
        <f>OR(BZ1017,Y1022=EUconst_NA)</f>
        <v>1</v>
      </c>
    </row>
    <row r="1023" spans="1:78" s="140" customFormat="1" ht="12.75" customHeight="1" thickBot="1" x14ac:dyDescent="0.25">
      <c r="A1023" s="777"/>
      <c r="B1023" s="1248"/>
      <c r="C1023" s="783" t="s">
        <v>324</v>
      </c>
      <c r="D1023" s="503" t="str">
        <f>Translations!$B$640</f>
        <v>Anglies kiekis (C):</v>
      </c>
      <c r="E1023" s="504"/>
      <c r="F1023" s="539"/>
      <c r="G1023" s="1603" t="str">
        <f t="shared" si="245"/>
        <v/>
      </c>
      <c r="H1023" s="1604"/>
      <c r="I1023" s="1113" t="str">
        <f>AJ1023</f>
        <v/>
      </c>
      <c r="J1023" s="577"/>
      <c r="K1023" s="578" t="str">
        <f t="shared" si="246"/>
        <v/>
      </c>
      <c r="L1023" s="579"/>
      <c r="M1023" s="700" t="str">
        <f>IF(AND(E1008&lt;&gt;"",OR(F1023="",COUNT(K1023:L1023)=0),Y1023&lt;&gt;EUconst_NA,T1008&lt;&gt;TRUE),EUconst_ERR_Incomplete,IF(COUNTIF(AX1023:AZ1023,TRUE)&gt;0,EUconst_ERR_Inconsistent,""))</f>
        <v/>
      </c>
      <c r="O1023" s="1305"/>
      <c r="P1023" s="33"/>
      <c r="Q1023" s="33"/>
      <c r="R1023" s="33"/>
      <c r="S1023" s="30"/>
      <c r="T1023" s="543" t="str">
        <f>EUconst_CNTR_CarbonContent&amp;E1008</f>
        <v>CarbC_</v>
      </c>
      <c r="U1023" s="488"/>
      <c r="V1023" s="544" t="str">
        <f t="shared" si="251"/>
        <v/>
      </c>
      <c r="W1023" s="30"/>
      <c r="X1023" s="488"/>
      <c r="Y1023" s="545" t="str">
        <f>IF(OR(T1008=TRUE,E1008=""),"",INDEX(EUwideConstants!$N:$N,MATCH(T1023,EUwideConstants!$Q:$Q,0)))</f>
        <v/>
      </c>
      <c r="Z1023" s="546" t="str">
        <f>IF(ISBLANK(F1023),"",IF(F1023=EUconst_NA,"",INDEX(EUwideConstants!$H:$M,MATCH(T1023,EUwideConstants!$Q:$Q,0),MATCH(F1023,CNTR_TierList,0))))</f>
        <v/>
      </c>
      <c r="AA1023" s="580" t="str">
        <f>IF(COUNTIF(EUconst_DefaultValues,Z1023)&gt;0,MATCH(Z1023,EUconst_DefaultValues,0),"")</f>
        <v/>
      </c>
      <c r="AB1023" s="30"/>
      <c r="AC1023" s="548" t="b">
        <f>AND(AC1017,Y1023&lt;&gt;EUconst_NA)</f>
        <v>0</v>
      </c>
      <c r="AD1023" s="30"/>
      <c r="AE1023" s="549" t="str">
        <f>EUconst_CNTR_CarbonContent&amp;EUconst_Unit</f>
        <v>CarbC_Vienetas</v>
      </c>
      <c r="AF1023" s="550" t="str">
        <f>IF(AC1023=TRUE, IF(COUNTIF(MSPara_SourceStreamCategory,V1023)=0,"",INDEX(MSPara_CalcFactorsMatrix,MATCH(V1023,MSPara_SourceStreamCategory,0),MATCH(AE1023&amp;"_"&amp;2,MSPara_CalcFactors,0))),"")</f>
        <v/>
      </c>
      <c r="AG1023" s="551" t="str">
        <f>IF(AC1023=TRUE, IF(COUNTIF(MSPara_SourceStreamCategory,V1023)=0,"",INDEX(MSPara_CalcFactorsMatrix,MATCH(V1023,MSPara_SourceStreamCategory,0),MATCH(AE1023&amp;"_"&amp;1,MSPara_CalcFactors,0))),"")</f>
        <v/>
      </c>
      <c r="AH1023" s="581" t="str">
        <f>IF(AA1023="","",INDEX(AF1023:AG1023,3-AA1023))</f>
        <v/>
      </c>
      <c r="AI1023" s="565"/>
      <c r="AJ1023" s="582" t="str">
        <f>IF(AC1023=TRUE,IF(AJ1017="","",IF(AJ1017=EUconst_kNm3,EUconst_tCpkNm3,EUconst_tCpt)),"")</f>
        <v/>
      </c>
      <c r="AK1023" s="566"/>
      <c r="AL1023" s="333"/>
      <c r="AM1023" s="549" t="str">
        <f>EUconst_CNTR_CarbonContent&amp;EUconst_Value</f>
        <v>CarbC_Vertė</v>
      </c>
      <c r="AN1023" s="555" t="str">
        <f>IF(AC1023=TRUE,IF(COUNTIF(MSPara_SourceStreamCategory,V1023)=0,"",INDEX(MSPara_CalcFactorsMatrix,MATCH(V1023,MSPara_SourceStreamCategory,0),MATCH(AM1023&amp;"_"&amp;2,MSPara_CalcFactors,0))),"")</f>
        <v/>
      </c>
      <c r="AO1023" s="583" t="str">
        <f>IF(AC1023=TRUE,IF(COUNTIF(MSPara_SourceStreamCategory,V1023)=0,"",INDEX(MSPara_CalcFactorsMatrix,MATCH(V1023,MSPara_SourceStreamCategory,0),MATCH(AM1023&amp;"_"&amp;1,MSPara_CalcFactors,0))),"")</f>
        <v/>
      </c>
      <c r="AP1023" s="548" t="b">
        <f>AND(AND(AH1023&lt;&gt;"",AJ1023&lt;&gt;""),AJ1023=AH1023)</f>
        <v>0</v>
      </c>
      <c r="AQ1023" s="584" t="str">
        <f>IF(AND(AA1023&lt;&gt;"",AP1023=TRUE),IF(OR(INDEX(AN1023:AO1023,3-AA1023)=EUconst_NA,INDEX(AN1023:AO1023,3-AA1023)=0),"",INDEX(AN1023:AO1023,3-AA1023)),"")</f>
        <v/>
      </c>
      <c r="AR1023" s="548">
        <f>IF(AC1023=TRUE,IF(COUNT(K1023:L1023)=0,0,IF(L1023="",K1023,L1023)),0)</f>
        <v>0</v>
      </c>
      <c r="AS1023" s="544" t="b">
        <f>AND(AC1023=TRUE,OR(AND(F1023&lt;&gt;"",NOT(ISNUMBER(AA1023))),L1023&lt;&gt;"",F1023="",AQ1023=""))</f>
        <v>0</v>
      </c>
      <c r="AT1023" s="544" t="b">
        <f t="shared" si="247"/>
        <v>0</v>
      </c>
      <c r="AU1023" s="30"/>
      <c r="AV1023" s="558" t="b">
        <f t="shared" si="248"/>
        <v>0</v>
      </c>
      <c r="AW1023" s="559" t="b">
        <f t="shared" si="249"/>
        <v>0</v>
      </c>
      <c r="AX1023" s="537" t="b">
        <f>OR(AND(AJ1017=EUconst_kNm3,AJ1023=EUconst_tCpt),AND(AJ1017=EUconst_t,AJ1023=EUconst_tCpkNm3))</f>
        <v>0</v>
      </c>
      <c r="AY1023" s="544" t="b">
        <f t="shared" si="250"/>
        <v>0</v>
      </c>
      <c r="AZ1023" s="30"/>
      <c r="BA1023" s="30"/>
      <c r="BB1023" s="569" t="s">
        <v>482</v>
      </c>
      <c r="BC1023" s="570">
        <f>AR1017*AR1020/1000*AR1024</f>
        <v>0</v>
      </c>
      <c r="BD1023" s="571">
        <f>BC1023</f>
        <v>0</v>
      </c>
      <c r="BE1023" s="572">
        <f>BC1023</f>
        <v>0</v>
      </c>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544" t="b">
        <f>OR(BZ1017,Y1023=EUconst_NA)</f>
        <v>1</v>
      </c>
    </row>
    <row r="1024" spans="1:78" s="140" customFormat="1" ht="12.75" customHeight="1" x14ac:dyDescent="0.2">
      <c r="A1024" s="777"/>
      <c r="B1024" s="1248"/>
      <c r="C1024" s="753" t="s">
        <v>325</v>
      </c>
      <c r="D1024" s="503" t="str">
        <f>Translations!$B$641</f>
        <v>Biomasės dalis (BioC):</v>
      </c>
      <c r="E1024" s="504"/>
      <c r="F1024" s="539"/>
      <c r="G1024" s="1603" t="str">
        <f t="shared" si="245"/>
        <v/>
      </c>
      <c r="H1024" s="1604"/>
      <c r="I1024" s="1113" t="str">
        <f>IF(OR(AC1024=FALSE,Y1024=EUconst_NA),"","-")</f>
        <v/>
      </c>
      <c r="J1024" s="560"/>
      <c r="K1024" s="561" t="str">
        <f t="shared" si="246"/>
        <v/>
      </c>
      <c r="L1024" s="694"/>
      <c r="M1024" s="700" t="str">
        <f>IF(AND(E1008&lt;&gt;"",OR(F1024="",COUNT(K1024:L1024)=0),Y1024&lt;&gt;EUconst_NA,T1008&lt;&gt;TRUE),EUconst_ERR_Incomplete,IF(COUNTIF(AX1024:AZ1024,TRUE)&gt;0,EUconst_ERR_Inconsistent,""))</f>
        <v/>
      </c>
      <c r="O1024" s="1305"/>
      <c r="P1024" s="635"/>
      <c r="Q1024" s="635"/>
      <c r="R1024" s="635"/>
      <c r="S1024" s="30"/>
      <c r="T1024" s="543" t="str">
        <f>EUconst_CNTR_BiomassContent&amp;E1008</f>
        <v>BioC_</v>
      </c>
      <c r="U1024" s="488"/>
      <c r="V1024" s="585" t="str">
        <f t="shared" si="251"/>
        <v/>
      </c>
      <c r="W1024" s="522" t="str">
        <f>IF(COUNTIF(MSPara_SourceStreamCategory,V1024)=0,"",INDEX(MSPara_IsFossil,MATCH(V1024,MSPara_SourceStreamCategory,0)))</f>
        <v/>
      </c>
      <c r="X1024" s="488"/>
      <c r="Y1024" s="545" t="str">
        <f>IF(OR(T1008=TRUE,E1008=""),"",IF(OR(W1024=TRUE,F1024=EUconst_NA),EUconst_NA,INDEX(EUwideConstants!$N:$N,MATCH(T1024,EUwideConstants!$Q:$Q,0))))</f>
        <v/>
      </c>
      <c r="Z1024" s="546" t="str">
        <f>IF(ISBLANK(F1024),"",IF(F1024=EUconst_NA,"",INDEX(EUwideConstants!$H:$M,MATCH(T1024,EUwideConstants!$Q:$Q,0),MATCH(F1024,CNTR_TierList,0))))</f>
        <v/>
      </c>
      <c r="AA1024" s="586" t="str">
        <f>IF(F1024=1,1,"")</f>
        <v/>
      </c>
      <c r="AB1024" s="30"/>
      <c r="AC1024" s="548" t="b">
        <f>AND(AC1017,Y1024&lt;&gt;EUconst_NA)</f>
        <v>0</v>
      </c>
      <c r="AD1024" s="30"/>
      <c r="AE1024" s="563"/>
      <c r="AG1024" s="564"/>
      <c r="AH1024" s="553"/>
      <c r="AI1024" s="565"/>
      <c r="AJ1024" s="553"/>
      <c r="AK1024" s="566"/>
      <c r="AL1024" s="333"/>
      <c r="AM1024" s="549" t="str">
        <f>EUconst_CNTR_BiomassContent&amp;EUconst_Value</f>
        <v>BioC_Vertė</v>
      </c>
      <c r="AO1024" s="587" t="str">
        <f>IF(AC1024=TRUE,IF(COUNTIF(MSPara_SourceStreamCategory,V1024)=0,"",INDEX(MSPara_CalcFactorsMatrix,MATCH(V1024,MSPara_SourceStreamCategory,0),MATCH(AM1024&amp;"_"&amp;2,MSPara_CalcFactors,0))),"")</f>
        <v/>
      </c>
      <c r="AP1024" s="553"/>
      <c r="AQ1024" s="568" t="str">
        <f>IF(OR(AA1024="",AO1024=EUconst_NA),"",AO1024)</f>
        <v/>
      </c>
      <c r="AR1024" s="548">
        <f>IF(AC1024=TRUE,IF(COUNT(K1024:L1024)=0,0,IF(L1024="",K1024,L1024)),0)</f>
        <v>0</v>
      </c>
      <c r="AS1024" s="544" t="b">
        <f>AND(AC1024=TRUE,OR(AND(F1024&lt;&gt;"",NOT(ISNUMBER(AA1024))),L1024&lt;&gt;"",F1024="",AQ1024=""))</f>
        <v>0</v>
      </c>
      <c r="AT1024" s="544" t="b">
        <f t="shared" si="247"/>
        <v>0</v>
      </c>
      <c r="AU1024" s="30"/>
      <c r="AV1024" s="558" t="b">
        <f t="shared" si="248"/>
        <v>0</v>
      </c>
      <c r="AW1024" s="559" t="b">
        <f t="shared" si="249"/>
        <v>0</v>
      </c>
      <c r="AX1024" s="30"/>
      <c r="AY1024" s="585" t="b">
        <f t="shared" si="250"/>
        <v>0</v>
      </c>
      <c r="AZ1024" s="522" t="b">
        <f>OR(AR1024&gt;100%,(AR1024+AR1025)&gt;100%)</f>
        <v>0</v>
      </c>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544" t="b">
        <f>OR(BZ1017,Y1024=EUconst_NA)</f>
        <v>1</v>
      </c>
    </row>
    <row r="1025" spans="1:78" s="140" customFormat="1" ht="12.75" customHeight="1" thickBot="1" x14ac:dyDescent="0.25">
      <c r="A1025" s="777"/>
      <c r="B1025" s="1248"/>
      <c r="C1025" s="753" t="s">
        <v>448</v>
      </c>
      <c r="D1025" s="503" t="str">
        <f>Translations!$B$647</f>
        <v>Netvarios BioC dalis:</v>
      </c>
      <c r="E1025" s="504"/>
      <c r="F1025" s="588"/>
      <c r="G1025" s="1603" t="str">
        <f t="shared" si="245"/>
        <v/>
      </c>
      <c r="H1025" s="1604"/>
      <c r="I1025" s="1114" t="str">
        <f>IF(OR(AC1025=FALSE,Y1025=EUconst_NA),"","-")</f>
        <v/>
      </c>
      <c r="J1025" s="560"/>
      <c r="K1025" s="589" t="str">
        <f t="shared" si="246"/>
        <v/>
      </c>
      <c r="L1025" s="1100"/>
      <c r="M1025" s="700" t="str">
        <f>IF(AND(E1008&lt;&gt;"",OR(F1025="",COUNT(K1025:L1025)=0),Y1025&lt;&gt;EUconst_NA,T1008&lt;&gt;TRUE),EUconst_ERR_Incomplete,IF(COUNTIF(AX1025:AZ1025,TRUE)&gt;0,EUconst_ERR_Inconsistent,""))</f>
        <v/>
      </c>
      <c r="O1025" s="1305"/>
      <c r="P1025" s="635"/>
      <c r="Q1025" s="635"/>
      <c r="R1025" s="635"/>
      <c r="S1025" s="30"/>
      <c r="T1025" s="590" t="str">
        <f>EUconst_CNTR_BiomassContent&amp;E1008</f>
        <v>BioC_</v>
      </c>
      <c r="U1025" s="488"/>
      <c r="V1025" s="570" t="str">
        <f t="shared" si="251"/>
        <v/>
      </c>
      <c r="W1025" s="571" t="str">
        <f>IF(COUNTIF(MSPara_SourceStreamCategory,V1025)=0,"",INDEX(MSPara_IsFossil,MATCH(V1025,MSPara_SourceStreamCategory,0)))</f>
        <v/>
      </c>
      <c r="X1025" s="488"/>
      <c r="Y1025" s="591" t="str">
        <f>IF(OR(T1008=TRUE,E1008=""),"",IF(OR(W1025=TRUE,F1025=EUconst_NA),EUconst_NA,INDEX(EUwideConstants!$N:$N,MATCH(T1025,EUwideConstants!$Q:$Q,0))))</f>
        <v/>
      </c>
      <c r="Z1025" s="592" t="str">
        <f>IF(ISBLANK(F1025),"",IF(F1025=EUconst_NA,"",INDEX(EUwideConstants!$H:$M,MATCH(T1025,EUwideConstants!$Q:$Q,0),MATCH(F1025,CNTR_TierList,0))))</f>
        <v/>
      </c>
      <c r="AA1025" s="593" t="str">
        <f>IF(F1025=1,1,"")</f>
        <v/>
      </c>
      <c r="AB1025" s="30"/>
      <c r="AC1025" s="594" t="b">
        <f>AND(AC1017,Y1025&lt;&gt;EUconst_NA)</f>
        <v>0</v>
      </c>
      <c r="AD1025" s="30"/>
      <c r="AE1025" s="595"/>
      <c r="AF1025" s="596"/>
      <c r="AG1025" s="597"/>
      <c r="AH1025" s="598"/>
      <c r="AI1025" s="598"/>
      <c r="AJ1025" s="598"/>
      <c r="AK1025" s="599"/>
      <c r="AL1025" s="333"/>
      <c r="AM1025" s="600" t="str">
        <f>EUconst_CNTR_BiomassContent&amp;EUconst_Value</f>
        <v>BioC_Vertė</v>
      </c>
      <c r="AN1025" s="596"/>
      <c r="AO1025" s="601" t="str">
        <f>IF(AC1025=TRUE,IF(COUNTIF(MSPara_SourceStreamCategory,V1025)=0,"",INDEX(MSPara_CalcFactorsMatrix,MATCH(V1025,MSPara_SourceStreamCategory,0),MATCH(AM1025&amp;"_"&amp;2,MSPara_CalcFactors,0))),"")</f>
        <v/>
      </c>
      <c r="AP1025" s="598"/>
      <c r="AQ1025" s="602" t="str">
        <f>IF(OR(AA1025="",AO1025=EUconst_NA),"",AO1025)</f>
        <v/>
      </c>
      <c r="AR1025" s="594">
        <f>IF(AC1025=TRUE,IF(COUNT(K1025:L1025)=0,0,IF(L1025="",K1025,L1025)),0)</f>
        <v>0</v>
      </c>
      <c r="AS1025" s="603" t="b">
        <f>AND(AC1025=TRUE,OR(AND(F1025&lt;&gt;"",NOT(ISNUMBER(AA1025))),L1025&lt;&gt;"",F1025="",AQ1025=""))</f>
        <v>0</v>
      </c>
      <c r="AT1025" s="603" t="b">
        <f t="shared" si="247"/>
        <v>0</v>
      </c>
      <c r="AU1025" s="30"/>
      <c r="AV1025" s="604" t="b">
        <f t="shared" si="248"/>
        <v>0</v>
      </c>
      <c r="AW1025" s="605" t="b">
        <f t="shared" si="249"/>
        <v>0</v>
      </c>
      <c r="AX1025" s="30"/>
      <c r="AY1025" s="570" t="b">
        <f t="shared" si="250"/>
        <v>0</v>
      </c>
      <c r="AZ1025" s="571" t="b">
        <f>OR(AR1024&gt;100%,(AR1024+AR1025)&gt;100%)</f>
        <v>0</v>
      </c>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571" t="b">
        <f>OR(BZ1017,Y1025=EUconst_NA)</f>
        <v>1</v>
      </c>
    </row>
    <row r="1026" spans="1:78" s="140" customFormat="1" ht="5.0999999999999996" customHeight="1" x14ac:dyDescent="0.2">
      <c r="A1026" s="777"/>
      <c r="B1026" s="1248"/>
      <c r="C1026" s="164"/>
      <c r="D1026" s="178"/>
      <c r="O1026" s="1305"/>
      <c r="P1026" s="33"/>
      <c r="Q1026" s="33"/>
      <c r="R1026" s="33"/>
      <c r="S1026" s="172"/>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row>
    <row r="1027" spans="1:78" s="140" customFormat="1" ht="12.75" customHeight="1" x14ac:dyDescent="0.2">
      <c r="A1027" s="777"/>
      <c r="B1027" s="1248"/>
      <c r="C1027" s="164"/>
      <c r="D1027" s="1629" t="str">
        <f>Translations!$B$674</f>
        <v>Pakopos galioja nuo:</v>
      </c>
      <c r="E1027" s="1629"/>
      <c r="F1027" s="1630"/>
      <c r="G1027" s="1014"/>
      <c r="H1027" s="606" t="str">
        <f>Translations!$B$675</f>
        <v>iki:</v>
      </c>
      <c r="I1027" s="1014"/>
      <c r="J1027" s="1620" t="str">
        <f>Translations!$B$676</f>
        <v>Atliekų katalogo numeris (jeigu taikytina):</v>
      </c>
      <c r="K1027" s="1621"/>
      <c r="L1027" s="1621"/>
      <c r="M1027" s="1622"/>
      <c r="N1027" s="1232"/>
      <c r="O1027" s="1305"/>
      <c r="P1027" s="33"/>
      <c r="Q1027" s="33"/>
      <c r="R1027" s="33"/>
      <c r="S1027" s="1233"/>
      <c r="T1027" s="483"/>
      <c r="U1027" s="483"/>
      <c r="V1027" s="48" t="b">
        <f>IF(V1017="",FALSE,INDEX(CNTR_IsWaste,MATCH(V1017,MSParameters!$A$218:$A$376,0)))</f>
        <v>0</v>
      </c>
      <c r="W1027" s="1233" t="s">
        <v>1689</v>
      </c>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2" t="b">
        <f>BZ1017</f>
        <v>1</v>
      </c>
    </row>
    <row r="1028" spans="1:78" s="140" customFormat="1" ht="5.0999999999999996" customHeight="1" x14ac:dyDescent="0.2">
      <c r="A1028" s="777"/>
      <c r="B1028" s="1248"/>
      <c r="C1028" s="164"/>
      <c r="D1028" s="606"/>
      <c r="E1028" s="486"/>
      <c r="F1028" s="486"/>
      <c r="G1028" s="486"/>
      <c r="H1028" s="486"/>
      <c r="I1028" s="486"/>
      <c r="J1028" s="486"/>
      <c r="K1028" s="486"/>
      <c r="L1028" s="486"/>
      <c r="M1028" s="486"/>
      <c r="N1028" s="486"/>
      <c r="O1028" s="1305"/>
      <c r="P1028" s="33"/>
      <c r="Q1028" s="33"/>
      <c r="R1028" s="33"/>
      <c r="S1028" s="172"/>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row>
    <row r="1029" spans="1:78" s="140" customFormat="1" ht="12.75" customHeight="1" x14ac:dyDescent="0.2">
      <c r="A1029" s="777"/>
      <c r="B1029" s="1248"/>
      <c r="C1029" s="164"/>
      <c r="D1029" s="486"/>
      <c r="E1029" s="486"/>
      <c r="F1029" s="486"/>
      <c r="G1029" s="486"/>
      <c r="H1029" s="486"/>
      <c r="I1029" s="486"/>
      <c r="J1029" s="486"/>
      <c r="K1029" s="486"/>
      <c r="L1029" s="486"/>
      <c r="M1029" s="606" t="str">
        <f>Translations!$B$677</f>
        <v>Stebėsenos plane šiam sukėlikliui suteiktas identifikatorius:</v>
      </c>
      <c r="N1029" s="705"/>
      <c r="O1029" s="1305"/>
      <c r="P1029" s="33"/>
      <c r="Q1029" s="33"/>
      <c r="R1029" s="33"/>
      <c r="S1029" s="172"/>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2" t="b">
        <f>BZ1027</f>
        <v>1</v>
      </c>
    </row>
    <row r="1030" spans="1:78" s="140" customFormat="1" ht="5.0999999999999996" customHeight="1" x14ac:dyDescent="0.2">
      <c r="A1030" s="784"/>
      <c r="B1030" s="1316"/>
      <c r="D1030" s="178"/>
      <c r="O1030" s="1317"/>
      <c r="P1030" s="488"/>
      <c r="Q1030" s="488"/>
      <c r="R1030" s="488"/>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row>
    <row r="1031" spans="1:78" s="140" customFormat="1" x14ac:dyDescent="0.2">
      <c r="A1031" s="784"/>
      <c r="B1031" s="1316"/>
      <c r="D1031" s="1618" t="str">
        <f>Translations!$B$160</f>
        <v>Pastabos:</v>
      </c>
      <c r="E1031" s="1619"/>
      <c r="F1031" s="1605"/>
      <c r="G1031" s="1606"/>
      <c r="H1031" s="1606"/>
      <c r="I1031" s="1606"/>
      <c r="J1031" s="1606"/>
      <c r="K1031" s="1606"/>
      <c r="L1031" s="1606"/>
      <c r="M1031" s="1606"/>
      <c r="N1031" s="1607"/>
      <c r="O1031" s="1317"/>
      <c r="P1031" s="488"/>
      <c r="Q1031" s="488"/>
      <c r="R1031" s="488"/>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2" t="b">
        <f>BZ1027</f>
        <v>1</v>
      </c>
    </row>
    <row r="1032" spans="1:78" s="28" customFormat="1" ht="12.75" customHeight="1" thickBot="1" x14ac:dyDescent="0.25">
      <c r="A1032" s="777"/>
      <c r="B1032" s="1312"/>
      <c r="C1032" s="490"/>
      <c r="D1032" s="491"/>
      <c r="E1032" s="492"/>
      <c r="F1032" s="490"/>
      <c r="G1032" s="493"/>
      <c r="H1032" s="493"/>
      <c r="I1032" s="493"/>
      <c r="J1032" s="493"/>
      <c r="K1032" s="493"/>
      <c r="L1032" s="493"/>
      <c r="M1032" s="493"/>
      <c r="N1032" s="493"/>
      <c r="O1032" s="1313"/>
      <c r="P1032" s="485"/>
      <c r="Q1032" s="485"/>
      <c r="R1032" s="485"/>
      <c r="S1032" s="58"/>
      <c r="T1032" s="58"/>
      <c r="U1032" s="489"/>
      <c r="V1032" s="58"/>
      <c r="W1032" s="58"/>
      <c r="X1032" s="489"/>
      <c r="Y1032" s="58"/>
      <c r="Z1032" s="58"/>
      <c r="AA1032" s="58"/>
      <c r="AB1032" s="58"/>
      <c r="AC1032" s="58"/>
      <c r="AD1032" s="58"/>
      <c r="AE1032" s="58"/>
      <c r="AF1032" s="58"/>
      <c r="AG1032" s="58"/>
      <c r="AH1032" s="58"/>
      <c r="AI1032" s="58"/>
      <c r="AJ1032" s="58"/>
      <c r="AK1032" s="58"/>
      <c r="AL1032" s="58"/>
      <c r="AM1032" s="58"/>
      <c r="AN1032" s="58"/>
      <c r="AO1032" s="58"/>
      <c r="AP1032" s="58"/>
      <c r="AQ1032" s="58"/>
      <c r="AR1032" s="58"/>
      <c r="AS1032" s="58"/>
      <c r="AT1032" s="58"/>
      <c r="AU1032" s="58"/>
      <c r="AV1032" s="58"/>
      <c r="AW1032" s="58"/>
      <c r="AX1032" s="58"/>
      <c r="AY1032" s="58"/>
      <c r="AZ1032" s="58"/>
      <c r="BA1032" s="58"/>
      <c r="BB1032" s="58"/>
      <c r="BC1032" s="58"/>
      <c r="BD1032" s="58"/>
      <c r="BE1032" s="58"/>
      <c r="BF1032" s="58"/>
      <c r="BG1032" s="58"/>
      <c r="BH1032" s="58"/>
      <c r="BI1032" s="30"/>
      <c r="BJ1032" s="30"/>
      <c r="BK1032" s="30"/>
      <c r="BL1032" s="58"/>
      <c r="BM1032" s="58"/>
      <c r="BN1032" s="58"/>
      <c r="BO1032" s="58"/>
      <c r="BP1032" s="58"/>
      <c r="BQ1032" s="58"/>
      <c r="BR1032" s="58"/>
      <c r="BS1032" s="58"/>
      <c r="BT1032" s="58"/>
      <c r="BU1032" s="58"/>
      <c r="BV1032" s="58"/>
      <c r="BW1032" s="58"/>
      <c r="BX1032" s="58"/>
      <c r="BY1032" s="58"/>
      <c r="BZ1032" s="58"/>
    </row>
    <row r="1033" spans="1:78" s="28" customFormat="1" ht="12.75" customHeight="1" thickBot="1" x14ac:dyDescent="0.25">
      <c r="A1033" s="782"/>
      <c r="B1033" s="1312"/>
      <c r="C1033" s="486"/>
      <c r="D1033" s="178"/>
      <c r="E1033" s="487"/>
      <c r="F1033" s="486"/>
      <c r="G1033" s="478"/>
      <c r="H1033" s="478"/>
      <c r="I1033" s="478"/>
      <c r="J1033" s="478"/>
      <c r="K1033" s="486"/>
      <c r="L1033" s="478"/>
      <c r="M1033" s="478"/>
      <c r="N1033" s="478"/>
      <c r="O1033" s="1313"/>
      <c r="P1033" s="485"/>
      <c r="Q1033" s="485"/>
      <c r="R1033" s="485"/>
      <c r="S1033" s="23"/>
      <c r="T1033" s="27" t="str">
        <f>IF(ISBLANK(E1034),"",MATCH(E1034,CNTR_SourceStreamNames,0))</f>
        <v/>
      </c>
      <c r="U1033" s="609" t="str">
        <f>IF(ISBLANK(E1034),"",INDEX(B_InstallationDescription!$D$71:$D$145,MATCH(E1034,CNTR_SourceStreamNames,0)))</f>
        <v/>
      </c>
      <c r="V1033" s="76"/>
      <c r="W1033" s="56"/>
      <c r="X1033" s="56"/>
      <c r="Y1033" s="56"/>
      <c r="Z1033" s="58"/>
      <c r="AA1033" s="58"/>
      <c r="AB1033" s="58"/>
      <c r="AC1033" s="58"/>
      <c r="AD1033" s="58"/>
      <c r="AE1033" s="58"/>
      <c r="AF1033" s="58"/>
      <c r="AG1033" s="58"/>
      <c r="AH1033" s="58"/>
      <c r="AI1033" s="58"/>
      <c r="AJ1033" s="58"/>
      <c r="AK1033" s="482"/>
      <c r="AL1033" s="58"/>
      <c r="AM1033" s="58"/>
      <c r="AN1033" s="58"/>
      <c r="AO1033" s="58"/>
      <c r="AP1033" s="58"/>
      <c r="AQ1033" s="58"/>
      <c r="AR1033" s="58"/>
      <c r="AS1033" s="58"/>
      <c r="AT1033" s="58"/>
      <c r="AU1033" s="58"/>
      <c r="AV1033" s="58"/>
      <c r="AW1033" s="58"/>
      <c r="AX1033" s="58"/>
      <c r="AY1033" s="58"/>
      <c r="AZ1033" s="58"/>
      <c r="BA1033" s="58"/>
      <c r="BB1033" s="58"/>
      <c r="BC1033" s="58"/>
      <c r="BD1033" s="58"/>
      <c r="BE1033" s="58"/>
      <c r="BF1033" s="58"/>
      <c r="BG1033" s="58"/>
      <c r="BH1033" s="56"/>
      <c r="BI1033" s="56"/>
      <c r="BJ1033" s="56"/>
      <c r="BK1033" s="56"/>
      <c r="BL1033" s="56"/>
      <c r="BM1033" s="56"/>
      <c r="BN1033" s="56"/>
      <c r="BO1033" s="56"/>
      <c r="BP1033" s="56"/>
      <c r="BQ1033" s="56"/>
      <c r="BR1033" s="56"/>
      <c r="BS1033" s="56"/>
      <c r="BT1033" s="56"/>
      <c r="BU1033" s="56"/>
      <c r="BV1033" s="56"/>
      <c r="BW1033" s="56"/>
      <c r="BX1033" s="56"/>
      <c r="BY1033" s="56"/>
      <c r="BZ1033" s="484" t="s">
        <v>259</v>
      </c>
    </row>
    <row r="1034" spans="1:78" s="140" customFormat="1" ht="15" customHeight="1" thickBot="1" x14ac:dyDescent="0.25">
      <c r="A1034" s="1302" t="str">
        <f>IF(E1034="","","PRINT")</f>
        <v/>
      </c>
      <c r="B1034" s="1248"/>
      <c r="C1034" s="608">
        <f>C1007+1</f>
        <v>37</v>
      </c>
      <c r="D1034" s="164"/>
      <c r="E1034" s="1610"/>
      <c r="F1034" s="1611"/>
      <c r="G1034" s="1611"/>
      <c r="H1034" s="1611"/>
      <c r="I1034" s="1611"/>
      <c r="J1034" s="1612"/>
      <c r="K1034" s="1623" t="str">
        <f>IF(E1035="","",INDEX(EUwideConstants!$F$353:$F$394,MATCH(E1035,EUConst_TierActivityListNames,0)))</f>
        <v/>
      </c>
      <c r="L1034" s="1624"/>
      <c r="M1034" s="494" t="str">
        <f>Translations!$B$665</f>
        <v>CO2, iškastinio kuro kilmės:</v>
      </c>
      <c r="N1034" s="1012" t="str">
        <f>IF(OR(K1034="",T1035=TRUE),"",INDEX(BC1048:BE1048,MATCH(K1034,BC1044:BE1044,0)))</f>
        <v/>
      </c>
      <c r="O1034" s="1314" t="s">
        <v>257</v>
      </c>
      <c r="P1034" s="1303" t="str">
        <f>IF(AND(E1034&lt;&gt;"",COUNTIF(P1035:$P$2089,"PRINT")=0),"PRINT","")</f>
        <v/>
      </c>
      <c r="Q1034" s="343" t="str">
        <f>EUconst_SumCO2 &amp; "_" &amp; K1034</f>
        <v>SUM_CO2_</v>
      </c>
      <c r="R1034" s="485"/>
      <c r="S1034" s="23"/>
      <c r="T1034" s="500" t="s">
        <v>387</v>
      </c>
      <c r="U1034" s="23"/>
      <c r="V1034" s="76"/>
      <c r="W1034" s="56"/>
      <c r="X1034" s="58"/>
      <c r="Y1034" s="58"/>
      <c r="Z1034" s="58"/>
      <c r="AA1034" s="58"/>
      <c r="AB1034" s="58"/>
      <c r="AC1034" s="58"/>
      <c r="AD1034" s="58"/>
      <c r="AE1034" s="58"/>
      <c r="AF1034" s="58"/>
      <c r="AG1034" s="58"/>
      <c r="AH1034" s="58"/>
      <c r="AI1034" s="333"/>
      <c r="AJ1034" s="333"/>
      <c r="AK1034" s="333"/>
      <c r="AL1034" s="333"/>
      <c r="AM1034" s="333"/>
      <c r="AN1034" s="333"/>
      <c r="AO1034" s="333"/>
      <c r="AP1034" s="333"/>
      <c r="AQ1034" s="333"/>
      <c r="AR1034" s="333"/>
      <c r="AS1034" s="333"/>
      <c r="AT1034" s="333"/>
      <c r="AU1034" s="333"/>
      <c r="AV1034" s="333"/>
      <c r="AW1034" s="333"/>
      <c r="AX1034" s="333"/>
      <c r="AY1034" s="333"/>
      <c r="AZ1034" s="333"/>
      <c r="BA1034" s="333"/>
      <c r="BB1034" s="333"/>
      <c r="BC1034" s="333"/>
      <c r="BD1034" s="333"/>
      <c r="BE1034" s="333"/>
      <c r="BF1034" s="333"/>
      <c r="BG1034" s="333"/>
      <c r="BH1034" s="834">
        <f>AR1044</f>
        <v>0</v>
      </c>
      <c r="BI1034" s="834" t="str">
        <f>AJ1044</f>
        <v/>
      </c>
      <c r="BJ1034" s="834">
        <f>AR1046</f>
        <v>0</v>
      </c>
      <c r="BK1034" s="834" t="str">
        <f>AJ1046</f>
        <v/>
      </c>
      <c r="BL1034" s="834">
        <f>AR1047</f>
        <v>0</v>
      </c>
      <c r="BM1034" s="834" t="str">
        <f>AJ1047</f>
        <v/>
      </c>
      <c r="BN1034" s="834">
        <f>AR1048</f>
        <v>1</v>
      </c>
      <c r="BO1034" s="834">
        <f>AR1049</f>
        <v>1</v>
      </c>
      <c r="BP1034" s="834">
        <f>AR1050</f>
        <v>0</v>
      </c>
      <c r="BQ1034" s="834" t="str">
        <f>AJ1050</f>
        <v/>
      </c>
      <c r="BR1034" s="834">
        <f>AR1051</f>
        <v>0</v>
      </c>
      <c r="BS1034" s="834">
        <f>AR1052</f>
        <v>0</v>
      </c>
      <c r="BT1034" s="834" t="str">
        <f>N1034</f>
        <v/>
      </c>
      <c r="BU1034" s="834" t="str">
        <f>N1035</f>
        <v/>
      </c>
      <c r="BV1034" s="834" t="str">
        <f>R1037</f>
        <v/>
      </c>
      <c r="BW1034" s="834" t="str">
        <f>R1043</f>
        <v/>
      </c>
      <c r="BX1034" s="834" t="str">
        <f>R1044</f>
        <v/>
      </c>
      <c r="BY1034" s="56"/>
      <c r="BZ1034" s="610" t="b">
        <f>CNTR_CalcRelevant=EUconst_NotRelevant</f>
        <v>0</v>
      </c>
    </row>
    <row r="1035" spans="1:78" s="140" customFormat="1" ht="15" customHeight="1" thickBot="1" x14ac:dyDescent="0.25">
      <c r="A1035" s="777"/>
      <c r="B1035" s="1248"/>
      <c r="C1035" s="164"/>
      <c r="D1035" s="164"/>
      <c r="E1035" s="1625" t="str">
        <f>IF(ISBLANK(E1034),"",IF(INDEX(B_InstallationDescription!$E$71:$E$145,MATCH(U1033,B_InstallationDescription!$D$71:$D$145,0))&gt;0,INDEX(B_InstallationDescription!$E$71:$E$145,MATCH(U1033,B_InstallationDescription!$D$71:$D$145,0)),""))</f>
        <v/>
      </c>
      <c r="F1035" s="1626"/>
      <c r="G1035" s="1626"/>
      <c r="H1035" s="1626"/>
      <c r="I1035" s="1626"/>
      <c r="J1035" s="1627"/>
      <c r="M1035" s="337" t="str">
        <f>Translations!$B$666</f>
        <v>CO2, biomasės kilmės.:</v>
      </c>
      <c r="N1035" s="1013" t="str">
        <f>IF(OR(K1034="",T1035=TRUE),"",INDEX(BC1047:BE1047,MATCH(K1034,BC1044:BE1044,0)))</f>
        <v/>
      </c>
      <c r="O1035" s="1315" t="s">
        <v>257</v>
      </c>
      <c r="P1035" s="485"/>
      <c r="Q1035" s="343" t="str">
        <f>EUconst_SumBioCO2 &amp; "_" &amp; K1034</f>
        <v>SUM_bioCO2_</v>
      </c>
      <c r="R1035" s="485"/>
      <c r="S1035" s="23"/>
      <c r="T1035" s="48" t="str">
        <f>IF(E1035="","",MATCH(E1035,EUConst_TierActivityListNames,0)&gt;40)</f>
        <v/>
      </c>
      <c r="U1035" s="23"/>
      <c r="V1035" s="76"/>
      <c r="W1035" s="56"/>
      <c r="X1035" s="58"/>
      <c r="Y1035" s="27" t="s">
        <v>91</v>
      </c>
      <c r="Z1035" s="30"/>
      <c r="AA1035" s="30"/>
      <c r="AB1035" s="30"/>
      <c r="AC1035" s="30"/>
      <c r="AD1035" s="30"/>
      <c r="AE1035" s="27" t="s">
        <v>297</v>
      </c>
      <c r="AF1035" s="58"/>
      <c r="AG1035" s="495"/>
      <c r="AH1035" s="30"/>
      <c r="AI1035" s="30"/>
      <c r="AJ1035" s="495"/>
      <c r="AK1035" s="495"/>
      <c r="AL1035" s="333"/>
      <c r="AM1035" s="27" t="s">
        <v>303</v>
      </c>
      <c r="AN1035" s="496"/>
      <c r="AO1035" s="496"/>
      <c r="AP1035" s="30"/>
      <c r="AQ1035" s="30"/>
      <c r="AR1035" s="30"/>
      <c r="AS1035" s="30"/>
      <c r="AT1035" s="30"/>
      <c r="AU1035" s="30"/>
      <c r="AV1035" s="27" t="s">
        <v>310</v>
      </c>
      <c r="AW1035" s="30"/>
      <c r="AX1035" s="483"/>
      <c r="AY1035" s="30"/>
      <c r="AZ1035" s="30"/>
      <c r="BA1035" s="30"/>
      <c r="BB1035" s="27" t="s">
        <v>217</v>
      </c>
      <c r="BC1035" s="30"/>
      <c r="BD1035" s="30"/>
      <c r="BE1035" s="30"/>
      <c r="BF1035" s="30"/>
      <c r="BG1035" s="27" t="s">
        <v>486</v>
      </c>
      <c r="BH1035" s="833" t="s">
        <v>552</v>
      </c>
      <c r="BI1035" s="833" t="s">
        <v>487</v>
      </c>
      <c r="BJ1035" s="833" t="s">
        <v>211</v>
      </c>
      <c r="BK1035" s="833" t="s">
        <v>488</v>
      </c>
      <c r="BL1035" s="833" t="s">
        <v>68</v>
      </c>
      <c r="BM1035" s="833" t="s">
        <v>489</v>
      </c>
      <c r="BN1035" s="833" t="s">
        <v>490</v>
      </c>
      <c r="BO1035" s="833" t="s">
        <v>491</v>
      </c>
      <c r="BP1035" s="833" t="s">
        <v>214</v>
      </c>
      <c r="BQ1035" s="833" t="s">
        <v>492</v>
      </c>
      <c r="BR1035" s="833" t="s">
        <v>493</v>
      </c>
      <c r="BS1035" s="833" t="s">
        <v>494</v>
      </c>
      <c r="BT1035" s="833" t="s">
        <v>287</v>
      </c>
      <c r="BU1035" s="833" t="s">
        <v>495</v>
      </c>
      <c r="BV1035" s="833" t="s">
        <v>498</v>
      </c>
      <c r="BW1035" s="833" t="s">
        <v>496</v>
      </c>
      <c r="BX1035" s="833" t="s">
        <v>497</v>
      </c>
      <c r="BY1035" s="30"/>
      <c r="BZ1035" s="30"/>
    </row>
    <row r="1036" spans="1:78" s="140" customFormat="1" ht="5.0999999999999996" customHeight="1" thickBot="1" x14ac:dyDescent="0.25">
      <c r="A1036" s="777"/>
      <c r="B1036" s="1248"/>
      <c r="C1036" s="164"/>
      <c r="D1036" s="164"/>
      <c r="E1036" s="164"/>
      <c r="F1036" s="164"/>
      <c r="G1036" s="164"/>
      <c r="M1036" s="141"/>
      <c r="N1036" s="141"/>
      <c r="O1036" s="1305"/>
      <c r="P1036" s="33"/>
      <c r="Q1036" s="33"/>
      <c r="R1036" s="33"/>
      <c r="S1036" s="23"/>
      <c r="T1036" s="23"/>
      <c r="U1036" s="23"/>
      <c r="V1036" s="76"/>
      <c r="W1036" s="30"/>
      <c r="X1036" s="30"/>
      <c r="Y1036" s="485"/>
      <c r="Z1036" s="30"/>
      <c r="AA1036" s="30"/>
      <c r="AB1036" s="30"/>
      <c r="AC1036" s="30"/>
      <c r="AD1036" s="30"/>
      <c r="AE1036" s="30"/>
      <c r="AF1036" s="58"/>
      <c r="AG1036" s="30"/>
      <c r="AH1036" s="30"/>
      <c r="AI1036" s="30"/>
      <c r="AJ1036" s="495"/>
      <c r="AK1036" s="495"/>
      <c r="AL1036" s="333"/>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row>
    <row r="1037" spans="1:78" s="140" customFormat="1" ht="12.75" customHeight="1" thickBot="1" x14ac:dyDescent="0.25">
      <c r="A1037" s="777"/>
      <c r="B1037" s="1248"/>
      <c r="C1037" s="164"/>
      <c r="D1037" s="164"/>
      <c r="E1037" s="1628" t="str">
        <f>IF(E1034="","",IF(T1035=TRUE,HYPERLINK("#JUMP_14",EUconst_MsgGoOnPFC),HYPERLINK("#JUMP_E_8",EUconst_FurtherGuidancePoint1)))</f>
        <v/>
      </c>
      <c r="F1037" s="1628"/>
      <c r="G1037" s="1628"/>
      <c r="H1037" s="1628"/>
      <c r="I1037" s="1628"/>
      <c r="J1037" s="1628"/>
      <c r="K1037" s="1628"/>
      <c r="L1037" s="1628"/>
      <c r="M1037" s="1628"/>
      <c r="N1037" s="141"/>
      <c r="O1037" s="1305"/>
      <c r="P1037" s="33"/>
      <c r="Q1037" s="343" t="str">
        <f>EUconst_SumNonSustBioCO2 &amp; "_" &amp; K1034</f>
        <v>SUM_bioNonSustCO2_</v>
      </c>
      <c r="R1037" s="698" t="str">
        <f>IF(OR(K1034="",T1035=TRUE),"",ROUND(INDEX(BC1046:BE1046,MATCH(K1034,BC1044:BE1044,0)),0))</f>
        <v/>
      </c>
      <c r="S1037" s="23"/>
      <c r="T1037" s="23"/>
      <c r="U1037" s="23"/>
      <c r="V1037" s="30"/>
      <c r="W1037" s="30"/>
      <c r="X1037" s="30"/>
      <c r="Y1037" s="58"/>
      <c r="Z1037" s="30"/>
      <c r="AA1037" s="30"/>
      <c r="AB1037" s="30"/>
      <c r="AC1037" s="30"/>
      <c r="AD1037" s="30"/>
      <c r="AE1037" s="30"/>
      <c r="AF1037" s="58"/>
      <c r="AG1037" s="30"/>
      <c r="AH1037" s="30"/>
      <c r="AI1037" s="30"/>
      <c r="AJ1037" s="495"/>
      <c r="AK1037" s="495"/>
      <c r="AL1037" s="333"/>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row>
    <row r="1038" spans="1:78" s="140" customFormat="1" ht="5.0999999999999996" customHeight="1" thickBot="1" x14ac:dyDescent="0.25">
      <c r="A1038" s="777"/>
      <c r="B1038" s="1248"/>
      <c r="C1038" s="164"/>
      <c r="D1038" s="164"/>
      <c r="E1038" s="164"/>
      <c r="F1038" s="164"/>
      <c r="G1038" s="164"/>
      <c r="M1038" s="141"/>
      <c r="N1038" s="141"/>
      <c r="O1038" s="1305"/>
      <c r="P1038" s="23"/>
      <c r="Q1038" s="23"/>
      <c r="R1038" s="23"/>
      <c r="S1038" s="23"/>
      <c r="T1038" s="23"/>
      <c r="U1038" s="23"/>
      <c r="V1038" s="30"/>
      <c r="W1038" s="30"/>
      <c r="X1038" s="30"/>
      <c r="Y1038" s="485"/>
      <c r="Z1038" s="30"/>
      <c r="AA1038" s="30"/>
      <c r="AB1038" s="30"/>
      <c r="AC1038" s="30"/>
      <c r="AD1038" s="30"/>
      <c r="AE1038" s="30"/>
      <c r="AF1038" s="58"/>
      <c r="AG1038" s="30"/>
      <c r="AH1038" s="30"/>
      <c r="AI1038" s="30"/>
      <c r="AJ1038" s="495"/>
      <c r="AK1038" s="495"/>
      <c r="AL1038" s="333"/>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row>
    <row r="1039" spans="1:78" s="140" customFormat="1" ht="12.75" customHeight="1" thickBot="1" x14ac:dyDescent="0.25">
      <c r="A1039" s="777"/>
      <c r="B1039" s="1248"/>
      <c r="C1039" s="783" t="s">
        <v>4</v>
      </c>
      <c r="D1039" s="503" t="str">
        <f>Translations!$B$622</f>
        <v>VD:</v>
      </c>
      <c r="E1039" s="1631" t="str">
        <f>Translations!$B$667</f>
        <v>Ar veiklos duomenys gaunami sudedant išmatuotus kiekius (t. y. ne atliekant nuolatinius matavimus)?</v>
      </c>
      <c r="F1039" s="1631"/>
      <c r="G1039" s="1631"/>
      <c r="H1039" s="1631"/>
      <c r="I1039" s="1631"/>
      <c r="J1039" s="1631"/>
      <c r="K1039" s="1631"/>
      <c r="L1039" s="1122"/>
      <c r="M1039" s="498"/>
      <c r="O1039" s="1305"/>
      <c r="P1039" s="23"/>
      <c r="Q1039" s="23"/>
      <c r="R1039" s="23"/>
      <c r="S1039" s="23"/>
      <c r="T1039" s="23"/>
      <c r="U1039" s="23"/>
      <c r="V1039" s="30"/>
      <c r="W1039" s="30"/>
      <c r="X1039" s="30"/>
      <c r="Y1039" s="485"/>
      <c r="Z1039" s="30"/>
      <c r="AA1039" s="30"/>
      <c r="AB1039" s="30"/>
      <c r="AC1039" s="1115" t="b">
        <f>AND(E1034&lt;&gt;"",T1035&lt;&gt;TRUE)</f>
        <v>0</v>
      </c>
      <c r="AD1039" s="30"/>
      <c r="AE1039" s="30"/>
      <c r="AF1039" s="58"/>
      <c r="AG1039" s="30"/>
      <c r="AH1039" s="30"/>
      <c r="AI1039" s="30"/>
      <c r="AJ1039" s="495"/>
      <c r="AK1039" s="495"/>
      <c r="AL1039" s="333"/>
      <c r="AM1039" s="30"/>
      <c r="AN1039" s="30"/>
      <c r="AO1039" s="30"/>
      <c r="AP1039" s="30"/>
      <c r="AQ1039" s="30"/>
      <c r="AR1039" s="30"/>
      <c r="AS1039" s="30"/>
      <c r="AT1039" s="1115" t="b">
        <f>MSPara_BatchReportingMandatory&lt;&gt;TRUE</f>
        <v>0</v>
      </c>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1115" t="b">
        <f>OR(CNTR_CalcRelevant=EUconst_NotRelevant,AND(COUNTA(CNTR_ListRelevantSections)&gt;0,OR(T1035=TRUE,E1034="")))</f>
        <v>1</v>
      </c>
    </row>
    <row r="1040" spans="1:78" s="140" customFormat="1" ht="5.0999999999999996" customHeight="1" thickBot="1" x14ac:dyDescent="0.25">
      <c r="A1040" s="777"/>
      <c r="B1040" s="1248"/>
      <c r="C1040" s="164"/>
      <c r="D1040" s="164"/>
      <c r="E1040" s="164"/>
      <c r="F1040" s="164"/>
      <c r="G1040" s="164"/>
      <c r="H1040" s="486"/>
      <c r="I1040" s="486"/>
      <c r="J1040" s="486"/>
      <c r="K1040" s="486"/>
      <c r="L1040" s="486"/>
      <c r="M1040" s="498"/>
      <c r="O1040" s="1305"/>
      <c r="P1040" s="23"/>
      <c r="Q1040" s="23"/>
      <c r="R1040" s="23"/>
      <c r="S1040" s="23"/>
      <c r="T1040" s="23"/>
      <c r="U1040" s="23"/>
      <c r="V1040" s="30"/>
      <c r="W1040" s="30"/>
      <c r="X1040" s="30"/>
      <c r="Y1040" s="485"/>
      <c r="Z1040" s="30"/>
      <c r="AA1040" s="30"/>
      <c r="AB1040" s="30"/>
      <c r="AC1040" s="483"/>
      <c r="AD1040" s="30"/>
      <c r="AE1040" s="30"/>
      <c r="AF1040" s="58"/>
      <c r="AG1040" s="30"/>
      <c r="AH1040" s="30"/>
      <c r="AI1040" s="30"/>
      <c r="AJ1040" s="495"/>
      <c r="AK1040" s="495"/>
      <c r="AL1040" s="333"/>
      <c r="AM1040" s="30"/>
      <c r="AN1040" s="30"/>
      <c r="AO1040" s="30"/>
      <c r="AP1040" s="30"/>
      <c r="AQ1040" s="30"/>
      <c r="AR1040" s="30"/>
      <c r="AS1040" s="30"/>
      <c r="AT1040" s="483"/>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483"/>
    </row>
    <row r="1041" spans="1:78" s="140" customFormat="1" ht="12.75" customHeight="1" thickBot="1" x14ac:dyDescent="0.25">
      <c r="A1041" s="777"/>
      <c r="B1041" s="1248"/>
      <c r="C1041" s="783" t="s">
        <v>5</v>
      </c>
      <c r="D1041" s="503" t="str">
        <f>Translations!$B$622</f>
        <v>VD:</v>
      </c>
      <c r="E1041" s="1105" t="str">
        <f>Translations!$B$668</f>
        <v>Pradinis kiekis:</v>
      </c>
      <c r="F1041" s="1123"/>
      <c r="G1041" s="1106" t="str">
        <f>Translations!$B$669</f>
        <v>Galutinis kiekis:</v>
      </c>
      <c r="H1041" s="1123"/>
      <c r="I1041" s="1106" t="str">
        <f>Translations!$B$670</f>
        <v>Įsigytas kiekis:</v>
      </c>
      <c r="J1041" s="1123"/>
      <c r="K1041" s="1106" t="str">
        <f>Translations!$B$671</f>
        <v>Perduotas kiekis:</v>
      </c>
      <c r="L1041" s="1123"/>
      <c r="M1041" s="1107" t="str">
        <f>IF(AND(L1039=TRUE,COUNT(F1041,H1041,J1041,L1041)&lt;4),EUconst_ERR_Incomplete,"")</f>
        <v/>
      </c>
      <c r="O1041" s="1305"/>
      <c r="P1041" s="23"/>
      <c r="Q1041" s="23"/>
      <c r="R1041" s="23"/>
      <c r="S1041" s="23"/>
      <c r="T1041" s="23"/>
      <c r="U1041" s="23"/>
      <c r="V1041" s="30"/>
      <c r="W1041" s="30"/>
      <c r="X1041" s="30"/>
      <c r="Y1041" s="485"/>
      <c r="Z1041" s="30"/>
      <c r="AA1041" s="30"/>
      <c r="AB1041" s="30"/>
      <c r="AC1041" s="1115" t="b">
        <f>AC1039</f>
        <v>0</v>
      </c>
      <c r="AD1041" s="30"/>
      <c r="AE1041" s="30"/>
      <c r="AF1041" s="58"/>
      <c r="AG1041" s="30"/>
      <c r="AH1041" s="30"/>
      <c r="AI1041" s="30"/>
      <c r="AJ1041" s="495"/>
      <c r="AK1041" s="495"/>
      <c r="AL1041" s="333"/>
      <c r="AM1041" s="30"/>
      <c r="AN1041" s="30"/>
      <c r="AO1041" s="30"/>
      <c r="AP1041" s="30"/>
      <c r="AQ1041" s="30"/>
      <c r="AR1041" s="30"/>
      <c r="AS1041" s="30"/>
      <c r="AT1041" s="1115" t="b">
        <f>AND(AT1039=TRUE,L1039="")</f>
        <v>0</v>
      </c>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1115" t="b">
        <f>OR(BZ1039,AND(NOT(ISBLANK(L1039)),L1039=FALSE))</f>
        <v>1</v>
      </c>
    </row>
    <row r="1042" spans="1:78" s="140" customFormat="1" ht="5.0999999999999996" customHeight="1" thickBot="1" x14ac:dyDescent="0.25">
      <c r="A1042" s="777"/>
      <c r="B1042" s="1248"/>
      <c r="C1042" s="164"/>
      <c r="D1042" s="164"/>
      <c r="E1042" s="164"/>
      <c r="F1042" s="164"/>
      <c r="G1042" s="164"/>
      <c r="M1042" s="141"/>
      <c r="N1042" s="141"/>
      <c r="O1042" s="1305"/>
      <c r="P1042" s="23"/>
      <c r="Q1042" s="23"/>
      <c r="R1042" s="23"/>
      <c r="S1042" s="23"/>
      <c r="T1042" s="23"/>
      <c r="U1042" s="23"/>
      <c r="V1042" s="30"/>
      <c r="W1042" s="30"/>
      <c r="X1042" s="30"/>
      <c r="Y1042" s="485"/>
      <c r="Z1042" s="30"/>
      <c r="AA1042" s="30"/>
      <c r="AB1042" s="30"/>
      <c r="AC1042" s="30"/>
      <c r="AD1042" s="30"/>
      <c r="AE1042" s="30"/>
      <c r="AF1042" s="58"/>
      <c r="AG1042" s="30"/>
      <c r="AH1042" s="30"/>
      <c r="AI1042" s="30"/>
      <c r="AJ1042" s="495"/>
      <c r="AK1042" s="495"/>
      <c r="AL1042" s="333"/>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row>
    <row r="1043" spans="1:78" s="140" customFormat="1" ht="12.75" customHeight="1" thickBot="1" x14ac:dyDescent="0.25">
      <c r="A1043" s="777"/>
      <c r="B1043" s="1248"/>
      <c r="C1043" s="164"/>
      <c r="D1043" s="164"/>
      <c r="E1043" s="164"/>
      <c r="F1043" s="497" t="str">
        <f>Translations!$B$333</f>
        <v>Pakopa</v>
      </c>
      <c r="G1043" s="1613" t="str">
        <f>Translations!$B$672</f>
        <v>pakopos aprašas</v>
      </c>
      <c r="H1043" s="1613"/>
      <c r="I1043" s="1608" t="str">
        <f>Translations!$B$158</f>
        <v>Vienetas</v>
      </c>
      <c r="J1043" s="1608"/>
      <c r="K1043" s="1608" t="str">
        <f>Translations!$B$673</f>
        <v>Vertė</v>
      </c>
      <c r="L1043" s="1608"/>
      <c r="M1043" s="498" t="str">
        <f>Translations!$B$610</f>
        <v>klaida</v>
      </c>
      <c r="O1043" s="1305"/>
      <c r="P1043" s="499"/>
      <c r="Q1043" s="343" t="str">
        <f>EUconst_SumEnergyIN &amp; "_" &amp; K1034</f>
        <v>SUM_EnergyIN_</v>
      </c>
      <c r="R1043" s="390" t="str">
        <f>IF(OR(K1034="",T1035)=TRUE,"",INDEX(BC1049:BE1049,MATCH(K1034,BC1044:BE1044,0)))</f>
        <v/>
      </c>
      <c r="S1043" s="30"/>
      <c r="T1043" s="480"/>
      <c r="U1043" s="30"/>
      <c r="V1043" s="500" t="s">
        <v>298</v>
      </c>
      <c r="W1043" s="30"/>
      <c r="X1043" s="30"/>
      <c r="Y1043" s="485" t="s">
        <v>560</v>
      </c>
      <c r="Z1043" s="485" t="s">
        <v>313</v>
      </c>
      <c r="AA1043" s="30"/>
      <c r="AB1043" s="30"/>
      <c r="AC1043" s="496" t="s">
        <v>304</v>
      </c>
      <c r="AD1043" s="30"/>
      <c r="AE1043" s="30"/>
      <c r="AF1043" s="483" t="s">
        <v>300</v>
      </c>
      <c r="AG1043" s="483" t="s">
        <v>301</v>
      </c>
      <c r="AH1043" s="485" t="s">
        <v>299</v>
      </c>
      <c r="AI1043" s="495" t="s">
        <v>302</v>
      </c>
      <c r="AJ1043" s="495" t="s">
        <v>561</v>
      </c>
      <c r="AK1043" s="501" t="s">
        <v>306</v>
      </c>
      <c r="AL1043" s="333"/>
      <c r="AM1043" s="30"/>
      <c r="AN1043" s="483" t="s">
        <v>300</v>
      </c>
      <c r="AO1043" s="483" t="s">
        <v>301</v>
      </c>
      <c r="AP1043" s="502" t="s">
        <v>305</v>
      </c>
      <c r="AQ1043" s="495" t="s">
        <v>563</v>
      </c>
      <c r="AR1043" s="495" t="s">
        <v>562</v>
      </c>
      <c r="AS1043" s="501" t="s">
        <v>599</v>
      </c>
      <c r="AT1043" s="501" t="s">
        <v>599</v>
      </c>
      <c r="AU1043" s="30"/>
      <c r="AV1043" s="483"/>
      <c r="AW1043" s="483"/>
      <c r="AX1043" s="483" t="s">
        <v>316</v>
      </c>
      <c r="AY1043" s="483"/>
      <c r="AZ1043" s="483"/>
      <c r="BA1043" s="483"/>
      <c r="BB1043" s="483"/>
      <c r="BC1043" s="483"/>
      <c r="BD1043" s="483"/>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484" t="s">
        <v>259</v>
      </c>
    </row>
    <row r="1044" spans="1:78" s="140" customFormat="1" ht="12.75" customHeight="1" thickBot="1" x14ac:dyDescent="0.25">
      <c r="A1044" s="777"/>
      <c r="B1044" s="1248"/>
      <c r="C1044" s="753" t="s">
        <v>194</v>
      </c>
      <c r="D1044" s="503" t="str">
        <f>Translations!$B$622</f>
        <v>VD:</v>
      </c>
      <c r="E1044" s="504"/>
      <c r="F1044" s="393"/>
      <c r="G1044" s="1603" t="str">
        <f>IF(OR(ISBLANK(F1044),F1044=EUconst_NoTier),"",IF(Z1044=0,EUconst_NA,IF(ISERROR(Z1044),"",Z1044)))</f>
        <v/>
      </c>
      <c r="H1044" s="1604"/>
      <c r="I1044" s="1108" t="str">
        <f>IF(J1044&lt;&gt;"","",AI1044)</f>
        <v/>
      </c>
      <c r="J1044" s="1109"/>
      <c r="K1044" s="1116" t="str">
        <f>IF(L1044="",AQ1044,"")</f>
        <v/>
      </c>
      <c r="L1044" s="1199"/>
      <c r="M1044" s="700" t="str">
        <f>IF(AND(E1035&lt;&gt;"",OR(F1044="",COUNT(K1044:L1044)=0),Y1044&lt;&gt;EUconst_NA,T1035&lt;&gt;TRUE),EUconst_ERR_Incomplete,IF(COUNTIF(AX1044:AZ1044,TRUE)&gt;0,EUconst_ERR_Inconsistent,""))</f>
        <v/>
      </c>
      <c r="O1044" s="1305"/>
      <c r="P1044" s="635"/>
      <c r="Q1044" s="343" t="str">
        <f>EUconst_SumBioEnergyIN &amp; "_" &amp; K1034</f>
        <v>SUM_BioEnergyIN_</v>
      </c>
      <c r="R1044" s="390" t="str">
        <f>IF(OR(K1034="",T1035)=TRUE,"",INDEX(BC1050:BE1050,MATCH(K1034,BC1044:BE1044,0)))</f>
        <v/>
      </c>
      <c r="S1044" s="30"/>
      <c r="T1044" s="505" t="str">
        <f>EUconst_CNTR_ActivityData&amp;E1035</f>
        <v>ActivityData_</v>
      </c>
      <c r="U1044" s="488"/>
      <c r="V1044" s="505" t="str">
        <f>IF(E1034="","",INDEX(B_InstallationDescription!$I$71:$I$145,MATCH(U1033,B_InstallationDescription!$D$71:$D$145,0)))</f>
        <v/>
      </c>
      <c r="W1044" s="495" t="s">
        <v>533</v>
      </c>
      <c r="X1044" s="488"/>
      <c r="Y1044" s="506" t="str">
        <f>IF(OR(T1035=TRUE,E1035=""),"",INDEX(EUwideConstants!$N:$N,MATCH(T1044,EUwideConstants!$Q:$Q,0)))</f>
        <v/>
      </c>
      <c r="Z1044" s="507" t="str">
        <f>IF(ISBLANK(F1044),"",IF(F1044=EUconst_NA,"",INDEX(EUwideConstants!$H:$M,MATCH(T1044,EUwideConstants!$Q:$Q,0),MATCH(F1044,CNTR_TierList,0))))</f>
        <v/>
      </c>
      <c r="AA1044" s="508" t="s">
        <v>299</v>
      </c>
      <c r="AB1044" s="495"/>
      <c r="AC1044" s="509" t="b">
        <f>AC1039</f>
        <v>0</v>
      </c>
      <c r="AD1044" s="30"/>
      <c r="AE1044" s="510" t="str">
        <f>EUconst_CNTR_ActivityData&amp;EUconst_Unit</f>
        <v>ActivityData_Vienetas</v>
      </c>
      <c r="AF1044" s="511" t="str">
        <f>IF(AC1044=TRUE, IF(COUNTIF(MSPara_SourceStreamCategory,V1044)=0,"",INDEX(MSPara_CalcFactorsMatrix,MATCH(V1044,MSPara_SourceStreamCategory,0),MATCH(AE1044&amp;"_"&amp;2,MSPara_CalcFactors,0))),"")</f>
        <v/>
      </c>
      <c r="AG1044" s="512" t="str">
        <f>IF(AC1044=TRUE, IF(COUNTIF(MSPara_SourceStreamCategory,V1044)=0,"",INDEX(MSPara_CalcFactorsMatrix,MATCH(V1044,MSPara_SourceStreamCategory,0),MATCH(AE1044&amp;"_"&amp;1,MSPara_CalcFactors,0))),"")</f>
        <v/>
      </c>
      <c r="AH1044" s="509" t="str">
        <f>IF(OR(AF1044="",AF1044=EUconst_NA),IF(OR(AG1044=EUconst_NA,AG1044=""),"",AG1044),AF1044)</f>
        <v/>
      </c>
      <c r="AI1044" s="506" t="str">
        <f>IF(AC1044=TRUE,IF(AH1044="",EUconst_t,AH1044),"")</f>
        <v/>
      </c>
      <c r="AJ1044" s="513" t="str">
        <f>IF(J1044="",AI1044,J1044)</f>
        <v/>
      </c>
      <c r="AK1044" s="514" t="b">
        <f>IF(K1034=EUconst_Fuel,J1044&lt;&gt;"",FALSE)</f>
        <v>0</v>
      </c>
      <c r="AL1044" s="333"/>
      <c r="AM1044" s="505" t="str">
        <f>EUconst_CNTR_ActivityData&amp;EUconst_Value</f>
        <v>ActivityData_Vertė</v>
      </c>
      <c r="AN1044" s="496"/>
      <c r="AO1044" s="496"/>
      <c r="AP1044" s="509" t="b">
        <f>AND(AND(AH1044&lt;&gt;"",AJ1044&lt;&gt;""),AJ1044=AH1044)</f>
        <v>0</v>
      </c>
      <c r="AQ1044" s="610" t="str">
        <f>IF(L1039=TRUE,SUM(F1041)-SUM(H1041)+SUM(J1041)-SUM(L1041),"")</f>
        <v/>
      </c>
      <c r="AR1044" s="509">
        <f>IF(Y1044=EUconst_NA,0,IF(COUNT(K1044:L1044)=0,0,IF(L1044="",K1044,L1044)))</f>
        <v>0</v>
      </c>
      <c r="AS1044" s="1115" t="b">
        <f>AND(AC1044=TRUE,OR(L1044&lt;&gt;"",AQ1044=""))</f>
        <v>0</v>
      </c>
      <c r="AT1044" s="1115" t="b">
        <f>AND(AC1044=TRUE,NOT(AS1044))</f>
        <v>0</v>
      </c>
      <c r="AU1044" s="30"/>
      <c r="AV1044" s="483" t="s">
        <v>309</v>
      </c>
      <c r="AW1044" s="483" t="s">
        <v>314</v>
      </c>
      <c r="AX1044" s="515"/>
      <c r="AY1044" s="30" t="s">
        <v>536</v>
      </c>
      <c r="AZ1044" s="30"/>
      <c r="BA1044" s="30"/>
      <c r="BB1044" s="495"/>
      <c r="BC1044" s="484" t="str">
        <f>EUconst_Fuel</f>
        <v>Degimas</v>
      </c>
      <c r="BD1044" s="484" t="str">
        <f>EUconst_ProcessCarbonate</f>
        <v>Proceso metu išsiskiriančios ŠESD</v>
      </c>
      <c r="BE1044" s="484" t="str">
        <f>EUconst_MassBalance</f>
        <v>Masės balansas</v>
      </c>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515" t="b">
        <f>BZ1039</f>
        <v>1</v>
      </c>
    </row>
    <row r="1045" spans="1:78" s="140" customFormat="1" ht="5.0999999999999996" customHeight="1" thickBot="1" x14ac:dyDescent="0.25">
      <c r="A1045" s="777"/>
      <c r="B1045" s="1248"/>
      <c r="C1045" s="783"/>
      <c r="D1045" s="298"/>
      <c r="F1045" s="141"/>
      <c r="G1045" s="141"/>
      <c r="H1045" s="141" t="s">
        <v>233</v>
      </c>
      <c r="I1045" s="516"/>
      <c r="J1045" s="516"/>
      <c r="K1045" s="141"/>
      <c r="L1045" s="141"/>
      <c r="M1045" s="701"/>
      <c r="O1045" s="1305"/>
      <c r="P1045" s="33"/>
      <c r="Q1045" s="33"/>
      <c r="R1045" s="33"/>
      <c r="S1045" s="30"/>
      <c r="T1045" s="153"/>
      <c r="U1045" s="488"/>
      <c r="V1045" s="30"/>
      <c r="W1045" s="30"/>
      <c r="X1045" s="488"/>
      <c r="Y1045" s="517"/>
      <c r="Z1045" s="30"/>
      <c r="AA1045" s="30"/>
      <c r="AB1045" s="30"/>
      <c r="AC1045" s="30"/>
      <c r="AD1045" s="30"/>
      <c r="AE1045" s="30"/>
      <c r="AF1045" s="30"/>
      <c r="AG1045" s="30"/>
      <c r="AH1045" s="30"/>
      <c r="AI1045" s="30"/>
      <c r="AJ1045" s="30"/>
      <c r="AK1045" s="30"/>
      <c r="AL1045" s="333"/>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484"/>
    </row>
    <row r="1046" spans="1:78" s="140" customFormat="1" ht="12.75" customHeight="1" thickBot="1" x14ac:dyDescent="0.25">
      <c r="A1046" s="777"/>
      <c r="B1046" s="1248"/>
      <c r="C1046" s="783" t="s">
        <v>195</v>
      </c>
      <c r="D1046" s="503" t="str">
        <f>Translations!$B$634</f>
        <v>(prelim.) ITF:</v>
      </c>
      <c r="E1046" s="504"/>
      <c r="F1046" s="518"/>
      <c r="G1046" s="1603" t="str">
        <f t="shared" ref="G1046:G1052" si="252">IF(OR(ISBLANK(F1046),F1046=EUconst_NoTier),"",IF(Z1046=0,EUconst_NotApplicable,IF(ISERROR(Z1046),"",Z1046)))</f>
        <v/>
      </c>
      <c r="H1046" s="1609"/>
      <c r="I1046" s="1110" t="str">
        <f>IF(J1046&lt;&gt;"","",AI1046)</f>
        <v/>
      </c>
      <c r="J1046" s="1111"/>
      <c r="K1046" s="519" t="str">
        <f t="shared" ref="K1046:K1052" si="253">IF(L1046="",AQ1046,"")</f>
        <v/>
      </c>
      <c r="L1046" s="520"/>
      <c r="M1046" s="700" t="str">
        <f>IF(AND(E1035&lt;&gt;"",OR(F1046="",COUNT(K1046:L1046)=0),Y1046&lt;&gt;EUconst_NA,T1035&lt;&gt;TRUE),EUconst_ERR_Incomplete,IF(COUNTIF(AX1046:AZ1046,TRUE)&gt;0,EUconst_ERR_Inconsistent,""))</f>
        <v/>
      </c>
      <c r="N1046" s="486"/>
      <c r="O1046" s="1305"/>
      <c r="P1046" s="33"/>
      <c r="Q1046" s="33"/>
      <c r="R1046" s="33"/>
      <c r="S1046" s="30"/>
      <c r="T1046" s="521" t="str">
        <f>EUconst_CNTR_EF&amp;E1035</f>
        <v>EF_</v>
      </c>
      <c r="U1046" s="488"/>
      <c r="V1046" s="522" t="str">
        <f>V1044</f>
        <v/>
      </c>
      <c r="W1046" s="30"/>
      <c r="X1046" s="488"/>
      <c r="Y1046" s="523" t="str">
        <f>IF(OR(T1035=TRUE,E1035=""),"",IF(F1046=EUconst_NA,EUconst_NA,INDEX(EUwideConstants!$N:$N,MATCH(T1046,EUwideConstants!$Q:$Q,0))))</f>
        <v/>
      </c>
      <c r="Z1046" s="524" t="str">
        <f>IF(ISBLANK(F1046),"",IF(F1046=EUconst_NA,"",INDEX(EUwideConstants!$H:$M,MATCH(T1046,EUwideConstants!$Q:$Q,0),MATCH(F1046,CNTR_TierList,0))))</f>
        <v/>
      </c>
      <c r="AA1046" s="525" t="str">
        <f>IF(COUNTIF(EUconst_DefaultValues,Z1046)&gt;0,MATCH(Z1046,EUconst_DefaultValues,0),"")</f>
        <v/>
      </c>
      <c r="AB1046" s="30"/>
      <c r="AC1046" s="526" t="b">
        <f>AND(AC1044,Y1046&lt;&gt;EUconst_NA)</f>
        <v>0</v>
      </c>
      <c r="AD1046" s="30"/>
      <c r="AE1046" s="510" t="str">
        <f>EUconst_CNTR_EF&amp;EUconst_Unit</f>
        <v>EF_Vienetas</v>
      </c>
      <c r="AF1046" s="527" t="str">
        <f>IF(AC1046=TRUE, IF(COUNTIF(MSPara_SourceStreamCategory,V1046)=0,"",INDEX(MSPara_CalcFactorsMatrix,MATCH(V1046,MSPara_SourceStreamCategory,0),MATCH(AE1046&amp;"_"&amp;2,MSPara_CalcFactors,0))),"")</f>
        <v/>
      </c>
      <c r="AG1046" s="528" t="str">
        <f>IF(AC1046=TRUE, IF(COUNTIF(MSPara_SourceStreamCategory,V1046)=0,"",INDEX(MSPara_CalcFactorsMatrix,MATCH(V1046,MSPara_SourceStreamCategory,0),MATCH(AE1046&amp;"_"&amp;1,MSPara_CalcFactors,0))),"")</f>
        <v/>
      </c>
      <c r="AH1046" s="529" t="str">
        <f>IF(AA1046="","",INDEX(AF1046:AG1046,3-AA1046))</f>
        <v/>
      </c>
      <c r="AI1046" s="530" t="str">
        <f>IF(AC1046=TRUE,IF(OR(AH1046="",AH1046=EUconst_NA),IF(K1034=EUconst_Fuel,EUconst_tCO2pTJ,EUconst_tCO2pt),AH1046),"")</f>
        <v/>
      </c>
      <c r="AJ1046" s="526" t="str">
        <f>IF(J1046="",AI1046,J1046)</f>
        <v/>
      </c>
      <c r="AK1046" s="531" t="b">
        <f>IF(K1034=EUconst_Fuel,J1046&lt;&gt;"",FALSE)</f>
        <v>0</v>
      </c>
      <c r="AL1046" s="333"/>
      <c r="AM1046" s="510" t="str">
        <f>EUconst_CNTR_EF&amp;EUconst_Value</f>
        <v>EF_Vertė</v>
      </c>
      <c r="AN1046" s="532" t="str">
        <f>IF(AC1046=TRUE,IF(COUNTIF(MSPara_SourceStreamCategory,V1046)=0,"",INDEX(MSPara_CalcFactorsMatrix,MATCH(V1046,MSPara_SourceStreamCategory,0),MATCH(AM1046&amp;"_"&amp;2,MSPara_CalcFactors,0))),"")</f>
        <v/>
      </c>
      <c r="AO1046" s="533" t="str">
        <f>IF(AC1046=TRUE,IF(COUNTIF(MSPara_SourceStreamCategory,V1046)=0,"",INDEX(MSPara_CalcFactorsMatrix,MATCH(V1046,MSPara_SourceStreamCategory,0),MATCH(AM1046&amp;"_"&amp;1,MSPara_CalcFactors,0))),"")</f>
        <v/>
      </c>
      <c r="AP1046" s="526" t="b">
        <f>AND(AND(AH1046&lt;&gt;"",AJ1046&lt;&gt;""),AJ1046=AH1046)</f>
        <v>0</v>
      </c>
      <c r="AQ1046" s="534" t="str">
        <f>IF(AND(AA1046&lt;&gt;"",AP1046=TRUE),IF(OR(INDEX(AN1046:AO1046,3-AA1046)=EUconst_NA,INDEX(AN1046:AO1046,3-AA1046)=0),"",INDEX(AN1046:AO1046,3-AA1046)),"")</f>
        <v/>
      </c>
      <c r="AR1046" s="526">
        <f>IF(AC1046=TRUE,IF(COUNT(K1046:L1046)=0,0,IF(L1046="",K1046,L1046)),0)</f>
        <v>0</v>
      </c>
      <c r="AS1046" s="522" t="b">
        <f>AND(AC1046=TRUE,OR(AND(F1046&lt;&gt;"",NOT(ISNUMBER(AA1046))),L1046&lt;&gt;"",F1046="",AQ1046=""))</f>
        <v>0</v>
      </c>
      <c r="AT1046" s="522" t="b">
        <f t="shared" ref="AT1046:AT1052" si="254">AND(AC1046=TRUE,NOT(AS1046))</f>
        <v>0</v>
      </c>
      <c r="AU1046" s="30"/>
      <c r="AV1046" s="535" t="b">
        <f t="shared" ref="AV1046:AV1052" si="255">AND(ISNUMBER(AA1046),AQ1046="")</f>
        <v>0</v>
      </c>
      <c r="AW1046" s="536" t="b">
        <f t="shared" ref="AW1046:AW1052" si="256">AND(ISNUMBER(AA1046),AQ1046&lt;&gt;AR1046)</f>
        <v>0</v>
      </c>
      <c r="AX1046" s="537" t="b">
        <f>OR(AND(AJ1044=EUconst_kNm3,AJ1046=EUconst_tCO2pt),AND(AJ1044=EUconst_t,AJ1046=EUconst_tCO2pkNm3))</f>
        <v>0</v>
      </c>
      <c r="AY1046" s="522" t="b">
        <f t="shared" ref="AY1046:AY1052" si="257">AND(L1046&lt;&gt;"",Y1046=EUconst_NA)</f>
        <v>0</v>
      </c>
      <c r="AZ1046" s="30"/>
      <c r="BA1046" s="30"/>
      <c r="BB1046" s="538" t="s">
        <v>588</v>
      </c>
      <c r="BC1046" s="537" t="str">
        <f>IF(K1034=BC1044,AR1044*IF(AJ1046=EUconst_tCO2pTJ,(AR1047/1000),1)*AR1046*AR1048*AR1052,"")</f>
        <v/>
      </c>
      <c r="BD1046" s="515" t="str">
        <f>IF(K1034=BD1044,AR1044*AR1046*AR1049*AR1052,"")</f>
        <v/>
      </c>
      <c r="BE1046" s="514" t="str">
        <f>IF(K1034=BE1044,3.664*AR1044*AR1050*AR1052,"")</f>
        <v/>
      </c>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522" t="b">
        <f>OR(BZ1044,Y1046=EUconst_NA)</f>
        <v>1</v>
      </c>
    </row>
    <row r="1047" spans="1:78" s="140" customFormat="1" ht="12.75" customHeight="1" thickBot="1" x14ac:dyDescent="0.25">
      <c r="A1047" s="777"/>
      <c r="B1047" s="1248"/>
      <c r="C1047" s="783" t="s">
        <v>196</v>
      </c>
      <c r="D1047" s="503" t="str">
        <f>Translations!$B$636</f>
        <v>GŠV:</v>
      </c>
      <c r="E1047" s="504"/>
      <c r="F1047" s="539"/>
      <c r="G1047" s="1603" t="str">
        <f t="shared" si="252"/>
        <v/>
      </c>
      <c r="H1047" s="1604"/>
      <c r="I1047" s="1112" t="str">
        <f>AJ1047</f>
        <v/>
      </c>
      <c r="J1047" s="540"/>
      <c r="K1047" s="541" t="str">
        <f t="shared" si="253"/>
        <v/>
      </c>
      <c r="L1047" s="542"/>
      <c r="M1047" s="700" t="str">
        <f>IF(AND(E1035&lt;&gt;"",OR(F1047="",COUNT(K1047:L1047)=0),Y1047&lt;&gt;EUconst_NA,T1035&lt;&gt;TRUE),EUconst_ERR_Incomplete,IF(COUNTIF(AX1047:AZ1047,TRUE)&gt;0,EUconst_ERR_Inconsistent,""))</f>
        <v/>
      </c>
      <c r="O1047" s="1305"/>
      <c r="P1047" s="33"/>
      <c r="Q1047" s="33"/>
      <c r="R1047" s="33"/>
      <c r="S1047" s="30"/>
      <c r="T1047" s="543" t="str">
        <f>EUconst_CNTR_NCV&amp;E1035</f>
        <v>NCV_</v>
      </c>
      <c r="U1047" s="488"/>
      <c r="V1047" s="544" t="str">
        <f t="shared" ref="V1047:V1052" si="258">V1046</f>
        <v/>
      </c>
      <c r="W1047" s="30"/>
      <c r="X1047" s="488"/>
      <c r="Y1047" s="545" t="str">
        <f>IF(OR(T1035=TRUE,E1035=""),"",IF(F1047=EUconst_NA,EUconst_NA,INDEX(EUwideConstants!$N:$N,MATCH(T1047,EUwideConstants!$Q:$Q,0))))</f>
        <v/>
      </c>
      <c r="Z1047" s="546" t="str">
        <f>IF(ISBLANK(F1047),"",IF(F1047=EUconst_NA,"",INDEX(EUwideConstants!$H:$M,MATCH(T1047,EUwideConstants!$Q:$Q,0),MATCH(F1047,CNTR_TierList,0))))</f>
        <v/>
      </c>
      <c r="AA1047" s="547" t="str">
        <f>IF(COUNTIF(EUconst_DefaultValues,Z1047)&gt;0,MATCH(Z1047,EUconst_DefaultValues,0),"")</f>
        <v/>
      </c>
      <c r="AB1047" s="30"/>
      <c r="AC1047" s="548" t="b">
        <f>AND(AC1044,Y1047&lt;&gt;EUconst_NA)</f>
        <v>0</v>
      </c>
      <c r="AD1047" s="30"/>
      <c r="AE1047" s="549" t="str">
        <f>EUconst_CNTR_NCV&amp;EUconst_Unit</f>
        <v>NCV_Vienetas</v>
      </c>
      <c r="AF1047" s="550" t="str">
        <f>IF(AC1047=TRUE, IF(COUNTIF(MSPara_SourceStreamCategory,V1047)=0,"",INDEX(MSPara_CalcFactorsMatrix,MATCH(V1047,MSPara_SourceStreamCategory,0),MATCH(AE1047&amp;"_"&amp;2,MSPara_CalcFactors,0))),"")</f>
        <v/>
      </c>
      <c r="AG1047" s="551" t="str">
        <f>IF(AC1047=TRUE, IF(COUNTIF(MSPara_SourceStreamCategory,V1047)=0,"",INDEX(MSPara_CalcFactorsMatrix,MATCH(V1047,MSPara_SourceStreamCategory,0),MATCH(AE1047&amp;"_"&amp;1,MSPara_CalcFactors,0))),"")</f>
        <v/>
      </c>
      <c r="AH1047" s="552" t="str">
        <f>IF(AA1047="","",INDEX(AF1047:AG1047,3-AA1047))</f>
        <v/>
      </c>
      <c r="AI1047" s="553"/>
      <c r="AJ1047" s="548" t="str">
        <f>IF(AC1047=TRUE,IF(AJ1044="","",IF(AJ1044=EUconst_kNm3,EUconst_GJpkNm3,EUconst_GJpt)),"")</f>
        <v/>
      </c>
      <c r="AK1047" s="554"/>
      <c r="AL1047" s="333"/>
      <c r="AM1047" s="549" t="str">
        <f>EUconst_CNTR_NCV&amp;EUconst_Value</f>
        <v>NCV_Vertė</v>
      </c>
      <c r="AN1047" s="555" t="str">
        <f>IF(AC1047=TRUE,IF(COUNTIF(MSPara_SourceStreamCategory,V1047)=0,"",INDEX(MSPara_CalcFactorsMatrix,MATCH(V1047,MSPara_SourceStreamCategory,0),MATCH(AM1047&amp;"_"&amp;2,MSPara_CalcFactors,0))),"")</f>
        <v/>
      </c>
      <c r="AO1047" s="556" t="str">
        <f>IF(AC1047=TRUE,IF(COUNTIF(MSPara_SourceStreamCategory,V1047)=0,"",INDEX(MSPara_CalcFactorsMatrix,MATCH(V1047,MSPara_SourceStreamCategory,0),MATCH(AM1047&amp;"_"&amp;1,MSPara_CalcFactors,0))),"")</f>
        <v/>
      </c>
      <c r="AP1047" s="548" t="b">
        <f>AND(AND(AH1047&lt;&gt;"",AJ1047&lt;&gt;""),AJ1047=AH1047)</f>
        <v>0</v>
      </c>
      <c r="AQ1047" s="557" t="str">
        <f>IF(AND(AA1047&lt;&gt;"",AP1047=TRUE),IF(OR(INDEX(AN1047:AO1047,3-AA1047)=EUconst_NA,INDEX(AN1047:AO1047,3-AA1047)=0),"",INDEX(AN1047:AO1047,3-AA1047)),"")</f>
        <v/>
      </c>
      <c r="AR1047" s="548">
        <f>IF(AC1047=TRUE,IF(COUNT(K1047:L1047)=0,0,IF(L1047="",K1047,L1047)),0)</f>
        <v>0</v>
      </c>
      <c r="AS1047" s="544" t="b">
        <f>AND(AC1047=TRUE,OR(AND(F1047&lt;&gt;"",NOT(ISNUMBER(AA1047))),L1047&lt;&gt;"",F1047="",AQ1047=""))</f>
        <v>0</v>
      </c>
      <c r="AT1047" s="544" t="b">
        <f t="shared" si="254"/>
        <v>0</v>
      </c>
      <c r="AU1047" s="30"/>
      <c r="AV1047" s="558" t="b">
        <f t="shared" si="255"/>
        <v>0</v>
      </c>
      <c r="AW1047" s="559" t="b">
        <f t="shared" si="256"/>
        <v>0</v>
      </c>
      <c r="AX1047" s="30"/>
      <c r="AY1047" s="544" t="b">
        <f t="shared" si="257"/>
        <v>0</v>
      </c>
      <c r="AZ1047" s="30"/>
      <c r="BA1047" s="30"/>
      <c r="BB1047" s="538" t="s">
        <v>589</v>
      </c>
      <c r="BC1047" s="537" t="str">
        <f>IF(K1034=BC1044,AR1044*IF(AJ1046=EUconst_tCO2pTJ,(AR1047/1000),1)*AR1046*AR1048*AR1051,"")</f>
        <v/>
      </c>
      <c r="BD1047" s="515" t="str">
        <f>IF(K1034=BD1044,AR1044*AR1046*AR1049*AR1051,"")</f>
        <v/>
      </c>
      <c r="BE1047" s="514" t="str">
        <f>IF(K1034=BE1044,3.664*AR1044*AR1050*AR1051,"")</f>
        <v/>
      </c>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544" t="b">
        <f>OR(BZ1044,Y1047=EUconst_NA)</f>
        <v>1</v>
      </c>
    </row>
    <row r="1048" spans="1:78" s="140" customFormat="1" ht="12.75" customHeight="1" thickBot="1" x14ac:dyDescent="0.25">
      <c r="A1048" s="777"/>
      <c r="B1048" s="1248"/>
      <c r="C1048" s="783" t="s">
        <v>197</v>
      </c>
      <c r="D1048" s="503" t="str">
        <f>Translations!$B$638</f>
        <v>Oksidacijos koef.:</v>
      </c>
      <c r="E1048" s="504"/>
      <c r="F1048" s="539"/>
      <c r="G1048" s="1603" t="str">
        <f t="shared" si="252"/>
        <v/>
      </c>
      <c r="H1048" s="1604"/>
      <c r="I1048" s="1113" t="str">
        <f>IF(OR(AC1048=FALSE,Y1048=EUconst_NA),"","-")</f>
        <v/>
      </c>
      <c r="J1048" s="560"/>
      <c r="K1048" s="561" t="str">
        <f t="shared" si="253"/>
        <v/>
      </c>
      <c r="L1048" s="694"/>
      <c r="M1048" s="700" t="str">
        <f>IF(AND(E1035&lt;&gt;"",OR(F1048="",COUNT(K1048:L1048)=0),Y1048&lt;&gt;EUconst_NA,T1035&lt;&gt;TRUE),EUconst_ERR_Incomplete,IF(COUNTIF(AX1048:AZ1048,TRUE)&gt;0,EUconst_ERR_Inconsistent,""))</f>
        <v/>
      </c>
      <c r="O1048" s="1305"/>
      <c r="P1048" s="33"/>
      <c r="Q1048" s="33"/>
      <c r="R1048" s="33"/>
      <c r="S1048" s="30"/>
      <c r="T1048" s="543" t="str">
        <f>EUconst_CNTR_OxidationFactor&amp;E1035</f>
        <v>OxF_</v>
      </c>
      <c r="U1048" s="488"/>
      <c r="V1048" s="544" t="str">
        <f t="shared" si="258"/>
        <v/>
      </c>
      <c r="W1048" s="30"/>
      <c r="X1048" s="488"/>
      <c r="Y1048" s="545" t="str">
        <f>IF(OR(T1035=TRUE,E1035=""),"",INDEX(EUwideConstants!$N:$N,MATCH(T1048,EUwideConstants!$Q:$Q,0)))</f>
        <v/>
      </c>
      <c r="Z1048" s="546" t="str">
        <f>IF(ISBLANK(F1048),"",IF(F1048=EUconst_NA,"",INDEX(EUwideConstants!$H:$M,MATCH(T1048,EUwideConstants!$Q:$Q,0),MATCH(F1048,CNTR_TierList,0))))</f>
        <v/>
      </c>
      <c r="AA1048" s="525" t="str">
        <f>IF(F1048=1,1,"")</f>
        <v/>
      </c>
      <c r="AB1048" s="30"/>
      <c r="AC1048" s="548" t="b">
        <f>AND(AC1044,Y1048&lt;&gt;EUconst_NA)</f>
        <v>0</v>
      </c>
      <c r="AD1048" s="30"/>
      <c r="AE1048" s="563"/>
      <c r="AG1048" s="564"/>
      <c r="AH1048" s="553"/>
      <c r="AI1048" s="565"/>
      <c r="AJ1048" s="553"/>
      <c r="AK1048" s="566"/>
      <c r="AL1048" s="333"/>
      <c r="AM1048" s="549" t="str">
        <f>EUconst_CNTR_OxidationFactor&amp;EUconst_Value</f>
        <v>OxF_Vertė</v>
      </c>
      <c r="AN1048" s="567"/>
      <c r="AO1048" s="525">
        <v>1</v>
      </c>
      <c r="AP1048" s="553"/>
      <c r="AQ1048" s="568" t="str">
        <f>IF(AA1048="","",AO1048)</f>
        <v/>
      </c>
      <c r="AR1048" s="548">
        <f>IF(AC1048=TRUE,IF(COUNT(K1048:L1048)=0,0,IF(L1048="",K1048,L1048)),1)</f>
        <v>1</v>
      </c>
      <c r="AS1048" s="544" t="b">
        <f>AND(AC1048=TRUE,OR(ISNUMBER(L1048),NOT(ISNUMBER(AA1048))))</f>
        <v>0</v>
      </c>
      <c r="AT1048" s="544" t="b">
        <f t="shared" si="254"/>
        <v>0</v>
      </c>
      <c r="AU1048" s="30"/>
      <c r="AV1048" s="558" t="b">
        <f t="shared" si="255"/>
        <v>0</v>
      </c>
      <c r="AW1048" s="559" t="b">
        <f t="shared" si="256"/>
        <v>0</v>
      </c>
      <c r="AX1048" s="30"/>
      <c r="AY1048" s="585" t="b">
        <f t="shared" si="257"/>
        <v>0</v>
      </c>
      <c r="AZ1048" s="522" t="b">
        <f>AR1048&gt;100%</f>
        <v>0</v>
      </c>
      <c r="BA1048" s="30"/>
      <c r="BB1048" s="538" t="s">
        <v>287</v>
      </c>
      <c r="BC1048" s="537" t="str">
        <f>IF(K1034=BC1044,AR1044*IF(AJ1046=EUconst_tCO2pTJ,(AR1047/1000),1)*AR1046*AR1048*(1-AR1051),"")</f>
        <v/>
      </c>
      <c r="BD1048" s="515" t="str">
        <f>IF(K1034=BD1044,AR1044*AR1046*AR1049*(1-AR1051),"")</f>
        <v/>
      </c>
      <c r="BE1048" s="514" t="str">
        <f>IF(K1034=BE1044,3.664*AR1044*AR1050*(1-AR1051),"")</f>
        <v/>
      </c>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544" t="b">
        <f>OR(BZ1044,Y1048=EUconst_NA)</f>
        <v>1</v>
      </c>
    </row>
    <row r="1049" spans="1:78" s="140" customFormat="1" ht="12.75" customHeight="1" thickBot="1" x14ac:dyDescent="0.25">
      <c r="A1049" s="777"/>
      <c r="B1049" s="1248"/>
      <c r="C1049" s="783" t="s">
        <v>198</v>
      </c>
      <c r="D1049" s="503" t="str">
        <f>Translations!$B$639</f>
        <v>Konversijos koef.:</v>
      </c>
      <c r="E1049" s="504"/>
      <c r="F1049" s="539"/>
      <c r="G1049" s="1603" t="str">
        <f t="shared" si="252"/>
        <v/>
      </c>
      <c r="H1049" s="1604"/>
      <c r="I1049" s="1113" t="str">
        <f>IF(OR(AC1049=FALSE,Y1049=EUconst_NA),"","-")</f>
        <v/>
      </c>
      <c r="J1049" s="560"/>
      <c r="K1049" s="561" t="str">
        <f t="shared" si="253"/>
        <v/>
      </c>
      <c r="L1049" s="694"/>
      <c r="M1049" s="700" t="str">
        <f>IF(AND(E1035&lt;&gt;"",OR(F1049="",COUNT(K1049:L1049)=0),Y1049&lt;&gt;EUconst_NA,T1035&lt;&gt;TRUE),EUconst_ERR_Incomplete,IF(COUNTIF(AX1049:AZ1049,TRUE)&gt;0,EUconst_ERR_Inconsistent,""))</f>
        <v/>
      </c>
      <c r="O1049" s="1305"/>
      <c r="P1049" s="33"/>
      <c r="Q1049" s="33"/>
      <c r="R1049" s="33"/>
      <c r="S1049" s="30"/>
      <c r="T1049" s="543" t="str">
        <f>EUconst_CNTR_ConversionFactor&amp;E1035</f>
        <v>ConvF_</v>
      </c>
      <c r="U1049" s="488"/>
      <c r="V1049" s="544" t="str">
        <f t="shared" si="258"/>
        <v/>
      </c>
      <c r="W1049" s="30"/>
      <c r="X1049" s="488"/>
      <c r="Y1049" s="545" t="str">
        <f>IF(OR(T1035=TRUE,E1035=""),"",INDEX(EUwideConstants!$N:$N,MATCH(T1049,EUwideConstants!$Q:$Q,0)))</f>
        <v/>
      </c>
      <c r="Z1049" s="546" t="str">
        <f>IF(ISBLANK(F1049),"",IF(F1049=EUconst_NA,"",INDEX(EUwideConstants!$H:$M,MATCH(T1049,EUwideConstants!$Q:$Q,0),MATCH(F1049,CNTR_TierList,0))))</f>
        <v/>
      </c>
      <c r="AA1049" s="573" t="str">
        <f>IF(F1049=1,1,"")</f>
        <v/>
      </c>
      <c r="AB1049" s="30"/>
      <c r="AC1049" s="548" t="b">
        <f>AND(AC1044,Y1049&lt;&gt;EUconst_NA)</f>
        <v>0</v>
      </c>
      <c r="AD1049" s="30"/>
      <c r="AE1049" s="563"/>
      <c r="AG1049" s="564"/>
      <c r="AH1049" s="574"/>
      <c r="AI1049" s="565"/>
      <c r="AJ1049" s="574"/>
      <c r="AK1049" s="566"/>
      <c r="AL1049" s="333"/>
      <c r="AM1049" s="549" t="str">
        <f>EUconst_CNTR_ConversionFactor&amp;EUconst_Value</f>
        <v>ConvF_Vertė</v>
      </c>
      <c r="AN1049" s="575"/>
      <c r="AO1049" s="573">
        <v>1</v>
      </c>
      <c r="AP1049" s="574"/>
      <c r="AQ1049" s="576" t="str">
        <f>IF(AA1049="","",AO1049)</f>
        <v/>
      </c>
      <c r="AR1049" s="548">
        <f>IF(AC1049=TRUE,IF(COUNT(K1049:L1049)=0,0,IF(L1049="",K1049,L1049)),1)</f>
        <v>1</v>
      </c>
      <c r="AS1049" s="544" t="b">
        <f>AND(AC1049=TRUE,OR(ISNUMBER(L1049),NOT(ISNUMBER(AA1049))))</f>
        <v>0</v>
      </c>
      <c r="AT1049" s="544" t="b">
        <f t="shared" si="254"/>
        <v>0</v>
      </c>
      <c r="AU1049" s="30"/>
      <c r="AV1049" s="558" t="b">
        <f t="shared" si="255"/>
        <v>0</v>
      </c>
      <c r="AW1049" s="559" t="b">
        <f t="shared" si="256"/>
        <v>0</v>
      </c>
      <c r="AX1049" s="30"/>
      <c r="AY1049" s="585" t="b">
        <f t="shared" si="257"/>
        <v>0</v>
      </c>
      <c r="AZ1049" s="571" t="b">
        <f>AR1049&gt;100%</f>
        <v>0</v>
      </c>
      <c r="BA1049" s="30"/>
      <c r="BB1049" s="569" t="s">
        <v>481</v>
      </c>
      <c r="BC1049" s="570">
        <f>AR1044*AR1047/1000*(1-AR1051)</f>
        <v>0</v>
      </c>
      <c r="BD1049" s="571">
        <f>BC1049</f>
        <v>0</v>
      </c>
      <c r="BE1049" s="572">
        <f>BC1049</f>
        <v>0</v>
      </c>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544" t="b">
        <f>OR(BZ1044,Y1049=EUconst_NA)</f>
        <v>1</v>
      </c>
    </row>
    <row r="1050" spans="1:78" s="140" customFormat="1" ht="12.75" customHeight="1" thickBot="1" x14ac:dyDescent="0.25">
      <c r="A1050" s="777"/>
      <c r="B1050" s="1248"/>
      <c r="C1050" s="783" t="s">
        <v>324</v>
      </c>
      <c r="D1050" s="503" t="str">
        <f>Translations!$B$640</f>
        <v>Anglies kiekis (C):</v>
      </c>
      <c r="E1050" s="504"/>
      <c r="F1050" s="539"/>
      <c r="G1050" s="1603" t="str">
        <f t="shared" si="252"/>
        <v/>
      </c>
      <c r="H1050" s="1604"/>
      <c r="I1050" s="1113" t="str">
        <f>AJ1050</f>
        <v/>
      </c>
      <c r="J1050" s="577"/>
      <c r="K1050" s="578" t="str">
        <f t="shared" si="253"/>
        <v/>
      </c>
      <c r="L1050" s="579"/>
      <c r="M1050" s="700" t="str">
        <f>IF(AND(E1035&lt;&gt;"",OR(F1050="",COUNT(K1050:L1050)=0),Y1050&lt;&gt;EUconst_NA,T1035&lt;&gt;TRUE),EUconst_ERR_Incomplete,IF(COUNTIF(AX1050:AZ1050,TRUE)&gt;0,EUconst_ERR_Inconsistent,""))</f>
        <v/>
      </c>
      <c r="O1050" s="1305"/>
      <c r="P1050" s="33"/>
      <c r="Q1050" s="33"/>
      <c r="R1050" s="33"/>
      <c r="S1050" s="30"/>
      <c r="T1050" s="543" t="str">
        <f>EUconst_CNTR_CarbonContent&amp;E1035</f>
        <v>CarbC_</v>
      </c>
      <c r="U1050" s="488"/>
      <c r="V1050" s="544" t="str">
        <f t="shared" si="258"/>
        <v/>
      </c>
      <c r="W1050" s="30"/>
      <c r="X1050" s="488"/>
      <c r="Y1050" s="545" t="str">
        <f>IF(OR(T1035=TRUE,E1035=""),"",INDEX(EUwideConstants!$N:$N,MATCH(T1050,EUwideConstants!$Q:$Q,0)))</f>
        <v/>
      </c>
      <c r="Z1050" s="546" t="str">
        <f>IF(ISBLANK(F1050),"",IF(F1050=EUconst_NA,"",INDEX(EUwideConstants!$H:$M,MATCH(T1050,EUwideConstants!$Q:$Q,0),MATCH(F1050,CNTR_TierList,0))))</f>
        <v/>
      </c>
      <c r="AA1050" s="580" t="str">
        <f>IF(COUNTIF(EUconst_DefaultValues,Z1050)&gt;0,MATCH(Z1050,EUconst_DefaultValues,0),"")</f>
        <v/>
      </c>
      <c r="AB1050" s="30"/>
      <c r="AC1050" s="548" t="b">
        <f>AND(AC1044,Y1050&lt;&gt;EUconst_NA)</f>
        <v>0</v>
      </c>
      <c r="AD1050" s="30"/>
      <c r="AE1050" s="549" t="str">
        <f>EUconst_CNTR_CarbonContent&amp;EUconst_Unit</f>
        <v>CarbC_Vienetas</v>
      </c>
      <c r="AF1050" s="550" t="str">
        <f>IF(AC1050=TRUE, IF(COUNTIF(MSPara_SourceStreamCategory,V1050)=0,"",INDEX(MSPara_CalcFactorsMatrix,MATCH(V1050,MSPara_SourceStreamCategory,0),MATCH(AE1050&amp;"_"&amp;2,MSPara_CalcFactors,0))),"")</f>
        <v/>
      </c>
      <c r="AG1050" s="551" t="str">
        <f>IF(AC1050=TRUE, IF(COUNTIF(MSPara_SourceStreamCategory,V1050)=0,"",INDEX(MSPara_CalcFactorsMatrix,MATCH(V1050,MSPara_SourceStreamCategory,0),MATCH(AE1050&amp;"_"&amp;1,MSPara_CalcFactors,0))),"")</f>
        <v/>
      </c>
      <c r="AH1050" s="581" t="str">
        <f>IF(AA1050="","",INDEX(AF1050:AG1050,3-AA1050))</f>
        <v/>
      </c>
      <c r="AI1050" s="565"/>
      <c r="AJ1050" s="582" t="str">
        <f>IF(AC1050=TRUE,IF(AJ1044="","",IF(AJ1044=EUconst_kNm3,EUconst_tCpkNm3,EUconst_tCpt)),"")</f>
        <v/>
      </c>
      <c r="AK1050" s="566"/>
      <c r="AL1050" s="333"/>
      <c r="AM1050" s="549" t="str">
        <f>EUconst_CNTR_CarbonContent&amp;EUconst_Value</f>
        <v>CarbC_Vertė</v>
      </c>
      <c r="AN1050" s="555" t="str">
        <f>IF(AC1050=TRUE,IF(COUNTIF(MSPara_SourceStreamCategory,V1050)=0,"",INDEX(MSPara_CalcFactorsMatrix,MATCH(V1050,MSPara_SourceStreamCategory,0),MATCH(AM1050&amp;"_"&amp;2,MSPara_CalcFactors,0))),"")</f>
        <v/>
      </c>
      <c r="AO1050" s="583" t="str">
        <f>IF(AC1050=TRUE,IF(COUNTIF(MSPara_SourceStreamCategory,V1050)=0,"",INDEX(MSPara_CalcFactorsMatrix,MATCH(V1050,MSPara_SourceStreamCategory,0),MATCH(AM1050&amp;"_"&amp;1,MSPara_CalcFactors,0))),"")</f>
        <v/>
      </c>
      <c r="AP1050" s="548" t="b">
        <f>AND(AND(AH1050&lt;&gt;"",AJ1050&lt;&gt;""),AJ1050=AH1050)</f>
        <v>0</v>
      </c>
      <c r="AQ1050" s="584" t="str">
        <f>IF(AND(AA1050&lt;&gt;"",AP1050=TRUE),IF(OR(INDEX(AN1050:AO1050,3-AA1050)=EUconst_NA,INDEX(AN1050:AO1050,3-AA1050)=0),"",INDEX(AN1050:AO1050,3-AA1050)),"")</f>
        <v/>
      </c>
      <c r="AR1050" s="548">
        <f>IF(AC1050=TRUE,IF(COUNT(K1050:L1050)=0,0,IF(L1050="",K1050,L1050)),0)</f>
        <v>0</v>
      </c>
      <c r="AS1050" s="544" t="b">
        <f>AND(AC1050=TRUE,OR(AND(F1050&lt;&gt;"",NOT(ISNUMBER(AA1050))),L1050&lt;&gt;"",F1050="",AQ1050=""))</f>
        <v>0</v>
      </c>
      <c r="AT1050" s="544" t="b">
        <f t="shared" si="254"/>
        <v>0</v>
      </c>
      <c r="AU1050" s="30"/>
      <c r="AV1050" s="558" t="b">
        <f t="shared" si="255"/>
        <v>0</v>
      </c>
      <c r="AW1050" s="559" t="b">
        <f t="shared" si="256"/>
        <v>0</v>
      </c>
      <c r="AX1050" s="537" t="b">
        <f>OR(AND(AJ1044=EUconst_kNm3,AJ1050=EUconst_tCpt),AND(AJ1044=EUconst_t,AJ1050=EUconst_tCpkNm3))</f>
        <v>0</v>
      </c>
      <c r="AY1050" s="544" t="b">
        <f t="shared" si="257"/>
        <v>0</v>
      </c>
      <c r="AZ1050" s="30"/>
      <c r="BA1050" s="30"/>
      <c r="BB1050" s="569" t="s">
        <v>482</v>
      </c>
      <c r="BC1050" s="570">
        <f>AR1044*AR1047/1000*AR1051</f>
        <v>0</v>
      </c>
      <c r="BD1050" s="571">
        <f>BC1050</f>
        <v>0</v>
      </c>
      <c r="BE1050" s="572">
        <f>BC1050</f>
        <v>0</v>
      </c>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544" t="b">
        <f>OR(BZ1044,Y1050=EUconst_NA)</f>
        <v>1</v>
      </c>
    </row>
    <row r="1051" spans="1:78" s="140" customFormat="1" ht="12.75" customHeight="1" x14ac:dyDescent="0.2">
      <c r="A1051" s="777"/>
      <c r="B1051" s="1248"/>
      <c r="C1051" s="753" t="s">
        <v>325</v>
      </c>
      <c r="D1051" s="503" t="str">
        <f>Translations!$B$641</f>
        <v>Biomasės dalis (BioC):</v>
      </c>
      <c r="E1051" s="504"/>
      <c r="F1051" s="539"/>
      <c r="G1051" s="1603" t="str">
        <f t="shared" si="252"/>
        <v/>
      </c>
      <c r="H1051" s="1604"/>
      <c r="I1051" s="1113" t="str">
        <f>IF(OR(AC1051=FALSE,Y1051=EUconst_NA),"","-")</f>
        <v/>
      </c>
      <c r="J1051" s="560"/>
      <c r="K1051" s="561" t="str">
        <f t="shared" si="253"/>
        <v/>
      </c>
      <c r="L1051" s="694"/>
      <c r="M1051" s="700" t="str">
        <f>IF(AND(E1035&lt;&gt;"",OR(F1051="",COUNT(K1051:L1051)=0),Y1051&lt;&gt;EUconst_NA,T1035&lt;&gt;TRUE),EUconst_ERR_Incomplete,IF(COUNTIF(AX1051:AZ1051,TRUE)&gt;0,EUconst_ERR_Inconsistent,""))</f>
        <v/>
      </c>
      <c r="O1051" s="1305"/>
      <c r="P1051" s="635"/>
      <c r="Q1051" s="635"/>
      <c r="R1051" s="635"/>
      <c r="S1051" s="30"/>
      <c r="T1051" s="543" t="str">
        <f>EUconst_CNTR_BiomassContent&amp;E1035</f>
        <v>BioC_</v>
      </c>
      <c r="U1051" s="488"/>
      <c r="V1051" s="585" t="str">
        <f t="shared" si="258"/>
        <v/>
      </c>
      <c r="W1051" s="522" t="str">
        <f>IF(COUNTIF(MSPara_SourceStreamCategory,V1051)=0,"",INDEX(MSPara_IsFossil,MATCH(V1051,MSPara_SourceStreamCategory,0)))</f>
        <v/>
      </c>
      <c r="X1051" s="488"/>
      <c r="Y1051" s="545" t="str">
        <f>IF(OR(T1035=TRUE,E1035=""),"",IF(OR(W1051=TRUE,F1051=EUconst_NA),EUconst_NA,INDEX(EUwideConstants!$N:$N,MATCH(T1051,EUwideConstants!$Q:$Q,0))))</f>
        <v/>
      </c>
      <c r="Z1051" s="546" t="str">
        <f>IF(ISBLANK(F1051),"",IF(F1051=EUconst_NA,"",INDEX(EUwideConstants!$H:$M,MATCH(T1051,EUwideConstants!$Q:$Q,0),MATCH(F1051,CNTR_TierList,0))))</f>
        <v/>
      </c>
      <c r="AA1051" s="586" t="str">
        <f>IF(F1051=1,1,"")</f>
        <v/>
      </c>
      <c r="AB1051" s="30"/>
      <c r="AC1051" s="548" t="b">
        <f>AND(AC1044,Y1051&lt;&gt;EUconst_NA)</f>
        <v>0</v>
      </c>
      <c r="AD1051" s="30"/>
      <c r="AE1051" s="563"/>
      <c r="AG1051" s="564"/>
      <c r="AH1051" s="553"/>
      <c r="AI1051" s="565"/>
      <c r="AJ1051" s="553"/>
      <c r="AK1051" s="566"/>
      <c r="AL1051" s="333"/>
      <c r="AM1051" s="549" t="str">
        <f>EUconst_CNTR_BiomassContent&amp;EUconst_Value</f>
        <v>BioC_Vertė</v>
      </c>
      <c r="AO1051" s="587" t="str">
        <f>IF(AC1051=TRUE,IF(COUNTIF(MSPara_SourceStreamCategory,V1051)=0,"",INDEX(MSPara_CalcFactorsMatrix,MATCH(V1051,MSPara_SourceStreamCategory,0),MATCH(AM1051&amp;"_"&amp;2,MSPara_CalcFactors,0))),"")</f>
        <v/>
      </c>
      <c r="AP1051" s="553"/>
      <c r="AQ1051" s="568" t="str">
        <f>IF(OR(AA1051="",AO1051=EUconst_NA),"",AO1051)</f>
        <v/>
      </c>
      <c r="AR1051" s="548">
        <f>IF(AC1051=TRUE,IF(COUNT(K1051:L1051)=0,0,IF(L1051="",K1051,L1051)),0)</f>
        <v>0</v>
      </c>
      <c r="AS1051" s="544" t="b">
        <f>AND(AC1051=TRUE,OR(AND(F1051&lt;&gt;"",NOT(ISNUMBER(AA1051))),L1051&lt;&gt;"",F1051="",AQ1051=""))</f>
        <v>0</v>
      </c>
      <c r="AT1051" s="544" t="b">
        <f t="shared" si="254"/>
        <v>0</v>
      </c>
      <c r="AU1051" s="30"/>
      <c r="AV1051" s="558" t="b">
        <f t="shared" si="255"/>
        <v>0</v>
      </c>
      <c r="AW1051" s="559" t="b">
        <f t="shared" si="256"/>
        <v>0</v>
      </c>
      <c r="AX1051" s="30"/>
      <c r="AY1051" s="585" t="b">
        <f t="shared" si="257"/>
        <v>0</v>
      </c>
      <c r="AZ1051" s="522" t="b">
        <f>OR(AR1051&gt;100%,(AR1051+AR1052)&gt;100%)</f>
        <v>0</v>
      </c>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544" t="b">
        <f>OR(BZ1044,Y1051=EUconst_NA)</f>
        <v>1</v>
      </c>
    </row>
    <row r="1052" spans="1:78" s="140" customFormat="1" ht="12.75" customHeight="1" thickBot="1" x14ac:dyDescent="0.25">
      <c r="A1052" s="777"/>
      <c r="B1052" s="1248"/>
      <c r="C1052" s="753" t="s">
        <v>448</v>
      </c>
      <c r="D1052" s="503" t="str">
        <f>Translations!$B$647</f>
        <v>Netvarios BioC dalis:</v>
      </c>
      <c r="E1052" s="504"/>
      <c r="F1052" s="588"/>
      <c r="G1052" s="1603" t="str">
        <f t="shared" si="252"/>
        <v/>
      </c>
      <c r="H1052" s="1604"/>
      <c r="I1052" s="1114" t="str">
        <f>IF(OR(AC1052=FALSE,Y1052=EUconst_NA),"","-")</f>
        <v/>
      </c>
      <c r="J1052" s="560"/>
      <c r="K1052" s="589" t="str">
        <f t="shared" si="253"/>
        <v/>
      </c>
      <c r="L1052" s="1100"/>
      <c r="M1052" s="700" t="str">
        <f>IF(AND(E1035&lt;&gt;"",OR(F1052="",COUNT(K1052:L1052)=0),Y1052&lt;&gt;EUconst_NA,T1035&lt;&gt;TRUE),EUconst_ERR_Incomplete,IF(COUNTIF(AX1052:AZ1052,TRUE)&gt;0,EUconst_ERR_Inconsistent,""))</f>
        <v/>
      </c>
      <c r="O1052" s="1305"/>
      <c r="P1052" s="635"/>
      <c r="Q1052" s="635"/>
      <c r="R1052" s="635"/>
      <c r="S1052" s="30"/>
      <c r="T1052" s="590" t="str">
        <f>EUconst_CNTR_BiomassContent&amp;E1035</f>
        <v>BioC_</v>
      </c>
      <c r="U1052" s="488"/>
      <c r="V1052" s="570" t="str">
        <f t="shared" si="258"/>
        <v/>
      </c>
      <c r="W1052" s="571" t="str">
        <f>IF(COUNTIF(MSPara_SourceStreamCategory,V1052)=0,"",INDEX(MSPara_IsFossil,MATCH(V1052,MSPara_SourceStreamCategory,0)))</f>
        <v/>
      </c>
      <c r="X1052" s="488"/>
      <c r="Y1052" s="591" t="str">
        <f>IF(OR(T1035=TRUE,E1035=""),"",IF(OR(W1052=TRUE,F1052=EUconst_NA),EUconst_NA,INDEX(EUwideConstants!$N:$N,MATCH(T1052,EUwideConstants!$Q:$Q,0))))</f>
        <v/>
      </c>
      <c r="Z1052" s="592" t="str">
        <f>IF(ISBLANK(F1052),"",IF(F1052=EUconst_NA,"",INDEX(EUwideConstants!$H:$M,MATCH(T1052,EUwideConstants!$Q:$Q,0),MATCH(F1052,CNTR_TierList,0))))</f>
        <v/>
      </c>
      <c r="AA1052" s="593" t="str">
        <f>IF(F1052=1,1,"")</f>
        <v/>
      </c>
      <c r="AB1052" s="30"/>
      <c r="AC1052" s="594" t="b">
        <f>AND(AC1044,Y1052&lt;&gt;EUconst_NA)</f>
        <v>0</v>
      </c>
      <c r="AD1052" s="30"/>
      <c r="AE1052" s="595"/>
      <c r="AF1052" s="596"/>
      <c r="AG1052" s="597"/>
      <c r="AH1052" s="598"/>
      <c r="AI1052" s="598"/>
      <c r="AJ1052" s="598"/>
      <c r="AK1052" s="599"/>
      <c r="AL1052" s="333"/>
      <c r="AM1052" s="600" t="str">
        <f>EUconst_CNTR_BiomassContent&amp;EUconst_Value</f>
        <v>BioC_Vertė</v>
      </c>
      <c r="AN1052" s="596"/>
      <c r="AO1052" s="601" t="str">
        <f>IF(AC1052=TRUE,IF(COUNTIF(MSPara_SourceStreamCategory,V1052)=0,"",INDEX(MSPara_CalcFactorsMatrix,MATCH(V1052,MSPara_SourceStreamCategory,0),MATCH(AM1052&amp;"_"&amp;2,MSPara_CalcFactors,0))),"")</f>
        <v/>
      </c>
      <c r="AP1052" s="598"/>
      <c r="AQ1052" s="602" t="str">
        <f>IF(OR(AA1052="",AO1052=EUconst_NA),"",AO1052)</f>
        <v/>
      </c>
      <c r="AR1052" s="594">
        <f>IF(AC1052=TRUE,IF(COUNT(K1052:L1052)=0,0,IF(L1052="",K1052,L1052)),0)</f>
        <v>0</v>
      </c>
      <c r="AS1052" s="603" t="b">
        <f>AND(AC1052=TRUE,OR(AND(F1052&lt;&gt;"",NOT(ISNUMBER(AA1052))),L1052&lt;&gt;"",F1052="",AQ1052=""))</f>
        <v>0</v>
      </c>
      <c r="AT1052" s="603" t="b">
        <f t="shared" si="254"/>
        <v>0</v>
      </c>
      <c r="AU1052" s="30"/>
      <c r="AV1052" s="604" t="b">
        <f t="shared" si="255"/>
        <v>0</v>
      </c>
      <c r="AW1052" s="605" t="b">
        <f t="shared" si="256"/>
        <v>0</v>
      </c>
      <c r="AX1052" s="30"/>
      <c r="AY1052" s="570" t="b">
        <f t="shared" si="257"/>
        <v>0</v>
      </c>
      <c r="AZ1052" s="571" t="b">
        <f>OR(AR1051&gt;100%,(AR1051+AR1052)&gt;100%)</f>
        <v>0</v>
      </c>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571" t="b">
        <f>OR(BZ1044,Y1052=EUconst_NA)</f>
        <v>1</v>
      </c>
    </row>
    <row r="1053" spans="1:78" s="140" customFormat="1" ht="5.0999999999999996" customHeight="1" x14ac:dyDescent="0.2">
      <c r="A1053" s="777"/>
      <c r="B1053" s="1248"/>
      <c r="C1053" s="164"/>
      <c r="D1053" s="178"/>
      <c r="O1053" s="1305"/>
      <c r="P1053" s="33"/>
      <c r="Q1053" s="33"/>
      <c r="R1053" s="33"/>
      <c r="S1053" s="172"/>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row>
    <row r="1054" spans="1:78" s="140" customFormat="1" ht="12.75" customHeight="1" x14ac:dyDescent="0.2">
      <c r="A1054" s="777"/>
      <c r="B1054" s="1248"/>
      <c r="C1054" s="164"/>
      <c r="D1054" s="1629" t="str">
        <f>Translations!$B$674</f>
        <v>Pakopos galioja nuo:</v>
      </c>
      <c r="E1054" s="1629"/>
      <c r="F1054" s="1630"/>
      <c r="G1054" s="1014"/>
      <c r="H1054" s="606" t="str">
        <f>Translations!$B$675</f>
        <v>iki:</v>
      </c>
      <c r="I1054" s="1014"/>
      <c r="J1054" s="1620" t="str">
        <f>Translations!$B$676</f>
        <v>Atliekų katalogo numeris (jeigu taikytina):</v>
      </c>
      <c r="K1054" s="1621"/>
      <c r="L1054" s="1621"/>
      <c r="M1054" s="1622"/>
      <c r="N1054" s="1232"/>
      <c r="O1054" s="1305"/>
      <c r="P1054" s="33"/>
      <c r="Q1054" s="33"/>
      <c r="R1054" s="33"/>
      <c r="S1054" s="1233"/>
      <c r="T1054" s="483"/>
      <c r="U1054" s="483"/>
      <c r="V1054" s="48" t="b">
        <f>IF(V1044="",FALSE,INDEX(CNTR_IsWaste,MATCH(V1044,MSParameters!$A$218:$A$376,0)))</f>
        <v>0</v>
      </c>
      <c r="W1054" s="1233" t="s">
        <v>1689</v>
      </c>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2" t="b">
        <f>BZ1044</f>
        <v>1</v>
      </c>
    </row>
    <row r="1055" spans="1:78" s="140" customFormat="1" ht="5.0999999999999996" customHeight="1" x14ac:dyDescent="0.2">
      <c r="A1055" s="777"/>
      <c r="B1055" s="1248"/>
      <c r="C1055" s="164"/>
      <c r="D1055" s="606"/>
      <c r="E1055" s="486"/>
      <c r="F1055" s="486"/>
      <c r="G1055" s="486"/>
      <c r="H1055" s="486"/>
      <c r="I1055" s="486"/>
      <c r="J1055" s="486"/>
      <c r="K1055" s="486"/>
      <c r="L1055" s="486"/>
      <c r="M1055" s="486"/>
      <c r="N1055" s="486"/>
      <c r="O1055" s="1305"/>
      <c r="P1055" s="33"/>
      <c r="Q1055" s="33"/>
      <c r="R1055" s="33"/>
      <c r="S1055" s="172"/>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row>
    <row r="1056" spans="1:78" s="140" customFormat="1" ht="12.75" customHeight="1" x14ac:dyDescent="0.2">
      <c r="A1056" s="777"/>
      <c r="B1056" s="1248"/>
      <c r="C1056" s="164"/>
      <c r="D1056" s="486"/>
      <c r="E1056" s="486"/>
      <c r="F1056" s="486"/>
      <c r="G1056" s="486"/>
      <c r="H1056" s="486"/>
      <c r="I1056" s="486"/>
      <c r="J1056" s="486"/>
      <c r="K1056" s="486"/>
      <c r="L1056" s="486"/>
      <c r="M1056" s="606" t="str">
        <f>Translations!$B$677</f>
        <v>Stebėsenos plane šiam sukėlikliui suteiktas identifikatorius:</v>
      </c>
      <c r="N1056" s="705"/>
      <c r="O1056" s="1305"/>
      <c r="P1056" s="33"/>
      <c r="Q1056" s="33"/>
      <c r="R1056" s="33"/>
      <c r="S1056" s="172"/>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2" t="b">
        <f>BZ1054</f>
        <v>1</v>
      </c>
    </row>
    <row r="1057" spans="1:78" s="140" customFormat="1" ht="5.0999999999999996" customHeight="1" x14ac:dyDescent="0.2">
      <c r="A1057" s="784"/>
      <c r="B1057" s="1316"/>
      <c r="D1057" s="178"/>
      <c r="O1057" s="1317"/>
      <c r="P1057" s="488"/>
      <c r="Q1057" s="488"/>
      <c r="R1057" s="488"/>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row>
    <row r="1058" spans="1:78" s="140" customFormat="1" x14ac:dyDescent="0.2">
      <c r="A1058" s="784"/>
      <c r="B1058" s="1316"/>
      <c r="D1058" s="1618" t="str">
        <f>Translations!$B$160</f>
        <v>Pastabos:</v>
      </c>
      <c r="E1058" s="1619"/>
      <c r="F1058" s="1605"/>
      <c r="G1058" s="1606"/>
      <c r="H1058" s="1606"/>
      <c r="I1058" s="1606"/>
      <c r="J1058" s="1606"/>
      <c r="K1058" s="1606"/>
      <c r="L1058" s="1606"/>
      <c r="M1058" s="1606"/>
      <c r="N1058" s="1607"/>
      <c r="O1058" s="1317"/>
      <c r="P1058" s="488"/>
      <c r="Q1058" s="488"/>
      <c r="R1058" s="488"/>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2" t="b">
        <f>BZ1054</f>
        <v>1</v>
      </c>
    </row>
    <row r="1059" spans="1:78" s="28" customFormat="1" ht="12.75" customHeight="1" thickBot="1" x14ac:dyDescent="0.25">
      <c r="A1059" s="777"/>
      <c r="B1059" s="1312"/>
      <c r="C1059" s="490"/>
      <c r="D1059" s="491"/>
      <c r="E1059" s="492"/>
      <c r="F1059" s="490"/>
      <c r="G1059" s="493"/>
      <c r="H1059" s="493"/>
      <c r="I1059" s="493"/>
      <c r="J1059" s="493"/>
      <c r="K1059" s="493"/>
      <c r="L1059" s="493"/>
      <c r="M1059" s="493"/>
      <c r="N1059" s="493"/>
      <c r="O1059" s="1313"/>
      <c r="P1059" s="485"/>
      <c r="Q1059" s="485"/>
      <c r="R1059" s="485"/>
      <c r="S1059" s="58"/>
      <c r="T1059" s="58"/>
      <c r="U1059" s="489"/>
      <c r="V1059" s="58"/>
      <c r="W1059" s="58"/>
      <c r="X1059" s="489"/>
      <c r="Y1059" s="58"/>
      <c r="Z1059" s="58"/>
      <c r="AA1059" s="58"/>
      <c r="AB1059" s="58"/>
      <c r="AC1059" s="58"/>
      <c r="AD1059" s="58"/>
      <c r="AE1059" s="58"/>
      <c r="AF1059" s="58"/>
      <c r="AG1059" s="58"/>
      <c r="AH1059" s="58"/>
      <c r="AI1059" s="58"/>
      <c r="AJ1059" s="58"/>
      <c r="AK1059" s="58"/>
      <c r="AL1059" s="58"/>
      <c r="AM1059" s="58"/>
      <c r="AN1059" s="58"/>
      <c r="AO1059" s="58"/>
      <c r="AP1059" s="58"/>
      <c r="AQ1059" s="58"/>
      <c r="AR1059" s="58"/>
      <c r="AS1059" s="58"/>
      <c r="AT1059" s="58"/>
      <c r="AU1059" s="58"/>
      <c r="AV1059" s="58"/>
      <c r="AW1059" s="58"/>
      <c r="AX1059" s="58"/>
      <c r="AY1059" s="58"/>
      <c r="AZ1059" s="58"/>
      <c r="BA1059" s="58"/>
      <c r="BB1059" s="58"/>
      <c r="BC1059" s="58"/>
      <c r="BD1059" s="58"/>
      <c r="BE1059" s="58"/>
      <c r="BF1059" s="58"/>
      <c r="BG1059" s="58"/>
      <c r="BH1059" s="58"/>
      <c r="BI1059" s="30"/>
      <c r="BJ1059" s="30"/>
      <c r="BK1059" s="30"/>
      <c r="BL1059" s="58"/>
      <c r="BM1059" s="58"/>
      <c r="BN1059" s="58"/>
      <c r="BO1059" s="58"/>
      <c r="BP1059" s="58"/>
      <c r="BQ1059" s="58"/>
      <c r="BR1059" s="58"/>
      <c r="BS1059" s="58"/>
      <c r="BT1059" s="58"/>
      <c r="BU1059" s="58"/>
      <c r="BV1059" s="58"/>
      <c r="BW1059" s="58"/>
      <c r="BX1059" s="58"/>
      <c r="BY1059" s="58"/>
      <c r="BZ1059" s="58"/>
    </row>
    <row r="1060" spans="1:78" s="28" customFormat="1" ht="12.75" customHeight="1" thickBot="1" x14ac:dyDescent="0.25">
      <c r="A1060" s="782"/>
      <c r="B1060" s="1312"/>
      <c r="C1060" s="486"/>
      <c r="D1060" s="178"/>
      <c r="E1060" s="487"/>
      <c r="F1060" s="486"/>
      <c r="G1060" s="478"/>
      <c r="H1060" s="478"/>
      <c r="I1060" s="478"/>
      <c r="J1060" s="478"/>
      <c r="K1060" s="486"/>
      <c r="L1060" s="478"/>
      <c r="M1060" s="478"/>
      <c r="N1060" s="478"/>
      <c r="O1060" s="1313"/>
      <c r="P1060" s="485"/>
      <c r="Q1060" s="485"/>
      <c r="R1060" s="485"/>
      <c r="S1060" s="23"/>
      <c r="T1060" s="27" t="str">
        <f>IF(ISBLANK(E1061),"",MATCH(E1061,CNTR_SourceStreamNames,0))</f>
        <v/>
      </c>
      <c r="U1060" s="609" t="str">
        <f>IF(ISBLANK(E1061),"",INDEX(B_InstallationDescription!$D$71:$D$145,MATCH(E1061,CNTR_SourceStreamNames,0)))</f>
        <v/>
      </c>
      <c r="V1060" s="76"/>
      <c r="W1060" s="56"/>
      <c r="X1060" s="56"/>
      <c r="Y1060" s="56"/>
      <c r="Z1060" s="58"/>
      <c r="AA1060" s="58"/>
      <c r="AB1060" s="58"/>
      <c r="AC1060" s="58"/>
      <c r="AD1060" s="58"/>
      <c r="AE1060" s="58"/>
      <c r="AF1060" s="58"/>
      <c r="AG1060" s="58"/>
      <c r="AH1060" s="58"/>
      <c r="AI1060" s="58"/>
      <c r="AJ1060" s="58"/>
      <c r="AK1060" s="482"/>
      <c r="AL1060" s="58"/>
      <c r="AM1060" s="58"/>
      <c r="AN1060" s="58"/>
      <c r="AO1060" s="58"/>
      <c r="AP1060" s="58"/>
      <c r="AQ1060" s="58"/>
      <c r="AR1060" s="58"/>
      <c r="AS1060" s="58"/>
      <c r="AT1060" s="58"/>
      <c r="AU1060" s="58"/>
      <c r="AV1060" s="58"/>
      <c r="AW1060" s="58"/>
      <c r="AX1060" s="58"/>
      <c r="AY1060" s="58"/>
      <c r="AZ1060" s="58"/>
      <c r="BA1060" s="58"/>
      <c r="BB1060" s="58"/>
      <c r="BC1060" s="58"/>
      <c r="BD1060" s="58"/>
      <c r="BE1060" s="58"/>
      <c r="BF1060" s="58"/>
      <c r="BG1060" s="58"/>
      <c r="BH1060" s="56"/>
      <c r="BI1060" s="56"/>
      <c r="BJ1060" s="56"/>
      <c r="BK1060" s="56"/>
      <c r="BL1060" s="56"/>
      <c r="BM1060" s="56"/>
      <c r="BN1060" s="56"/>
      <c r="BO1060" s="56"/>
      <c r="BP1060" s="56"/>
      <c r="BQ1060" s="56"/>
      <c r="BR1060" s="56"/>
      <c r="BS1060" s="56"/>
      <c r="BT1060" s="56"/>
      <c r="BU1060" s="56"/>
      <c r="BV1060" s="56"/>
      <c r="BW1060" s="56"/>
      <c r="BX1060" s="56"/>
      <c r="BY1060" s="56"/>
      <c r="BZ1060" s="484" t="s">
        <v>259</v>
      </c>
    </row>
    <row r="1061" spans="1:78" s="140" customFormat="1" ht="15" customHeight="1" thickBot="1" x14ac:dyDescent="0.25">
      <c r="A1061" s="1302" t="str">
        <f>IF(E1061="","","PRINT")</f>
        <v/>
      </c>
      <c r="B1061" s="1248"/>
      <c r="C1061" s="608">
        <f>C1034+1</f>
        <v>38</v>
      </c>
      <c r="D1061" s="164"/>
      <c r="E1061" s="1610"/>
      <c r="F1061" s="1611"/>
      <c r="G1061" s="1611"/>
      <c r="H1061" s="1611"/>
      <c r="I1061" s="1611"/>
      <c r="J1061" s="1612"/>
      <c r="K1061" s="1623" t="str">
        <f>IF(E1062="","",INDEX(EUwideConstants!$F$353:$F$394,MATCH(E1062,EUConst_TierActivityListNames,0)))</f>
        <v/>
      </c>
      <c r="L1061" s="1624"/>
      <c r="M1061" s="494" t="str">
        <f>Translations!$B$665</f>
        <v>CO2, iškastinio kuro kilmės:</v>
      </c>
      <c r="N1061" s="1012" t="str">
        <f>IF(OR(K1061="",T1062=TRUE),"",INDEX(BC1075:BE1075,MATCH(K1061,BC1071:BE1071,0)))</f>
        <v/>
      </c>
      <c r="O1061" s="1314" t="s">
        <v>257</v>
      </c>
      <c r="P1061" s="1303" t="str">
        <f>IF(AND(E1061&lt;&gt;"",COUNTIF(P1062:$P$2089,"PRINT")=0),"PRINT","")</f>
        <v/>
      </c>
      <c r="Q1061" s="343" t="str">
        <f>EUconst_SumCO2 &amp; "_" &amp; K1061</f>
        <v>SUM_CO2_</v>
      </c>
      <c r="R1061" s="485"/>
      <c r="S1061" s="23"/>
      <c r="T1061" s="500" t="s">
        <v>387</v>
      </c>
      <c r="U1061" s="23"/>
      <c r="V1061" s="76"/>
      <c r="W1061" s="56"/>
      <c r="X1061" s="58"/>
      <c r="Y1061" s="58"/>
      <c r="Z1061" s="58"/>
      <c r="AA1061" s="58"/>
      <c r="AB1061" s="58"/>
      <c r="AC1061" s="58"/>
      <c r="AD1061" s="58"/>
      <c r="AE1061" s="58"/>
      <c r="AF1061" s="58"/>
      <c r="AG1061" s="58"/>
      <c r="AH1061" s="58"/>
      <c r="AI1061" s="333"/>
      <c r="AJ1061" s="333"/>
      <c r="AK1061" s="333"/>
      <c r="AL1061" s="333"/>
      <c r="AM1061" s="333"/>
      <c r="AN1061" s="333"/>
      <c r="AO1061" s="333"/>
      <c r="AP1061" s="333"/>
      <c r="AQ1061" s="333"/>
      <c r="AR1061" s="333"/>
      <c r="AS1061" s="333"/>
      <c r="AT1061" s="333"/>
      <c r="AU1061" s="333"/>
      <c r="AV1061" s="333"/>
      <c r="AW1061" s="333"/>
      <c r="AX1061" s="333"/>
      <c r="AY1061" s="333"/>
      <c r="AZ1061" s="333"/>
      <c r="BA1061" s="333"/>
      <c r="BB1061" s="333"/>
      <c r="BC1061" s="333"/>
      <c r="BD1061" s="333"/>
      <c r="BE1061" s="333"/>
      <c r="BF1061" s="333"/>
      <c r="BG1061" s="333"/>
      <c r="BH1061" s="834">
        <f>AR1071</f>
        <v>0</v>
      </c>
      <c r="BI1061" s="834" t="str">
        <f>AJ1071</f>
        <v/>
      </c>
      <c r="BJ1061" s="834">
        <f>AR1073</f>
        <v>0</v>
      </c>
      <c r="BK1061" s="834" t="str">
        <f>AJ1073</f>
        <v/>
      </c>
      <c r="BL1061" s="834">
        <f>AR1074</f>
        <v>0</v>
      </c>
      <c r="BM1061" s="834" t="str">
        <f>AJ1074</f>
        <v/>
      </c>
      <c r="BN1061" s="834">
        <f>AR1075</f>
        <v>1</v>
      </c>
      <c r="BO1061" s="834">
        <f>AR1076</f>
        <v>1</v>
      </c>
      <c r="BP1061" s="834">
        <f>AR1077</f>
        <v>0</v>
      </c>
      <c r="BQ1061" s="834" t="str">
        <f>AJ1077</f>
        <v/>
      </c>
      <c r="BR1061" s="834">
        <f>AR1078</f>
        <v>0</v>
      </c>
      <c r="BS1061" s="834">
        <f>AR1079</f>
        <v>0</v>
      </c>
      <c r="BT1061" s="834" t="str">
        <f>N1061</f>
        <v/>
      </c>
      <c r="BU1061" s="834" t="str">
        <f>N1062</f>
        <v/>
      </c>
      <c r="BV1061" s="834" t="str">
        <f>R1064</f>
        <v/>
      </c>
      <c r="BW1061" s="834" t="str">
        <f>R1070</f>
        <v/>
      </c>
      <c r="BX1061" s="834" t="str">
        <f>R1071</f>
        <v/>
      </c>
      <c r="BY1061" s="56"/>
      <c r="BZ1061" s="610" t="b">
        <f>CNTR_CalcRelevant=EUconst_NotRelevant</f>
        <v>0</v>
      </c>
    </row>
    <row r="1062" spans="1:78" s="140" customFormat="1" ht="15" customHeight="1" thickBot="1" x14ac:dyDescent="0.25">
      <c r="A1062" s="777"/>
      <c r="B1062" s="1248"/>
      <c r="C1062" s="164"/>
      <c r="D1062" s="164"/>
      <c r="E1062" s="1625" t="str">
        <f>IF(ISBLANK(E1061),"",IF(INDEX(B_InstallationDescription!$E$71:$E$145,MATCH(U1060,B_InstallationDescription!$D$71:$D$145,0))&gt;0,INDEX(B_InstallationDescription!$E$71:$E$145,MATCH(U1060,B_InstallationDescription!$D$71:$D$145,0)),""))</f>
        <v/>
      </c>
      <c r="F1062" s="1626"/>
      <c r="G1062" s="1626"/>
      <c r="H1062" s="1626"/>
      <c r="I1062" s="1626"/>
      <c r="J1062" s="1627"/>
      <c r="M1062" s="337" t="str">
        <f>Translations!$B$666</f>
        <v>CO2, biomasės kilmės.:</v>
      </c>
      <c r="N1062" s="1013" t="str">
        <f>IF(OR(K1061="",T1062=TRUE),"",INDEX(BC1074:BE1074,MATCH(K1061,BC1071:BE1071,0)))</f>
        <v/>
      </c>
      <c r="O1062" s="1315" t="s">
        <v>257</v>
      </c>
      <c r="P1062" s="485"/>
      <c r="Q1062" s="343" t="str">
        <f>EUconst_SumBioCO2 &amp; "_" &amp; K1061</f>
        <v>SUM_bioCO2_</v>
      </c>
      <c r="R1062" s="485"/>
      <c r="S1062" s="23"/>
      <c r="T1062" s="48" t="str">
        <f>IF(E1062="","",MATCH(E1062,EUConst_TierActivityListNames,0)&gt;40)</f>
        <v/>
      </c>
      <c r="U1062" s="23"/>
      <c r="V1062" s="76"/>
      <c r="W1062" s="56"/>
      <c r="X1062" s="58"/>
      <c r="Y1062" s="27" t="s">
        <v>91</v>
      </c>
      <c r="Z1062" s="30"/>
      <c r="AA1062" s="30"/>
      <c r="AB1062" s="30"/>
      <c r="AC1062" s="30"/>
      <c r="AD1062" s="30"/>
      <c r="AE1062" s="27" t="s">
        <v>297</v>
      </c>
      <c r="AF1062" s="58"/>
      <c r="AG1062" s="495"/>
      <c r="AH1062" s="30"/>
      <c r="AI1062" s="30"/>
      <c r="AJ1062" s="495"/>
      <c r="AK1062" s="495"/>
      <c r="AL1062" s="333"/>
      <c r="AM1062" s="27" t="s">
        <v>303</v>
      </c>
      <c r="AN1062" s="496"/>
      <c r="AO1062" s="496"/>
      <c r="AP1062" s="30"/>
      <c r="AQ1062" s="30"/>
      <c r="AR1062" s="30"/>
      <c r="AS1062" s="30"/>
      <c r="AT1062" s="30"/>
      <c r="AU1062" s="30"/>
      <c r="AV1062" s="27" t="s">
        <v>310</v>
      </c>
      <c r="AW1062" s="30"/>
      <c r="AX1062" s="483"/>
      <c r="AY1062" s="30"/>
      <c r="AZ1062" s="30"/>
      <c r="BA1062" s="30"/>
      <c r="BB1062" s="27" t="s">
        <v>217</v>
      </c>
      <c r="BC1062" s="30"/>
      <c r="BD1062" s="30"/>
      <c r="BE1062" s="30"/>
      <c r="BF1062" s="30"/>
      <c r="BG1062" s="27" t="s">
        <v>486</v>
      </c>
      <c r="BH1062" s="833" t="s">
        <v>552</v>
      </c>
      <c r="BI1062" s="833" t="s">
        <v>487</v>
      </c>
      <c r="BJ1062" s="833" t="s">
        <v>211</v>
      </c>
      <c r="BK1062" s="833" t="s">
        <v>488</v>
      </c>
      <c r="BL1062" s="833" t="s">
        <v>68</v>
      </c>
      <c r="BM1062" s="833" t="s">
        <v>489</v>
      </c>
      <c r="BN1062" s="833" t="s">
        <v>490</v>
      </c>
      <c r="BO1062" s="833" t="s">
        <v>491</v>
      </c>
      <c r="BP1062" s="833" t="s">
        <v>214</v>
      </c>
      <c r="BQ1062" s="833" t="s">
        <v>492</v>
      </c>
      <c r="BR1062" s="833" t="s">
        <v>493</v>
      </c>
      <c r="BS1062" s="833" t="s">
        <v>494</v>
      </c>
      <c r="BT1062" s="833" t="s">
        <v>287</v>
      </c>
      <c r="BU1062" s="833" t="s">
        <v>495</v>
      </c>
      <c r="BV1062" s="833" t="s">
        <v>498</v>
      </c>
      <c r="BW1062" s="833" t="s">
        <v>496</v>
      </c>
      <c r="BX1062" s="833" t="s">
        <v>497</v>
      </c>
      <c r="BY1062" s="30"/>
      <c r="BZ1062" s="30"/>
    </row>
    <row r="1063" spans="1:78" s="140" customFormat="1" ht="5.0999999999999996" customHeight="1" thickBot="1" x14ac:dyDescent="0.25">
      <c r="A1063" s="777"/>
      <c r="B1063" s="1248"/>
      <c r="C1063" s="164"/>
      <c r="D1063" s="164"/>
      <c r="E1063" s="164"/>
      <c r="F1063" s="164"/>
      <c r="G1063" s="164"/>
      <c r="M1063" s="141"/>
      <c r="N1063" s="141"/>
      <c r="O1063" s="1305"/>
      <c r="P1063" s="33"/>
      <c r="Q1063" s="33"/>
      <c r="R1063" s="33"/>
      <c r="S1063" s="23"/>
      <c r="T1063" s="23"/>
      <c r="U1063" s="23"/>
      <c r="V1063" s="76"/>
      <c r="W1063" s="30"/>
      <c r="X1063" s="30"/>
      <c r="Y1063" s="485"/>
      <c r="Z1063" s="30"/>
      <c r="AA1063" s="30"/>
      <c r="AB1063" s="30"/>
      <c r="AC1063" s="30"/>
      <c r="AD1063" s="30"/>
      <c r="AE1063" s="30"/>
      <c r="AF1063" s="58"/>
      <c r="AG1063" s="30"/>
      <c r="AH1063" s="30"/>
      <c r="AI1063" s="30"/>
      <c r="AJ1063" s="495"/>
      <c r="AK1063" s="495"/>
      <c r="AL1063" s="333"/>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row>
    <row r="1064" spans="1:78" s="140" customFormat="1" ht="12.75" customHeight="1" thickBot="1" x14ac:dyDescent="0.25">
      <c r="A1064" s="777"/>
      <c r="B1064" s="1248"/>
      <c r="C1064" s="164"/>
      <c r="D1064" s="164"/>
      <c r="E1064" s="1628" t="str">
        <f>IF(E1061="","",IF(T1062=TRUE,HYPERLINK("#JUMP_14",EUconst_MsgGoOnPFC),HYPERLINK("#JUMP_E_8",EUconst_FurtherGuidancePoint1)))</f>
        <v/>
      </c>
      <c r="F1064" s="1628"/>
      <c r="G1064" s="1628"/>
      <c r="H1064" s="1628"/>
      <c r="I1064" s="1628"/>
      <c r="J1064" s="1628"/>
      <c r="K1064" s="1628"/>
      <c r="L1064" s="1628"/>
      <c r="M1064" s="1628"/>
      <c r="N1064" s="141"/>
      <c r="O1064" s="1305"/>
      <c r="P1064" s="33"/>
      <c r="Q1064" s="343" t="str">
        <f>EUconst_SumNonSustBioCO2 &amp; "_" &amp; K1061</f>
        <v>SUM_bioNonSustCO2_</v>
      </c>
      <c r="R1064" s="698" t="str">
        <f>IF(OR(K1061="",T1062=TRUE),"",ROUND(INDEX(BC1073:BE1073,MATCH(K1061,BC1071:BE1071,0)),0))</f>
        <v/>
      </c>
      <c r="S1064" s="23"/>
      <c r="T1064" s="23"/>
      <c r="U1064" s="23"/>
      <c r="V1064" s="30"/>
      <c r="W1064" s="30"/>
      <c r="X1064" s="30"/>
      <c r="Y1064" s="58"/>
      <c r="Z1064" s="30"/>
      <c r="AA1064" s="30"/>
      <c r="AB1064" s="30"/>
      <c r="AC1064" s="30"/>
      <c r="AD1064" s="30"/>
      <c r="AE1064" s="30"/>
      <c r="AF1064" s="58"/>
      <c r="AG1064" s="30"/>
      <c r="AH1064" s="30"/>
      <c r="AI1064" s="30"/>
      <c r="AJ1064" s="495"/>
      <c r="AK1064" s="495"/>
      <c r="AL1064" s="333"/>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row>
    <row r="1065" spans="1:78" s="140" customFormat="1" ht="5.0999999999999996" customHeight="1" thickBot="1" x14ac:dyDescent="0.25">
      <c r="A1065" s="777"/>
      <c r="B1065" s="1248"/>
      <c r="C1065" s="164"/>
      <c r="D1065" s="164"/>
      <c r="E1065" s="164"/>
      <c r="F1065" s="164"/>
      <c r="G1065" s="164"/>
      <c r="M1065" s="141"/>
      <c r="N1065" s="141"/>
      <c r="O1065" s="1305"/>
      <c r="P1065" s="23"/>
      <c r="Q1065" s="23"/>
      <c r="R1065" s="23"/>
      <c r="S1065" s="23"/>
      <c r="T1065" s="23"/>
      <c r="U1065" s="23"/>
      <c r="V1065" s="30"/>
      <c r="W1065" s="30"/>
      <c r="X1065" s="30"/>
      <c r="Y1065" s="485"/>
      <c r="Z1065" s="30"/>
      <c r="AA1065" s="30"/>
      <c r="AB1065" s="30"/>
      <c r="AC1065" s="30"/>
      <c r="AD1065" s="30"/>
      <c r="AE1065" s="30"/>
      <c r="AF1065" s="58"/>
      <c r="AG1065" s="30"/>
      <c r="AH1065" s="30"/>
      <c r="AI1065" s="30"/>
      <c r="AJ1065" s="495"/>
      <c r="AK1065" s="495"/>
      <c r="AL1065" s="333"/>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row>
    <row r="1066" spans="1:78" s="140" customFormat="1" ht="12.75" customHeight="1" thickBot="1" x14ac:dyDescent="0.25">
      <c r="A1066" s="777"/>
      <c r="B1066" s="1248"/>
      <c r="C1066" s="783" t="s">
        <v>4</v>
      </c>
      <c r="D1066" s="503" t="str">
        <f>Translations!$B$622</f>
        <v>VD:</v>
      </c>
      <c r="E1066" s="1631" t="str">
        <f>Translations!$B$667</f>
        <v>Ar veiklos duomenys gaunami sudedant išmatuotus kiekius (t. y. ne atliekant nuolatinius matavimus)?</v>
      </c>
      <c r="F1066" s="1631"/>
      <c r="G1066" s="1631"/>
      <c r="H1066" s="1631"/>
      <c r="I1066" s="1631"/>
      <c r="J1066" s="1631"/>
      <c r="K1066" s="1631"/>
      <c r="L1066" s="1122"/>
      <c r="M1066" s="498"/>
      <c r="O1066" s="1305"/>
      <c r="P1066" s="23"/>
      <c r="Q1066" s="23"/>
      <c r="R1066" s="23"/>
      <c r="S1066" s="23"/>
      <c r="T1066" s="23"/>
      <c r="U1066" s="23"/>
      <c r="V1066" s="30"/>
      <c r="W1066" s="30"/>
      <c r="X1066" s="30"/>
      <c r="Y1066" s="485"/>
      <c r="Z1066" s="30"/>
      <c r="AA1066" s="30"/>
      <c r="AB1066" s="30"/>
      <c r="AC1066" s="1115" t="b">
        <f>AND(E1061&lt;&gt;"",T1062&lt;&gt;TRUE)</f>
        <v>0</v>
      </c>
      <c r="AD1066" s="30"/>
      <c r="AE1066" s="30"/>
      <c r="AF1066" s="58"/>
      <c r="AG1066" s="30"/>
      <c r="AH1066" s="30"/>
      <c r="AI1066" s="30"/>
      <c r="AJ1066" s="495"/>
      <c r="AK1066" s="495"/>
      <c r="AL1066" s="333"/>
      <c r="AM1066" s="30"/>
      <c r="AN1066" s="30"/>
      <c r="AO1066" s="30"/>
      <c r="AP1066" s="30"/>
      <c r="AQ1066" s="30"/>
      <c r="AR1066" s="30"/>
      <c r="AS1066" s="30"/>
      <c r="AT1066" s="1115" t="b">
        <f>MSPara_BatchReportingMandatory&lt;&gt;TRUE</f>
        <v>0</v>
      </c>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1115" t="b">
        <f>OR(CNTR_CalcRelevant=EUconst_NotRelevant,AND(COUNTA(CNTR_ListRelevantSections)&gt;0,OR(T1062=TRUE,E1061="")))</f>
        <v>1</v>
      </c>
    </row>
    <row r="1067" spans="1:78" s="140" customFormat="1" ht="5.0999999999999996" customHeight="1" thickBot="1" x14ac:dyDescent="0.25">
      <c r="A1067" s="777"/>
      <c r="B1067" s="1248"/>
      <c r="C1067" s="164"/>
      <c r="D1067" s="164"/>
      <c r="E1067" s="164"/>
      <c r="F1067" s="164"/>
      <c r="G1067" s="164"/>
      <c r="H1067" s="486"/>
      <c r="I1067" s="486"/>
      <c r="J1067" s="486"/>
      <c r="K1067" s="486"/>
      <c r="L1067" s="486"/>
      <c r="M1067" s="498"/>
      <c r="O1067" s="1305"/>
      <c r="P1067" s="23"/>
      <c r="Q1067" s="23"/>
      <c r="R1067" s="23"/>
      <c r="S1067" s="23"/>
      <c r="T1067" s="23"/>
      <c r="U1067" s="23"/>
      <c r="V1067" s="30"/>
      <c r="W1067" s="30"/>
      <c r="X1067" s="30"/>
      <c r="Y1067" s="485"/>
      <c r="Z1067" s="30"/>
      <c r="AA1067" s="30"/>
      <c r="AB1067" s="30"/>
      <c r="AC1067" s="483"/>
      <c r="AD1067" s="30"/>
      <c r="AE1067" s="30"/>
      <c r="AF1067" s="58"/>
      <c r="AG1067" s="30"/>
      <c r="AH1067" s="30"/>
      <c r="AI1067" s="30"/>
      <c r="AJ1067" s="495"/>
      <c r="AK1067" s="495"/>
      <c r="AL1067" s="333"/>
      <c r="AM1067" s="30"/>
      <c r="AN1067" s="30"/>
      <c r="AO1067" s="30"/>
      <c r="AP1067" s="30"/>
      <c r="AQ1067" s="30"/>
      <c r="AR1067" s="30"/>
      <c r="AS1067" s="30"/>
      <c r="AT1067" s="483"/>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483"/>
    </row>
    <row r="1068" spans="1:78" s="140" customFormat="1" ht="12.75" customHeight="1" thickBot="1" x14ac:dyDescent="0.25">
      <c r="A1068" s="777"/>
      <c r="B1068" s="1248"/>
      <c r="C1068" s="783" t="s">
        <v>5</v>
      </c>
      <c r="D1068" s="503" t="str">
        <f>Translations!$B$622</f>
        <v>VD:</v>
      </c>
      <c r="E1068" s="1105" t="str">
        <f>Translations!$B$668</f>
        <v>Pradinis kiekis:</v>
      </c>
      <c r="F1068" s="1123"/>
      <c r="G1068" s="1106" t="str">
        <f>Translations!$B$669</f>
        <v>Galutinis kiekis:</v>
      </c>
      <c r="H1068" s="1123"/>
      <c r="I1068" s="1106" t="str">
        <f>Translations!$B$670</f>
        <v>Įsigytas kiekis:</v>
      </c>
      <c r="J1068" s="1123"/>
      <c r="K1068" s="1106" t="str">
        <f>Translations!$B$671</f>
        <v>Perduotas kiekis:</v>
      </c>
      <c r="L1068" s="1123"/>
      <c r="M1068" s="1107" t="str">
        <f>IF(AND(L1066=TRUE,COUNT(F1068,H1068,J1068,L1068)&lt;4),EUconst_ERR_Incomplete,"")</f>
        <v/>
      </c>
      <c r="O1068" s="1305"/>
      <c r="P1068" s="23"/>
      <c r="Q1068" s="23"/>
      <c r="R1068" s="23"/>
      <c r="S1068" s="23"/>
      <c r="T1068" s="23"/>
      <c r="U1068" s="23"/>
      <c r="V1068" s="30"/>
      <c r="W1068" s="30"/>
      <c r="X1068" s="30"/>
      <c r="Y1068" s="485"/>
      <c r="Z1068" s="30"/>
      <c r="AA1068" s="30"/>
      <c r="AB1068" s="30"/>
      <c r="AC1068" s="1115" t="b">
        <f>AC1066</f>
        <v>0</v>
      </c>
      <c r="AD1068" s="30"/>
      <c r="AE1068" s="30"/>
      <c r="AF1068" s="58"/>
      <c r="AG1068" s="30"/>
      <c r="AH1068" s="30"/>
      <c r="AI1068" s="30"/>
      <c r="AJ1068" s="495"/>
      <c r="AK1068" s="495"/>
      <c r="AL1068" s="333"/>
      <c r="AM1068" s="30"/>
      <c r="AN1068" s="30"/>
      <c r="AO1068" s="30"/>
      <c r="AP1068" s="30"/>
      <c r="AQ1068" s="30"/>
      <c r="AR1068" s="30"/>
      <c r="AS1068" s="30"/>
      <c r="AT1068" s="1115" t="b">
        <f>AND(AT1066=TRUE,L1066="")</f>
        <v>0</v>
      </c>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1115" t="b">
        <f>OR(BZ1066,AND(NOT(ISBLANK(L1066)),L1066=FALSE))</f>
        <v>1</v>
      </c>
    </row>
    <row r="1069" spans="1:78" s="140" customFormat="1" ht="5.0999999999999996" customHeight="1" thickBot="1" x14ac:dyDescent="0.25">
      <c r="A1069" s="777"/>
      <c r="B1069" s="1248"/>
      <c r="C1069" s="164"/>
      <c r="D1069" s="164"/>
      <c r="E1069" s="164"/>
      <c r="F1069" s="164"/>
      <c r="G1069" s="164"/>
      <c r="M1069" s="141"/>
      <c r="N1069" s="141"/>
      <c r="O1069" s="1305"/>
      <c r="P1069" s="23"/>
      <c r="Q1069" s="23"/>
      <c r="R1069" s="23"/>
      <c r="S1069" s="23"/>
      <c r="T1069" s="23"/>
      <c r="U1069" s="23"/>
      <c r="V1069" s="30"/>
      <c r="W1069" s="30"/>
      <c r="X1069" s="30"/>
      <c r="Y1069" s="485"/>
      <c r="Z1069" s="30"/>
      <c r="AA1069" s="30"/>
      <c r="AB1069" s="30"/>
      <c r="AC1069" s="30"/>
      <c r="AD1069" s="30"/>
      <c r="AE1069" s="30"/>
      <c r="AF1069" s="58"/>
      <c r="AG1069" s="30"/>
      <c r="AH1069" s="30"/>
      <c r="AI1069" s="30"/>
      <c r="AJ1069" s="495"/>
      <c r="AK1069" s="495"/>
      <c r="AL1069" s="333"/>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row>
    <row r="1070" spans="1:78" s="140" customFormat="1" ht="12.75" customHeight="1" thickBot="1" x14ac:dyDescent="0.25">
      <c r="A1070" s="777"/>
      <c r="B1070" s="1248"/>
      <c r="C1070" s="164"/>
      <c r="D1070" s="164"/>
      <c r="E1070" s="164"/>
      <c r="F1070" s="497" t="str">
        <f>Translations!$B$333</f>
        <v>Pakopa</v>
      </c>
      <c r="G1070" s="1613" t="str">
        <f>Translations!$B$672</f>
        <v>pakopos aprašas</v>
      </c>
      <c r="H1070" s="1613"/>
      <c r="I1070" s="1608" t="str">
        <f>Translations!$B$158</f>
        <v>Vienetas</v>
      </c>
      <c r="J1070" s="1608"/>
      <c r="K1070" s="1608" t="str">
        <f>Translations!$B$673</f>
        <v>Vertė</v>
      </c>
      <c r="L1070" s="1608"/>
      <c r="M1070" s="498" t="str">
        <f>Translations!$B$610</f>
        <v>klaida</v>
      </c>
      <c r="O1070" s="1305"/>
      <c r="P1070" s="499"/>
      <c r="Q1070" s="343" t="str">
        <f>EUconst_SumEnergyIN &amp; "_" &amp; K1061</f>
        <v>SUM_EnergyIN_</v>
      </c>
      <c r="R1070" s="390" t="str">
        <f>IF(OR(K1061="",T1062)=TRUE,"",INDEX(BC1076:BE1076,MATCH(K1061,BC1071:BE1071,0)))</f>
        <v/>
      </c>
      <c r="S1070" s="30"/>
      <c r="T1070" s="480"/>
      <c r="U1070" s="30"/>
      <c r="V1070" s="500" t="s">
        <v>298</v>
      </c>
      <c r="W1070" s="30"/>
      <c r="X1070" s="30"/>
      <c r="Y1070" s="485" t="s">
        <v>560</v>
      </c>
      <c r="Z1070" s="485" t="s">
        <v>313</v>
      </c>
      <c r="AA1070" s="30"/>
      <c r="AB1070" s="30"/>
      <c r="AC1070" s="496" t="s">
        <v>304</v>
      </c>
      <c r="AD1070" s="30"/>
      <c r="AE1070" s="30"/>
      <c r="AF1070" s="483" t="s">
        <v>300</v>
      </c>
      <c r="AG1070" s="483" t="s">
        <v>301</v>
      </c>
      <c r="AH1070" s="485" t="s">
        <v>299</v>
      </c>
      <c r="AI1070" s="495" t="s">
        <v>302</v>
      </c>
      <c r="AJ1070" s="495" t="s">
        <v>561</v>
      </c>
      <c r="AK1070" s="501" t="s">
        <v>306</v>
      </c>
      <c r="AL1070" s="333"/>
      <c r="AM1070" s="30"/>
      <c r="AN1070" s="483" t="s">
        <v>300</v>
      </c>
      <c r="AO1070" s="483" t="s">
        <v>301</v>
      </c>
      <c r="AP1070" s="502" t="s">
        <v>305</v>
      </c>
      <c r="AQ1070" s="495" t="s">
        <v>563</v>
      </c>
      <c r="AR1070" s="495" t="s">
        <v>562</v>
      </c>
      <c r="AS1070" s="501" t="s">
        <v>599</v>
      </c>
      <c r="AT1070" s="501" t="s">
        <v>599</v>
      </c>
      <c r="AU1070" s="30"/>
      <c r="AV1070" s="483"/>
      <c r="AW1070" s="483"/>
      <c r="AX1070" s="483" t="s">
        <v>316</v>
      </c>
      <c r="AY1070" s="483"/>
      <c r="AZ1070" s="483"/>
      <c r="BA1070" s="483"/>
      <c r="BB1070" s="483"/>
      <c r="BC1070" s="483"/>
      <c r="BD1070" s="483"/>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484" t="s">
        <v>259</v>
      </c>
    </row>
    <row r="1071" spans="1:78" s="140" customFormat="1" ht="12.75" customHeight="1" thickBot="1" x14ac:dyDescent="0.25">
      <c r="A1071" s="777"/>
      <c r="B1071" s="1248"/>
      <c r="C1071" s="753" t="s">
        <v>194</v>
      </c>
      <c r="D1071" s="503" t="str">
        <f>Translations!$B$622</f>
        <v>VD:</v>
      </c>
      <c r="E1071" s="504"/>
      <c r="F1071" s="393"/>
      <c r="G1071" s="1603" t="str">
        <f>IF(OR(ISBLANK(F1071),F1071=EUconst_NoTier),"",IF(Z1071=0,EUconst_NA,IF(ISERROR(Z1071),"",Z1071)))</f>
        <v/>
      </c>
      <c r="H1071" s="1604"/>
      <c r="I1071" s="1108" t="str">
        <f>IF(J1071&lt;&gt;"","",AI1071)</f>
        <v/>
      </c>
      <c r="J1071" s="1109"/>
      <c r="K1071" s="1116" t="str">
        <f>IF(L1071="",AQ1071,"")</f>
        <v/>
      </c>
      <c r="L1071" s="1199"/>
      <c r="M1071" s="700" t="str">
        <f>IF(AND(E1062&lt;&gt;"",OR(F1071="",COUNT(K1071:L1071)=0),Y1071&lt;&gt;EUconst_NA,T1062&lt;&gt;TRUE),EUconst_ERR_Incomplete,IF(COUNTIF(AX1071:AZ1071,TRUE)&gt;0,EUconst_ERR_Inconsistent,""))</f>
        <v/>
      </c>
      <c r="O1071" s="1305"/>
      <c r="P1071" s="635"/>
      <c r="Q1071" s="343" t="str">
        <f>EUconst_SumBioEnergyIN &amp; "_" &amp; K1061</f>
        <v>SUM_BioEnergyIN_</v>
      </c>
      <c r="R1071" s="390" t="str">
        <f>IF(OR(K1061="",T1062)=TRUE,"",INDEX(BC1077:BE1077,MATCH(K1061,BC1071:BE1071,0)))</f>
        <v/>
      </c>
      <c r="S1071" s="30"/>
      <c r="T1071" s="505" t="str">
        <f>EUconst_CNTR_ActivityData&amp;E1062</f>
        <v>ActivityData_</v>
      </c>
      <c r="U1071" s="488"/>
      <c r="V1071" s="505" t="str">
        <f>IF(E1061="","",INDEX(B_InstallationDescription!$I$71:$I$145,MATCH(U1060,B_InstallationDescription!$D$71:$D$145,0)))</f>
        <v/>
      </c>
      <c r="W1071" s="495" t="s">
        <v>533</v>
      </c>
      <c r="X1071" s="488"/>
      <c r="Y1071" s="506" t="str">
        <f>IF(OR(T1062=TRUE,E1062=""),"",INDEX(EUwideConstants!$N:$N,MATCH(T1071,EUwideConstants!$Q:$Q,0)))</f>
        <v/>
      </c>
      <c r="Z1071" s="507" t="str">
        <f>IF(ISBLANK(F1071),"",IF(F1071=EUconst_NA,"",INDEX(EUwideConstants!$H:$M,MATCH(T1071,EUwideConstants!$Q:$Q,0),MATCH(F1071,CNTR_TierList,0))))</f>
        <v/>
      </c>
      <c r="AA1071" s="508" t="s">
        <v>299</v>
      </c>
      <c r="AB1071" s="495"/>
      <c r="AC1071" s="509" t="b">
        <f>AC1066</f>
        <v>0</v>
      </c>
      <c r="AD1071" s="30"/>
      <c r="AE1071" s="510" t="str">
        <f>EUconst_CNTR_ActivityData&amp;EUconst_Unit</f>
        <v>ActivityData_Vienetas</v>
      </c>
      <c r="AF1071" s="511" t="str">
        <f>IF(AC1071=TRUE, IF(COUNTIF(MSPara_SourceStreamCategory,V1071)=0,"",INDEX(MSPara_CalcFactorsMatrix,MATCH(V1071,MSPara_SourceStreamCategory,0),MATCH(AE1071&amp;"_"&amp;2,MSPara_CalcFactors,0))),"")</f>
        <v/>
      </c>
      <c r="AG1071" s="512" t="str">
        <f>IF(AC1071=TRUE, IF(COUNTIF(MSPara_SourceStreamCategory,V1071)=0,"",INDEX(MSPara_CalcFactorsMatrix,MATCH(V1071,MSPara_SourceStreamCategory,0),MATCH(AE1071&amp;"_"&amp;1,MSPara_CalcFactors,0))),"")</f>
        <v/>
      </c>
      <c r="AH1071" s="509" t="str">
        <f>IF(OR(AF1071="",AF1071=EUconst_NA),IF(OR(AG1071=EUconst_NA,AG1071=""),"",AG1071),AF1071)</f>
        <v/>
      </c>
      <c r="AI1071" s="506" t="str">
        <f>IF(AC1071=TRUE,IF(AH1071="",EUconst_t,AH1071),"")</f>
        <v/>
      </c>
      <c r="AJ1071" s="513" t="str">
        <f>IF(J1071="",AI1071,J1071)</f>
        <v/>
      </c>
      <c r="AK1071" s="514" t="b">
        <f>IF(K1061=EUconst_Fuel,J1071&lt;&gt;"",FALSE)</f>
        <v>0</v>
      </c>
      <c r="AL1071" s="333"/>
      <c r="AM1071" s="505" t="str">
        <f>EUconst_CNTR_ActivityData&amp;EUconst_Value</f>
        <v>ActivityData_Vertė</v>
      </c>
      <c r="AN1071" s="496"/>
      <c r="AO1071" s="496"/>
      <c r="AP1071" s="509" t="b">
        <f>AND(AND(AH1071&lt;&gt;"",AJ1071&lt;&gt;""),AJ1071=AH1071)</f>
        <v>0</v>
      </c>
      <c r="AQ1071" s="610" t="str">
        <f>IF(L1066=TRUE,SUM(F1068)-SUM(H1068)+SUM(J1068)-SUM(L1068),"")</f>
        <v/>
      </c>
      <c r="AR1071" s="509">
        <f>IF(Y1071=EUconst_NA,0,IF(COUNT(K1071:L1071)=0,0,IF(L1071="",K1071,L1071)))</f>
        <v>0</v>
      </c>
      <c r="AS1071" s="1115" t="b">
        <f>AND(AC1071=TRUE,OR(L1071&lt;&gt;"",AQ1071=""))</f>
        <v>0</v>
      </c>
      <c r="AT1071" s="1115" t="b">
        <f>AND(AC1071=TRUE,NOT(AS1071))</f>
        <v>0</v>
      </c>
      <c r="AU1071" s="30"/>
      <c r="AV1071" s="483" t="s">
        <v>309</v>
      </c>
      <c r="AW1071" s="483" t="s">
        <v>314</v>
      </c>
      <c r="AX1071" s="515"/>
      <c r="AY1071" s="30" t="s">
        <v>536</v>
      </c>
      <c r="AZ1071" s="30"/>
      <c r="BA1071" s="30"/>
      <c r="BB1071" s="495"/>
      <c r="BC1071" s="484" t="str">
        <f>EUconst_Fuel</f>
        <v>Degimas</v>
      </c>
      <c r="BD1071" s="484" t="str">
        <f>EUconst_ProcessCarbonate</f>
        <v>Proceso metu išsiskiriančios ŠESD</v>
      </c>
      <c r="BE1071" s="484" t="str">
        <f>EUconst_MassBalance</f>
        <v>Masės balansas</v>
      </c>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515" t="b">
        <f>BZ1066</f>
        <v>1</v>
      </c>
    </row>
    <row r="1072" spans="1:78" s="140" customFormat="1" ht="5.0999999999999996" customHeight="1" thickBot="1" x14ac:dyDescent="0.25">
      <c r="A1072" s="777"/>
      <c r="B1072" s="1248"/>
      <c r="C1072" s="783"/>
      <c r="D1072" s="298"/>
      <c r="F1072" s="141"/>
      <c r="G1072" s="141"/>
      <c r="H1072" s="141" t="s">
        <v>233</v>
      </c>
      <c r="I1072" s="516"/>
      <c r="J1072" s="516"/>
      <c r="K1072" s="141"/>
      <c r="L1072" s="141"/>
      <c r="M1072" s="701"/>
      <c r="O1072" s="1305"/>
      <c r="P1072" s="33"/>
      <c r="Q1072" s="33"/>
      <c r="R1072" s="33"/>
      <c r="S1072" s="30"/>
      <c r="T1072" s="153"/>
      <c r="U1072" s="488"/>
      <c r="V1072" s="30"/>
      <c r="W1072" s="30"/>
      <c r="X1072" s="488"/>
      <c r="Y1072" s="517"/>
      <c r="Z1072" s="30"/>
      <c r="AA1072" s="30"/>
      <c r="AB1072" s="30"/>
      <c r="AC1072" s="30"/>
      <c r="AD1072" s="30"/>
      <c r="AE1072" s="30"/>
      <c r="AF1072" s="30"/>
      <c r="AG1072" s="30"/>
      <c r="AH1072" s="30"/>
      <c r="AI1072" s="30"/>
      <c r="AJ1072" s="30"/>
      <c r="AK1072" s="30"/>
      <c r="AL1072" s="333"/>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484"/>
    </row>
    <row r="1073" spans="1:78" s="140" customFormat="1" ht="12.75" customHeight="1" thickBot="1" x14ac:dyDescent="0.25">
      <c r="A1073" s="777"/>
      <c r="B1073" s="1248"/>
      <c r="C1073" s="783" t="s">
        <v>195</v>
      </c>
      <c r="D1073" s="503" t="str">
        <f>Translations!$B$634</f>
        <v>(prelim.) ITF:</v>
      </c>
      <c r="E1073" s="504"/>
      <c r="F1073" s="518"/>
      <c r="G1073" s="1603" t="str">
        <f t="shared" ref="G1073:G1079" si="259">IF(OR(ISBLANK(F1073),F1073=EUconst_NoTier),"",IF(Z1073=0,EUconst_NotApplicable,IF(ISERROR(Z1073),"",Z1073)))</f>
        <v/>
      </c>
      <c r="H1073" s="1609"/>
      <c r="I1073" s="1110" t="str">
        <f>IF(J1073&lt;&gt;"","",AI1073)</f>
        <v/>
      </c>
      <c r="J1073" s="1111"/>
      <c r="K1073" s="519" t="str">
        <f t="shared" ref="K1073:K1079" si="260">IF(L1073="",AQ1073,"")</f>
        <v/>
      </c>
      <c r="L1073" s="520"/>
      <c r="M1073" s="700" t="str">
        <f>IF(AND(E1062&lt;&gt;"",OR(F1073="",COUNT(K1073:L1073)=0),Y1073&lt;&gt;EUconst_NA,T1062&lt;&gt;TRUE),EUconst_ERR_Incomplete,IF(COUNTIF(AX1073:AZ1073,TRUE)&gt;0,EUconst_ERR_Inconsistent,""))</f>
        <v/>
      </c>
      <c r="N1073" s="486"/>
      <c r="O1073" s="1305"/>
      <c r="P1073" s="33"/>
      <c r="Q1073" s="33"/>
      <c r="R1073" s="33"/>
      <c r="S1073" s="30"/>
      <c r="T1073" s="521" t="str">
        <f>EUconst_CNTR_EF&amp;E1062</f>
        <v>EF_</v>
      </c>
      <c r="U1073" s="488"/>
      <c r="V1073" s="522" t="str">
        <f>V1071</f>
        <v/>
      </c>
      <c r="W1073" s="30"/>
      <c r="X1073" s="488"/>
      <c r="Y1073" s="523" t="str">
        <f>IF(OR(T1062=TRUE,E1062=""),"",IF(F1073=EUconst_NA,EUconst_NA,INDEX(EUwideConstants!$N:$N,MATCH(T1073,EUwideConstants!$Q:$Q,0))))</f>
        <v/>
      </c>
      <c r="Z1073" s="524" t="str">
        <f>IF(ISBLANK(F1073),"",IF(F1073=EUconst_NA,"",INDEX(EUwideConstants!$H:$M,MATCH(T1073,EUwideConstants!$Q:$Q,0),MATCH(F1073,CNTR_TierList,0))))</f>
        <v/>
      </c>
      <c r="AA1073" s="525" t="str">
        <f>IF(COUNTIF(EUconst_DefaultValues,Z1073)&gt;0,MATCH(Z1073,EUconst_DefaultValues,0),"")</f>
        <v/>
      </c>
      <c r="AB1073" s="30"/>
      <c r="AC1073" s="526" t="b">
        <f>AND(AC1071,Y1073&lt;&gt;EUconst_NA)</f>
        <v>0</v>
      </c>
      <c r="AD1073" s="30"/>
      <c r="AE1073" s="510" t="str">
        <f>EUconst_CNTR_EF&amp;EUconst_Unit</f>
        <v>EF_Vienetas</v>
      </c>
      <c r="AF1073" s="527" t="str">
        <f>IF(AC1073=TRUE, IF(COUNTIF(MSPara_SourceStreamCategory,V1073)=0,"",INDEX(MSPara_CalcFactorsMatrix,MATCH(V1073,MSPara_SourceStreamCategory,0),MATCH(AE1073&amp;"_"&amp;2,MSPara_CalcFactors,0))),"")</f>
        <v/>
      </c>
      <c r="AG1073" s="528" t="str">
        <f>IF(AC1073=TRUE, IF(COUNTIF(MSPara_SourceStreamCategory,V1073)=0,"",INDEX(MSPara_CalcFactorsMatrix,MATCH(V1073,MSPara_SourceStreamCategory,0),MATCH(AE1073&amp;"_"&amp;1,MSPara_CalcFactors,0))),"")</f>
        <v/>
      </c>
      <c r="AH1073" s="529" t="str">
        <f>IF(AA1073="","",INDEX(AF1073:AG1073,3-AA1073))</f>
        <v/>
      </c>
      <c r="AI1073" s="530" t="str">
        <f>IF(AC1073=TRUE,IF(OR(AH1073="",AH1073=EUconst_NA),IF(K1061=EUconst_Fuel,EUconst_tCO2pTJ,EUconst_tCO2pt),AH1073),"")</f>
        <v/>
      </c>
      <c r="AJ1073" s="526" t="str">
        <f>IF(J1073="",AI1073,J1073)</f>
        <v/>
      </c>
      <c r="AK1073" s="531" t="b">
        <f>IF(K1061=EUconst_Fuel,J1073&lt;&gt;"",FALSE)</f>
        <v>0</v>
      </c>
      <c r="AL1073" s="333"/>
      <c r="AM1073" s="510" t="str">
        <f>EUconst_CNTR_EF&amp;EUconst_Value</f>
        <v>EF_Vertė</v>
      </c>
      <c r="AN1073" s="532" t="str">
        <f>IF(AC1073=TRUE,IF(COUNTIF(MSPara_SourceStreamCategory,V1073)=0,"",INDEX(MSPara_CalcFactorsMatrix,MATCH(V1073,MSPara_SourceStreamCategory,0),MATCH(AM1073&amp;"_"&amp;2,MSPara_CalcFactors,0))),"")</f>
        <v/>
      </c>
      <c r="AO1073" s="533" t="str">
        <f>IF(AC1073=TRUE,IF(COUNTIF(MSPara_SourceStreamCategory,V1073)=0,"",INDEX(MSPara_CalcFactorsMatrix,MATCH(V1073,MSPara_SourceStreamCategory,0),MATCH(AM1073&amp;"_"&amp;1,MSPara_CalcFactors,0))),"")</f>
        <v/>
      </c>
      <c r="AP1073" s="526" t="b">
        <f>AND(AND(AH1073&lt;&gt;"",AJ1073&lt;&gt;""),AJ1073=AH1073)</f>
        <v>0</v>
      </c>
      <c r="AQ1073" s="534" t="str">
        <f>IF(AND(AA1073&lt;&gt;"",AP1073=TRUE),IF(OR(INDEX(AN1073:AO1073,3-AA1073)=EUconst_NA,INDEX(AN1073:AO1073,3-AA1073)=0),"",INDEX(AN1073:AO1073,3-AA1073)),"")</f>
        <v/>
      </c>
      <c r="AR1073" s="526">
        <f>IF(AC1073=TRUE,IF(COUNT(K1073:L1073)=0,0,IF(L1073="",K1073,L1073)),0)</f>
        <v>0</v>
      </c>
      <c r="AS1073" s="522" t="b">
        <f>AND(AC1073=TRUE,OR(AND(F1073&lt;&gt;"",NOT(ISNUMBER(AA1073))),L1073&lt;&gt;"",F1073="",AQ1073=""))</f>
        <v>0</v>
      </c>
      <c r="AT1073" s="522" t="b">
        <f t="shared" ref="AT1073:AT1079" si="261">AND(AC1073=TRUE,NOT(AS1073))</f>
        <v>0</v>
      </c>
      <c r="AU1073" s="30"/>
      <c r="AV1073" s="535" t="b">
        <f t="shared" ref="AV1073:AV1079" si="262">AND(ISNUMBER(AA1073),AQ1073="")</f>
        <v>0</v>
      </c>
      <c r="AW1073" s="536" t="b">
        <f t="shared" ref="AW1073:AW1079" si="263">AND(ISNUMBER(AA1073),AQ1073&lt;&gt;AR1073)</f>
        <v>0</v>
      </c>
      <c r="AX1073" s="537" t="b">
        <f>OR(AND(AJ1071=EUconst_kNm3,AJ1073=EUconst_tCO2pt),AND(AJ1071=EUconst_t,AJ1073=EUconst_tCO2pkNm3))</f>
        <v>0</v>
      </c>
      <c r="AY1073" s="522" t="b">
        <f t="shared" ref="AY1073:AY1079" si="264">AND(L1073&lt;&gt;"",Y1073=EUconst_NA)</f>
        <v>0</v>
      </c>
      <c r="AZ1073" s="30"/>
      <c r="BA1073" s="30"/>
      <c r="BB1073" s="538" t="s">
        <v>588</v>
      </c>
      <c r="BC1073" s="537" t="str">
        <f>IF(K1061=BC1071,AR1071*IF(AJ1073=EUconst_tCO2pTJ,(AR1074/1000),1)*AR1073*AR1075*AR1079,"")</f>
        <v/>
      </c>
      <c r="BD1073" s="515" t="str">
        <f>IF(K1061=BD1071,AR1071*AR1073*AR1076*AR1079,"")</f>
        <v/>
      </c>
      <c r="BE1073" s="514" t="str">
        <f>IF(K1061=BE1071,3.664*AR1071*AR1077*AR1079,"")</f>
        <v/>
      </c>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522" t="b">
        <f>OR(BZ1071,Y1073=EUconst_NA)</f>
        <v>1</v>
      </c>
    </row>
    <row r="1074" spans="1:78" s="140" customFormat="1" ht="12.75" customHeight="1" thickBot="1" x14ac:dyDescent="0.25">
      <c r="A1074" s="777"/>
      <c r="B1074" s="1248"/>
      <c r="C1074" s="783" t="s">
        <v>196</v>
      </c>
      <c r="D1074" s="503" t="str">
        <f>Translations!$B$636</f>
        <v>GŠV:</v>
      </c>
      <c r="E1074" s="504"/>
      <c r="F1074" s="539"/>
      <c r="G1074" s="1603" t="str">
        <f t="shared" si="259"/>
        <v/>
      </c>
      <c r="H1074" s="1604"/>
      <c r="I1074" s="1112" t="str">
        <f>AJ1074</f>
        <v/>
      </c>
      <c r="J1074" s="540"/>
      <c r="K1074" s="541" t="str">
        <f t="shared" si="260"/>
        <v/>
      </c>
      <c r="L1074" s="542"/>
      <c r="M1074" s="700" t="str">
        <f>IF(AND(E1062&lt;&gt;"",OR(F1074="",COUNT(K1074:L1074)=0),Y1074&lt;&gt;EUconst_NA,T1062&lt;&gt;TRUE),EUconst_ERR_Incomplete,IF(COUNTIF(AX1074:AZ1074,TRUE)&gt;0,EUconst_ERR_Inconsistent,""))</f>
        <v/>
      </c>
      <c r="O1074" s="1305"/>
      <c r="P1074" s="33"/>
      <c r="Q1074" s="33"/>
      <c r="R1074" s="33"/>
      <c r="S1074" s="30"/>
      <c r="T1074" s="543" t="str">
        <f>EUconst_CNTR_NCV&amp;E1062</f>
        <v>NCV_</v>
      </c>
      <c r="U1074" s="488"/>
      <c r="V1074" s="544" t="str">
        <f t="shared" ref="V1074:V1079" si="265">V1073</f>
        <v/>
      </c>
      <c r="W1074" s="30"/>
      <c r="X1074" s="488"/>
      <c r="Y1074" s="545" t="str">
        <f>IF(OR(T1062=TRUE,E1062=""),"",IF(F1074=EUconst_NA,EUconst_NA,INDEX(EUwideConstants!$N:$N,MATCH(T1074,EUwideConstants!$Q:$Q,0))))</f>
        <v/>
      </c>
      <c r="Z1074" s="546" t="str">
        <f>IF(ISBLANK(F1074),"",IF(F1074=EUconst_NA,"",INDEX(EUwideConstants!$H:$M,MATCH(T1074,EUwideConstants!$Q:$Q,0),MATCH(F1074,CNTR_TierList,0))))</f>
        <v/>
      </c>
      <c r="AA1074" s="547" t="str">
        <f>IF(COUNTIF(EUconst_DefaultValues,Z1074)&gt;0,MATCH(Z1074,EUconst_DefaultValues,0),"")</f>
        <v/>
      </c>
      <c r="AB1074" s="30"/>
      <c r="AC1074" s="548" t="b">
        <f>AND(AC1071,Y1074&lt;&gt;EUconst_NA)</f>
        <v>0</v>
      </c>
      <c r="AD1074" s="30"/>
      <c r="AE1074" s="549" t="str">
        <f>EUconst_CNTR_NCV&amp;EUconst_Unit</f>
        <v>NCV_Vienetas</v>
      </c>
      <c r="AF1074" s="550" t="str">
        <f>IF(AC1074=TRUE, IF(COUNTIF(MSPara_SourceStreamCategory,V1074)=0,"",INDEX(MSPara_CalcFactorsMatrix,MATCH(V1074,MSPara_SourceStreamCategory,0),MATCH(AE1074&amp;"_"&amp;2,MSPara_CalcFactors,0))),"")</f>
        <v/>
      </c>
      <c r="AG1074" s="551" t="str">
        <f>IF(AC1074=TRUE, IF(COUNTIF(MSPara_SourceStreamCategory,V1074)=0,"",INDEX(MSPara_CalcFactorsMatrix,MATCH(V1074,MSPara_SourceStreamCategory,0),MATCH(AE1074&amp;"_"&amp;1,MSPara_CalcFactors,0))),"")</f>
        <v/>
      </c>
      <c r="AH1074" s="552" t="str">
        <f>IF(AA1074="","",INDEX(AF1074:AG1074,3-AA1074))</f>
        <v/>
      </c>
      <c r="AI1074" s="553"/>
      <c r="AJ1074" s="548" t="str">
        <f>IF(AC1074=TRUE,IF(AJ1071="","",IF(AJ1071=EUconst_kNm3,EUconst_GJpkNm3,EUconst_GJpt)),"")</f>
        <v/>
      </c>
      <c r="AK1074" s="554"/>
      <c r="AL1074" s="333"/>
      <c r="AM1074" s="549" t="str">
        <f>EUconst_CNTR_NCV&amp;EUconst_Value</f>
        <v>NCV_Vertė</v>
      </c>
      <c r="AN1074" s="555" t="str">
        <f>IF(AC1074=TRUE,IF(COUNTIF(MSPara_SourceStreamCategory,V1074)=0,"",INDEX(MSPara_CalcFactorsMatrix,MATCH(V1074,MSPara_SourceStreamCategory,0),MATCH(AM1074&amp;"_"&amp;2,MSPara_CalcFactors,0))),"")</f>
        <v/>
      </c>
      <c r="AO1074" s="556" t="str">
        <f>IF(AC1074=TRUE,IF(COUNTIF(MSPara_SourceStreamCategory,V1074)=0,"",INDEX(MSPara_CalcFactorsMatrix,MATCH(V1074,MSPara_SourceStreamCategory,0),MATCH(AM1074&amp;"_"&amp;1,MSPara_CalcFactors,0))),"")</f>
        <v/>
      </c>
      <c r="AP1074" s="548" t="b">
        <f>AND(AND(AH1074&lt;&gt;"",AJ1074&lt;&gt;""),AJ1074=AH1074)</f>
        <v>0</v>
      </c>
      <c r="AQ1074" s="557" t="str">
        <f>IF(AND(AA1074&lt;&gt;"",AP1074=TRUE),IF(OR(INDEX(AN1074:AO1074,3-AA1074)=EUconst_NA,INDEX(AN1074:AO1074,3-AA1074)=0),"",INDEX(AN1074:AO1074,3-AA1074)),"")</f>
        <v/>
      </c>
      <c r="AR1074" s="548">
        <f>IF(AC1074=TRUE,IF(COUNT(K1074:L1074)=0,0,IF(L1074="",K1074,L1074)),0)</f>
        <v>0</v>
      </c>
      <c r="AS1074" s="544" t="b">
        <f>AND(AC1074=TRUE,OR(AND(F1074&lt;&gt;"",NOT(ISNUMBER(AA1074))),L1074&lt;&gt;"",F1074="",AQ1074=""))</f>
        <v>0</v>
      </c>
      <c r="AT1074" s="544" t="b">
        <f t="shared" si="261"/>
        <v>0</v>
      </c>
      <c r="AU1074" s="30"/>
      <c r="AV1074" s="558" t="b">
        <f t="shared" si="262"/>
        <v>0</v>
      </c>
      <c r="AW1074" s="559" t="b">
        <f t="shared" si="263"/>
        <v>0</v>
      </c>
      <c r="AX1074" s="30"/>
      <c r="AY1074" s="544" t="b">
        <f t="shared" si="264"/>
        <v>0</v>
      </c>
      <c r="AZ1074" s="30"/>
      <c r="BA1074" s="30"/>
      <c r="BB1074" s="538" t="s">
        <v>589</v>
      </c>
      <c r="BC1074" s="537" t="str">
        <f>IF(K1061=BC1071,AR1071*IF(AJ1073=EUconst_tCO2pTJ,(AR1074/1000),1)*AR1073*AR1075*AR1078,"")</f>
        <v/>
      </c>
      <c r="BD1074" s="515" t="str">
        <f>IF(K1061=BD1071,AR1071*AR1073*AR1076*AR1078,"")</f>
        <v/>
      </c>
      <c r="BE1074" s="514" t="str">
        <f>IF(K1061=BE1071,3.664*AR1071*AR1077*AR1078,"")</f>
        <v/>
      </c>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544" t="b">
        <f>OR(BZ1071,Y1074=EUconst_NA)</f>
        <v>1</v>
      </c>
    </row>
    <row r="1075" spans="1:78" s="140" customFormat="1" ht="12.75" customHeight="1" thickBot="1" x14ac:dyDescent="0.25">
      <c r="A1075" s="777"/>
      <c r="B1075" s="1248"/>
      <c r="C1075" s="783" t="s">
        <v>197</v>
      </c>
      <c r="D1075" s="503" t="str">
        <f>Translations!$B$638</f>
        <v>Oksidacijos koef.:</v>
      </c>
      <c r="E1075" s="504"/>
      <c r="F1075" s="539"/>
      <c r="G1075" s="1603" t="str">
        <f t="shared" si="259"/>
        <v/>
      </c>
      <c r="H1075" s="1604"/>
      <c r="I1075" s="1113" t="str">
        <f>IF(OR(AC1075=FALSE,Y1075=EUconst_NA),"","-")</f>
        <v/>
      </c>
      <c r="J1075" s="560"/>
      <c r="K1075" s="561" t="str">
        <f t="shared" si="260"/>
        <v/>
      </c>
      <c r="L1075" s="694"/>
      <c r="M1075" s="700" t="str">
        <f>IF(AND(E1062&lt;&gt;"",OR(F1075="",COUNT(K1075:L1075)=0),Y1075&lt;&gt;EUconst_NA,T1062&lt;&gt;TRUE),EUconst_ERR_Incomplete,IF(COUNTIF(AX1075:AZ1075,TRUE)&gt;0,EUconst_ERR_Inconsistent,""))</f>
        <v/>
      </c>
      <c r="O1075" s="1305"/>
      <c r="P1075" s="33"/>
      <c r="Q1075" s="33"/>
      <c r="R1075" s="33"/>
      <c r="S1075" s="30"/>
      <c r="T1075" s="543" t="str">
        <f>EUconst_CNTR_OxidationFactor&amp;E1062</f>
        <v>OxF_</v>
      </c>
      <c r="U1075" s="488"/>
      <c r="V1075" s="544" t="str">
        <f t="shared" si="265"/>
        <v/>
      </c>
      <c r="W1075" s="30"/>
      <c r="X1075" s="488"/>
      <c r="Y1075" s="545" t="str">
        <f>IF(OR(T1062=TRUE,E1062=""),"",INDEX(EUwideConstants!$N:$N,MATCH(T1075,EUwideConstants!$Q:$Q,0)))</f>
        <v/>
      </c>
      <c r="Z1075" s="546" t="str">
        <f>IF(ISBLANK(F1075),"",IF(F1075=EUconst_NA,"",INDEX(EUwideConstants!$H:$M,MATCH(T1075,EUwideConstants!$Q:$Q,0),MATCH(F1075,CNTR_TierList,0))))</f>
        <v/>
      </c>
      <c r="AA1075" s="525" t="str">
        <f>IF(F1075=1,1,"")</f>
        <v/>
      </c>
      <c r="AB1075" s="30"/>
      <c r="AC1075" s="548" t="b">
        <f>AND(AC1071,Y1075&lt;&gt;EUconst_NA)</f>
        <v>0</v>
      </c>
      <c r="AD1075" s="30"/>
      <c r="AE1075" s="563"/>
      <c r="AG1075" s="564"/>
      <c r="AH1075" s="553"/>
      <c r="AI1075" s="565"/>
      <c r="AJ1075" s="553"/>
      <c r="AK1075" s="566"/>
      <c r="AL1075" s="333"/>
      <c r="AM1075" s="549" t="str">
        <f>EUconst_CNTR_OxidationFactor&amp;EUconst_Value</f>
        <v>OxF_Vertė</v>
      </c>
      <c r="AN1075" s="567"/>
      <c r="AO1075" s="525">
        <v>1</v>
      </c>
      <c r="AP1075" s="553"/>
      <c r="AQ1075" s="568" t="str">
        <f>IF(AA1075="","",AO1075)</f>
        <v/>
      </c>
      <c r="AR1075" s="548">
        <f>IF(AC1075=TRUE,IF(COUNT(K1075:L1075)=0,0,IF(L1075="",K1075,L1075)),1)</f>
        <v>1</v>
      </c>
      <c r="AS1075" s="544" t="b">
        <f>AND(AC1075=TRUE,OR(ISNUMBER(L1075),NOT(ISNUMBER(AA1075))))</f>
        <v>0</v>
      </c>
      <c r="AT1075" s="544" t="b">
        <f t="shared" si="261"/>
        <v>0</v>
      </c>
      <c r="AU1075" s="30"/>
      <c r="AV1075" s="558" t="b">
        <f t="shared" si="262"/>
        <v>0</v>
      </c>
      <c r="AW1075" s="559" t="b">
        <f t="shared" si="263"/>
        <v>0</v>
      </c>
      <c r="AX1075" s="30"/>
      <c r="AY1075" s="585" t="b">
        <f t="shared" si="264"/>
        <v>0</v>
      </c>
      <c r="AZ1075" s="522" t="b">
        <f>AR1075&gt;100%</f>
        <v>0</v>
      </c>
      <c r="BA1075" s="30"/>
      <c r="BB1075" s="538" t="s">
        <v>287</v>
      </c>
      <c r="BC1075" s="537" t="str">
        <f>IF(K1061=BC1071,AR1071*IF(AJ1073=EUconst_tCO2pTJ,(AR1074/1000),1)*AR1073*AR1075*(1-AR1078),"")</f>
        <v/>
      </c>
      <c r="BD1075" s="515" t="str">
        <f>IF(K1061=BD1071,AR1071*AR1073*AR1076*(1-AR1078),"")</f>
        <v/>
      </c>
      <c r="BE1075" s="514" t="str">
        <f>IF(K1061=BE1071,3.664*AR1071*AR1077*(1-AR1078),"")</f>
        <v/>
      </c>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544" t="b">
        <f>OR(BZ1071,Y1075=EUconst_NA)</f>
        <v>1</v>
      </c>
    </row>
    <row r="1076" spans="1:78" s="140" customFormat="1" ht="12.75" customHeight="1" thickBot="1" x14ac:dyDescent="0.25">
      <c r="A1076" s="777"/>
      <c r="B1076" s="1248"/>
      <c r="C1076" s="783" t="s">
        <v>198</v>
      </c>
      <c r="D1076" s="503" t="str">
        <f>Translations!$B$639</f>
        <v>Konversijos koef.:</v>
      </c>
      <c r="E1076" s="504"/>
      <c r="F1076" s="539"/>
      <c r="G1076" s="1603" t="str">
        <f t="shared" si="259"/>
        <v/>
      </c>
      <c r="H1076" s="1604"/>
      <c r="I1076" s="1113" t="str">
        <f>IF(OR(AC1076=FALSE,Y1076=EUconst_NA),"","-")</f>
        <v/>
      </c>
      <c r="J1076" s="560"/>
      <c r="K1076" s="561" t="str">
        <f t="shared" si="260"/>
        <v/>
      </c>
      <c r="L1076" s="694"/>
      <c r="M1076" s="700" t="str">
        <f>IF(AND(E1062&lt;&gt;"",OR(F1076="",COUNT(K1076:L1076)=0),Y1076&lt;&gt;EUconst_NA,T1062&lt;&gt;TRUE),EUconst_ERR_Incomplete,IF(COUNTIF(AX1076:AZ1076,TRUE)&gt;0,EUconst_ERR_Inconsistent,""))</f>
        <v/>
      </c>
      <c r="O1076" s="1305"/>
      <c r="P1076" s="33"/>
      <c r="Q1076" s="33"/>
      <c r="R1076" s="33"/>
      <c r="S1076" s="30"/>
      <c r="T1076" s="543" t="str">
        <f>EUconst_CNTR_ConversionFactor&amp;E1062</f>
        <v>ConvF_</v>
      </c>
      <c r="U1076" s="488"/>
      <c r="V1076" s="544" t="str">
        <f t="shared" si="265"/>
        <v/>
      </c>
      <c r="W1076" s="30"/>
      <c r="X1076" s="488"/>
      <c r="Y1076" s="545" t="str">
        <f>IF(OR(T1062=TRUE,E1062=""),"",INDEX(EUwideConstants!$N:$N,MATCH(T1076,EUwideConstants!$Q:$Q,0)))</f>
        <v/>
      </c>
      <c r="Z1076" s="546" t="str">
        <f>IF(ISBLANK(F1076),"",IF(F1076=EUconst_NA,"",INDEX(EUwideConstants!$H:$M,MATCH(T1076,EUwideConstants!$Q:$Q,0),MATCH(F1076,CNTR_TierList,0))))</f>
        <v/>
      </c>
      <c r="AA1076" s="573" t="str">
        <f>IF(F1076=1,1,"")</f>
        <v/>
      </c>
      <c r="AB1076" s="30"/>
      <c r="AC1076" s="548" t="b">
        <f>AND(AC1071,Y1076&lt;&gt;EUconst_NA)</f>
        <v>0</v>
      </c>
      <c r="AD1076" s="30"/>
      <c r="AE1076" s="563"/>
      <c r="AG1076" s="564"/>
      <c r="AH1076" s="574"/>
      <c r="AI1076" s="565"/>
      <c r="AJ1076" s="574"/>
      <c r="AK1076" s="566"/>
      <c r="AL1076" s="333"/>
      <c r="AM1076" s="549" t="str">
        <f>EUconst_CNTR_ConversionFactor&amp;EUconst_Value</f>
        <v>ConvF_Vertė</v>
      </c>
      <c r="AN1076" s="575"/>
      <c r="AO1076" s="573">
        <v>1</v>
      </c>
      <c r="AP1076" s="574"/>
      <c r="AQ1076" s="576" t="str">
        <f>IF(AA1076="","",AO1076)</f>
        <v/>
      </c>
      <c r="AR1076" s="548">
        <f>IF(AC1076=TRUE,IF(COUNT(K1076:L1076)=0,0,IF(L1076="",K1076,L1076)),1)</f>
        <v>1</v>
      </c>
      <c r="AS1076" s="544" t="b">
        <f>AND(AC1076=TRUE,OR(ISNUMBER(L1076),NOT(ISNUMBER(AA1076))))</f>
        <v>0</v>
      </c>
      <c r="AT1076" s="544" t="b">
        <f t="shared" si="261"/>
        <v>0</v>
      </c>
      <c r="AU1076" s="30"/>
      <c r="AV1076" s="558" t="b">
        <f t="shared" si="262"/>
        <v>0</v>
      </c>
      <c r="AW1076" s="559" t="b">
        <f t="shared" si="263"/>
        <v>0</v>
      </c>
      <c r="AX1076" s="30"/>
      <c r="AY1076" s="585" t="b">
        <f t="shared" si="264"/>
        <v>0</v>
      </c>
      <c r="AZ1076" s="571" t="b">
        <f>AR1076&gt;100%</f>
        <v>0</v>
      </c>
      <c r="BA1076" s="30"/>
      <c r="BB1076" s="569" t="s">
        <v>481</v>
      </c>
      <c r="BC1076" s="570">
        <f>AR1071*AR1074/1000*(1-AR1078)</f>
        <v>0</v>
      </c>
      <c r="BD1076" s="571">
        <f>BC1076</f>
        <v>0</v>
      </c>
      <c r="BE1076" s="572">
        <f>BC1076</f>
        <v>0</v>
      </c>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544" t="b">
        <f>OR(BZ1071,Y1076=EUconst_NA)</f>
        <v>1</v>
      </c>
    </row>
    <row r="1077" spans="1:78" s="140" customFormat="1" ht="12.75" customHeight="1" thickBot="1" x14ac:dyDescent="0.25">
      <c r="A1077" s="777"/>
      <c r="B1077" s="1248"/>
      <c r="C1077" s="783" t="s">
        <v>324</v>
      </c>
      <c r="D1077" s="503" t="str">
        <f>Translations!$B$640</f>
        <v>Anglies kiekis (C):</v>
      </c>
      <c r="E1077" s="504"/>
      <c r="F1077" s="539"/>
      <c r="G1077" s="1603" t="str">
        <f t="shared" si="259"/>
        <v/>
      </c>
      <c r="H1077" s="1604"/>
      <c r="I1077" s="1113" t="str">
        <f>AJ1077</f>
        <v/>
      </c>
      <c r="J1077" s="577"/>
      <c r="K1077" s="578" t="str">
        <f t="shared" si="260"/>
        <v/>
      </c>
      <c r="L1077" s="579"/>
      <c r="M1077" s="700" t="str">
        <f>IF(AND(E1062&lt;&gt;"",OR(F1077="",COUNT(K1077:L1077)=0),Y1077&lt;&gt;EUconst_NA,T1062&lt;&gt;TRUE),EUconst_ERR_Incomplete,IF(COUNTIF(AX1077:AZ1077,TRUE)&gt;0,EUconst_ERR_Inconsistent,""))</f>
        <v/>
      </c>
      <c r="O1077" s="1305"/>
      <c r="P1077" s="33"/>
      <c r="Q1077" s="33"/>
      <c r="R1077" s="33"/>
      <c r="S1077" s="30"/>
      <c r="T1077" s="543" t="str">
        <f>EUconst_CNTR_CarbonContent&amp;E1062</f>
        <v>CarbC_</v>
      </c>
      <c r="U1077" s="488"/>
      <c r="V1077" s="544" t="str">
        <f t="shared" si="265"/>
        <v/>
      </c>
      <c r="W1077" s="30"/>
      <c r="X1077" s="488"/>
      <c r="Y1077" s="545" t="str">
        <f>IF(OR(T1062=TRUE,E1062=""),"",INDEX(EUwideConstants!$N:$N,MATCH(T1077,EUwideConstants!$Q:$Q,0)))</f>
        <v/>
      </c>
      <c r="Z1077" s="546" t="str">
        <f>IF(ISBLANK(F1077),"",IF(F1077=EUconst_NA,"",INDEX(EUwideConstants!$H:$M,MATCH(T1077,EUwideConstants!$Q:$Q,0),MATCH(F1077,CNTR_TierList,0))))</f>
        <v/>
      </c>
      <c r="AA1077" s="580" t="str">
        <f>IF(COUNTIF(EUconst_DefaultValues,Z1077)&gt;0,MATCH(Z1077,EUconst_DefaultValues,0),"")</f>
        <v/>
      </c>
      <c r="AB1077" s="30"/>
      <c r="AC1077" s="548" t="b">
        <f>AND(AC1071,Y1077&lt;&gt;EUconst_NA)</f>
        <v>0</v>
      </c>
      <c r="AD1077" s="30"/>
      <c r="AE1077" s="549" t="str">
        <f>EUconst_CNTR_CarbonContent&amp;EUconst_Unit</f>
        <v>CarbC_Vienetas</v>
      </c>
      <c r="AF1077" s="550" t="str">
        <f>IF(AC1077=TRUE, IF(COUNTIF(MSPara_SourceStreamCategory,V1077)=0,"",INDEX(MSPara_CalcFactorsMatrix,MATCH(V1077,MSPara_SourceStreamCategory,0),MATCH(AE1077&amp;"_"&amp;2,MSPara_CalcFactors,0))),"")</f>
        <v/>
      </c>
      <c r="AG1077" s="551" t="str">
        <f>IF(AC1077=TRUE, IF(COUNTIF(MSPara_SourceStreamCategory,V1077)=0,"",INDEX(MSPara_CalcFactorsMatrix,MATCH(V1077,MSPara_SourceStreamCategory,0),MATCH(AE1077&amp;"_"&amp;1,MSPara_CalcFactors,0))),"")</f>
        <v/>
      </c>
      <c r="AH1077" s="581" t="str">
        <f>IF(AA1077="","",INDEX(AF1077:AG1077,3-AA1077))</f>
        <v/>
      </c>
      <c r="AI1077" s="565"/>
      <c r="AJ1077" s="582" t="str">
        <f>IF(AC1077=TRUE,IF(AJ1071="","",IF(AJ1071=EUconst_kNm3,EUconst_tCpkNm3,EUconst_tCpt)),"")</f>
        <v/>
      </c>
      <c r="AK1077" s="566"/>
      <c r="AL1077" s="333"/>
      <c r="AM1077" s="549" t="str">
        <f>EUconst_CNTR_CarbonContent&amp;EUconst_Value</f>
        <v>CarbC_Vertė</v>
      </c>
      <c r="AN1077" s="555" t="str">
        <f>IF(AC1077=TRUE,IF(COUNTIF(MSPara_SourceStreamCategory,V1077)=0,"",INDEX(MSPara_CalcFactorsMatrix,MATCH(V1077,MSPara_SourceStreamCategory,0),MATCH(AM1077&amp;"_"&amp;2,MSPara_CalcFactors,0))),"")</f>
        <v/>
      </c>
      <c r="AO1077" s="583" t="str">
        <f>IF(AC1077=TRUE,IF(COUNTIF(MSPara_SourceStreamCategory,V1077)=0,"",INDEX(MSPara_CalcFactorsMatrix,MATCH(V1077,MSPara_SourceStreamCategory,0),MATCH(AM1077&amp;"_"&amp;1,MSPara_CalcFactors,0))),"")</f>
        <v/>
      </c>
      <c r="AP1077" s="548" t="b">
        <f>AND(AND(AH1077&lt;&gt;"",AJ1077&lt;&gt;""),AJ1077=AH1077)</f>
        <v>0</v>
      </c>
      <c r="AQ1077" s="584" t="str">
        <f>IF(AND(AA1077&lt;&gt;"",AP1077=TRUE),IF(OR(INDEX(AN1077:AO1077,3-AA1077)=EUconst_NA,INDEX(AN1077:AO1077,3-AA1077)=0),"",INDEX(AN1077:AO1077,3-AA1077)),"")</f>
        <v/>
      </c>
      <c r="AR1077" s="548">
        <f>IF(AC1077=TRUE,IF(COUNT(K1077:L1077)=0,0,IF(L1077="",K1077,L1077)),0)</f>
        <v>0</v>
      </c>
      <c r="AS1077" s="544" t="b">
        <f>AND(AC1077=TRUE,OR(AND(F1077&lt;&gt;"",NOT(ISNUMBER(AA1077))),L1077&lt;&gt;"",F1077="",AQ1077=""))</f>
        <v>0</v>
      </c>
      <c r="AT1077" s="544" t="b">
        <f t="shared" si="261"/>
        <v>0</v>
      </c>
      <c r="AU1077" s="30"/>
      <c r="AV1077" s="558" t="b">
        <f t="shared" si="262"/>
        <v>0</v>
      </c>
      <c r="AW1077" s="559" t="b">
        <f t="shared" si="263"/>
        <v>0</v>
      </c>
      <c r="AX1077" s="537" t="b">
        <f>OR(AND(AJ1071=EUconst_kNm3,AJ1077=EUconst_tCpt),AND(AJ1071=EUconst_t,AJ1077=EUconst_tCpkNm3))</f>
        <v>0</v>
      </c>
      <c r="AY1077" s="544" t="b">
        <f t="shared" si="264"/>
        <v>0</v>
      </c>
      <c r="AZ1077" s="30"/>
      <c r="BA1077" s="30"/>
      <c r="BB1077" s="569" t="s">
        <v>482</v>
      </c>
      <c r="BC1077" s="570">
        <f>AR1071*AR1074/1000*AR1078</f>
        <v>0</v>
      </c>
      <c r="BD1077" s="571">
        <f>BC1077</f>
        <v>0</v>
      </c>
      <c r="BE1077" s="572">
        <f>BC1077</f>
        <v>0</v>
      </c>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544" t="b">
        <f>OR(BZ1071,Y1077=EUconst_NA)</f>
        <v>1</v>
      </c>
    </row>
    <row r="1078" spans="1:78" s="140" customFormat="1" ht="12.75" customHeight="1" x14ac:dyDescent="0.2">
      <c r="A1078" s="777"/>
      <c r="B1078" s="1248"/>
      <c r="C1078" s="753" t="s">
        <v>325</v>
      </c>
      <c r="D1078" s="503" t="str">
        <f>Translations!$B$641</f>
        <v>Biomasės dalis (BioC):</v>
      </c>
      <c r="E1078" s="504"/>
      <c r="F1078" s="539"/>
      <c r="G1078" s="1603" t="str">
        <f t="shared" si="259"/>
        <v/>
      </c>
      <c r="H1078" s="1604"/>
      <c r="I1078" s="1113" t="str">
        <f>IF(OR(AC1078=FALSE,Y1078=EUconst_NA),"","-")</f>
        <v/>
      </c>
      <c r="J1078" s="560"/>
      <c r="K1078" s="561" t="str">
        <f t="shared" si="260"/>
        <v/>
      </c>
      <c r="L1078" s="694"/>
      <c r="M1078" s="700" t="str">
        <f>IF(AND(E1062&lt;&gt;"",OR(F1078="",COUNT(K1078:L1078)=0),Y1078&lt;&gt;EUconst_NA,T1062&lt;&gt;TRUE),EUconst_ERR_Incomplete,IF(COUNTIF(AX1078:AZ1078,TRUE)&gt;0,EUconst_ERR_Inconsistent,""))</f>
        <v/>
      </c>
      <c r="O1078" s="1305"/>
      <c r="P1078" s="635"/>
      <c r="Q1078" s="635"/>
      <c r="R1078" s="635"/>
      <c r="S1078" s="30"/>
      <c r="T1078" s="543" t="str">
        <f>EUconst_CNTR_BiomassContent&amp;E1062</f>
        <v>BioC_</v>
      </c>
      <c r="U1078" s="488"/>
      <c r="V1078" s="585" t="str">
        <f t="shared" si="265"/>
        <v/>
      </c>
      <c r="W1078" s="522" t="str">
        <f>IF(COUNTIF(MSPara_SourceStreamCategory,V1078)=0,"",INDEX(MSPara_IsFossil,MATCH(V1078,MSPara_SourceStreamCategory,0)))</f>
        <v/>
      </c>
      <c r="X1078" s="488"/>
      <c r="Y1078" s="545" t="str">
        <f>IF(OR(T1062=TRUE,E1062=""),"",IF(OR(W1078=TRUE,F1078=EUconst_NA),EUconst_NA,INDEX(EUwideConstants!$N:$N,MATCH(T1078,EUwideConstants!$Q:$Q,0))))</f>
        <v/>
      </c>
      <c r="Z1078" s="546" t="str">
        <f>IF(ISBLANK(F1078),"",IF(F1078=EUconst_NA,"",INDEX(EUwideConstants!$H:$M,MATCH(T1078,EUwideConstants!$Q:$Q,0),MATCH(F1078,CNTR_TierList,0))))</f>
        <v/>
      </c>
      <c r="AA1078" s="586" t="str">
        <f>IF(F1078=1,1,"")</f>
        <v/>
      </c>
      <c r="AB1078" s="30"/>
      <c r="AC1078" s="548" t="b">
        <f>AND(AC1071,Y1078&lt;&gt;EUconst_NA)</f>
        <v>0</v>
      </c>
      <c r="AD1078" s="30"/>
      <c r="AE1078" s="563"/>
      <c r="AG1078" s="564"/>
      <c r="AH1078" s="553"/>
      <c r="AI1078" s="565"/>
      <c r="AJ1078" s="553"/>
      <c r="AK1078" s="566"/>
      <c r="AL1078" s="333"/>
      <c r="AM1078" s="549" t="str">
        <f>EUconst_CNTR_BiomassContent&amp;EUconst_Value</f>
        <v>BioC_Vertė</v>
      </c>
      <c r="AO1078" s="587" t="str">
        <f>IF(AC1078=TRUE,IF(COUNTIF(MSPara_SourceStreamCategory,V1078)=0,"",INDEX(MSPara_CalcFactorsMatrix,MATCH(V1078,MSPara_SourceStreamCategory,0),MATCH(AM1078&amp;"_"&amp;2,MSPara_CalcFactors,0))),"")</f>
        <v/>
      </c>
      <c r="AP1078" s="553"/>
      <c r="AQ1078" s="568" t="str">
        <f>IF(OR(AA1078="",AO1078=EUconst_NA),"",AO1078)</f>
        <v/>
      </c>
      <c r="AR1078" s="548">
        <f>IF(AC1078=TRUE,IF(COUNT(K1078:L1078)=0,0,IF(L1078="",K1078,L1078)),0)</f>
        <v>0</v>
      </c>
      <c r="AS1078" s="544" t="b">
        <f>AND(AC1078=TRUE,OR(AND(F1078&lt;&gt;"",NOT(ISNUMBER(AA1078))),L1078&lt;&gt;"",F1078="",AQ1078=""))</f>
        <v>0</v>
      </c>
      <c r="AT1078" s="544" t="b">
        <f t="shared" si="261"/>
        <v>0</v>
      </c>
      <c r="AU1078" s="30"/>
      <c r="AV1078" s="558" t="b">
        <f t="shared" si="262"/>
        <v>0</v>
      </c>
      <c r="AW1078" s="559" t="b">
        <f t="shared" si="263"/>
        <v>0</v>
      </c>
      <c r="AX1078" s="30"/>
      <c r="AY1078" s="585" t="b">
        <f t="shared" si="264"/>
        <v>0</v>
      </c>
      <c r="AZ1078" s="522" t="b">
        <f>OR(AR1078&gt;100%,(AR1078+AR1079)&gt;100%)</f>
        <v>0</v>
      </c>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544" t="b">
        <f>OR(BZ1071,Y1078=EUconst_NA)</f>
        <v>1</v>
      </c>
    </row>
    <row r="1079" spans="1:78" s="140" customFormat="1" ht="12.75" customHeight="1" thickBot="1" x14ac:dyDescent="0.25">
      <c r="A1079" s="777"/>
      <c r="B1079" s="1248"/>
      <c r="C1079" s="753" t="s">
        <v>448</v>
      </c>
      <c r="D1079" s="503" t="str">
        <f>Translations!$B$647</f>
        <v>Netvarios BioC dalis:</v>
      </c>
      <c r="E1079" s="504"/>
      <c r="F1079" s="588"/>
      <c r="G1079" s="1603" t="str">
        <f t="shared" si="259"/>
        <v/>
      </c>
      <c r="H1079" s="1604"/>
      <c r="I1079" s="1114" t="str">
        <f>IF(OR(AC1079=FALSE,Y1079=EUconst_NA),"","-")</f>
        <v/>
      </c>
      <c r="J1079" s="560"/>
      <c r="K1079" s="589" t="str">
        <f t="shared" si="260"/>
        <v/>
      </c>
      <c r="L1079" s="1100"/>
      <c r="M1079" s="700" t="str">
        <f>IF(AND(E1062&lt;&gt;"",OR(F1079="",COUNT(K1079:L1079)=0),Y1079&lt;&gt;EUconst_NA,T1062&lt;&gt;TRUE),EUconst_ERR_Incomplete,IF(COUNTIF(AX1079:AZ1079,TRUE)&gt;0,EUconst_ERR_Inconsistent,""))</f>
        <v/>
      </c>
      <c r="O1079" s="1305"/>
      <c r="P1079" s="635"/>
      <c r="Q1079" s="635"/>
      <c r="R1079" s="635"/>
      <c r="S1079" s="30"/>
      <c r="T1079" s="590" t="str">
        <f>EUconst_CNTR_BiomassContent&amp;E1062</f>
        <v>BioC_</v>
      </c>
      <c r="U1079" s="488"/>
      <c r="V1079" s="570" t="str">
        <f t="shared" si="265"/>
        <v/>
      </c>
      <c r="W1079" s="571" t="str">
        <f>IF(COUNTIF(MSPara_SourceStreamCategory,V1079)=0,"",INDEX(MSPara_IsFossil,MATCH(V1079,MSPara_SourceStreamCategory,0)))</f>
        <v/>
      </c>
      <c r="X1079" s="488"/>
      <c r="Y1079" s="591" t="str">
        <f>IF(OR(T1062=TRUE,E1062=""),"",IF(OR(W1079=TRUE,F1079=EUconst_NA),EUconst_NA,INDEX(EUwideConstants!$N:$N,MATCH(T1079,EUwideConstants!$Q:$Q,0))))</f>
        <v/>
      </c>
      <c r="Z1079" s="592" t="str">
        <f>IF(ISBLANK(F1079),"",IF(F1079=EUconst_NA,"",INDEX(EUwideConstants!$H:$M,MATCH(T1079,EUwideConstants!$Q:$Q,0),MATCH(F1079,CNTR_TierList,0))))</f>
        <v/>
      </c>
      <c r="AA1079" s="593" t="str">
        <f>IF(F1079=1,1,"")</f>
        <v/>
      </c>
      <c r="AB1079" s="30"/>
      <c r="AC1079" s="594" t="b">
        <f>AND(AC1071,Y1079&lt;&gt;EUconst_NA)</f>
        <v>0</v>
      </c>
      <c r="AD1079" s="30"/>
      <c r="AE1079" s="595"/>
      <c r="AF1079" s="596"/>
      <c r="AG1079" s="597"/>
      <c r="AH1079" s="598"/>
      <c r="AI1079" s="598"/>
      <c r="AJ1079" s="598"/>
      <c r="AK1079" s="599"/>
      <c r="AL1079" s="333"/>
      <c r="AM1079" s="600" t="str">
        <f>EUconst_CNTR_BiomassContent&amp;EUconst_Value</f>
        <v>BioC_Vertė</v>
      </c>
      <c r="AN1079" s="596"/>
      <c r="AO1079" s="601" t="str">
        <f>IF(AC1079=TRUE,IF(COUNTIF(MSPara_SourceStreamCategory,V1079)=0,"",INDEX(MSPara_CalcFactorsMatrix,MATCH(V1079,MSPara_SourceStreamCategory,0),MATCH(AM1079&amp;"_"&amp;2,MSPara_CalcFactors,0))),"")</f>
        <v/>
      </c>
      <c r="AP1079" s="598"/>
      <c r="AQ1079" s="602" t="str">
        <f>IF(OR(AA1079="",AO1079=EUconst_NA),"",AO1079)</f>
        <v/>
      </c>
      <c r="AR1079" s="594">
        <f>IF(AC1079=TRUE,IF(COUNT(K1079:L1079)=0,0,IF(L1079="",K1079,L1079)),0)</f>
        <v>0</v>
      </c>
      <c r="AS1079" s="603" t="b">
        <f>AND(AC1079=TRUE,OR(AND(F1079&lt;&gt;"",NOT(ISNUMBER(AA1079))),L1079&lt;&gt;"",F1079="",AQ1079=""))</f>
        <v>0</v>
      </c>
      <c r="AT1079" s="603" t="b">
        <f t="shared" si="261"/>
        <v>0</v>
      </c>
      <c r="AU1079" s="30"/>
      <c r="AV1079" s="604" t="b">
        <f t="shared" si="262"/>
        <v>0</v>
      </c>
      <c r="AW1079" s="605" t="b">
        <f t="shared" si="263"/>
        <v>0</v>
      </c>
      <c r="AX1079" s="30"/>
      <c r="AY1079" s="570" t="b">
        <f t="shared" si="264"/>
        <v>0</v>
      </c>
      <c r="AZ1079" s="571" t="b">
        <f>OR(AR1078&gt;100%,(AR1078+AR1079)&gt;100%)</f>
        <v>0</v>
      </c>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571" t="b">
        <f>OR(BZ1071,Y1079=EUconst_NA)</f>
        <v>1</v>
      </c>
    </row>
    <row r="1080" spans="1:78" s="140" customFormat="1" ht="5.0999999999999996" customHeight="1" x14ac:dyDescent="0.2">
      <c r="A1080" s="777"/>
      <c r="B1080" s="1248"/>
      <c r="C1080" s="164"/>
      <c r="D1080" s="178"/>
      <c r="O1080" s="1305"/>
      <c r="P1080" s="33"/>
      <c r="Q1080" s="33"/>
      <c r="R1080" s="33"/>
      <c r="S1080" s="172"/>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row>
    <row r="1081" spans="1:78" s="140" customFormat="1" ht="12.75" customHeight="1" x14ac:dyDescent="0.2">
      <c r="A1081" s="777"/>
      <c r="B1081" s="1248"/>
      <c r="C1081" s="164"/>
      <c r="D1081" s="1629" t="str">
        <f>Translations!$B$674</f>
        <v>Pakopos galioja nuo:</v>
      </c>
      <c r="E1081" s="1629"/>
      <c r="F1081" s="1630"/>
      <c r="G1081" s="1014"/>
      <c r="H1081" s="606" t="str">
        <f>Translations!$B$675</f>
        <v>iki:</v>
      </c>
      <c r="I1081" s="1014"/>
      <c r="J1081" s="1620" t="str">
        <f>Translations!$B$676</f>
        <v>Atliekų katalogo numeris (jeigu taikytina):</v>
      </c>
      <c r="K1081" s="1621"/>
      <c r="L1081" s="1621"/>
      <c r="M1081" s="1622"/>
      <c r="N1081" s="1232"/>
      <c r="O1081" s="1305"/>
      <c r="P1081" s="33"/>
      <c r="Q1081" s="33"/>
      <c r="R1081" s="33"/>
      <c r="S1081" s="1233"/>
      <c r="T1081" s="483"/>
      <c r="U1081" s="483"/>
      <c r="V1081" s="48" t="b">
        <f>IF(V1071="",FALSE,INDEX(CNTR_IsWaste,MATCH(V1071,MSParameters!$A$218:$A$376,0)))</f>
        <v>0</v>
      </c>
      <c r="W1081" s="1233" t="s">
        <v>1689</v>
      </c>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2" t="b">
        <f>BZ1071</f>
        <v>1</v>
      </c>
    </row>
    <row r="1082" spans="1:78" s="140" customFormat="1" ht="5.0999999999999996" customHeight="1" x14ac:dyDescent="0.2">
      <c r="A1082" s="777"/>
      <c r="B1082" s="1248"/>
      <c r="C1082" s="164"/>
      <c r="D1082" s="606"/>
      <c r="E1082" s="486"/>
      <c r="F1082" s="486"/>
      <c r="G1082" s="486"/>
      <c r="H1082" s="486"/>
      <c r="I1082" s="486"/>
      <c r="J1082" s="486"/>
      <c r="K1082" s="486"/>
      <c r="L1082" s="486"/>
      <c r="M1082" s="486"/>
      <c r="N1082" s="486"/>
      <c r="O1082" s="1305"/>
      <c r="P1082" s="33"/>
      <c r="Q1082" s="33"/>
      <c r="R1082" s="33"/>
      <c r="S1082" s="172"/>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row>
    <row r="1083" spans="1:78" s="140" customFormat="1" ht="12.75" customHeight="1" x14ac:dyDescent="0.2">
      <c r="A1083" s="777"/>
      <c r="B1083" s="1248"/>
      <c r="C1083" s="164"/>
      <c r="D1083" s="486"/>
      <c r="E1083" s="486"/>
      <c r="F1083" s="486"/>
      <c r="G1083" s="486"/>
      <c r="H1083" s="486"/>
      <c r="I1083" s="486"/>
      <c r="J1083" s="486"/>
      <c r="K1083" s="486"/>
      <c r="L1083" s="486"/>
      <c r="M1083" s="606" t="str">
        <f>Translations!$B$677</f>
        <v>Stebėsenos plane šiam sukėlikliui suteiktas identifikatorius:</v>
      </c>
      <c r="N1083" s="705"/>
      <c r="O1083" s="1305"/>
      <c r="P1083" s="33"/>
      <c r="Q1083" s="33"/>
      <c r="R1083" s="33"/>
      <c r="S1083" s="172"/>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2" t="b">
        <f>BZ1081</f>
        <v>1</v>
      </c>
    </row>
    <row r="1084" spans="1:78" s="140" customFormat="1" ht="5.0999999999999996" customHeight="1" x14ac:dyDescent="0.2">
      <c r="A1084" s="784"/>
      <c r="B1084" s="1316"/>
      <c r="D1084" s="178"/>
      <c r="O1084" s="1317"/>
      <c r="P1084" s="488"/>
      <c r="Q1084" s="488"/>
      <c r="R1084" s="488"/>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row>
    <row r="1085" spans="1:78" s="140" customFormat="1" x14ac:dyDescent="0.2">
      <c r="A1085" s="784"/>
      <c r="B1085" s="1316"/>
      <c r="D1085" s="1618" t="str">
        <f>Translations!$B$160</f>
        <v>Pastabos:</v>
      </c>
      <c r="E1085" s="1619"/>
      <c r="F1085" s="1605"/>
      <c r="G1085" s="1606"/>
      <c r="H1085" s="1606"/>
      <c r="I1085" s="1606"/>
      <c r="J1085" s="1606"/>
      <c r="K1085" s="1606"/>
      <c r="L1085" s="1606"/>
      <c r="M1085" s="1606"/>
      <c r="N1085" s="1607"/>
      <c r="O1085" s="1317"/>
      <c r="P1085" s="488"/>
      <c r="Q1085" s="488"/>
      <c r="R1085" s="488"/>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2" t="b">
        <f>BZ1081</f>
        <v>1</v>
      </c>
    </row>
    <row r="1086" spans="1:78" s="28" customFormat="1" ht="12.75" customHeight="1" thickBot="1" x14ac:dyDescent="0.25">
      <c r="A1086" s="777"/>
      <c r="B1086" s="1312"/>
      <c r="C1086" s="490"/>
      <c r="D1086" s="491"/>
      <c r="E1086" s="492"/>
      <c r="F1086" s="490"/>
      <c r="G1086" s="493"/>
      <c r="H1086" s="493"/>
      <c r="I1086" s="493"/>
      <c r="J1086" s="493"/>
      <c r="K1086" s="493"/>
      <c r="L1086" s="493"/>
      <c r="M1086" s="493"/>
      <c r="N1086" s="493"/>
      <c r="O1086" s="1313"/>
      <c r="P1086" s="485"/>
      <c r="Q1086" s="485"/>
      <c r="R1086" s="485"/>
      <c r="S1086" s="58"/>
      <c r="T1086" s="58"/>
      <c r="U1086" s="489"/>
      <c r="V1086" s="58"/>
      <c r="W1086" s="58"/>
      <c r="X1086" s="489"/>
      <c r="Y1086" s="58"/>
      <c r="Z1086" s="58"/>
      <c r="AA1086" s="58"/>
      <c r="AB1086" s="58"/>
      <c r="AC1086" s="58"/>
      <c r="AD1086" s="58"/>
      <c r="AE1086" s="58"/>
      <c r="AF1086" s="58"/>
      <c r="AG1086" s="58"/>
      <c r="AH1086" s="58"/>
      <c r="AI1086" s="58"/>
      <c r="AJ1086" s="58"/>
      <c r="AK1086" s="58"/>
      <c r="AL1086" s="58"/>
      <c r="AM1086" s="58"/>
      <c r="AN1086" s="58"/>
      <c r="AO1086" s="58"/>
      <c r="AP1086" s="58"/>
      <c r="AQ1086" s="58"/>
      <c r="AR1086" s="58"/>
      <c r="AS1086" s="58"/>
      <c r="AT1086" s="58"/>
      <c r="AU1086" s="58"/>
      <c r="AV1086" s="58"/>
      <c r="AW1086" s="58"/>
      <c r="AX1086" s="58"/>
      <c r="AY1086" s="58"/>
      <c r="AZ1086" s="58"/>
      <c r="BA1086" s="58"/>
      <c r="BB1086" s="58"/>
      <c r="BC1086" s="58"/>
      <c r="BD1086" s="58"/>
      <c r="BE1086" s="58"/>
      <c r="BF1086" s="58"/>
      <c r="BG1086" s="58"/>
      <c r="BH1086" s="58"/>
      <c r="BI1086" s="30"/>
      <c r="BJ1086" s="30"/>
      <c r="BK1086" s="30"/>
      <c r="BL1086" s="58"/>
      <c r="BM1086" s="58"/>
      <c r="BN1086" s="58"/>
      <c r="BO1086" s="58"/>
      <c r="BP1086" s="58"/>
      <c r="BQ1086" s="58"/>
      <c r="BR1086" s="58"/>
      <c r="BS1086" s="58"/>
      <c r="BT1086" s="58"/>
      <c r="BU1086" s="58"/>
      <c r="BV1086" s="58"/>
      <c r="BW1086" s="58"/>
      <c r="BX1086" s="58"/>
      <c r="BY1086" s="58"/>
      <c r="BZ1086" s="58"/>
    </row>
    <row r="1087" spans="1:78" s="28" customFormat="1" ht="12.75" customHeight="1" thickBot="1" x14ac:dyDescent="0.25">
      <c r="A1087" s="782"/>
      <c r="B1087" s="1312"/>
      <c r="C1087" s="486"/>
      <c r="D1087" s="178"/>
      <c r="E1087" s="487"/>
      <c r="F1087" s="486"/>
      <c r="G1087" s="478"/>
      <c r="H1087" s="478"/>
      <c r="I1087" s="478"/>
      <c r="J1087" s="478"/>
      <c r="K1087" s="486"/>
      <c r="L1087" s="478"/>
      <c r="M1087" s="478"/>
      <c r="N1087" s="478"/>
      <c r="O1087" s="1313"/>
      <c r="P1087" s="485"/>
      <c r="Q1087" s="485"/>
      <c r="R1087" s="485"/>
      <c r="S1087" s="23"/>
      <c r="T1087" s="27" t="str">
        <f>IF(ISBLANK(E1088),"",MATCH(E1088,CNTR_SourceStreamNames,0))</f>
        <v/>
      </c>
      <c r="U1087" s="609" t="str">
        <f>IF(ISBLANK(E1088),"",INDEX(B_InstallationDescription!$D$71:$D$145,MATCH(E1088,CNTR_SourceStreamNames,0)))</f>
        <v/>
      </c>
      <c r="V1087" s="76"/>
      <c r="W1087" s="56"/>
      <c r="X1087" s="56"/>
      <c r="Y1087" s="56"/>
      <c r="Z1087" s="58"/>
      <c r="AA1087" s="58"/>
      <c r="AB1087" s="58"/>
      <c r="AC1087" s="58"/>
      <c r="AD1087" s="58"/>
      <c r="AE1087" s="58"/>
      <c r="AF1087" s="58"/>
      <c r="AG1087" s="58"/>
      <c r="AH1087" s="58"/>
      <c r="AI1087" s="58"/>
      <c r="AJ1087" s="58"/>
      <c r="AK1087" s="482"/>
      <c r="AL1087" s="58"/>
      <c r="AM1087" s="58"/>
      <c r="AN1087" s="58"/>
      <c r="AO1087" s="58"/>
      <c r="AP1087" s="58"/>
      <c r="AQ1087" s="58"/>
      <c r="AR1087" s="58"/>
      <c r="AS1087" s="58"/>
      <c r="AT1087" s="58"/>
      <c r="AU1087" s="58"/>
      <c r="AV1087" s="58"/>
      <c r="AW1087" s="58"/>
      <c r="AX1087" s="58"/>
      <c r="AY1087" s="58"/>
      <c r="AZ1087" s="58"/>
      <c r="BA1087" s="58"/>
      <c r="BB1087" s="58"/>
      <c r="BC1087" s="58"/>
      <c r="BD1087" s="58"/>
      <c r="BE1087" s="58"/>
      <c r="BF1087" s="58"/>
      <c r="BG1087" s="58"/>
      <c r="BH1087" s="56"/>
      <c r="BI1087" s="56"/>
      <c r="BJ1087" s="56"/>
      <c r="BK1087" s="56"/>
      <c r="BL1087" s="56"/>
      <c r="BM1087" s="56"/>
      <c r="BN1087" s="56"/>
      <c r="BO1087" s="56"/>
      <c r="BP1087" s="56"/>
      <c r="BQ1087" s="56"/>
      <c r="BR1087" s="56"/>
      <c r="BS1087" s="56"/>
      <c r="BT1087" s="56"/>
      <c r="BU1087" s="56"/>
      <c r="BV1087" s="56"/>
      <c r="BW1087" s="56"/>
      <c r="BX1087" s="56"/>
      <c r="BY1087" s="56"/>
      <c r="BZ1087" s="484" t="s">
        <v>259</v>
      </c>
    </row>
    <row r="1088" spans="1:78" s="140" customFormat="1" ht="15" customHeight="1" thickBot="1" x14ac:dyDescent="0.25">
      <c r="A1088" s="1302" t="str">
        <f>IF(E1088="","","PRINT")</f>
        <v/>
      </c>
      <c r="B1088" s="1248"/>
      <c r="C1088" s="608">
        <f>C1061+1</f>
        <v>39</v>
      </c>
      <c r="D1088" s="164"/>
      <c r="E1088" s="1610"/>
      <c r="F1088" s="1611"/>
      <c r="G1088" s="1611"/>
      <c r="H1088" s="1611"/>
      <c r="I1088" s="1611"/>
      <c r="J1088" s="1612"/>
      <c r="K1088" s="1623" t="str">
        <f>IF(E1089="","",INDEX(EUwideConstants!$F$353:$F$394,MATCH(E1089,EUConst_TierActivityListNames,0)))</f>
        <v/>
      </c>
      <c r="L1088" s="1624"/>
      <c r="M1088" s="494" t="str">
        <f>Translations!$B$665</f>
        <v>CO2, iškastinio kuro kilmės:</v>
      </c>
      <c r="N1088" s="1012" t="str">
        <f>IF(OR(K1088="",T1089=TRUE),"",INDEX(BC1102:BE1102,MATCH(K1088,BC1098:BE1098,0)))</f>
        <v/>
      </c>
      <c r="O1088" s="1314" t="s">
        <v>257</v>
      </c>
      <c r="P1088" s="1303" t="str">
        <f>IF(AND(E1088&lt;&gt;"",COUNTIF(P1089:$P$2089,"PRINT")=0),"PRINT","")</f>
        <v/>
      </c>
      <c r="Q1088" s="343" t="str">
        <f>EUconst_SumCO2 &amp; "_" &amp; K1088</f>
        <v>SUM_CO2_</v>
      </c>
      <c r="R1088" s="485"/>
      <c r="S1088" s="23"/>
      <c r="T1088" s="500" t="s">
        <v>387</v>
      </c>
      <c r="U1088" s="23"/>
      <c r="V1088" s="76"/>
      <c r="W1088" s="56"/>
      <c r="X1088" s="58"/>
      <c r="Y1088" s="58"/>
      <c r="Z1088" s="58"/>
      <c r="AA1088" s="58"/>
      <c r="AB1088" s="58"/>
      <c r="AC1088" s="58"/>
      <c r="AD1088" s="58"/>
      <c r="AE1088" s="58"/>
      <c r="AF1088" s="58"/>
      <c r="AG1088" s="58"/>
      <c r="AH1088" s="58"/>
      <c r="AI1088" s="333"/>
      <c r="AJ1088" s="333"/>
      <c r="AK1088" s="333"/>
      <c r="AL1088" s="333"/>
      <c r="AM1088" s="333"/>
      <c r="AN1088" s="333"/>
      <c r="AO1088" s="333"/>
      <c r="AP1088" s="333"/>
      <c r="AQ1088" s="333"/>
      <c r="AR1088" s="333"/>
      <c r="AS1088" s="333"/>
      <c r="AT1088" s="333"/>
      <c r="AU1088" s="333"/>
      <c r="AV1088" s="333"/>
      <c r="AW1088" s="333"/>
      <c r="AX1088" s="333"/>
      <c r="AY1088" s="333"/>
      <c r="AZ1088" s="333"/>
      <c r="BA1088" s="333"/>
      <c r="BB1088" s="333"/>
      <c r="BC1088" s="333"/>
      <c r="BD1088" s="333"/>
      <c r="BE1088" s="333"/>
      <c r="BF1088" s="333"/>
      <c r="BG1088" s="333"/>
      <c r="BH1088" s="834">
        <f>AR1098</f>
        <v>0</v>
      </c>
      <c r="BI1088" s="834" t="str">
        <f>AJ1098</f>
        <v/>
      </c>
      <c r="BJ1088" s="834">
        <f>AR1100</f>
        <v>0</v>
      </c>
      <c r="BK1088" s="834" t="str">
        <f>AJ1100</f>
        <v/>
      </c>
      <c r="BL1088" s="834">
        <f>AR1101</f>
        <v>0</v>
      </c>
      <c r="BM1088" s="834" t="str">
        <f>AJ1101</f>
        <v/>
      </c>
      <c r="BN1088" s="834">
        <f>AR1102</f>
        <v>1</v>
      </c>
      <c r="BO1088" s="834">
        <f>AR1103</f>
        <v>1</v>
      </c>
      <c r="BP1088" s="834">
        <f>AR1104</f>
        <v>0</v>
      </c>
      <c r="BQ1088" s="834" t="str">
        <f>AJ1104</f>
        <v/>
      </c>
      <c r="BR1088" s="834">
        <f>AR1105</f>
        <v>0</v>
      </c>
      <c r="BS1088" s="834">
        <f>AR1106</f>
        <v>0</v>
      </c>
      <c r="BT1088" s="834" t="str">
        <f>N1088</f>
        <v/>
      </c>
      <c r="BU1088" s="834" t="str">
        <f>N1089</f>
        <v/>
      </c>
      <c r="BV1088" s="834" t="str">
        <f>R1091</f>
        <v/>
      </c>
      <c r="BW1088" s="834" t="str">
        <f>R1097</f>
        <v/>
      </c>
      <c r="BX1088" s="834" t="str">
        <f>R1098</f>
        <v/>
      </c>
      <c r="BY1088" s="56"/>
      <c r="BZ1088" s="610" t="b">
        <f>CNTR_CalcRelevant=EUconst_NotRelevant</f>
        <v>0</v>
      </c>
    </row>
    <row r="1089" spans="1:78" s="140" customFormat="1" ht="15" customHeight="1" thickBot="1" x14ac:dyDescent="0.25">
      <c r="A1089" s="777"/>
      <c r="B1089" s="1248"/>
      <c r="C1089" s="164"/>
      <c r="D1089" s="164"/>
      <c r="E1089" s="1625" t="str">
        <f>IF(ISBLANK(E1088),"",IF(INDEX(B_InstallationDescription!$E$71:$E$145,MATCH(U1087,B_InstallationDescription!$D$71:$D$145,0))&gt;0,INDEX(B_InstallationDescription!$E$71:$E$145,MATCH(U1087,B_InstallationDescription!$D$71:$D$145,0)),""))</f>
        <v/>
      </c>
      <c r="F1089" s="1626"/>
      <c r="G1089" s="1626"/>
      <c r="H1089" s="1626"/>
      <c r="I1089" s="1626"/>
      <c r="J1089" s="1627"/>
      <c r="M1089" s="337" t="str">
        <f>Translations!$B$666</f>
        <v>CO2, biomasės kilmės.:</v>
      </c>
      <c r="N1089" s="1013" t="str">
        <f>IF(OR(K1088="",T1089=TRUE),"",INDEX(BC1101:BE1101,MATCH(K1088,BC1098:BE1098,0)))</f>
        <v/>
      </c>
      <c r="O1089" s="1315" t="s">
        <v>257</v>
      </c>
      <c r="P1089" s="485"/>
      <c r="Q1089" s="343" t="str">
        <f>EUconst_SumBioCO2 &amp; "_" &amp; K1088</f>
        <v>SUM_bioCO2_</v>
      </c>
      <c r="R1089" s="485"/>
      <c r="S1089" s="23"/>
      <c r="T1089" s="48" t="str">
        <f>IF(E1089="","",MATCH(E1089,EUConst_TierActivityListNames,0)&gt;40)</f>
        <v/>
      </c>
      <c r="U1089" s="23"/>
      <c r="V1089" s="76"/>
      <c r="W1089" s="56"/>
      <c r="X1089" s="58"/>
      <c r="Y1089" s="27" t="s">
        <v>91</v>
      </c>
      <c r="Z1089" s="30"/>
      <c r="AA1089" s="30"/>
      <c r="AB1089" s="30"/>
      <c r="AC1089" s="30"/>
      <c r="AD1089" s="30"/>
      <c r="AE1089" s="27" t="s">
        <v>297</v>
      </c>
      <c r="AF1089" s="58"/>
      <c r="AG1089" s="495"/>
      <c r="AH1089" s="30"/>
      <c r="AI1089" s="30"/>
      <c r="AJ1089" s="495"/>
      <c r="AK1089" s="495"/>
      <c r="AL1089" s="333"/>
      <c r="AM1089" s="27" t="s">
        <v>303</v>
      </c>
      <c r="AN1089" s="496"/>
      <c r="AO1089" s="496"/>
      <c r="AP1089" s="30"/>
      <c r="AQ1089" s="30"/>
      <c r="AR1089" s="30"/>
      <c r="AS1089" s="30"/>
      <c r="AT1089" s="30"/>
      <c r="AU1089" s="30"/>
      <c r="AV1089" s="27" t="s">
        <v>310</v>
      </c>
      <c r="AW1089" s="30"/>
      <c r="AX1089" s="483"/>
      <c r="AY1089" s="30"/>
      <c r="AZ1089" s="30"/>
      <c r="BA1089" s="30"/>
      <c r="BB1089" s="27" t="s">
        <v>217</v>
      </c>
      <c r="BC1089" s="30"/>
      <c r="BD1089" s="30"/>
      <c r="BE1089" s="30"/>
      <c r="BF1089" s="30"/>
      <c r="BG1089" s="27" t="s">
        <v>486</v>
      </c>
      <c r="BH1089" s="833" t="s">
        <v>552</v>
      </c>
      <c r="BI1089" s="833" t="s">
        <v>487</v>
      </c>
      <c r="BJ1089" s="833" t="s">
        <v>211</v>
      </c>
      <c r="BK1089" s="833" t="s">
        <v>488</v>
      </c>
      <c r="BL1089" s="833" t="s">
        <v>68</v>
      </c>
      <c r="BM1089" s="833" t="s">
        <v>489</v>
      </c>
      <c r="BN1089" s="833" t="s">
        <v>490</v>
      </c>
      <c r="BO1089" s="833" t="s">
        <v>491</v>
      </c>
      <c r="BP1089" s="833" t="s">
        <v>214</v>
      </c>
      <c r="BQ1089" s="833" t="s">
        <v>492</v>
      </c>
      <c r="BR1089" s="833" t="s">
        <v>493</v>
      </c>
      <c r="BS1089" s="833" t="s">
        <v>494</v>
      </c>
      <c r="BT1089" s="833" t="s">
        <v>287</v>
      </c>
      <c r="BU1089" s="833" t="s">
        <v>495</v>
      </c>
      <c r="BV1089" s="833" t="s">
        <v>498</v>
      </c>
      <c r="BW1089" s="833" t="s">
        <v>496</v>
      </c>
      <c r="BX1089" s="833" t="s">
        <v>497</v>
      </c>
      <c r="BY1089" s="30"/>
      <c r="BZ1089" s="30"/>
    </row>
    <row r="1090" spans="1:78" s="140" customFormat="1" ht="5.0999999999999996" customHeight="1" thickBot="1" x14ac:dyDescent="0.25">
      <c r="A1090" s="777"/>
      <c r="B1090" s="1248"/>
      <c r="C1090" s="164"/>
      <c r="D1090" s="164"/>
      <c r="E1090" s="164"/>
      <c r="F1090" s="164"/>
      <c r="G1090" s="164"/>
      <c r="M1090" s="141"/>
      <c r="N1090" s="141"/>
      <c r="O1090" s="1305"/>
      <c r="P1090" s="33"/>
      <c r="Q1090" s="33"/>
      <c r="R1090" s="33"/>
      <c r="S1090" s="23"/>
      <c r="T1090" s="23"/>
      <c r="U1090" s="23"/>
      <c r="V1090" s="76"/>
      <c r="W1090" s="30"/>
      <c r="X1090" s="30"/>
      <c r="Y1090" s="485"/>
      <c r="Z1090" s="30"/>
      <c r="AA1090" s="30"/>
      <c r="AB1090" s="30"/>
      <c r="AC1090" s="30"/>
      <c r="AD1090" s="30"/>
      <c r="AE1090" s="30"/>
      <c r="AF1090" s="58"/>
      <c r="AG1090" s="30"/>
      <c r="AH1090" s="30"/>
      <c r="AI1090" s="30"/>
      <c r="AJ1090" s="495"/>
      <c r="AK1090" s="495"/>
      <c r="AL1090" s="333"/>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row>
    <row r="1091" spans="1:78" s="140" customFormat="1" ht="12.75" customHeight="1" thickBot="1" x14ac:dyDescent="0.25">
      <c r="A1091" s="777"/>
      <c r="B1091" s="1248"/>
      <c r="C1091" s="164"/>
      <c r="D1091" s="164"/>
      <c r="E1091" s="1628" t="str">
        <f>IF(E1088="","",IF(T1089=TRUE,HYPERLINK("#JUMP_14",EUconst_MsgGoOnPFC),HYPERLINK("#JUMP_E_8",EUconst_FurtherGuidancePoint1)))</f>
        <v/>
      </c>
      <c r="F1091" s="1628"/>
      <c r="G1091" s="1628"/>
      <c r="H1091" s="1628"/>
      <c r="I1091" s="1628"/>
      <c r="J1091" s="1628"/>
      <c r="K1091" s="1628"/>
      <c r="L1091" s="1628"/>
      <c r="M1091" s="1628"/>
      <c r="N1091" s="141"/>
      <c r="O1091" s="1305"/>
      <c r="P1091" s="33"/>
      <c r="Q1091" s="343" t="str">
        <f>EUconst_SumNonSustBioCO2 &amp; "_" &amp; K1088</f>
        <v>SUM_bioNonSustCO2_</v>
      </c>
      <c r="R1091" s="698" t="str">
        <f>IF(OR(K1088="",T1089=TRUE),"",ROUND(INDEX(BC1100:BE1100,MATCH(K1088,BC1098:BE1098,0)),0))</f>
        <v/>
      </c>
      <c r="S1091" s="23"/>
      <c r="T1091" s="23"/>
      <c r="U1091" s="23"/>
      <c r="V1091" s="30"/>
      <c r="W1091" s="30"/>
      <c r="X1091" s="30"/>
      <c r="Y1091" s="58"/>
      <c r="Z1091" s="30"/>
      <c r="AA1091" s="30"/>
      <c r="AB1091" s="30"/>
      <c r="AC1091" s="30"/>
      <c r="AD1091" s="30"/>
      <c r="AE1091" s="30"/>
      <c r="AF1091" s="58"/>
      <c r="AG1091" s="30"/>
      <c r="AH1091" s="30"/>
      <c r="AI1091" s="30"/>
      <c r="AJ1091" s="495"/>
      <c r="AK1091" s="495"/>
      <c r="AL1091" s="333"/>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row>
    <row r="1092" spans="1:78" s="140" customFormat="1" ht="5.0999999999999996" customHeight="1" thickBot="1" x14ac:dyDescent="0.25">
      <c r="A1092" s="777"/>
      <c r="B1092" s="1248"/>
      <c r="C1092" s="164"/>
      <c r="D1092" s="164"/>
      <c r="E1092" s="164"/>
      <c r="F1092" s="164"/>
      <c r="G1092" s="164"/>
      <c r="M1092" s="141"/>
      <c r="N1092" s="141"/>
      <c r="O1092" s="1305"/>
      <c r="P1092" s="23"/>
      <c r="Q1092" s="23"/>
      <c r="R1092" s="23"/>
      <c r="S1092" s="23"/>
      <c r="T1092" s="23"/>
      <c r="U1092" s="23"/>
      <c r="V1092" s="30"/>
      <c r="W1092" s="30"/>
      <c r="X1092" s="30"/>
      <c r="Y1092" s="485"/>
      <c r="Z1092" s="30"/>
      <c r="AA1092" s="30"/>
      <c r="AB1092" s="30"/>
      <c r="AC1092" s="30"/>
      <c r="AD1092" s="30"/>
      <c r="AE1092" s="30"/>
      <c r="AF1092" s="58"/>
      <c r="AG1092" s="30"/>
      <c r="AH1092" s="30"/>
      <c r="AI1092" s="30"/>
      <c r="AJ1092" s="495"/>
      <c r="AK1092" s="495"/>
      <c r="AL1092" s="333"/>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row>
    <row r="1093" spans="1:78" s="140" customFormat="1" ht="12.75" customHeight="1" thickBot="1" x14ac:dyDescent="0.25">
      <c r="A1093" s="777"/>
      <c r="B1093" s="1248"/>
      <c r="C1093" s="783" t="s">
        <v>4</v>
      </c>
      <c r="D1093" s="503" t="str">
        <f>Translations!$B$622</f>
        <v>VD:</v>
      </c>
      <c r="E1093" s="1631" t="str">
        <f>Translations!$B$667</f>
        <v>Ar veiklos duomenys gaunami sudedant išmatuotus kiekius (t. y. ne atliekant nuolatinius matavimus)?</v>
      </c>
      <c r="F1093" s="1631"/>
      <c r="G1093" s="1631"/>
      <c r="H1093" s="1631"/>
      <c r="I1093" s="1631"/>
      <c r="J1093" s="1631"/>
      <c r="K1093" s="1631"/>
      <c r="L1093" s="1122"/>
      <c r="M1093" s="498"/>
      <c r="O1093" s="1305"/>
      <c r="P1093" s="23"/>
      <c r="Q1093" s="23"/>
      <c r="R1093" s="23"/>
      <c r="S1093" s="23"/>
      <c r="T1093" s="23"/>
      <c r="U1093" s="23"/>
      <c r="V1093" s="30"/>
      <c r="W1093" s="30"/>
      <c r="X1093" s="30"/>
      <c r="Y1093" s="485"/>
      <c r="Z1093" s="30"/>
      <c r="AA1093" s="30"/>
      <c r="AB1093" s="30"/>
      <c r="AC1093" s="1115" t="b">
        <f>AND(E1088&lt;&gt;"",T1089&lt;&gt;TRUE)</f>
        <v>0</v>
      </c>
      <c r="AD1093" s="30"/>
      <c r="AE1093" s="30"/>
      <c r="AF1093" s="58"/>
      <c r="AG1093" s="30"/>
      <c r="AH1093" s="30"/>
      <c r="AI1093" s="30"/>
      <c r="AJ1093" s="495"/>
      <c r="AK1093" s="495"/>
      <c r="AL1093" s="333"/>
      <c r="AM1093" s="30"/>
      <c r="AN1093" s="30"/>
      <c r="AO1093" s="30"/>
      <c r="AP1093" s="30"/>
      <c r="AQ1093" s="30"/>
      <c r="AR1093" s="30"/>
      <c r="AS1093" s="30"/>
      <c r="AT1093" s="1115" t="b">
        <f>MSPara_BatchReportingMandatory&lt;&gt;TRUE</f>
        <v>0</v>
      </c>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1115" t="b">
        <f>OR(CNTR_CalcRelevant=EUconst_NotRelevant,AND(COUNTA(CNTR_ListRelevantSections)&gt;0,OR(T1089=TRUE,E1088="")))</f>
        <v>1</v>
      </c>
    </row>
    <row r="1094" spans="1:78" s="140" customFormat="1" ht="5.0999999999999996" customHeight="1" thickBot="1" x14ac:dyDescent="0.25">
      <c r="A1094" s="777"/>
      <c r="B1094" s="1248"/>
      <c r="C1094" s="164"/>
      <c r="D1094" s="164"/>
      <c r="E1094" s="164"/>
      <c r="F1094" s="164"/>
      <c r="G1094" s="164"/>
      <c r="H1094" s="486"/>
      <c r="I1094" s="486"/>
      <c r="J1094" s="486"/>
      <c r="K1094" s="486"/>
      <c r="L1094" s="486"/>
      <c r="M1094" s="498"/>
      <c r="O1094" s="1305"/>
      <c r="P1094" s="23"/>
      <c r="Q1094" s="23"/>
      <c r="R1094" s="23"/>
      <c r="S1094" s="23"/>
      <c r="T1094" s="23"/>
      <c r="U1094" s="23"/>
      <c r="V1094" s="30"/>
      <c r="W1094" s="30"/>
      <c r="X1094" s="30"/>
      <c r="Y1094" s="485"/>
      <c r="Z1094" s="30"/>
      <c r="AA1094" s="30"/>
      <c r="AB1094" s="30"/>
      <c r="AC1094" s="483"/>
      <c r="AD1094" s="30"/>
      <c r="AE1094" s="30"/>
      <c r="AF1094" s="58"/>
      <c r="AG1094" s="30"/>
      <c r="AH1094" s="30"/>
      <c r="AI1094" s="30"/>
      <c r="AJ1094" s="495"/>
      <c r="AK1094" s="495"/>
      <c r="AL1094" s="333"/>
      <c r="AM1094" s="30"/>
      <c r="AN1094" s="30"/>
      <c r="AO1094" s="30"/>
      <c r="AP1094" s="30"/>
      <c r="AQ1094" s="30"/>
      <c r="AR1094" s="30"/>
      <c r="AS1094" s="30"/>
      <c r="AT1094" s="483"/>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483"/>
    </row>
    <row r="1095" spans="1:78" s="140" customFormat="1" ht="12.75" customHeight="1" thickBot="1" x14ac:dyDescent="0.25">
      <c r="A1095" s="777"/>
      <c r="B1095" s="1248"/>
      <c r="C1095" s="783" t="s">
        <v>5</v>
      </c>
      <c r="D1095" s="503" t="str">
        <f>Translations!$B$622</f>
        <v>VD:</v>
      </c>
      <c r="E1095" s="1105" t="str">
        <f>Translations!$B$668</f>
        <v>Pradinis kiekis:</v>
      </c>
      <c r="F1095" s="1123"/>
      <c r="G1095" s="1106" t="str">
        <f>Translations!$B$669</f>
        <v>Galutinis kiekis:</v>
      </c>
      <c r="H1095" s="1123"/>
      <c r="I1095" s="1106" t="str">
        <f>Translations!$B$670</f>
        <v>Įsigytas kiekis:</v>
      </c>
      <c r="J1095" s="1123"/>
      <c r="K1095" s="1106" t="str">
        <f>Translations!$B$671</f>
        <v>Perduotas kiekis:</v>
      </c>
      <c r="L1095" s="1123"/>
      <c r="M1095" s="1107" t="str">
        <f>IF(AND(L1093=TRUE,COUNT(F1095,H1095,J1095,L1095)&lt;4),EUconst_ERR_Incomplete,"")</f>
        <v/>
      </c>
      <c r="O1095" s="1305"/>
      <c r="P1095" s="23"/>
      <c r="Q1095" s="23"/>
      <c r="R1095" s="23"/>
      <c r="S1095" s="23"/>
      <c r="T1095" s="23"/>
      <c r="U1095" s="23"/>
      <c r="V1095" s="30"/>
      <c r="W1095" s="30"/>
      <c r="X1095" s="30"/>
      <c r="Y1095" s="485"/>
      <c r="Z1095" s="30"/>
      <c r="AA1095" s="30"/>
      <c r="AB1095" s="30"/>
      <c r="AC1095" s="1115" t="b">
        <f>AC1093</f>
        <v>0</v>
      </c>
      <c r="AD1095" s="30"/>
      <c r="AE1095" s="30"/>
      <c r="AF1095" s="58"/>
      <c r="AG1095" s="30"/>
      <c r="AH1095" s="30"/>
      <c r="AI1095" s="30"/>
      <c r="AJ1095" s="495"/>
      <c r="AK1095" s="495"/>
      <c r="AL1095" s="333"/>
      <c r="AM1095" s="30"/>
      <c r="AN1095" s="30"/>
      <c r="AO1095" s="30"/>
      <c r="AP1095" s="30"/>
      <c r="AQ1095" s="30"/>
      <c r="AR1095" s="30"/>
      <c r="AS1095" s="30"/>
      <c r="AT1095" s="1115" t="b">
        <f>AND(AT1093=TRUE,L1093="")</f>
        <v>0</v>
      </c>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1115" t="b">
        <f>OR(BZ1093,AND(NOT(ISBLANK(L1093)),L1093=FALSE))</f>
        <v>1</v>
      </c>
    </row>
    <row r="1096" spans="1:78" s="140" customFormat="1" ht="5.0999999999999996" customHeight="1" thickBot="1" x14ac:dyDescent="0.25">
      <c r="A1096" s="777"/>
      <c r="B1096" s="1248"/>
      <c r="C1096" s="164"/>
      <c r="D1096" s="164"/>
      <c r="E1096" s="164"/>
      <c r="F1096" s="164"/>
      <c r="G1096" s="164"/>
      <c r="M1096" s="141"/>
      <c r="N1096" s="141"/>
      <c r="O1096" s="1305"/>
      <c r="P1096" s="23"/>
      <c r="Q1096" s="23"/>
      <c r="R1096" s="23"/>
      <c r="S1096" s="23"/>
      <c r="T1096" s="23"/>
      <c r="U1096" s="23"/>
      <c r="V1096" s="30"/>
      <c r="W1096" s="30"/>
      <c r="X1096" s="30"/>
      <c r="Y1096" s="485"/>
      <c r="Z1096" s="30"/>
      <c r="AA1096" s="30"/>
      <c r="AB1096" s="30"/>
      <c r="AC1096" s="30"/>
      <c r="AD1096" s="30"/>
      <c r="AE1096" s="30"/>
      <c r="AF1096" s="58"/>
      <c r="AG1096" s="30"/>
      <c r="AH1096" s="30"/>
      <c r="AI1096" s="30"/>
      <c r="AJ1096" s="495"/>
      <c r="AK1096" s="495"/>
      <c r="AL1096" s="333"/>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row>
    <row r="1097" spans="1:78" s="140" customFormat="1" ht="12.75" customHeight="1" thickBot="1" x14ac:dyDescent="0.25">
      <c r="A1097" s="777"/>
      <c r="B1097" s="1248"/>
      <c r="C1097" s="164"/>
      <c r="D1097" s="164"/>
      <c r="E1097" s="164"/>
      <c r="F1097" s="497" t="str">
        <f>Translations!$B$333</f>
        <v>Pakopa</v>
      </c>
      <c r="G1097" s="1613" t="str">
        <f>Translations!$B$672</f>
        <v>pakopos aprašas</v>
      </c>
      <c r="H1097" s="1613"/>
      <c r="I1097" s="1608" t="str">
        <f>Translations!$B$158</f>
        <v>Vienetas</v>
      </c>
      <c r="J1097" s="1608"/>
      <c r="K1097" s="1608" t="str">
        <f>Translations!$B$673</f>
        <v>Vertė</v>
      </c>
      <c r="L1097" s="1608"/>
      <c r="M1097" s="498" t="str">
        <f>Translations!$B$610</f>
        <v>klaida</v>
      </c>
      <c r="O1097" s="1305"/>
      <c r="P1097" s="499"/>
      <c r="Q1097" s="343" t="str">
        <f>EUconst_SumEnergyIN &amp; "_" &amp; K1088</f>
        <v>SUM_EnergyIN_</v>
      </c>
      <c r="R1097" s="390" t="str">
        <f>IF(OR(K1088="",T1089)=TRUE,"",INDEX(BC1103:BE1103,MATCH(K1088,BC1098:BE1098,0)))</f>
        <v/>
      </c>
      <c r="S1097" s="30"/>
      <c r="T1097" s="480"/>
      <c r="U1097" s="30"/>
      <c r="V1097" s="500" t="s">
        <v>298</v>
      </c>
      <c r="W1097" s="30"/>
      <c r="X1097" s="30"/>
      <c r="Y1097" s="485" t="s">
        <v>560</v>
      </c>
      <c r="Z1097" s="485" t="s">
        <v>313</v>
      </c>
      <c r="AA1097" s="30"/>
      <c r="AB1097" s="30"/>
      <c r="AC1097" s="496" t="s">
        <v>304</v>
      </c>
      <c r="AD1097" s="30"/>
      <c r="AE1097" s="30"/>
      <c r="AF1097" s="483" t="s">
        <v>300</v>
      </c>
      <c r="AG1097" s="483" t="s">
        <v>301</v>
      </c>
      <c r="AH1097" s="485" t="s">
        <v>299</v>
      </c>
      <c r="AI1097" s="495" t="s">
        <v>302</v>
      </c>
      <c r="AJ1097" s="495" t="s">
        <v>561</v>
      </c>
      <c r="AK1097" s="501" t="s">
        <v>306</v>
      </c>
      <c r="AL1097" s="333"/>
      <c r="AM1097" s="30"/>
      <c r="AN1097" s="483" t="s">
        <v>300</v>
      </c>
      <c r="AO1097" s="483" t="s">
        <v>301</v>
      </c>
      <c r="AP1097" s="502" t="s">
        <v>305</v>
      </c>
      <c r="AQ1097" s="495" t="s">
        <v>563</v>
      </c>
      <c r="AR1097" s="495" t="s">
        <v>562</v>
      </c>
      <c r="AS1097" s="501" t="s">
        <v>599</v>
      </c>
      <c r="AT1097" s="501" t="s">
        <v>599</v>
      </c>
      <c r="AU1097" s="30"/>
      <c r="AV1097" s="483"/>
      <c r="AW1097" s="483"/>
      <c r="AX1097" s="483" t="s">
        <v>316</v>
      </c>
      <c r="AY1097" s="483"/>
      <c r="AZ1097" s="483"/>
      <c r="BA1097" s="483"/>
      <c r="BB1097" s="483"/>
      <c r="BC1097" s="483"/>
      <c r="BD1097" s="483"/>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484" t="s">
        <v>259</v>
      </c>
    </row>
    <row r="1098" spans="1:78" s="140" customFormat="1" ht="12.75" customHeight="1" thickBot="1" x14ac:dyDescent="0.25">
      <c r="A1098" s="777"/>
      <c r="B1098" s="1248"/>
      <c r="C1098" s="753" t="s">
        <v>194</v>
      </c>
      <c r="D1098" s="503" t="str">
        <f>Translations!$B$622</f>
        <v>VD:</v>
      </c>
      <c r="E1098" s="504"/>
      <c r="F1098" s="393"/>
      <c r="G1098" s="1603" t="str">
        <f>IF(OR(ISBLANK(F1098),F1098=EUconst_NoTier),"",IF(Z1098=0,EUconst_NA,IF(ISERROR(Z1098),"",Z1098)))</f>
        <v/>
      </c>
      <c r="H1098" s="1604"/>
      <c r="I1098" s="1108" t="str">
        <f>IF(J1098&lt;&gt;"","",AI1098)</f>
        <v/>
      </c>
      <c r="J1098" s="1109"/>
      <c r="K1098" s="1116" t="str">
        <f>IF(L1098="",AQ1098,"")</f>
        <v/>
      </c>
      <c r="L1098" s="1199"/>
      <c r="M1098" s="700" t="str">
        <f>IF(AND(E1089&lt;&gt;"",OR(F1098="",COUNT(K1098:L1098)=0),Y1098&lt;&gt;EUconst_NA,T1089&lt;&gt;TRUE),EUconst_ERR_Incomplete,IF(COUNTIF(AX1098:AZ1098,TRUE)&gt;0,EUconst_ERR_Inconsistent,""))</f>
        <v/>
      </c>
      <c r="O1098" s="1305"/>
      <c r="P1098" s="635"/>
      <c r="Q1098" s="343" t="str">
        <f>EUconst_SumBioEnergyIN &amp; "_" &amp; K1088</f>
        <v>SUM_BioEnergyIN_</v>
      </c>
      <c r="R1098" s="390" t="str">
        <f>IF(OR(K1088="",T1089)=TRUE,"",INDEX(BC1104:BE1104,MATCH(K1088,BC1098:BE1098,0)))</f>
        <v/>
      </c>
      <c r="S1098" s="30"/>
      <c r="T1098" s="505" t="str">
        <f>EUconst_CNTR_ActivityData&amp;E1089</f>
        <v>ActivityData_</v>
      </c>
      <c r="U1098" s="488"/>
      <c r="V1098" s="505" t="str">
        <f>IF(E1088="","",INDEX(B_InstallationDescription!$I$71:$I$145,MATCH(U1087,B_InstallationDescription!$D$71:$D$145,0)))</f>
        <v/>
      </c>
      <c r="W1098" s="495" t="s">
        <v>533</v>
      </c>
      <c r="X1098" s="488"/>
      <c r="Y1098" s="506" t="str">
        <f>IF(OR(T1089=TRUE,E1089=""),"",INDEX(EUwideConstants!$N:$N,MATCH(T1098,EUwideConstants!$Q:$Q,0)))</f>
        <v/>
      </c>
      <c r="Z1098" s="507" t="str">
        <f>IF(ISBLANK(F1098),"",IF(F1098=EUconst_NA,"",INDEX(EUwideConstants!$H:$M,MATCH(T1098,EUwideConstants!$Q:$Q,0),MATCH(F1098,CNTR_TierList,0))))</f>
        <v/>
      </c>
      <c r="AA1098" s="508" t="s">
        <v>299</v>
      </c>
      <c r="AB1098" s="495"/>
      <c r="AC1098" s="509" t="b">
        <f>AC1093</f>
        <v>0</v>
      </c>
      <c r="AD1098" s="30"/>
      <c r="AE1098" s="510" t="str">
        <f>EUconst_CNTR_ActivityData&amp;EUconst_Unit</f>
        <v>ActivityData_Vienetas</v>
      </c>
      <c r="AF1098" s="511" t="str">
        <f>IF(AC1098=TRUE, IF(COUNTIF(MSPara_SourceStreamCategory,V1098)=0,"",INDEX(MSPara_CalcFactorsMatrix,MATCH(V1098,MSPara_SourceStreamCategory,0),MATCH(AE1098&amp;"_"&amp;2,MSPara_CalcFactors,0))),"")</f>
        <v/>
      </c>
      <c r="AG1098" s="512" t="str">
        <f>IF(AC1098=TRUE, IF(COUNTIF(MSPara_SourceStreamCategory,V1098)=0,"",INDEX(MSPara_CalcFactorsMatrix,MATCH(V1098,MSPara_SourceStreamCategory,0),MATCH(AE1098&amp;"_"&amp;1,MSPara_CalcFactors,0))),"")</f>
        <v/>
      </c>
      <c r="AH1098" s="509" t="str">
        <f>IF(OR(AF1098="",AF1098=EUconst_NA),IF(OR(AG1098=EUconst_NA,AG1098=""),"",AG1098),AF1098)</f>
        <v/>
      </c>
      <c r="AI1098" s="506" t="str">
        <f>IF(AC1098=TRUE,IF(AH1098="",EUconst_t,AH1098),"")</f>
        <v/>
      </c>
      <c r="AJ1098" s="513" t="str">
        <f>IF(J1098="",AI1098,J1098)</f>
        <v/>
      </c>
      <c r="AK1098" s="514" t="b">
        <f>IF(K1088=EUconst_Fuel,J1098&lt;&gt;"",FALSE)</f>
        <v>0</v>
      </c>
      <c r="AL1098" s="333"/>
      <c r="AM1098" s="505" t="str">
        <f>EUconst_CNTR_ActivityData&amp;EUconst_Value</f>
        <v>ActivityData_Vertė</v>
      </c>
      <c r="AN1098" s="496"/>
      <c r="AO1098" s="496"/>
      <c r="AP1098" s="509" t="b">
        <f>AND(AND(AH1098&lt;&gt;"",AJ1098&lt;&gt;""),AJ1098=AH1098)</f>
        <v>0</v>
      </c>
      <c r="AQ1098" s="610" t="str">
        <f>IF(L1093=TRUE,SUM(F1095)-SUM(H1095)+SUM(J1095)-SUM(L1095),"")</f>
        <v/>
      </c>
      <c r="AR1098" s="509">
        <f>IF(Y1098=EUconst_NA,0,IF(COUNT(K1098:L1098)=0,0,IF(L1098="",K1098,L1098)))</f>
        <v>0</v>
      </c>
      <c r="AS1098" s="1115" t="b">
        <f>AND(AC1098=TRUE,OR(L1098&lt;&gt;"",AQ1098=""))</f>
        <v>0</v>
      </c>
      <c r="AT1098" s="1115" t="b">
        <f>AND(AC1098=TRUE,NOT(AS1098))</f>
        <v>0</v>
      </c>
      <c r="AU1098" s="30"/>
      <c r="AV1098" s="483" t="s">
        <v>309</v>
      </c>
      <c r="AW1098" s="483" t="s">
        <v>314</v>
      </c>
      <c r="AX1098" s="515"/>
      <c r="AY1098" s="30" t="s">
        <v>536</v>
      </c>
      <c r="AZ1098" s="30"/>
      <c r="BA1098" s="30"/>
      <c r="BB1098" s="495"/>
      <c r="BC1098" s="484" t="str">
        <f>EUconst_Fuel</f>
        <v>Degimas</v>
      </c>
      <c r="BD1098" s="484" t="str">
        <f>EUconst_ProcessCarbonate</f>
        <v>Proceso metu išsiskiriančios ŠESD</v>
      </c>
      <c r="BE1098" s="484" t="str">
        <f>EUconst_MassBalance</f>
        <v>Masės balansas</v>
      </c>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515" t="b">
        <f>BZ1093</f>
        <v>1</v>
      </c>
    </row>
    <row r="1099" spans="1:78" s="140" customFormat="1" ht="5.0999999999999996" customHeight="1" thickBot="1" x14ac:dyDescent="0.25">
      <c r="A1099" s="777"/>
      <c r="B1099" s="1248"/>
      <c r="C1099" s="783"/>
      <c r="D1099" s="298"/>
      <c r="F1099" s="141"/>
      <c r="G1099" s="141"/>
      <c r="H1099" s="141" t="s">
        <v>233</v>
      </c>
      <c r="I1099" s="516"/>
      <c r="J1099" s="516"/>
      <c r="K1099" s="141"/>
      <c r="L1099" s="141"/>
      <c r="M1099" s="701"/>
      <c r="O1099" s="1305"/>
      <c r="P1099" s="33"/>
      <c r="Q1099" s="33"/>
      <c r="R1099" s="33"/>
      <c r="S1099" s="30"/>
      <c r="T1099" s="153"/>
      <c r="U1099" s="488"/>
      <c r="V1099" s="30"/>
      <c r="W1099" s="30"/>
      <c r="X1099" s="488"/>
      <c r="Y1099" s="517"/>
      <c r="Z1099" s="30"/>
      <c r="AA1099" s="30"/>
      <c r="AB1099" s="30"/>
      <c r="AC1099" s="30"/>
      <c r="AD1099" s="30"/>
      <c r="AE1099" s="30"/>
      <c r="AF1099" s="30"/>
      <c r="AG1099" s="30"/>
      <c r="AH1099" s="30"/>
      <c r="AI1099" s="30"/>
      <c r="AJ1099" s="30"/>
      <c r="AK1099" s="30"/>
      <c r="AL1099" s="333"/>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484"/>
    </row>
    <row r="1100" spans="1:78" s="140" customFormat="1" ht="12.75" customHeight="1" thickBot="1" x14ac:dyDescent="0.25">
      <c r="A1100" s="777"/>
      <c r="B1100" s="1248"/>
      <c r="C1100" s="783" t="s">
        <v>195</v>
      </c>
      <c r="D1100" s="503" t="str">
        <f>Translations!$B$634</f>
        <v>(prelim.) ITF:</v>
      </c>
      <c r="E1100" s="504"/>
      <c r="F1100" s="518"/>
      <c r="G1100" s="1603" t="str">
        <f t="shared" ref="G1100:G1106" si="266">IF(OR(ISBLANK(F1100),F1100=EUconst_NoTier),"",IF(Z1100=0,EUconst_NotApplicable,IF(ISERROR(Z1100),"",Z1100)))</f>
        <v/>
      </c>
      <c r="H1100" s="1609"/>
      <c r="I1100" s="1110" t="str">
        <f>IF(J1100&lt;&gt;"","",AI1100)</f>
        <v/>
      </c>
      <c r="J1100" s="1111"/>
      <c r="K1100" s="519" t="str">
        <f t="shared" ref="K1100:K1106" si="267">IF(L1100="",AQ1100,"")</f>
        <v/>
      </c>
      <c r="L1100" s="520"/>
      <c r="M1100" s="700" t="str">
        <f>IF(AND(E1089&lt;&gt;"",OR(F1100="",COUNT(K1100:L1100)=0),Y1100&lt;&gt;EUconst_NA,T1089&lt;&gt;TRUE),EUconst_ERR_Incomplete,IF(COUNTIF(AX1100:AZ1100,TRUE)&gt;0,EUconst_ERR_Inconsistent,""))</f>
        <v/>
      </c>
      <c r="N1100" s="486"/>
      <c r="O1100" s="1305"/>
      <c r="P1100" s="33"/>
      <c r="Q1100" s="33"/>
      <c r="R1100" s="33"/>
      <c r="S1100" s="30"/>
      <c r="T1100" s="521" t="str">
        <f>EUconst_CNTR_EF&amp;E1089</f>
        <v>EF_</v>
      </c>
      <c r="U1100" s="488"/>
      <c r="V1100" s="522" t="str">
        <f>V1098</f>
        <v/>
      </c>
      <c r="W1100" s="30"/>
      <c r="X1100" s="488"/>
      <c r="Y1100" s="523" t="str">
        <f>IF(OR(T1089=TRUE,E1089=""),"",IF(F1100=EUconst_NA,EUconst_NA,INDEX(EUwideConstants!$N:$N,MATCH(T1100,EUwideConstants!$Q:$Q,0))))</f>
        <v/>
      </c>
      <c r="Z1100" s="524" t="str">
        <f>IF(ISBLANK(F1100),"",IF(F1100=EUconst_NA,"",INDEX(EUwideConstants!$H:$M,MATCH(T1100,EUwideConstants!$Q:$Q,0),MATCH(F1100,CNTR_TierList,0))))</f>
        <v/>
      </c>
      <c r="AA1100" s="525" t="str">
        <f>IF(COUNTIF(EUconst_DefaultValues,Z1100)&gt;0,MATCH(Z1100,EUconst_DefaultValues,0),"")</f>
        <v/>
      </c>
      <c r="AB1100" s="30"/>
      <c r="AC1100" s="526" t="b">
        <f>AND(AC1098,Y1100&lt;&gt;EUconst_NA)</f>
        <v>0</v>
      </c>
      <c r="AD1100" s="30"/>
      <c r="AE1100" s="510" t="str">
        <f>EUconst_CNTR_EF&amp;EUconst_Unit</f>
        <v>EF_Vienetas</v>
      </c>
      <c r="AF1100" s="527" t="str">
        <f>IF(AC1100=TRUE, IF(COUNTIF(MSPara_SourceStreamCategory,V1100)=0,"",INDEX(MSPara_CalcFactorsMatrix,MATCH(V1100,MSPara_SourceStreamCategory,0),MATCH(AE1100&amp;"_"&amp;2,MSPara_CalcFactors,0))),"")</f>
        <v/>
      </c>
      <c r="AG1100" s="528" t="str">
        <f>IF(AC1100=TRUE, IF(COUNTIF(MSPara_SourceStreamCategory,V1100)=0,"",INDEX(MSPara_CalcFactorsMatrix,MATCH(V1100,MSPara_SourceStreamCategory,0),MATCH(AE1100&amp;"_"&amp;1,MSPara_CalcFactors,0))),"")</f>
        <v/>
      </c>
      <c r="AH1100" s="529" t="str">
        <f>IF(AA1100="","",INDEX(AF1100:AG1100,3-AA1100))</f>
        <v/>
      </c>
      <c r="AI1100" s="530" t="str">
        <f>IF(AC1100=TRUE,IF(OR(AH1100="",AH1100=EUconst_NA),IF(K1088=EUconst_Fuel,EUconst_tCO2pTJ,EUconst_tCO2pt),AH1100),"")</f>
        <v/>
      </c>
      <c r="AJ1100" s="526" t="str">
        <f>IF(J1100="",AI1100,J1100)</f>
        <v/>
      </c>
      <c r="AK1100" s="531" t="b">
        <f>IF(K1088=EUconst_Fuel,J1100&lt;&gt;"",FALSE)</f>
        <v>0</v>
      </c>
      <c r="AL1100" s="333"/>
      <c r="AM1100" s="510" t="str">
        <f>EUconst_CNTR_EF&amp;EUconst_Value</f>
        <v>EF_Vertė</v>
      </c>
      <c r="AN1100" s="532" t="str">
        <f>IF(AC1100=TRUE,IF(COUNTIF(MSPara_SourceStreamCategory,V1100)=0,"",INDEX(MSPara_CalcFactorsMatrix,MATCH(V1100,MSPara_SourceStreamCategory,0),MATCH(AM1100&amp;"_"&amp;2,MSPara_CalcFactors,0))),"")</f>
        <v/>
      </c>
      <c r="AO1100" s="533" t="str">
        <f>IF(AC1100=TRUE,IF(COUNTIF(MSPara_SourceStreamCategory,V1100)=0,"",INDEX(MSPara_CalcFactorsMatrix,MATCH(V1100,MSPara_SourceStreamCategory,0),MATCH(AM1100&amp;"_"&amp;1,MSPara_CalcFactors,0))),"")</f>
        <v/>
      </c>
      <c r="AP1100" s="526" t="b">
        <f>AND(AND(AH1100&lt;&gt;"",AJ1100&lt;&gt;""),AJ1100=AH1100)</f>
        <v>0</v>
      </c>
      <c r="AQ1100" s="534" t="str">
        <f>IF(AND(AA1100&lt;&gt;"",AP1100=TRUE),IF(OR(INDEX(AN1100:AO1100,3-AA1100)=EUconst_NA,INDEX(AN1100:AO1100,3-AA1100)=0),"",INDEX(AN1100:AO1100,3-AA1100)),"")</f>
        <v/>
      </c>
      <c r="AR1100" s="526">
        <f>IF(AC1100=TRUE,IF(COUNT(K1100:L1100)=0,0,IF(L1100="",K1100,L1100)),0)</f>
        <v>0</v>
      </c>
      <c r="AS1100" s="522" t="b">
        <f>AND(AC1100=TRUE,OR(AND(F1100&lt;&gt;"",NOT(ISNUMBER(AA1100))),L1100&lt;&gt;"",F1100="",AQ1100=""))</f>
        <v>0</v>
      </c>
      <c r="AT1100" s="522" t="b">
        <f t="shared" ref="AT1100:AT1106" si="268">AND(AC1100=TRUE,NOT(AS1100))</f>
        <v>0</v>
      </c>
      <c r="AU1100" s="30"/>
      <c r="AV1100" s="535" t="b">
        <f t="shared" ref="AV1100:AV1106" si="269">AND(ISNUMBER(AA1100),AQ1100="")</f>
        <v>0</v>
      </c>
      <c r="AW1100" s="536" t="b">
        <f t="shared" ref="AW1100:AW1106" si="270">AND(ISNUMBER(AA1100),AQ1100&lt;&gt;AR1100)</f>
        <v>0</v>
      </c>
      <c r="AX1100" s="537" t="b">
        <f>OR(AND(AJ1098=EUconst_kNm3,AJ1100=EUconst_tCO2pt),AND(AJ1098=EUconst_t,AJ1100=EUconst_tCO2pkNm3))</f>
        <v>0</v>
      </c>
      <c r="AY1100" s="522" t="b">
        <f t="shared" ref="AY1100:AY1106" si="271">AND(L1100&lt;&gt;"",Y1100=EUconst_NA)</f>
        <v>0</v>
      </c>
      <c r="AZ1100" s="30"/>
      <c r="BA1100" s="30"/>
      <c r="BB1100" s="538" t="s">
        <v>588</v>
      </c>
      <c r="BC1100" s="537" t="str">
        <f>IF(K1088=BC1098,AR1098*IF(AJ1100=EUconst_tCO2pTJ,(AR1101/1000),1)*AR1100*AR1102*AR1106,"")</f>
        <v/>
      </c>
      <c r="BD1100" s="515" t="str">
        <f>IF(K1088=BD1098,AR1098*AR1100*AR1103*AR1106,"")</f>
        <v/>
      </c>
      <c r="BE1100" s="514" t="str">
        <f>IF(K1088=BE1098,3.664*AR1098*AR1104*AR1106,"")</f>
        <v/>
      </c>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522" t="b">
        <f>OR(BZ1098,Y1100=EUconst_NA)</f>
        <v>1</v>
      </c>
    </row>
    <row r="1101" spans="1:78" s="140" customFormat="1" ht="12.75" customHeight="1" thickBot="1" x14ac:dyDescent="0.25">
      <c r="A1101" s="777"/>
      <c r="B1101" s="1248"/>
      <c r="C1101" s="783" t="s">
        <v>196</v>
      </c>
      <c r="D1101" s="503" t="str">
        <f>Translations!$B$636</f>
        <v>GŠV:</v>
      </c>
      <c r="E1101" s="504"/>
      <c r="F1101" s="539"/>
      <c r="G1101" s="1603" t="str">
        <f t="shared" si="266"/>
        <v/>
      </c>
      <c r="H1101" s="1604"/>
      <c r="I1101" s="1112" t="str">
        <f>AJ1101</f>
        <v/>
      </c>
      <c r="J1101" s="540"/>
      <c r="K1101" s="541" t="str">
        <f t="shared" si="267"/>
        <v/>
      </c>
      <c r="L1101" s="542"/>
      <c r="M1101" s="700" t="str">
        <f>IF(AND(E1089&lt;&gt;"",OR(F1101="",COUNT(K1101:L1101)=0),Y1101&lt;&gt;EUconst_NA,T1089&lt;&gt;TRUE),EUconst_ERR_Incomplete,IF(COUNTIF(AX1101:AZ1101,TRUE)&gt;0,EUconst_ERR_Inconsistent,""))</f>
        <v/>
      </c>
      <c r="O1101" s="1305"/>
      <c r="P1101" s="33"/>
      <c r="Q1101" s="33"/>
      <c r="R1101" s="33"/>
      <c r="S1101" s="30"/>
      <c r="T1101" s="543" t="str">
        <f>EUconst_CNTR_NCV&amp;E1089</f>
        <v>NCV_</v>
      </c>
      <c r="U1101" s="488"/>
      <c r="V1101" s="544" t="str">
        <f t="shared" ref="V1101:V1106" si="272">V1100</f>
        <v/>
      </c>
      <c r="W1101" s="30"/>
      <c r="X1101" s="488"/>
      <c r="Y1101" s="545" t="str">
        <f>IF(OR(T1089=TRUE,E1089=""),"",IF(F1101=EUconst_NA,EUconst_NA,INDEX(EUwideConstants!$N:$N,MATCH(T1101,EUwideConstants!$Q:$Q,0))))</f>
        <v/>
      </c>
      <c r="Z1101" s="546" t="str">
        <f>IF(ISBLANK(F1101),"",IF(F1101=EUconst_NA,"",INDEX(EUwideConstants!$H:$M,MATCH(T1101,EUwideConstants!$Q:$Q,0),MATCH(F1101,CNTR_TierList,0))))</f>
        <v/>
      </c>
      <c r="AA1101" s="547" t="str">
        <f>IF(COUNTIF(EUconst_DefaultValues,Z1101)&gt;0,MATCH(Z1101,EUconst_DefaultValues,0),"")</f>
        <v/>
      </c>
      <c r="AB1101" s="30"/>
      <c r="AC1101" s="548" t="b">
        <f>AND(AC1098,Y1101&lt;&gt;EUconst_NA)</f>
        <v>0</v>
      </c>
      <c r="AD1101" s="30"/>
      <c r="AE1101" s="549" t="str">
        <f>EUconst_CNTR_NCV&amp;EUconst_Unit</f>
        <v>NCV_Vienetas</v>
      </c>
      <c r="AF1101" s="550" t="str">
        <f>IF(AC1101=TRUE, IF(COUNTIF(MSPara_SourceStreamCategory,V1101)=0,"",INDEX(MSPara_CalcFactorsMatrix,MATCH(V1101,MSPara_SourceStreamCategory,0),MATCH(AE1101&amp;"_"&amp;2,MSPara_CalcFactors,0))),"")</f>
        <v/>
      </c>
      <c r="AG1101" s="551" t="str">
        <f>IF(AC1101=TRUE, IF(COUNTIF(MSPara_SourceStreamCategory,V1101)=0,"",INDEX(MSPara_CalcFactorsMatrix,MATCH(V1101,MSPara_SourceStreamCategory,0),MATCH(AE1101&amp;"_"&amp;1,MSPara_CalcFactors,0))),"")</f>
        <v/>
      </c>
      <c r="AH1101" s="552" t="str">
        <f>IF(AA1101="","",INDEX(AF1101:AG1101,3-AA1101))</f>
        <v/>
      </c>
      <c r="AI1101" s="553"/>
      <c r="AJ1101" s="548" t="str">
        <f>IF(AC1101=TRUE,IF(AJ1098="","",IF(AJ1098=EUconst_kNm3,EUconst_GJpkNm3,EUconst_GJpt)),"")</f>
        <v/>
      </c>
      <c r="AK1101" s="554"/>
      <c r="AL1101" s="333"/>
      <c r="AM1101" s="549" t="str">
        <f>EUconst_CNTR_NCV&amp;EUconst_Value</f>
        <v>NCV_Vertė</v>
      </c>
      <c r="AN1101" s="555" t="str">
        <f>IF(AC1101=TRUE,IF(COUNTIF(MSPara_SourceStreamCategory,V1101)=0,"",INDEX(MSPara_CalcFactorsMatrix,MATCH(V1101,MSPara_SourceStreamCategory,0),MATCH(AM1101&amp;"_"&amp;2,MSPara_CalcFactors,0))),"")</f>
        <v/>
      </c>
      <c r="AO1101" s="556" t="str">
        <f>IF(AC1101=TRUE,IF(COUNTIF(MSPara_SourceStreamCategory,V1101)=0,"",INDEX(MSPara_CalcFactorsMatrix,MATCH(V1101,MSPara_SourceStreamCategory,0),MATCH(AM1101&amp;"_"&amp;1,MSPara_CalcFactors,0))),"")</f>
        <v/>
      </c>
      <c r="AP1101" s="548" t="b">
        <f>AND(AND(AH1101&lt;&gt;"",AJ1101&lt;&gt;""),AJ1101=AH1101)</f>
        <v>0</v>
      </c>
      <c r="AQ1101" s="557" t="str">
        <f>IF(AND(AA1101&lt;&gt;"",AP1101=TRUE),IF(OR(INDEX(AN1101:AO1101,3-AA1101)=EUconst_NA,INDEX(AN1101:AO1101,3-AA1101)=0),"",INDEX(AN1101:AO1101,3-AA1101)),"")</f>
        <v/>
      </c>
      <c r="AR1101" s="548">
        <f>IF(AC1101=TRUE,IF(COUNT(K1101:L1101)=0,0,IF(L1101="",K1101,L1101)),0)</f>
        <v>0</v>
      </c>
      <c r="AS1101" s="544" t="b">
        <f>AND(AC1101=TRUE,OR(AND(F1101&lt;&gt;"",NOT(ISNUMBER(AA1101))),L1101&lt;&gt;"",F1101="",AQ1101=""))</f>
        <v>0</v>
      </c>
      <c r="AT1101" s="544" t="b">
        <f t="shared" si="268"/>
        <v>0</v>
      </c>
      <c r="AU1101" s="30"/>
      <c r="AV1101" s="558" t="b">
        <f t="shared" si="269"/>
        <v>0</v>
      </c>
      <c r="AW1101" s="559" t="b">
        <f t="shared" si="270"/>
        <v>0</v>
      </c>
      <c r="AX1101" s="30"/>
      <c r="AY1101" s="544" t="b">
        <f t="shared" si="271"/>
        <v>0</v>
      </c>
      <c r="AZ1101" s="30"/>
      <c r="BA1101" s="30"/>
      <c r="BB1101" s="538" t="s">
        <v>589</v>
      </c>
      <c r="BC1101" s="537" t="str">
        <f>IF(K1088=BC1098,AR1098*IF(AJ1100=EUconst_tCO2pTJ,(AR1101/1000),1)*AR1100*AR1102*AR1105,"")</f>
        <v/>
      </c>
      <c r="BD1101" s="515" t="str">
        <f>IF(K1088=BD1098,AR1098*AR1100*AR1103*AR1105,"")</f>
        <v/>
      </c>
      <c r="BE1101" s="514" t="str">
        <f>IF(K1088=BE1098,3.664*AR1098*AR1104*AR1105,"")</f>
        <v/>
      </c>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544" t="b">
        <f>OR(BZ1098,Y1101=EUconst_NA)</f>
        <v>1</v>
      </c>
    </row>
    <row r="1102" spans="1:78" s="140" customFormat="1" ht="12.75" customHeight="1" thickBot="1" x14ac:dyDescent="0.25">
      <c r="A1102" s="777"/>
      <c r="B1102" s="1248"/>
      <c r="C1102" s="783" t="s">
        <v>197</v>
      </c>
      <c r="D1102" s="503" t="str">
        <f>Translations!$B$638</f>
        <v>Oksidacijos koef.:</v>
      </c>
      <c r="E1102" s="504"/>
      <c r="F1102" s="539"/>
      <c r="G1102" s="1603" t="str">
        <f t="shared" si="266"/>
        <v/>
      </c>
      <c r="H1102" s="1604"/>
      <c r="I1102" s="1113" t="str">
        <f>IF(OR(AC1102=FALSE,Y1102=EUconst_NA),"","-")</f>
        <v/>
      </c>
      <c r="J1102" s="560"/>
      <c r="K1102" s="561" t="str">
        <f t="shared" si="267"/>
        <v/>
      </c>
      <c r="L1102" s="694"/>
      <c r="M1102" s="700" t="str">
        <f>IF(AND(E1089&lt;&gt;"",OR(F1102="",COUNT(K1102:L1102)=0),Y1102&lt;&gt;EUconst_NA,T1089&lt;&gt;TRUE),EUconst_ERR_Incomplete,IF(COUNTIF(AX1102:AZ1102,TRUE)&gt;0,EUconst_ERR_Inconsistent,""))</f>
        <v/>
      </c>
      <c r="O1102" s="1305"/>
      <c r="P1102" s="33"/>
      <c r="Q1102" s="33"/>
      <c r="R1102" s="33"/>
      <c r="S1102" s="30"/>
      <c r="T1102" s="543" t="str">
        <f>EUconst_CNTR_OxidationFactor&amp;E1089</f>
        <v>OxF_</v>
      </c>
      <c r="U1102" s="488"/>
      <c r="V1102" s="544" t="str">
        <f t="shared" si="272"/>
        <v/>
      </c>
      <c r="W1102" s="30"/>
      <c r="X1102" s="488"/>
      <c r="Y1102" s="545" t="str">
        <f>IF(OR(T1089=TRUE,E1089=""),"",INDEX(EUwideConstants!$N:$N,MATCH(T1102,EUwideConstants!$Q:$Q,0)))</f>
        <v/>
      </c>
      <c r="Z1102" s="546" t="str">
        <f>IF(ISBLANK(F1102),"",IF(F1102=EUconst_NA,"",INDEX(EUwideConstants!$H:$M,MATCH(T1102,EUwideConstants!$Q:$Q,0),MATCH(F1102,CNTR_TierList,0))))</f>
        <v/>
      </c>
      <c r="AA1102" s="525" t="str">
        <f>IF(F1102=1,1,"")</f>
        <v/>
      </c>
      <c r="AB1102" s="30"/>
      <c r="AC1102" s="548" t="b">
        <f>AND(AC1098,Y1102&lt;&gt;EUconst_NA)</f>
        <v>0</v>
      </c>
      <c r="AD1102" s="30"/>
      <c r="AE1102" s="563"/>
      <c r="AG1102" s="564"/>
      <c r="AH1102" s="553"/>
      <c r="AI1102" s="565"/>
      <c r="AJ1102" s="553"/>
      <c r="AK1102" s="566"/>
      <c r="AL1102" s="333"/>
      <c r="AM1102" s="549" t="str">
        <f>EUconst_CNTR_OxidationFactor&amp;EUconst_Value</f>
        <v>OxF_Vertė</v>
      </c>
      <c r="AN1102" s="567"/>
      <c r="AO1102" s="525">
        <v>1</v>
      </c>
      <c r="AP1102" s="553"/>
      <c r="AQ1102" s="568" t="str">
        <f>IF(AA1102="","",AO1102)</f>
        <v/>
      </c>
      <c r="AR1102" s="548">
        <f>IF(AC1102=TRUE,IF(COUNT(K1102:L1102)=0,0,IF(L1102="",K1102,L1102)),1)</f>
        <v>1</v>
      </c>
      <c r="AS1102" s="544" t="b">
        <f>AND(AC1102=TRUE,OR(ISNUMBER(L1102),NOT(ISNUMBER(AA1102))))</f>
        <v>0</v>
      </c>
      <c r="AT1102" s="544" t="b">
        <f t="shared" si="268"/>
        <v>0</v>
      </c>
      <c r="AU1102" s="30"/>
      <c r="AV1102" s="558" t="b">
        <f t="shared" si="269"/>
        <v>0</v>
      </c>
      <c r="AW1102" s="559" t="b">
        <f t="shared" si="270"/>
        <v>0</v>
      </c>
      <c r="AX1102" s="30"/>
      <c r="AY1102" s="585" t="b">
        <f t="shared" si="271"/>
        <v>0</v>
      </c>
      <c r="AZ1102" s="522" t="b">
        <f>AR1102&gt;100%</f>
        <v>0</v>
      </c>
      <c r="BA1102" s="30"/>
      <c r="BB1102" s="538" t="s">
        <v>287</v>
      </c>
      <c r="BC1102" s="537" t="str">
        <f>IF(K1088=BC1098,AR1098*IF(AJ1100=EUconst_tCO2pTJ,(AR1101/1000),1)*AR1100*AR1102*(1-AR1105),"")</f>
        <v/>
      </c>
      <c r="BD1102" s="515" t="str">
        <f>IF(K1088=BD1098,AR1098*AR1100*AR1103*(1-AR1105),"")</f>
        <v/>
      </c>
      <c r="BE1102" s="514" t="str">
        <f>IF(K1088=BE1098,3.664*AR1098*AR1104*(1-AR1105),"")</f>
        <v/>
      </c>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544" t="b">
        <f>OR(BZ1098,Y1102=EUconst_NA)</f>
        <v>1</v>
      </c>
    </row>
    <row r="1103" spans="1:78" s="140" customFormat="1" ht="12.75" customHeight="1" thickBot="1" x14ac:dyDescent="0.25">
      <c r="A1103" s="777"/>
      <c r="B1103" s="1248"/>
      <c r="C1103" s="783" t="s">
        <v>198</v>
      </c>
      <c r="D1103" s="503" t="str">
        <f>Translations!$B$639</f>
        <v>Konversijos koef.:</v>
      </c>
      <c r="E1103" s="504"/>
      <c r="F1103" s="539"/>
      <c r="G1103" s="1603" t="str">
        <f t="shared" si="266"/>
        <v/>
      </c>
      <c r="H1103" s="1604"/>
      <c r="I1103" s="1113" t="str">
        <f>IF(OR(AC1103=FALSE,Y1103=EUconst_NA),"","-")</f>
        <v/>
      </c>
      <c r="J1103" s="560"/>
      <c r="K1103" s="561" t="str">
        <f t="shared" si="267"/>
        <v/>
      </c>
      <c r="L1103" s="694"/>
      <c r="M1103" s="700" t="str">
        <f>IF(AND(E1089&lt;&gt;"",OR(F1103="",COUNT(K1103:L1103)=0),Y1103&lt;&gt;EUconst_NA,T1089&lt;&gt;TRUE),EUconst_ERR_Incomplete,IF(COUNTIF(AX1103:AZ1103,TRUE)&gt;0,EUconst_ERR_Inconsistent,""))</f>
        <v/>
      </c>
      <c r="O1103" s="1305"/>
      <c r="P1103" s="33"/>
      <c r="Q1103" s="33"/>
      <c r="R1103" s="33"/>
      <c r="S1103" s="30"/>
      <c r="T1103" s="543" t="str">
        <f>EUconst_CNTR_ConversionFactor&amp;E1089</f>
        <v>ConvF_</v>
      </c>
      <c r="U1103" s="488"/>
      <c r="V1103" s="544" t="str">
        <f t="shared" si="272"/>
        <v/>
      </c>
      <c r="W1103" s="30"/>
      <c r="X1103" s="488"/>
      <c r="Y1103" s="545" t="str">
        <f>IF(OR(T1089=TRUE,E1089=""),"",INDEX(EUwideConstants!$N:$N,MATCH(T1103,EUwideConstants!$Q:$Q,0)))</f>
        <v/>
      </c>
      <c r="Z1103" s="546" t="str">
        <f>IF(ISBLANK(F1103),"",IF(F1103=EUconst_NA,"",INDEX(EUwideConstants!$H:$M,MATCH(T1103,EUwideConstants!$Q:$Q,0),MATCH(F1103,CNTR_TierList,0))))</f>
        <v/>
      </c>
      <c r="AA1103" s="573" t="str">
        <f>IF(F1103=1,1,"")</f>
        <v/>
      </c>
      <c r="AB1103" s="30"/>
      <c r="AC1103" s="548" t="b">
        <f>AND(AC1098,Y1103&lt;&gt;EUconst_NA)</f>
        <v>0</v>
      </c>
      <c r="AD1103" s="30"/>
      <c r="AE1103" s="563"/>
      <c r="AG1103" s="564"/>
      <c r="AH1103" s="574"/>
      <c r="AI1103" s="565"/>
      <c r="AJ1103" s="574"/>
      <c r="AK1103" s="566"/>
      <c r="AL1103" s="333"/>
      <c r="AM1103" s="549" t="str">
        <f>EUconst_CNTR_ConversionFactor&amp;EUconst_Value</f>
        <v>ConvF_Vertė</v>
      </c>
      <c r="AN1103" s="575"/>
      <c r="AO1103" s="573">
        <v>1</v>
      </c>
      <c r="AP1103" s="574"/>
      <c r="AQ1103" s="576" t="str">
        <f>IF(AA1103="","",AO1103)</f>
        <v/>
      </c>
      <c r="AR1103" s="548">
        <f>IF(AC1103=TRUE,IF(COUNT(K1103:L1103)=0,0,IF(L1103="",K1103,L1103)),1)</f>
        <v>1</v>
      </c>
      <c r="AS1103" s="544" t="b">
        <f>AND(AC1103=TRUE,OR(ISNUMBER(L1103),NOT(ISNUMBER(AA1103))))</f>
        <v>0</v>
      </c>
      <c r="AT1103" s="544" t="b">
        <f t="shared" si="268"/>
        <v>0</v>
      </c>
      <c r="AU1103" s="30"/>
      <c r="AV1103" s="558" t="b">
        <f t="shared" si="269"/>
        <v>0</v>
      </c>
      <c r="AW1103" s="559" t="b">
        <f t="shared" si="270"/>
        <v>0</v>
      </c>
      <c r="AX1103" s="30"/>
      <c r="AY1103" s="585" t="b">
        <f t="shared" si="271"/>
        <v>0</v>
      </c>
      <c r="AZ1103" s="571" t="b">
        <f>AR1103&gt;100%</f>
        <v>0</v>
      </c>
      <c r="BA1103" s="30"/>
      <c r="BB1103" s="569" t="s">
        <v>481</v>
      </c>
      <c r="BC1103" s="570">
        <f>AR1098*AR1101/1000*(1-AR1105)</f>
        <v>0</v>
      </c>
      <c r="BD1103" s="571">
        <f>BC1103</f>
        <v>0</v>
      </c>
      <c r="BE1103" s="572">
        <f>BC1103</f>
        <v>0</v>
      </c>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544" t="b">
        <f>OR(BZ1098,Y1103=EUconst_NA)</f>
        <v>1</v>
      </c>
    </row>
    <row r="1104" spans="1:78" s="140" customFormat="1" ht="12.75" customHeight="1" thickBot="1" x14ac:dyDescent="0.25">
      <c r="A1104" s="777"/>
      <c r="B1104" s="1248"/>
      <c r="C1104" s="783" t="s">
        <v>324</v>
      </c>
      <c r="D1104" s="503" t="str">
        <f>Translations!$B$640</f>
        <v>Anglies kiekis (C):</v>
      </c>
      <c r="E1104" s="504"/>
      <c r="F1104" s="539"/>
      <c r="G1104" s="1603" t="str">
        <f t="shared" si="266"/>
        <v/>
      </c>
      <c r="H1104" s="1604"/>
      <c r="I1104" s="1113" t="str">
        <f>AJ1104</f>
        <v/>
      </c>
      <c r="J1104" s="577"/>
      <c r="K1104" s="578" t="str">
        <f t="shared" si="267"/>
        <v/>
      </c>
      <c r="L1104" s="579"/>
      <c r="M1104" s="700" t="str">
        <f>IF(AND(E1089&lt;&gt;"",OR(F1104="",COUNT(K1104:L1104)=0),Y1104&lt;&gt;EUconst_NA,T1089&lt;&gt;TRUE),EUconst_ERR_Incomplete,IF(COUNTIF(AX1104:AZ1104,TRUE)&gt;0,EUconst_ERR_Inconsistent,""))</f>
        <v/>
      </c>
      <c r="O1104" s="1305"/>
      <c r="P1104" s="33"/>
      <c r="Q1104" s="33"/>
      <c r="R1104" s="33"/>
      <c r="S1104" s="30"/>
      <c r="T1104" s="543" t="str">
        <f>EUconst_CNTR_CarbonContent&amp;E1089</f>
        <v>CarbC_</v>
      </c>
      <c r="U1104" s="488"/>
      <c r="V1104" s="544" t="str">
        <f t="shared" si="272"/>
        <v/>
      </c>
      <c r="W1104" s="30"/>
      <c r="X1104" s="488"/>
      <c r="Y1104" s="545" t="str">
        <f>IF(OR(T1089=TRUE,E1089=""),"",INDEX(EUwideConstants!$N:$N,MATCH(T1104,EUwideConstants!$Q:$Q,0)))</f>
        <v/>
      </c>
      <c r="Z1104" s="546" t="str">
        <f>IF(ISBLANK(F1104),"",IF(F1104=EUconst_NA,"",INDEX(EUwideConstants!$H:$M,MATCH(T1104,EUwideConstants!$Q:$Q,0),MATCH(F1104,CNTR_TierList,0))))</f>
        <v/>
      </c>
      <c r="AA1104" s="580" t="str">
        <f>IF(COUNTIF(EUconst_DefaultValues,Z1104)&gt;0,MATCH(Z1104,EUconst_DefaultValues,0),"")</f>
        <v/>
      </c>
      <c r="AB1104" s="30"/>
      <c r="AC1104" s="548" t="b">
        <f>AND(AC1098,Y1104&lt;&gt;EUconst_NA)</f>
        <v>0</v>
      </c>
      <c r="AD1104" s="30"/>
      <c r="AE1104" s="549" t="str">
        <f>EUconst_CNTR_CarbonContent&amp;EUconst_Unit</f>
        <v>CarbC_Vienetas</v>
      </c>
      <c r="AF1104" s="550" t="str">
        <f>IF(AC1104=TRUE, IF(COUNTIF(MSPara_SourceStreamCategory,V1104)=0,"",INDEX(MSPara_CalcFactorsMatrix,MATCH(V1104,MSPara_SourceStreamCategory,0),MATCH(AE1104&amp;"_"&amp;2,MSPara_CalcFactors,0))),"")</f>
        <v/>
      </c>
      <c r="AG1104" s="551" t="str">
        <f>IF(AC1104=TRUE, IF(COUNTIF(MSPara_SourceStreamCategory,V1104)=0,"",INDEX(MSPara_CalcFactorsMatrix,MATCH(V1104,MSPara_SourceStreamCategory,0),MATCH(AE1104&amp;"_"&amp;1,MSPara_CalcFactors,0))),"")</f>
        <v/>
      </c>
      <c r="AH1104" s="581" t="str">
        <f>IF(AA1104="","",INDEX(AF1104:AG1104,3-AA1104))</f>
        <v/>
      </c>
      <c r="AI1104" s="565"/>
      <c r="AJ1104" s="582" t="str">
        <f>IF(AC1104=TRUE,IF(AJ1098="","",IF(AJ1098=EUconst_kNm3,EUconst_tCpkNm3,EUconst_tCpt)),"")</f>
        <v/>
      </c>
      <c r="AK1104" s="566"/>
      <c r="AL1104" s="333"/>
      <c r="AM1104" s="549" t="str">
        <f>EUconst_CNTR_CarbonContent&amp;EUconst_Value</f>
        <v>CarbC_Vertė</v>
      </c>
      <c r="AN1104" s="555" t="str">
        <f>IF(AC1104=TRUE,IF(COUNTIF(MSPara_SourceStreamCategory,V1104)=0,"",INDEX(MSPara_CalcFactorsMatrix,MATCH(V1104,MSPara_SourceStreamCategory,0),MATCH(AM1104&amp;"_"&amp;2,MSPara_CalcFactors,0))),"")</f>
        <v/>
      </c>
      <c r="AO1104" s="583" t="str">
        <f>IF(AC1104=TRUE,IF(COUNTIF(MSPara_SourceStreamCategory,V1104)=0,"",INDEX(MSPara_CalcFactorsMatrix,MATCH(V1104,MSPara_SourceStreamCategory,0),MATCH(AM1104&amp;"_"&amp;1,MSPara_CalcFactors,0))),"")</f>
        <v/>
      </c>
      <c r="AP1104" s="548" t="b">
        <f>AND(AND(AH1104&lt;&gt;"",AJ1104&lt;&gt;""),AJ1104=AH1104)</f>
        <v>0</v>
      </c>
      <c r="AQ1104" s="584" t="str">
        <f>IF(AND(AA1104&lt;&gt;"",AP1104=TRUE),IF(OR(INDEX(AN1104:AO1104,3-AA1104)=EUconst_NA,INDEX(AN1104:AO1104,3-AA1104)=0),"",INDEX(AN1104:AO1104,3-AA1104)),"")</f>
        <v/>
      </c>
      <c r="AR1104" s="548">
        <f>IF(AC1104=TRUE,IF(COUNT(K1104:L1104)=0,0,IF(L1104="",K1104,L1104)),0)</f>
        <v>0</v>
      </c>
      <c r="AS1104" s="544" t="b">
        <f>AND(AC1104=TRUE,OR(AND(F1104&lt;&gt;"",NOT(ISNUMBER(AA1104))),L1104&lt;&gt;"",F1104="",AQ1104=""))</f>
        <v>0</v>
      </c>
      <c r="AT1104" s="544" t="b">
        <f t="shared" si="268"/>
        <v>0</v>
      </c>
      <c r="AU1104" s="30"/>
      <c r="AV1104" s="558" t="b">
        <f t="shared" si="269"/>
        <v>0</v>
      </c>
      <c r="AW1104" s="559" t="b">
        <f t="shared" si="270"/>
        <v>0</v>
      </c>
      <c r="AX1104" s="537" t="b">
        <f>OR(AND(AJ1098=EUconst_kNm3,AJ1104=EUconst_tCpt),AND(AJ1098=EUconst_t,AJ1104=EUconst_tCpkNm3))</f>
        <v>0</v>
      </c>
      <c r="AY1104" s="544" t="b">
        <f t="shared" si="271"/>
        <v>0</v>
      </c>
      <c r="AZ1104" s="30"/>
      <c r="BA1104" s="30"/>
      <c r="BB1104" s="569" t="s">
        <v>482</v>
      </c>
      <c r="BC1104" s="570">
        <f>AR1098*AR1101/1000*AR1105</f>
        <v>0</v>
      </c>
      <c r="BD1104" s="571">
        <f>BC1104</f>
        <v>0</v>
      </c>
      <c r="BE1104" s="572">
        <f>BC1104</f>
        <v>0</v>
      </c>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544" t="b">
        <f>OR(BZ1098,Y1104=EUconst_NA)</f>
        <v>1</v>
      </c>
    </row>
    <row r="1105" spans="1:78" s="140" customFormat="1" ht="12.75" customHeight="1" x14ac:dyDescent="0.2">
      <c r="A1105" s="777"/>
      <c r="B1105" s="1248"/>
      <c r="C1105" s="753" t="s">
        <v>325</v>
      </c>
      <c r="D1105" s="503" t="str">
        <f>Translations!$B$641</f>
        <v>Biomasės dalis (BioC):</v>
      </c>
      <c r="E1105" s="504"/>
      <c r="F1105" s="539"/>
      <c r="G1105" s="1603" t="str">
        <f t="shared" si="266"/>
        <v/>
      </c>
      <c r="H1105" s="1604"/>
      <c r="I1105" s="1113" t="str">
        <f>IF(OR(AC1105=FALSE,Y1105=EUconst_NA),"","-")</f>
        <v/>
      </c>
      <c r="J1105" s="560"/>
      <c r="K1105" s="561" t="str">
        <f t="shared" si="267"/>
        <v/>
      </c>
      <c r="L1105" s="694"/>
      <c r="M1105" s="700" t="str">
        <f>IF(AND(E1089&lt;&gt;"",OR(F1105="",COUNT(K1105:L1105)=0),Y1105&lt;&gt;EUconst_NA,T1089&lt;&gt;TRUE),EUconst_ERR_Incomplete,IF(COUNTIF(AX1105:AZ1105,TRUE)&gt;0,EUconst_ERR_Inconsistent,""))</f>
        <v/>
      </c>
      <c r="O1105" s="1305"/>
      <c r="P1105" s="635"/>
      <c r="Q1105" s="635"/>
      <c r="R1105" s="635"/>
      <c r="S1105" s="30"/>
      <c r="T1105" s="543" t="str">
        <f>EUconst_CNTR_BiomassContent&amp;E1089</f>
        <v>BioC_</v>
      </c>
      <c r="U1105" s="488"/>
      <c r="V1105" s="585" t="str">
        <f t="shared" si="272"/>
        <v/>
      </c>
      <c r="W1105" s="522" t="str">
        <f>IF(COUNTIF(MSPara_SourceStreamCategory,V1105)=0,"",INDEX(MSPara_IsFossil,MATCH(V1105,MSPara_SourceStreamCategory,0)))</f>
        <v/>
      </c>
      <c r="X1105" s="488"/>
      <c r="Y1105" s="545" t="str">
        <f>IF(OR(T1089=TRUE,E1089=""),"",IF(OR(W1105=TRUE,F1105=EUconst_NA),EUconst_NA,INDEX(EUwideConstants!$N:$N,MATCH(T1105,EUwideConstants!$Q:$Q,0))))</f>
        <v/>
      </c>
      <c r="Z1105" s="546" t="str">
        <f>IF(ISBLANK(F1105),"",IF(F1105=EUconst_NA,"",INDEX(EUwideConstants!$H:$M,MATCH(T1105,EUwideConstants!$Q:$Q,0),MATCH(F1105,CNTR_TierList,0))))</f>
        <v/>
      </c>
      <c r="AA1105" s="586" t="str">
        <f>IF(F1105=1,1,"")</f>
        <v/>
      </c>
      <c r="AB1105" s="30"/>
      <c r="AC1105" s="548" t="b">
        <f>AND(AC1098,Y1105&lt;&gt;EUconst_NA)</f>
        <v>0</v>
      </c>
      <c r="AD1105" s="30"/>
      <c r="AE1105" s="563"/>
      <c r="AG1105" s="564"/>
      <c r="AH1105" s="553"/>
      <c r="AI1105" s="565"/>
      <c r="AJ1105" s="553"/>
      <c r="AK1105" s="566"/>
      <c r="AL1105" s="333"/>
      <c r="AM1105" s="549" t="str">
        <f>EUconst_CNTR_BiomassContent&amp;EUconst_Value</f>
        <v>BioC_Vertė</v>
      </c>
      <c r="AO1105" s="587" t="str">
        <f>IF(AC1105=TRUE,IF(COUNTIF(MSPara_SourceStreamCategory,V1105)=0,"",INDEX(MSPara_CalcFactorsMatrix,MATCH(V1105,MSPara_SourceStreamCategory,0),MATCH(AM1105&amp;"_"&amp;2,MSPara_CalcFactors,0))),"")</f>
        <v/>
      </c>
      <c r="AP1105" s="553"/>
      <c r="AQ1105" s="568" t="str">
        <f>IF(OR(AA1105="",AO1105=EUconst_NA),"",AO1105)</f>
        <v/>
      </c>
      <c r="AR1105" s="548">
        <f>IF(AC1105=TRUE,IF(COUNT(K1105:L1105)=0,0,IF(L1105="",K1105,L1105)),0)</f>
        <v>0</v>
      </c>
      <c r="AS1105" s="544" t="b">
        <f>AND(AC1105=TRUE,OR(AND(F1105&lt;&gt;"",NOT(ISNUMBER(AA1105))),L1105&lt;&gt;"",F1105="",AQ1105=""))</f>
        <v>0</v>
      </c>
      <c r="AT1105" s="544" t="b">
        <f t="shared" si="268"/>
        <v>0</v>
      </c>
      <c r="AU1105" s="30"/>
      <c r="AV1105" s="558" t="b">
        <f t="shared" si="269"/>
        <v>0</v>
      </c>
      <c r="AW1105" s="559" t="b">
        <f t="shared" si="270"/>
        <v>0</v>
      </c>
      <c r="AX1105" s="30"/>
      <c r="AY1105" s="585" t="b">
        <f t="shared" si="271"/>
        <v>0</v>
      </c>
      <c r="AZ1105" s="522" t="b">
        <f>OR(AR1105&gt;100%,(AR1105+AR1106)&gt;100%)</f>
        <v>0</v>
      </c>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544" t="b">
        <f>OR(BZ1098,Y1105=EUconst_NA)</f>
        <v>1</v>
      </c>
    </row>
    <row r="1106" spans="1:78" s="140" customFormat="1" ht="12.75" customHeight="1" thickBot="1" x14ac:dyDescent="0.25">
      <c r="A1106" s="777"/>
      <c r="B1106" s="1248"/>
      <c r="C1106" s="753" t="s">
        <v>448</v>
      </c>
      <c r="D1106" s="503" t="str">
        <f>Translations!$B$647</f>
        <v>Netvarios BioC dalis:</v>
      </c>
      <c r="E1106" s="504"/>
      <c r="F1106" s="588"/>
      <c r="G1106" s="1603" t="str">
        <f t="shared" si="266"/>
        <v/>
      </c>
      <c r="H1106" s="1604"/>
      <c r="I1106" s="1114" t="str">
        <f>IF(OR(AC1106=FALSE,Y1106=EUconst_NA),"","-")</f>
        <v/>
      </c>
      <c r="J1106" s="560"/>
      <c r="K1106" s="589" t="str">
        <f t="shared" si="267"/>
        <v/>
      </c>
      <c r="L1106" s="1100"/>
      <c r="M1106" s="700" t="str">
        <f>IF(AND(E1089&lt;&gt;"",OR(F1106="",COUNT(K1106:L1106)=0),Y1106&lt;&gt;EUconst_NA,T1089&lt;&gt;TRUE),EUconst_ERR_Incomplete,IF(COUNTIF(AX1106:AZ1106,TRUE)&gt;0,EUconst_ERR_Inconsistent,""))</f>
        <v/>
      </c>
      <c r="O1106" s="1305"/>
      <c r="P1106" s="635"/>
      <c r="Q1106" s="635"/>
      <c r="R1106" s="635"/>
      <c r="S1106" s="30"/>
      <c r="T1106" s="590" t="str">
        <f>EUconst_CNTR_BiomassContent&amp;E1089</f>
        <v>BioC_</v>
      </c>
      <c r="U1106" s="488"/>
      <c r="V1106" s="570" t="str">
        <f t="shared" si="272"/>
        <v/>
      </c>
      <c r="W1106" s="571" t="str">
        <f>IF(COUNTIF(MSPara_SourceStreamCategory,V1106)=0,"",INDEX(MSPara_IsFossil,MATCH(V1106,MSPara_SourceStreamCategory,0)))</f>
        <v/>
      </c>
      <c r="X1106" s="488"/>
      <c r="Y1106" s="591" t="str">
        <f>IF(OR(T1089=TRUE,E1089=""),"",IF(OR(W1106=TRUE,F1106=EUconst_NA),EUconst_NA,INDEX(EUwideConstants!$N:$N,MATCH(T1106,EUwideConstants!$Q:$Q,0))))</f>
        <v/>
      </c>
      <c r="Z1106" s="592" t="str">
        <f>IF(ISBLANK(F1106),"",IF(F1106=EUconst_NA,"",INDEX(EUwideConstants!$H:$M,MATCH(T1106,EUwideConstants!$Q:$Q,0),MATCH(F1106,CNTR_TierList,0))))</f>
        <v/>
      </c>
      <c r="AA1106" s="593" t="str">
        <f>IF(F1106=1,1,"")</f>
        <v/>
      </c>
      <c r="AB1106" s="30"/>
      <c r="AC1106" s="594" t="b">
        <f>AND(AC1098,Y1106&lt;&gt;EUconst_NA)</f>
        <v>0</v>
      </c>
      <c r="AD1106" s="30"/>
      <c r="AE1106" s="595"/>
      <c r="AF1106" s="596"/>
      <c r="AG1106" s="597"/>
      <c r="AH1106" s="598"/>
      <c r="AI1106" s="598"/>
      <c r="AJ1106" s="598"/>
      <c r="AK1106" s="599"/>
      <c r="AL1106" s="333"/>
      <c r="AM1106" s="600" t="str">
        <f>EUconst_CNTR_BiomassContent&amp;EUconst_Value</f>
        <v>BioC_Vertė</v>
      </c>
      <c r="AN1106" s="596"/>
      <c r="AO1106" s="601" t="str">
        <f>IF(AC1106=TRUE,IF(COUNTIF(MSPara_SourceStreamCategory,V1106)=0,"",INDEX(MSPara_CalcFactorsMatrix,MATCH(V1106,MSPara_SourceStreamCategory,0),MATCH(AM1106&amp;"_"&amp;2,MSPara_CalcFactors,0))),"")</f>
        <v/>
      </c>
      <c r="AP1106" s="598"/>
      <c r="AQ1106" s="602" t="str">
        <f>IF(OR(AA1106="",AO1106=EUconst_NA),"",AO1106)</f>
        <v/>
      </c>
      <c r="AR1106" s="594">
        <f>IF(AC1106=TRUE,IF(COUNT(K1106:L1106)=0,0,IF(L1106="",K1106,L1106)),0)</f>
        <v>0</v>
      </c>
      <c r="AS1106" s="603" t="b">
        <f>AND(AC1106=TRUE,OR(AND(F1106&lt;&gt;"",NOT(ISNUMBER(AA1106))),L1106&lt;&gt;"",F1106="",AQ1106=""))</f>
        <v>0</v>
      </c>
      <c r="AT1106" s="603" t="b">
        <f t="shared" si="268"/>
        <v>0</v>
      </c>
      <c r="AU1106" s="30"/>
      <c r="AV1106" s="604" t="b">
        <f t="shared" si="269"/>
        <v>0</v>
      </c>
      <c r="AW1106" s="605" t="b">
        <f t="shared" si="270"/>
        <v>0</v>
      </c>
      <c r="AX1106" s="30"/>
      <c r="AY1106" s="570" t="b">
        <f t="shared" si="271"/>
        <v>0</v>
      </c>
      <c r="AZ1106" s="571" t="b">
        <f>OR(AR1105&gt;100%,(AR1105+AR1106)&gt;100%)</f>
        <v>0</v>
      </c>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571" t="b">
        <f>OR(BZ1098,Y1106=EUconst_NA)</f>
        <v>1</v>
      </c>
    </row>
    <row r="1107" spans="1:78" s="140" customFormat="1" ht="5.0999999999999996" customHeight="1" x14ac:dyDescent="0.2">
      <c r="A1107" s="777"/>
      <c r="B1107" s="1248"/>
      <c r="C1107" s="164"/>
      <c r="D1107" s="178"/>
      <c r="O1107" s="1305"/>
      <c r="P1107" s="33"/>
      <c r="Q1107" s="33"/>
      <c r="R1107" s="33"/>
      <c r="S1107" s="172"/>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row>
    <row r="1108" spans="1:78" s="140" customFormat="1" ht="12.75" customHeight="1" x14ac:dyDescent="0.2">
      <c r="A1108" s="777"/>
      <c r="B1108" s="1248"/>
      <c r="C1108" s="164"/>
      <c r="D1108" s="1629" t="str">
        <f>Translations!$B$674</f>
        <v>Pakopos galioja nuo:</v>
      </c>
      <c r="E1108" s="1629"/>
      <c r="F1108" s="1630"/>
      <c r="G1108" s="1014"/>
      <c r="H1108" s="606" t="str">
        <f>Translations!$B$675</f>
        <v>iki:</v>
      </c>
      <c r="I1108" s="1014"/>
      <c r="J1108" s="1620" t="str">
        <f>Translations!$B$676</f>
        <v>Atliekų katalogo numeris (jeigu taikytina):</v>
      </c>
      <c r="K1108" s="1621"/>
      <c r="L1108" s="1621"/>
      <c r="M1108" s="1622"/>
      <c r="N1108" s="1232"/>
      <c r="O1108" s="1305"/>
      <c r="P1108" s="33"/>
      <c r="Q1108" s="33"/>
      <c r="R1108" s="33"/>
      <c r="S1108" s="1233"/>
      <c r="T1108" s="483"/>
      <c r="U1108" s="483"/>
      <c r="V1108" s="48" t="b">
        <f>IF(V1098="",FALSE,INDEX(CNTR_IsWaste,MATCH(V1098,MSParameters!$A$218:$A$376,0)))</f>
        <v>0</v>
      </c>
      <c r="W1108" s="1233" t="s">
        <v>1689</v>
      </c>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2" t="b">
        <f>BZ1098</f>
        <v>1</v>
      </c>
    </row>
    <row r="1109" spans="1:78" s="140" customFormat="1" ht="5.0999999999999996" customHeight="1" x14ac:dyDescent="0.2">
      <c r="A1109" s="777"/>
      <c r="B1109" s="1248"/>
      <c r="C1109" s="164"/>
      <c r="D1109" s="606"/>
      <c r="E1109" s="486"/>
      <c r="F1109" s="486"/>
      <c r="G1109" s="486"/>
      <c r="H1109" s="486"/>
      <c r="I1109" s="486"/>
      <c r="J1109" s="486"/>
      <c r="K1109" s="486"/>
      <c r="L1109" s="486"/>
      <c r="M1109" s="486"/>
      <c r="N1109" s="486"/>
      <c r="O1109" s="1305"/>
      <c r="P1109" s="33"/>
      <c r="Q1109" s="33"/>
      <c r="R1109" s="33"/>
      <c r="S1109" s="172"/>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row>
    <row r="1110" spans="1:78" s="140" customFormat="1" ht="12.75" customHeight="1" x14ac:dyDescent="0.2">
      <c r="A1110" s="777"/>
      <c r="B1110" s="1248"/>
      <c r="C1110" s="164"/>
      <c r="D1110" s="486"/>
      <c r="E1110" s="486"/>
      <c r="F1110" s="486"/>
      <c r="G1110" s="486"/>
      <c r="H1110" s="486"/>
      <c r="I1110" s="486"/>
      <c r="J1110" s="486"/>
      <c r="K1110" s="486"/>
      <c r="L1110" s="486"/>
      <c r="M1110" s="606" t="str">
        <f>Translations!$B$677</f>
        <v>Stebėsenos plane šiam sukėlikliui suteiktas identifikatorius:</v>
      </c>
      <c r="N1110" s="705"/>
      <c r="O1110" s="1305"/>
      <c r="P1110" s="33"/>
      <c r="Q1110" s="33"/>
      <c r="R1110" s="33"/>
      <c r="S1110" s="172"/>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2" t="b">
        <f>BZ1108</f>
        <v>1</v>
      </c>
    </row>
    <row r="1111" spans="1:78" s="140" customFormat="1" ht="5.0999999999999996" customHeight="1" x14ac:dyDescent="0.2">
      <c r="A1111" s="784"/>
      <c r="B1111" s="1316"/>
      <c r="D1111" s="178"/>
      <c r="O1111" s="1317"/>
      <c r="P1111" s="488"/>
      <c r="Q1111" s="488"/>
      <c r="R1111" s="488"/>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row>
    <row r="1112" spans="1:78" s="140" customFormat="1" x14ac:dyDescent="0.2">
      <c r="A1112" s="784"/>
      <c r="B1112" s="1316"/>
      <c r="D1112" s="1618" t="str">
        <f>Translations!$B$160</f>
        <v>Pastabos:</v>
      </c>
      <c r="E1112" s="1619"/>
      <c r="F1112" s="1605"/>
      <c r="G1112" s="1606"/>
      <c r="H1112" s="1606"/>
      <c r="I1112" s="1606"/>
      <c r="J1112" s="1606"/>
      <c r="K1112" s="1606"/>
      <c r="L1112" s="1606"/>
      <c r="M1112" s="1606"/>
      <c r="N1112" s="1607"/>
      <c r="O1112" s="1317"/>
      <c r="P1112" s="488"/>
      <c r="Q1112" s="488"/>
      <c r="R1112" s="488"/>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2" t="b">
        <f>BZ1108</f>
        <v>1</v>
      </c>
    </row>
    <row r="1113" spans="1:78" s="28" customFormat="1" ht="12.75" customHeight="1" thickBot="1" x14ac:dyDescent="0.25">
      <c r="A1113" s="777"/>
      <c r="B1113" s="1312"/>
      <c r="C1113" s="490"/>
      <c r="D1113" s="491"/>
      <c r="E1113" s="492"/>
      <c r="F1113" s="490"/>
      <c r="G1113" s="493"/>
      <c r="H1113" s="493"/>
      <c r="I1113" s="493"/>
      <c r="J1113" s="493"/>
      <c r="K1113" s="493"/>
      <c r="L1113" s="493"/>
      <c r="M1113" s="493"/>
      <c r="N1113" s="493"/>
      <c r="O1113" s="1313"/>
      <c r="P1113" s="485"/>
      <c r="Q1113" s="485"/>
      <c r="R1113" s="485"/>
      <c r="S1113" s="58"/>
      <c r="T1113" s="58"/>
      <c r="U1113" s="489"/>
      <c r="V1113" s="58"/>
      <c r="W1113" s="58"/>
      <c r="X1113" s="489"/>
      <c r="Y1113" s="58"/>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58"/>
      <c r="AU1113" s="58"/>
      <c r="AV1113" s="58"/>
      <c r="AW1113" s="58"/>
      <c r="AX1113" s="58"/>
      <c r="AY1113" s="58"/>
      <c r="AZ1113" s="58"/>
      <c r="BA1113" s="58"/>
      <c r="BB1113" s="58"/>
      <c r="BC1113" s="58"/>
      <c r="BD1113" s="58"/>
      <c r="BE1113" s="58"/>
      <c r="BF1113" s="58"/>
      <c r="BG1113" s="58"/>
      <c r="BH1113" s="58"/>
      <c r="BI1113" s="30"/>
      <c r="BJ1113" s="30"/>
      <c r="BK1113" s="30"/>
      <c r="BL1113" s="58"/>
      <c r="BM1113" s="58"/>
      <c r="BN1113" s="58"/>
      <c r="BO1113" s="58"/>
      <c r="BP1113" s="58"/>
      <c r="BQ1113" s="58"/>
      <c r="BR1113" s="58"/>
      <c r="BS1113" s="58"/>
      <c r="BT1113" s="58"/>
      <c r="BU1113" s="58"/>
      <c r="BV1113" s="58"/>
      <c r="BW1113" s="58"/>
      <c r="BX1113" s="58"/>
      <c r="BY1113" s="58"/>
      <c r="BZ1113" s="58"/>
    </row>
    <row r="1114" spans="1:78" s="28" customFormat="1" ht="12.75" customHeight="1" thickBot="1" x14ac:dyDescent="0.25">
      <c r="A1114" s="782"/>
      <c r="B1114" s="1312"/>
      <c r="C1114" s="486"/>
      <c r="D1114" s="178"/>
      <c r="E1114" s="487"/>
      <c r="F1114" s="486"/>
      <c r="G1114" s="478"/>
      <c r="H1114" s="478"/>
      <c r="I1114" s="478"/>
      <c r="J1114" s="478"/>
      <c r="K1114" s="486"/>
      <c r="L1114" s="478"/>
      <c r="M1114" s="478"/>
      <c r="N1114" s="478"/>
      <c r="O1114" s="1313"/>
      <c r="P1114" s="485"/>
      <c r="Q1114" s="485"/>
      <c r="R1114" s="485"/>
      <c r="S1114" s="23"/>
      <c r="T1114" s="27" t="str">
        <f>IF(ISBLANK(E1115),"",MATCH(E1115,CNTR_SourceStreamNames,0))</f>
        <v/>
      </c>
      <c r="U1114" s="609" t="str">
        <f>IF(ISBLANK(E1115),"",INDEX(B_InstallationDescription!$D$71:$D$145,MATCH(E1115,CNTR_SourceStreamNames,0)))</f>
        <v/>
      </c>
      <c r="V1114" s="76"/>
      <c r="W1114" s="56"/>
      <c r="X1114" s="56"/>
      <c r="Y1114" s="56"/>
      <c r="Z1114" s="58"/>
      <c r="AA1114" s="58"/>
      <c r="AB1114" s="58"/>
      <c r="AC1114" s="58"/>
      <c r="AD1114" s="58"/>
      <c r="AE1114" s="58"/>
      <c r="AF1114" s="58"/>
      <c r="AG1114" s="58"/>
      <c r="AH1114" s="58"/>
      <c r="AI1114" s="58"/>
      <c r="AJ1114" s="58"/>
      <c r="AK1114" s="482"/>
      <c r="AL1114" s="58"/>
      <c r="AM1114" s="58"/>
      <c r="AN1114" s="58"/>
      <c r="AO1114" s="58"/>
      <c r="AP1114" s="58"/>
      <c r="AQ1114" s="58"/>
      <c r="AR1114" s="58"/>
      <c r="AS1114" s="58"/>
      <c r="AT1114" s="58"/>
      <c r="AU1114" s="58"/>
      <c r="AV1114" s="58"/>
      <c r="AW1114" s="58"/>
      <c r="AX1114" s="58"/>
      <c r="AY1114" s="58"/>
      <c r="AZ1114" s="58"/>
      <c r="BA1114" s="58"/>
      <c r="BB1114" s="58"/>
      <c r="BC1114" s="58"/>
      <c r="BD1114" s="58"/>
      <c r="BE1114" s="58"/>
      <c r="BF1114" s="58"/>
      <c r="BG1114" s="58"/>
      <c r="BH1114" s="56"/>
      <c r="BI1114" s="56"/>
      <c r="BJ1114" s="56"/>
      <c r="BK1114" s="56"/>
      <c r="BL1114" s="56"/>
      <c r="BM1114" s="56"/>
      <c r="BN1114" s="56"/>
      <c r="BO1114" s="56"/>
      <c r="BP1114" s="56"/>
      <c r="BQ1114" s="56"/>
      <c r="BR1114" s="56"/>
      <c r="BS1114" s="56"/>
      <c r="BT1114" s="56"/>
      <c r="BU1114" s="56"/>
      <c r="BV1114" s="56"/>
      <c r="BW1114" s="56"/>
      <c r="BX1114" s="56"/>
      <c r="BY1114" s="56"/>
      <c r="BZ1114" s="484" t="s">
        <v>259</v>
      </c>
    </row>
    <row r="1115" spans="1:78" s="140" customFormat="1" ht="15" customHeight="1" thickBot="1" x14ac:dyDescent="0.25">
      <c r="A1115" s="1302" t="str">
        <f>IF(E1115="","","PRINT")</f>
        <v/>
      </c>
      <c r="B1115" s="1248"/>
      <c r="C1115" s="608">
        <f>C1088+1</f>
        <v>40</v>
      </c>
      <c r="D1115" s="164"/>
      <c r="E1115" s="1610"/>
      <c r="F1115" s="1611"/>
      <c r="G1115" s="1611"/>
      <c r="H1115" s="1611"/>
      <c r="I1115" s="1611"/>
      <c r="J1115" s="1612"/>
      <c r="K1115" s="1623" t="str">
        <f>IF(E1116="","",INDEX(EUwideConstants!$F$353:$F$394,MATCH(E1116,EUConst_TierActivityListNames,0)))</f>
        <v/>
      </c>
      <c r="L1115" s="1624"/>
      <c r="M1115" s="494" t="str">
        <f>Translations!$B$665</f>
        <v>CO2, iškastinio kuro kilmės:</v>
      </c>
      <c r="N1115" s="1012" t="str">
        <f>IF(OR(K1115="",T1116=TRUE),"",INDEX(BC1129:BE1129,MATCH(K1115,BC1125:BE1125,0)))</f>
        <v/>
      </c>
      <c r="O1115" s="1314" t="s">
        <v>257</v>
      </c>
      <c r="P1115" s="1303" t="str">
        <f>IF(AND(E1115&lt;&gt;"",COUNTIF(P1116:$P$2089,"PRINT")=0),"PRINT","")</f>
        <v/>
      </c>
      <c r="Q1115" s="343" t="str">
        <f>EUconst_SumCO2 &amp; "_" &amp; K1115</f>
        <v>SUM_CO2_</v>
      </c>
      <c r="R1115" s="485"/>
      <c r="S1115" s="23"/>
      <c r="T1115" s="500" t="s">
        <v>387</v>
      </c>
      <c r="U1115" s="23"/>
      <c r="V1115" s="76"/>
      <c r="W1115" s="56"/>
      <c r="X1115" s="58"/>
      <c r="Y1115" s="58"/>
      <c r="Z1115" s="58"/>
      <c r="AA1115" s="58"/>
      <c r="AB1115" s="58"/>
      <c r="AC1115" s="58"/>
      <c r="AD1115" s="58"/>
      <c r="AE1115" s="58"/>
      <c r="AF1115" s="58"/>
      <c r="AG1115" s="58"/>
      <c r="AH1115" s="58"/>
      <c r="AI1115" s="333"/>
      <c r="AJ1115" s="333"/>
      <c r="AK1115" s="333"/>
      <c r="AL1115" s="333"/>
      <c r="AM1115" s="333"/>
      <c r="AN1115" s="333"/>
      <c r="AO1115" s="333"/>
      <c r="AP1115" s="333"/>
      <c r="AQ1115" s="333"/>
      <c r="AR1115" s="333"/>
      <c r="AS1115" s="333"/>
      <c r="AT1115" s="333"/>
      <c r="AU1115" s="333"/>
      <c r="AV1115" s="333"/>
      <c r="AW1115" s="333"/>
      <c r="AX1115" s="333"/>
      <c r="AY1115" s="333"/>
      <c r="AZ1115" s="333"/>
      <c r="BA1115" s="333"/>
      <c r="BB1115" s="333"/>
      <c r="BC1115" s="333"/>
      <c r="BD1115" s="333"/>
      <c r="BE1115" s="333"/>
      <c r="BF1115" s="333"/>
      <c r="BG1115" s="333"/>
      <c r="BH1115" s="834">
        <f>AR1125</f>
        <v>0</v>
      </c>
      <c r="BI1115" s="834" t="str">
        <f>AJ1125</f>
        <v/>
      </c>
      <c r="BJ1115" s="834">
        <f>AR1127</f>
        <v>0</v>
      </c>
      <c r="BK1115" s="834" t="str">
        <f>AJ1127</f>
        <v/>
      </c>
      <c r="BL1115" s="834">
        <f>AR1128</f>
        <v>0</v>
      </c>
      <c r="BM1115" s="834" t="str">
        <f>AJ1128</f>
        <v/>
      </c>
      <c r="BN1115" s="834">
        <f>AR1129</f>
        <v>1</v>
      </c>
      <c r="BO1115" s="834">
        <f>AR1130</f>
        <v>1</v>
      </c>
      <c r="BP1115" s="834">
        <f>AR1131</f>
        <v>0</v>
      </c>
      <c r="BQ1115" s="834" t="str">
        <f>AJ1131</f>
        <v/>
      </c>
      <c r="BR1115" s="834">
        <f>AR1132</f>
        <v>0</v>
      </c>
      <c r="BS1115" s="834">
        <f>AR1133</f>
        <v>0</v>
      </c>
      <c r="BT1115" s="834" t="str">
        <f>N1115</f>
        <v/>
      </c>
      <c r="BU1115" s="834" t="str">
        <f>N1116</f>
        <v/>
      </c>
      <c r="BV1115" s="834" t="str">
        <f>R1118</f>
        <v/>
      </c>
      <c r="BW1115" s="834" t="str">
        <f>R1124</f>
        <v/>
      </c>
      <c r="BX1115" s="834" t="str">
        <f>R1125</f>
        <v/>
      </c>
      <c r="BY1115" s="56"/>
      <c r="BZ1115" s="610" t="b">
        <f>CNTR_CalcRelevant=EUconst_NotRelevant</f>
        <v>0</v>
      </c>
    </row>
    <row r="1116" spans="1:78" s="140" customFormat="1" ht="15" customHeight="1" thickBot="1" x14ac:dyDescent="0.25">
      <c r="A1116" s="777"/>
      <c r="B1116" s="1248"/>
      <c r="C1116" s="164"/>
      <c r="D1116" s="164"/>
      <c r="E1116" s="1625" t="str">
        <f>IF(ISBLANK(E1115),"",IF(INDEX(B_InstallationDescription!$E$71:$E$145,MATCH(U1114,B_InstallationDescription!$D$71:$D$145,0))&gt;0,INDEX(B_InstallationDescription!$E$71:$E$145,MATCH(U1114,B_InstallationDescription!$D$71:$D$145,0)),""))</f>
        <v/>
      </c>
      <c r="F1116" s="1626"/>
      <c r="G1116" s="1626"/>
      <c r="H1116" s="1626"/>
      <c r="I1116" s="1626"/>
      <c r="J1116" s="1627"/>
      <c r="M1116" s="337" t="str">
        <f>Translations!$B$666</f>
        <v>CO2, biomasės kilmės.:</v>
      </c>
      <c r="N1116" s="1013" t="str">
        <f>IF(OR(K1115="",T1116=TRUE),"",INDEX(BC1128:BE1128,MATCH(K1115,BC1125:BE1125,0)))</f>
        <v/>
      </c>
      <c r="O1116" s="1315" t="s">
        <v>257</v>
      </c>
      <c r="P1116" s="485"/>
      <c r="Q1116" s="343" t="str">
        <f>EUconst_SumBioCO2 &amp; "_" &amp; K1115</f>
        <v>SUM_bioCO2_</v>
      </c>
      <c r="R1116" s="485"/>
      <c r="S1116" s="23"/>
      <c r="T1116" s="48" t="str">
        <f>IF(E1116="","",MATCH(E1116,EUConst_TierActivityListNames,0)&gt;40)</f>
        <v/>
      </c>
      <c r="U1116" s="23"/>
      <c r="V1116" s="76"/>
      <c r="W1116" s="56"/>
      <c r="X1116" s="58"/>
      <c r="Y1116" s="27" t="s">
        <v>91</v>
      </c>
      <c r="Z1116" s="30"/>
      <c r="AA1116" s="30"/>
      <c r="AB1116" s="30"/>
      <c r="AC1116" s="30"/>
      <c r="AD1116" s="30"/>
      <c r="AE1116" s="27" t="s">
        <v>297</v>
      </c>
      <c r="AF1116" s="58"/>
      <c r="AG1116" s="495"/>
      <c r="AH1116" s="30"/>
      <c r="AI1116" s="30"/>
      <c r="AJ1116" s="495"/>
      <c r="AK1116" s="495"/>
      <c r="AL1116" s="333"/>
      <c r="AM1116" s="27" t="s">
        <v>303</v>
      </c>
      <c r="AN1116" s="496"/>
      <c r="AO1116" s="496"/>
      <c r="AP1116" s="30"/>
      <c r="AQ1116" s="30"/>
      <c r="AR1116" s="30"/>
      <c r="AS1116" s="30"/>
      <c r="AT1116" s="30"/>
      <c r="AU1116" s="30"/>
      <c r="AV1116" s="27" t="s">
        <v>310</v>
      </c>
      <c r="AW1116" s="30"/>
      <c r="AX1116" s="483"/>
      <c r="AY1116" s="30"/>
      <c r="AZ1116" s="30"/>
      <c r="BA1116" s="30"/>
      <c r="BB1116" s="27" t="s">
        <v>217</v>
      </c>
      <c r="BC1116" s="30"/>
      <c r="BD1116" s="30"/>
      <c r="BE1116" s="30"/>
      <c r="BF1116" s="30"/>
      <c r="BG1116" s="27" t="s">
        <v>486</v>
      </c>
      <c r="BH1116" s="833" t="s">
        <v>552</v>
      </c>
      <c r="BI1116" s="833" t="s">
        <v>487</v>
      </c>
      <c r="BJ1116" s="833" t="s">
        <v>211</v>
      </c>
      <c r="BK1116" s="833" t="s">
        <v>488</v>
      </c>
      <c r="BL1116" s="833" t="s">
        <v>68</v>
      </c>
      <c r="BM1116" s="833" t="s">
        <v>489</v>
      </c>
      <c r="BN1116" s="833" t="s">
        <v>490</v>
      </c>
      <c r="BO1116" s="833" t="s">
        <v>491</v>
      </c>
      <c r="BP1116" s="833" t="s">
        <v>214</v>
      </c>
      <c r="BQ1116" s="833" t="s">
        <v>492</v>
      </c>
      <c r="BR1116" s="833" t="s">
        <v>493</v>
      </c>
      <c r="BS1116" s="833" t="s">
        <v>494</v>
      </c>
      <c r="BT1116" s="833" t="s">
        <v>287</v>
      </c>
      <c r="BU1116" s="833" t="s">
        <v>495</v>
      </c>
      <c r="BV1116" s="833" t="s">
        <v>498</v>
      </c>
      <c r="BW1116" s="833" t="s">
        <v>496</v>
      </c>
      <c r="BX1116" s="833" t="s">
        <v>497</v>
      </c>
      <c r="BY1116" s="30"/>
      <c r="BZ1116" s="30"/>
    </row>
    <row r="1117" spans="1:78" s="140" customFormat="1" ht="5.0999999999999996" customHeight="1" thickBot="1" x14ac:dyDescent="0.25">
      <c r="A1117" s="777"/>
      <c r="B1117" s="1248"/>
      <c r="C1117" s="164"/>
      <c r="D1117" s="164"/>
      <c r="E1117" s="164"/>
      <c r="F1117" s="164"/>
      <c r="G1117" s="164"/>
      <c r="M1117" s="141"/>
      <c r="N1117" s="141"/>
      <c r="O1117" s="1305"/>
      <c r="P1117" s="33"/>
      <c r="Q1117" s="33"/>
      <c r="R1117" s="33"/>
      <c r="S1117" s="23"/>
      <c r="T1117" s="23"/>
      <c r="U1117" s="23"/>
      <c r="V1117" s="76"/>
      <c r="W1117" s="30"/>
      <c r="X1117" s="30"/>
      <c r="Y1117" s="485"/>
      <c r="Z1117" s="30"/>
      <c r="AA1117" s="30"/>
      <c r="AB1117" s="30"/>
      <c r="AC1117" s="30"/>
      <c r="AD1117" s="30"/>
      <c r="AE1117" s="30"/>
      <c r="AF1117" s="58"/>
      <c r="AG1117" s="30"/>
      <c r="AH1117" s="30"/>
      <c r="AI1117" s="30"/>
      <c r="AJ1117" s="495"/>
      <c r="AK1117" s="495"/>
      <c r="AL1117" s="333"/>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row>
    <row r="1118" spans="1:78" s="140" customFormat="1" ht="12.75" customHeight="1" thickBot="1" x14ac:dyDescent="0.25">
      <c r="A1118" s="777"/>
      <c r="B1118" s="1248"/>
      <c r="C1118" s="164"/>
      <c r="D1118" s="164"/>
      <c r="E1118" s="1628" t="str">
        <f>IF(E1115="","",IF(T1116=TRUE,HYPERLINK("#JUMP_14",EUconst_MsgGoOnPFC),HYPERLINK("#JUMP_E_8",EUconst_FurtherGuidancePoint1)))</f>
        <v/>
      </c>
      <c r="F1118" s="1628"/>
      <c r="G1118" s="1628"/>
      <c r="H1118" s="1628"/>
      <c r="I1118" s="1628"/>
      <c r="J1118" s="1628"/>
      <c r="K1118" s="1628"/>
      <c r="L1118" s="1628"/>
      <c r="M1118" s="1628"/>
      <c r="N1118" s="141"/>
      <c r="O1118" s="1305"/>
      <c r="P1118" s="33"/>
      <c r="Q1118" s="343" t="str">
        <f>EUconst_SumNonSustBioCO2 &amp; "_" &amp; K1115</f>
        <v>SUM_bioNonSustCO2_</v>
      </c>
      <c r="R1118" s="698" t="str">
        <f>IF(OR(K1115="",T1116=TRUE),"",ROUND(INDEX(BC1127:BE1127,MATCH(K1115,BC1125:BE1125,0)),0))</f>
        <v/>
      </c>
      <c r="S1118" s="23"/>
      <c r="T1118" s="23"/>
      <c r="U1118" s="23"/>
      <c r="V1118" s="30"/>
      <c r="W1118" s="30"/>
      <c r="X1118" s="30"/>
      <c r="Y1118" s="58"/>
      <c r="Z1118" s="30"/>
      <c r="AA1118" s="30"/>
      <c r="AB1118" s="30"/>
      <c r="AC1118" s="30"/>
      <c r="AD1118" s="30"/>
      <c r="AE1118" s="30"/>
      <c r="AF1118" s="58"/>
      <c r="AG1118" s="30"/>
      <c r="AH1118" s="30"/>
      <c r="AI1118" s="30"/>
      <c r="AJ1118" s="495"/>
      <c r="AK1118" s="495"/>
      <c r="AL1118" s="333"/>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row>
    <row r="1119" spans="1:78" s="140" customFormat="1" ht="5.0999999999999996" customHeight="1" thickBot="1" x14ac:dyDescent="0.25">
      <c r="A1119" s="777"/>
      <c r="B1119" s="1248"/>
      <c r="C1119" s="164"/>
      <c r="D1119" s="164"/>
      <c r="E1119" s="164"/>
      <c r="F1119" s="164"/>
      <c r="G1119" s="164"/>
      <c r="M1119" s="141"/>
      <c r="N1119" s="141"/>
      <c r="O1119" s="1305"/>
      <c r="P1119" s="23"/>
      <c r="Q1119" s="23"/>
      <c r="R1119" s="23"/>
      <c r="S1119" s="23"/>
      <c r="T1119" s="23"/>
      <c r="U1119" s="23"/>
      <c r="V1119" s="30"/>
      <c r="W1119" s="30"/>
      <c r="X1119" s="30"/>
      <c r="Y1119" s="485"/>
      <c r="Z1119" s="30"/>
      <c r="AA1119" s="30"/>
      <c r="AB1119" s="30"/>
      <c r="AC1119" s="30"/>
      <c r="AD1119" s="30"/>
      <c r="AE1119" s="30"/>
      <c r="AF1119" s="58"/>
      <c r="AG1119" s="30"/>
      <c r="AH1119" s="30"/>
      <c r="AI1119" s="30"/>
      <c r="AJ1119" s="495"/>
      <c r="AK1119" s="495"/>
      <c r="AL1119" s="333"/>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row>
    <row r="1120" spans="1:78" s="140" customFormat="1" ht="12.75" customHeight="1" thickBot="1" x14ac:dyDescent="0.25">
      <c r="A1120" s="777"/>
      <c r="B1120" s="1248"/>
      <c r="C1120" s="783" t="s">
        <v>4</v>
      </c>
      <c r="D1120" s="503" t="str">
        <f>Translations!$B$622</f>
        <v>VD:</v>
      </c>
      <c r="E1120" s="1631" t="str">
        <f>Translations!$B$667</f>
        <v>Ar veiklos duomenys gaunami sudedant išmatuotus kiekius (t. y. ne atliekant nuolatinius matavimus)?</v>
      </c>
      <c r="F1120" s="1631"/>
      <c r="G1120" s="1631"/>
      <c r="H1120" s="1631"/>
      <c r="I1120" s="1631"/>
      <c r="J1120" s="1631"/>
      <c r="K1120" s="1631"/>
      <c r="L1120" s="1122"/>
      <c r="M1120" s="498"/>
      <c r="O1120" s="1305"/>
      <c r="P1120" s="23"/>
      <c r="Q1120" s="23"/>
      <c r="R1120" s="23"/>
      <c r="S1120" s="23"/>
      <c r="T1120" s="23"/>
      <c r="U1120" s="23"/>
      <c r="V1120" s="30"/>
      <c r="W1120" s="30"/>
      <c r="X1120" s="30"/>
      <c r="Y1120" s="485"/>
      <c r="Z1120" s="30"/>
      <c r="AA1120" s="30"/>
      <c r="AB1120" s="30"/>
      <c r="AC1120" s="1115" t="b">
        <f>AND(E1115&lt;&gt;"",T1116&lt;&gt;TRUE)</f>
        <v>0</v>
      </c>
      <c r="AD1120" s="30"/>
      <c r="AE1120" s="30"/>
      <c r="AF1120" s="58"/>
      <c r="AG1120" s="30"/>
      <c r="AH1120" s="30"/>
      <c r="AI1120" s="30"/>
      <c r="AJ1120" s="495"/>
      <c r="AK1120" s="495"/>
      <c r="AL1120" s="333"/>
      <c r="AM1120" s="30"/>
      <c r="AN1120" s="30"/>
      <c r="AO1120" s="30"/>
      <c r="AP1120" s="30"/>
      <c r="AQ1120" s="30"/>
      <c r="AR1120" s="30"/>
      <c r="AS1120" s="30"/>
      <c r="AT1120" s="1115" t="b">
        <f>MSPara_BatchReportingMandatory&lt;&gt;TRUE</f>
        <v>0</v>
      </c>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1115" t="b">
        <f>OR(CNTR_CalcRelevant=EUconst_NotRelevant,AND(COUNTA(CNTR_ListRelevantSections)&gt;0,OR(T1116=TRUE,E1115="")))</f>
        <v>1</v>
      </c>
    </row>
    <row r="1121" spans="1:78" s="140" customFormat="1" ht="5.0999999999999996" customHeight="1" thickBot="1" x14ac:dyDescent="0.25">
      <c r="A1121" s="777"/>
      <c r="B1121" s="1248"/>
      <c r="C1121" s="164"/>
      <c r="D1121" s="164"/>
      <c r="E1121" s="164"/>
      <c r="F1121" s="164"/>
      <c r="G1121" s="164"/>
      <c r="H1121" s="486"/>
      <c r="I1121" s="486"/>
      <c r="J1121" s="486"/>
      <c r="K1121" s="486"/>
      <c r="L1121" s="486"/>
      <c r="M1121" s="498"/>
      <c r="O1121" s="1305"/>
      <c r="P1121" s="23"/>
      <c r="Q1121" s="23"/>
      <c r="R1121" s="23"/>
      <c r="S1121" s="23"/>
      <c r="T1121" s="23"/>
      <c r="U1121" s="23"/>
      <c r="V1121" s="30"/>
      <c r="W1121" s="30"/>
      <c r="X1121" s="30"/>
      <c r="Y1121" s="485"/>
      <c r="Z1121" s="30"/>
      <c r="AA1121" s="30"/>
      <c r="AB1121" s="30"/>
      <c r="AC1121" s="483"/>
      <c r="AD1121" s="30"/>
      <c r="AE1121" s="30"/>
      <c r="AF1121" s="58"/>
      <c r="AG1121" s="30"/>
      <c r="AH1121" s="30"/>
      <c r="AI1121" s="30"/>
      <c r="AJ1121" s="495"/>
      <c r="AK1121" s="495"/>
      <c r="AL1121" s="333"/>
      <c r="AM1121" s="30"/>
      <c r="AN1121" s="30"/>
      <c r="AO1121" s="30"/>
      <c r="AP1121" s="30"/>
      <c r="AQ1121" s="30"/>
      <c r="AR1121" s="30"/>
      <c r="AS1121" s="30"/>
      <c r="AT1121" s="483"/>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483"/>
    </row>
    <row r="1122" spans="1:78" s="140" customFormat="1" ht="12.75" customHeight="1" thickBot="1" x14ac:dyDescent="0.25">
      <c r="A1122" s="777"/>
      <c r="B1122" s="1248"/>
      <c r="C1122" s="783" t="s">
        <v>5</v>
      </c>
      <c r="D1122" s="503" t="str">
        <f>Translations!$B$622</f>
        <v>VD:</v>
      </c>
      <c r="E1122" s="1105" t="str">
        <f>Translations!$B$668</f>
        <v>Pradinis kiekis:</v>
      </c>
      <c r="F1122" s="1123"/>
      <c r="G1122" s="1106" t="str">
        <f>Translations!$B$669</f>
        <v>Galutinis kiekis:</v>
      </c>
      <c r="H1122" s="1123"/>
      <c r="I1122" s="1106" t="str">
        <f>Translations!$B$670</f>
        <v>Įsigytas kiekis:</v>
      </c>
      <c r="J1122" s="1123"/>
      <c r="K1122" s="1106" t="str">
        <f>Translations!$B$671</f>
        <v>Perduotas kiekis:</v>
      </c>
      <c r="L1122" s="1123"/>
      <c r="M1122" s="1107" t="str">
        <f>IF(AND(L1120=TRUE,COUNT(F1122,H1122,J1122,L1122)&lt;4),EUconst_ERR_Incomplete,"")</f>
        <v/>
      </c>
      <c r="O1122" s="1305"/>
      <c r="P1122" s="23"/>
      <c r="Q1122" s="23"/>
      <c r="R1122" s="23"/>
      <c r="S1122" s="23"/>
      <c r="T1122" s="23"/>
      <c r="U1122" s="23"/>
      <c r="V1122" s="30"/>
      <c r="W1122" s="30"/>
      <c r="X1122" s="30"/>
      <c r="Y1122" s="485"/>
      <c r="Z1122" s="30"/>
      <c r="AA1122" s="30"/>
      <c r="AB1122" s="30"/>
      <c r="AC1122" s="1115" t="b">
        <f>AC1120</f>
        <v>0</v>
      </c>
      <c r="AD1122" s="30"/>
      <c r="AE1122" s="30"/>
      <c r="AF1122" s="58"/>
      <c r="AG1122" s="30"/>
      <c r="AH1122" s="30"/>
      <c r="AI1122" s="30"/>
      <c r="AJ1122" s="495"/>
      <c r="AK1122" s="495"/>
      <c r="AL1122" s="333"/>
      <c r="AM1122" s="30"/>
      <c r="AN1122" s="30"/>
      <c r="AO1122" s="30"/>
      <c r="AP1122" s="30"/>
      <c r="AQ1122" s="30"/>
      <c r="AR1122" s="30"/>
      <c r="AS1122" s="30"/>
      <c r="AT1122" s="1115" t="b">
        <f>AND(AT1120=TRUE,L1120="")</f>
        <v>0</v>
      </c>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1115" t="b">
        <f>OR(BZ1120,AND(NOT(ISBLANK(L1120)),L1120=FALSE))</f>
        <v>1</v>
      </c>
    </row>
    <row r="1123" spans="1:78" s="140" customFormat="1" ht="5.0999999999999996" customHeight="1" thickBot="1" x14ac:dyDescent="0.25">
      <c r="A1123" s="777"/>
      <c r="B1123" s="1248"/>
      <c r="C1123" s="164"/>
      <c r="D1123" s="164"/>
      <c r="E1123" s="164"/>
      <c r="F1123" s="164"/>
      <c r="G1123" s="164"/>
      <c r="M1123" s="141"/>
      <c r="N1123" s="141"/>
      <c r="O1123" s="1305"/>
      <c r="P1123" s="23"/>
      <c r="Q1123" s="23"/>
      <c r="R1123" s="23"/>
      <c r="S1123" s="23"/>
      <c r="T1123" s="23"/>
      <c r="U1123" s="23"/>
      <c r="V1123" s="30"/>
      <c r="W1123" s="30"/>
      <c r="X1123" s="30"/>
      <c r="Y1123" s="485"/>
      <c r="Z1123" s="30"/>
      <c r="AA1123" s="30"/>
      <c r="AB1123" s="30"/>
      <c r="AC1123" s="30"/>
      <c r="AD1123" s="30"/>
      <c r="AE1123" s="30"/>
      <c r="AF1123" s="58"/>
      <c r="AG1123" s="30"/>
      <c r="AH1123" s="30"/>
      <c r="AI1123" s="30"/>
      <c r="AJ1123" s="495"/>
      <c r="AK1123" s="495"/>
      <c r="AL1123" s="333"/>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row>
    <row r="1124" spans="1:78" s="140" customFormat="1" ht="12.75" customHeight="1" thickBot="1" x14ac:dyDescent="0.25">
      <c r="A1124" s="777"/>
      <c r="B1124" s="1248"/>
      <c r="C1124" s="164"/>
      <c r="D1124" s="164"/>
      <c r="E1124" s="164"/>
      <c r="F1124" s="497" t="str">
        <f>Translations!$B$333</f>
        <v>Pakopa</v>
      </c>
      <c r="G1124" s="1613" t="str">
        <f>Translations!$B$672</f>
        <v>pakopos aprašas</v>
      </c>
      <c r="H1124" s="1613"/>
      <c r="I1124" s="1608" t="str">
        <f>Translations!$B$158</f>
        <v>Vienetas</v>
      </c>
      <c r="J1124" s="1608"/>
      <c r="K1124" s="1608" t="str">
        <f>Translations!$B$673</f>
        <v>Vertė</v>
      </c>
      <c r="L1124" s="1608"/>
      <c r="M1124" s="498" t="str">
        <f>Translations!$B$610</f>
        <v>klaida</v>
      </c>
      <c r="O1124" s="1305"/>
      <c r="P1124" s="499"/>
      <c r="Q1124" s="343" t="str">
        <f>EUconst_SumEnergyIN &amp; "_" &amp; K1115</f>
        <v>SUM_EnergyIN_</v>
      </c>
      <c r="R1124" s="390" t="str">
        <f>IF(OR(K1115="",T1116)=TRUE,"",INDEX(BC1130:BE1130,MATCH(K1115,BC1125:BE1125,0)))</f>
        <v/>
      </c>
      <c r="S1124" s="30"/>
      <c r="T1124" s="480"/>
      <c r="U1124" s="30"/>
      <c r="V1124" s="500" t="s">
        <v>298</v>
      </c>
      <c r="W1124" s="30"/>
      <c r="X1124" s="30"/>
      <c r="Y1124" s="485" t="s">
        <v>560</v>
      </c>
      <c r="Z1124" s="485" t="s">
        <v>313</v>
      </c>
      <c r="AA1124" s="30"/>
      <c r="AB1124" s="30"/>
      <c r="AC1124" s="496" t="s">
        <v>304</v>
      </c>
      <c r="AD1124" s="30"/>
      <c r="AE1124" s="30"/>
      <c r="AF1124" s="483" t="s">
        <v>300</v>
      </c>
      <c r="AG1124" s="483" t="s">
        <v>301</v>
      </c>
      <c r="AH1124" s="485" t="s">
        <v>299</v>
      </c>
      <c r="AI1124" s="495" t="s">
        <v>302</v>
      </c>
      <c r="AJ1124" s="495" t="s">
        <v>561</v>
      </c>
      <c r="AK1124" s="501" t="s">
        <v>306</v>
      </c>
      <c r="AL1124" s="333"/>
      <c r="AM1124" s="30"/>
      <c r="AN1124" s="483" t="s">
        <v>300</v>
      </c>
      <c r="AO1124" s="483" t="s">
        <v>301</v>
      </c>
      <c r="AP1124" s="502" t="s">
        <v>305</v>
      </c>
      <c r="AQ1124" s="495" t="s">
        <v>563</v>
      </c>
      <c r="AR1124" s="495" t="s">
        <v>562</v>
      </c>
      <c r="AS1124" s="501" t="s">
        <v>599</v>
      </c>
      <c r="AT1124" s="501" t="s">
        <v>599</v>
      </c>
      <c r="AU1124" s="30"/>
      <c r="AV1124" s="483"/>
      <c r="AW1124" s="483"/>
      <c r="AX1124" s="483" t="s">
        <v>316</v>
      </c>
      <c r="AY1124" s="483"/>
      <c r="AZ1124" s="483"/>
      <c r="BA1124" s="483"/>
      <c r="BB1124" s="483"/>
      <c r="BC1124" s="483"/>
      <c r="BD1124" s="483"/>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484" t="s">
        <v>259</v>
      </c>
    </row>
    <row r="1125" spans="1:78" s="140" customFormat="1" ht="12.75" customHeight="1" thickBot="1" x14ac:dyDescent="0.25">
      <c r="A1125" s="777"/>
      <c r="B1125" s="1248"/>
      <c r="C1125" s="753" t="s">
        <v>194</v>
      </c>
      <c r="D1125" s="503" t="str">
        <f>Translations!$B$622</f>
        <v>VD:</v>
      </c>
      <c r="E1125" s="504"/>
      <c r="F1125" s="393"/>
      <c r="G1125" s="1603" t="str">
        <f>IF(OR(ISBLANK(F1125),F1125=EUconst_NoTier),"",IF(Z1125=0,EUconst_NA,IF(ISERROR(Z1125),"",Z1125)))</f>
        <v/>
      </c>
      <c r="H1125" s="1604"/>
      <c r="I1125" s="1108" t="str">
        <f>IF(J1125&lt;&gt;"","",AI1125)</f>
        <v/>
      </c>
      <c r="J1125" s="1109"/>
      <c r="K1125" s="1116" t="str">
        <f>IF(L1125="",AQ1125,"")</f>
        <v/>
      </c>
      <c r="L1125" s="1199"/>
      <c r="M1125" s="700" t="str">
        <f>IF(AND(E1116&lt;&gt;"",OR(F1125="",COUNT(K1125:L1125)=0),Y1125&lt;&gt;EUconst_NA,T1116&lt;&gt;TRUE),EUconst_ERR_Incomplete,IF(COUNTIF(AX1125:AZ1125,TRUE)&gt;0,EUconst_ERR_Inconsistent,""))</f>
        <v/>
      </c>
      <c r="O1125" s="1305"/>
      <c r="P1125" s="635"/>
      <c r="Q1125" s="343" t="str">
        <f>EUconst_SumBioEnergyIN &amp; "_" &amp; K1115</f>
        <v>SUM_BioEnergyIN_</v>
      </c>
      <c r="R1125" s="390" t="str">
        <f>IF(OR(K1115="",T1116)=TRUE,"",INDEX(BC1131:BE1131,MATCH(K1115,BC1125:BE1125,0)))</f>
        <v/>
      </c>
      <c r="S1125" s="30"/>
      <c r="T1125" s="505" t="str">
        <f>EUconst_CNTR_ActivityData&amp;E1116</f>
        <v>ActivityData_</v>
      </c>
      <c r="U1125" s="488"/>
      <c r="V1125" s="505" t="str">
        <f>IF(E1115="","",INDEX(B_InstallationDescription!$I$71:$I$145,MATCH(U1114,B_InstallationDescription!$D$71:$D$145,0)))</f>
        <v/>
      </c>
      <c r="W1125" s="495" t="s">
        <v>533</v>
      </c>
      <c r="X1125" s="488"/>
      <c r="Y1125" s="506" t="str">
        <f>IF(OR(T1116=TRUE,E1116=""),"",INDEX(EUwideConstants!$N:$N,MATCH(T1125,EUwideConstants!$Q:$Q,0)))</f>
        <v/>
      </c>
      <c r="Z1125" s="507" t="str">
        <f>IF(ISBLANK(F1125),"",IF(F1125=EUconst_NA,"",INDEX(EUwideConstants!$H:$M,MATCH(T1125,EUwideConstants!$Q:$Q,0),MATCH(F1125,CNTR_TierList,0))))</f>
        <v/>
      </c>
      <c r="AA1125" s="508" t="s">
        <v>299</v>
      </c>
      <c r="AB1125" s="495"/>
      <c r="AC1125" s="509" t="b">
        <f>AC1120</f>
        <v>0</v>
      </c>
      <c r="AD1125" s="30"/>
      <c r="AE1125" s="510" t="str">
        <f>EUconst_CNTR_ActivityData&amp;EUconst_Unit</f>
        <v>ActivityData_Vienetas</v>
      </c>
      <c r="AF1125" s="511" t="str">
        <f>IF(AC1125=TRUE, IF(COUNTIF(MSPara_SourceStreamCategory,V1125)=0,"",INDEX(MSPara_CalcFactorsMatrix,MATCH(V1125,MSPara_SourceStreamCategory,0),MATCH(AE1125&amp;"_"&amp;2,MSPara_CalcFactors,0))),"")</f>
        <v/>
      </c>
      <c r="AG1125" s="512" t="str">
        <f>IF(AC1125=TRUE, IF(COUNTIF(MSPara_SourceStreamCategory,V1125)=0,"",INDEX(MSPara_CalcFactorsMatrix,MATCH(V1125,MSPara_SourceStreamCategory,0),MATCH(AE1125&amp;"_"&amp;1,MSPara_CalcFactors,0))),"")</f>
        <v/>
      </c>
      <c r="AH1125" s="509" t="str">
        <f>IF(OR(AF1125="",AF1125=EUconst_NA),IF(OR(AG1125=EUconst_NA,AG1125=""),"",AG1125),AF1125)</f>
        <v/>
      </c>
      <c r="AI1125" s="506" t="str">
        <f>IF(AC1125=TRUE,IF(AH1125="",EUconst_t,AH1125),"")</f>
        <v/>
      </c>
      <c r="AJ1125" s="513" t="str">
        <f>IF(J1125="",AI1125,J1125)</f>
        <v/>
      </c>
      <c r="AK1125" s="514" t="b">
        <f>IF(K1115=EUconst_Fuel,J1125&lt;&gt;"",FALSE)</f>
        <v>0</v>
      </c>
      <c r="AL1125" s="333"/>
      <c r="AM1125" s="505" t="str">
        <f>EUconst_CNTR_ActivityData&amp;EUconst_Value</f>
        <v>ActivityData_Vertė</v>
      </c>
      <c r="AN1125" s="496"/>
      <c r="AO1125" s="496"/>
      <c r="AP1125" s="509" t="b">
        <f>AND(AND(AH1125&lt;&gt;"",AJ1125&lt;&gt;""),AJ1125=AH1125)</f>
        <v>0</v>
      </c>
      <c r="AQ1125" s="610" t="str">
        <f>IF(L1120=TRUE,SUM(F1122)-SUM(H1122)+SUM(J1122)-SUM(L1122),"")</f>
        <v/>
      </c>
      <c r="AR1125" s="509">
        <f>IF(Y1125=EUconst_NA,0,IF(COUNT(K1125:L1125)=0,0,IF(L1125="",K1125,L1125)))</f>
        <v>0</v>
      </c>
      <c r="AS1125" s="1115" t="b">
        <f>AND(AC1125=TRUE,OR(L1125&lt;&gt;"",AQ1125=""))</f>
        <v>0</v>
      </c>
      <c r="AT1125" s="1115" t="b">
        <f>AND(AC1125=TRUE,NOT(AS1125))</f>
        <v>0</v>
      </c>
      <c r="AU1125" s="30"/>
      <c r="AV1125" s="483" t="s">
        <v>309</v>
      </c>
      <c r="AW1125" s="483" t="s">
        <v>314</v>
      </c>
      <c r="AX1125" s="515"/>
      <c r="AY1125" s="30" t="s">
        <v>536</v>
      </c>
      <c r="AZ1125" s="30"/>
      <c r="BA1125" s="30"/>
      <c r="BB1125" s="495"/>
      <c r="BC1125" s="484" t="str">
        <f>EUconst_Fuel</f>
        <v>Degimas</v>
      </c>
      <c r="BD1125" s="484" t="str">
        <f>EUconst_ProcessCarbonate</f>
        <v>Proceso metu išsiskiriančios ŠESD</v>
      </c>
      <c r="BE1125" s="484" t="str">
        <f>EUconst_MassBalance</f>
        <v>Masės balansas</v>
      </c>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515" t="b">
        <f>BZ1120</f>
        <v>1</v>
      </c>
    </row>
    <row r="1126" spans="1:78" s="140" customFormat="1" ht="5.0999999999999996" customHeight="1" thickBot="1" x14ac:dyDescent="0.25">
      <c r="A1126" s="777"/>
      <c r="B1126" s="1248"/>
      <c r="C1126" s="783"/>
      <c r="D1126" s="298"/>
      <c r="F1126" s="141"/>
      <c r="G1126" s="141"/>
      <c r="H1126" s="141" t="s">
        <v>233</v>
      </c>
      <c r="I1126" s="516"/>
      <c r="J1126" s="516"/>
      <c r="K1126" s="141"/>
      <c r="L1126" s="141"/>
      <c r="M1126" s="701"/>
      <c r="O1126" s="1305"/>
      <c r="P1126" s="33"/>
      <c r="Q1126" s="33"/>
      <c r="R1126" s="33"/>
      <c r="S1126" s="30"/>
      <c r="T1126" s="153"/>
      <c r="U1126" s="488"/>
      <c r="V1126" s="30"/>
      <c r="W1126" s="30"/>
      <c r="X1126" s="488"/>
      <c r="Y1126" s="517"/>
      <c r="Z1126" s="30"/>
      <c r="AA1126" s="30"/>
      <c r="AB1126" s="30"/>
      <c r="AC1126" s="30"/>
      <c r="AD1126" s="30"/>
      <c r="AE1126" s="30"/>
      <c r="AF1126" s="30"/>
      <c r="AG1126" s="30"/>
      <c r="AH1126" s="30"/>
      <c r="AI1126" s="30"/>
      <c r="AJ1126" s="30"/>
      <c r="AK1126" s="30"/>
      <c r="AL1126" s="333"/>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484"/>
    </row>
    <row r="1127" spans="1:78" s="140" customFormat="1" ht="12.75" customHeight="1" thickBot="1" x14ac:dyDescent="0.25">
      <c r="A1127" s="777"/>
      <c r="B1127" s="1248"/>
      <c r="C1127" s="783" t="s">
        <v>195</v>
      </c>
      <c r="D1127" s="503" t="str">
        <f>Translations!$B$634</f>
        <v>(prelim.) ITF:</v>
      </c>
      <c r="E1127" s="504"/>
      <c r="F1127" s="518"/>
      <c r="G1127" s="1603" t="str">
        <f t="shared" ref="G1127:G1133" si="273">IF(OR(ISBLANK(F1127),F1127=EUconst_NoTier),"",IF(Z1127=0,EUconst_NotApplicable,IF(ISERROR(Z1127),"",Z1127)))</f>
        <v/>
      </c>
      <c r="H1127" s="1609"/>
      <c r="I1127" s="1110" t="str">
        <f>IF(J1127&lt;&gt;"","",AI1127)</f>
        <v/>
      </c>
      <c r="J1127" s="1111"/>
      <c r="K1127" s="519" t="str">
        <f t="shared" ref="K1127:K1133" si="274">IF(L1127="",AQ1127,"")</f>
        <v/>
      </c>
      <c r="L1127" s="520"/>
      <c r="M1127" s="700" t="str">
        <f>IF(AND(E1116&lt;&gt;"",OR(F1127="",COUNT(K1127:L1127)=0),Y1127&lt;&gt;EUconst_NA,T1116&lt;&gt;TRUE),EUconst_ERR_Incomplete,IF(COUNTIF(AX1127:AZ1127,TRUE)&gt;0,EUconst_ERR_Inconsistent,""))</f>
        <v/>
      </c>
      <c r="N1127" s="486"/>
      <c r="O1127" s="1305"/>
      <c r="P1127" s="33"/>
      <c r="Q1127" s="33"/>
      <c r="R1127" s="33"/>
      <c r="S1127" s="30"/>
      <c r="T1127" s="521" t="str">
        <f>EUconst_CNTR_EF&amp;E1116</f>
        <v>EF_</v>
      </c>
      <c r="U1127" s="488"/>
      <c r="V1127" s="522" t="str">
        <f>V1125</f>
        <v/>
      </c>
      <c r="W1127" s="30"/>
      <c r="X1127" s="488"/>
      <c r="Y1127" s="523" t="str">
        <f>IF(OR(T1116=TRUE,E1116=""),"",IF(F1127=EUconst_NA,EUconst_NA,INDEX(EUwideConstants!$N:$N,MATCH(T1127,EUwideConstants!$Q:$Q,0))))</f>
        <v/>
      </c>
      <c r="Z1127" s="524" t="str">
        <f>IF(ISBLANK(F1127),"",IF(F1127=EUconst_NA,"",INDEX(EUwideConstants!$H:$M,MATCH(T1127,EUwideConstants!$Q:$Q,0),MATCH(F1127,CNTR_TierList,0))))</f>
        <v/>
      </c>
      <c r="AA1127" s="525" t="str">
        <f>IF(COUNTIF(EUconst_DefaultValues,Z1127)&gt;0,MATCH(Z1127,EUconst_DefaultValues,0),"")</f>
        <v/>
      </c>
      <c r="AB1127" s="30"/>
      <c r="AC1127" s="526" t="b">
        <f>AND(AC1125,Y1127&lt;&gt;EUconst_NA)</f>
        <v>0</v>
      </c>
      <c r="AD1127" s="30"/>
      <c r="AE1127" s="510" t="str">
        <f>EUconst_CNTR_EF&amp;EUconst_Unit</f>
        <v>EF_Vienetas</v>
      </c>
      <c r="AF1127" s="527" t="str">
        <f>IF(AC1127=TRUE, IF(COUNTIF(MSPara_SourceStreamCategory,V1127)=0,"",INDEX(MSPara_CalcFactorsMatrix,MATCH(V1127,MSPara_SourceStreamCategory,0),MATCH(AE1127&amp;"_"&amp;2,MSPara_CalcFactors,0))),"")</f>
        <v/>
      </c>
      <c r="AG1127" s="528" t="str">
        <f>IF(AC1127=TRUE, IF(COUNTIF(MSPara_SourceStreamCategory,V1127)=0,"",INDEX(MSPara_CalcFactorsMatrix,MATCH(V1127,MSPara_SourceStreamCategory,0),MATCH(AE1127&amp;"_"&amp;1,MSPara_CalcFactors,0))),"")</f>
        <v/>
      </c>
      <c r="AH1127" s="529" t="str">
        <f>IF(AA1127="","",INDEX(AF1127:AG1127,3-AA1127))</f>
        <v/>
      </c>
      <c r="AI1127" s="530" t="str">
        <f>IF(AC1127=TRUE,IF(OR(AH1127="",AH1127=EUconst_NA),IF(K1115=EUconst_Fuel,EUconst_tCO2pTJ,EUconst_tCO2pt),AH1127),"")</f>
        <v/>
      </c>
      <c r="AJ1127" s="526" t="str">
        <f>IF(J1127="",AI1127,J1127)</f>
        <v/>
      </c>
      <c r="AK1127" s="531" t="b">
        <f>IF(K1115=EUconst_Fuel,J1127&lt;&gt;"",FALSE)</f>
        <v>0</v>
      </c>
      <c r="AL1127" s="333"/>
      <c r="AM1127" s="510" t="str">
        <f>EUconst_CNTR_EF&amp;EUconst_Value</f>
        <v>EF_Vertė</v>
      </c>
      <c r="AN1127" s="532" t="str">
        <f>IF(AC1127=TRUE,IF(COUNTIF(MSPara_SourceStreamCategory,V1127)=0,"",INDEX(MSPara_CalcFactorsMatrix,MATCH(V1127,MSPara_SourceStreamCategory,0),MATCH(AM1127&amp;"_"&amp;2,MSPara_CalcFactors,0))),"")</f>
        <v/>
      </c>
      <c r="AO1127" s="533" t="str">
        <f>IF(AC1127=TRUE,IF(COUNTIF(MSPara_SourceStreamCategory,V1127)=0,"",INDEX(MSPara_CalcFactorsMatrix,MATCH(V1127,MSPara_SourceStreamCategory,0),MATCH(AM1127&amp;"_"&amp;1,MSPara_CalcFactors,0))),"")</f>
        <v/>
      </c>
      <c r="AP1127" s="526" t="b">
        <f>AND(AND(AH1127&lt;&gt;"",AJ1127&lt;&gt;""),AJ1127=AH1127)</f>
        <v>0</v>
      </c>
      <c r="AQ1127" s="534" t="str">
        <f>IF(AND(AA1127&lt;&gt;"",AP1127=TRUE),IF(OR(INDEX(AN1127:AO1127,3-AA1127)=EUconst_NA,INDEX(AN1127:AO1127,3-AA1127)=0),"",INDEX(AN1127:AO1127,3-AA1127)),"")</f>
        <v/>
      </c>
      <c r="AR1127" s="526">
        <f>IF(AC1127=TRUE,IF(COUNT(K1127:L1127)=0,0,IF(L1127="",K1127,L1127)),0)</f>
        <v>0</v>
      </c>
      <c r="AS1127" s="522" t="b">
        <f>AND(AC1127=TRUE,OR(AND(F1127&lt;&gt;"",NOT(ISNUMBER(AA1127))),L1127&lt;&gt;"",F1127="",AQ1127=""))</f>
        <v>0</v>
      </c>
      <c r="AT1127" s="522" t="b">
        <f t="shared" ref="AT1127:AT1133" si="275">AND(AC1127=TRUE,NOT(AS1127))</f>
        <v>0</v>
      </c>
      <c r="AU1127" s="30"/>
      <c r="AV1127" s="535" t="b">
        <f t="shared" ref="AV1127:AV1133" si="276">AND(ISNUMBER(AA1127),AQ1127="")</f>
        <v>0</v>
      </c>
      <c r="AW1127" s="536" t="b">
        <f t="shared" ref="AW1127:AW1133" si="277">AND(ISNUMBER(AA1127),AQ1127&lt;&gt;AR1127)</f>
        <v>0</v>
      </c>
      <c r="AX1127" s="537" t="b">
        <f>OR(AND(AJ1125=EUconst_kNm3,AJ1127=EUconst_tCO2pt),AND(AJ1125=EUconst_t,AJ1127=EUconst_tCO2pkNm3))</f>
        <v>0</v>
      </c>
      <c r="AY1127" s="522" t="b">
        <f t="shared" ref="AY1127:AY1133" si="278">AND(L1127&lt;&gt;"",Y1127=EUconst_NA)</f>
        <v>0</v>
      </c>
      <c r="AZ1127" s="30"/>
      <c r="BA1127" s="30"/>
      <c r="BB1127" s="538" t="s">
        <v>588</v>
      </c>
      <c r="BC1127" s="537" t="str">
        <f>IF(K1115=BC1125,AR1125*IF(AJ1127=EUconst_tCO2pTJ,(AR1128/1000),1)*AR1127*AR1129*AR1133,"")</f>
        <v/>
      </c>
      <c r="BD1127" s="515" t="str">
        <f>IF(K1115=BD1125,AR1125*AR1127*AR1130*AR1133,"")</f>
        <v/>
      </c>
      <c r="BE1127" s="514" t="str">
        <f>IF(K1115=BE1125,3.664*AR1125*AR1131*AR1133,"")</f>
        <v/>
      </c>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522" t="b">
        <f>OR(BZ1125,Y1127=EUconst_NA)</f>
        <v>1</v>
      </c>
    </row>
    <row r="1128" spans="1:78" s="140" customFormat="1" ht="12.75" customHeight="1" thickBot="1" x14ac:dyDescent="0.25">
      <c r="A1128" s="777"/>
      <c r="B1128" s="1248"/>
      <c r="C1128" s="783" t="s">
        <v>196</v>
      </c>
      <c r="D1128" s="503" t="str">
        <f>Translations!$B$636</f>
        <v>GŠV:</v>
      </c>
      <c r="E1128" s="504"/>
      <c r="F1128" s="539"/>
      <c r="G1128" s="1603" t="str">
        <f t="shared" si="273"/>
        <v/>
      </c>
      <c r="H1128" s="1604"/>
      <c r="I1128" s="1112" t="str">
        <f>AJ1128</f>
        <v/>
      </c>
      <c r="J1128" s="540"/>
      <c r="K1128" s="541" t="str">
        <f t="shared" si="274"/>
        <v/>
      </c>
      <c r="L1128" s="542"/>
      <c r="M1128" s="700" t="str">
        <f>IF(AND(E1116&lt;&gt;"",OR(F1128="",COUNT(K1128:L1128)=0),Y1128&lt;&gt;EUconst_NA,T1116&lt;&gt;TRUE),EUconst_ERR_Incomplete,IF(COUNTIF(AX1128:AZ1128,TRUE)&gt;0,EUconst_ERR_Inconsistent,""))</f>
        <v/>
      </c>
      <c r="O1128" s="1305"/>
      <c r="P1128" s="33"/>
      <c r="Q1128" s="33"/>
      <c r="R1128" s="33"/>
      <c r="S1128" s="30"/>
      <c r="T1128" s="543" t="str">
        <f>EUconst_CNTR_NCV&amp;E1116</f>
        <v>NCV_</v>
      </c>
      <c r="U1128" s="488"/>
      <c r="V1128" s="544" t="str">
        <f t="shared" ref="V1128:V1133" si="279">V1127</f>
        <v/>
      </c>
      <c r="W1128" s="30"/>
      <c r="X1128" s="488"/>
      <c r="Y1128" s="545" t="str">
        <f>IF(OR(T1116=TRUE,E1116=""),"",IF(F1128=EUconst_NA,EUconst_NA,INDEX(EUwideConstants!$N:$N,MATCH(T1128,EUwideConstants!$Q:$Q,0))))</f>
        <v/>
      </c>
      <c r="Z1128" s="546" t="str">
        <f>IF(ISBLANK(F1128),"",IF(F1128=EUconst_NA,"",INDEX(EUwideConstants!$H:$M,MATCH(T1128,EUwideConstants!$Q:$Q,0),MATCH(F1128,CNTR_TierList,0))))</f>
        <v/>
      </c>
      <c r="AA1128" s="547" t="str">
        <f>IF(COUNTIF(EUconst_DefaultValues,Z1128)&gt;0,MATCH(Z1128,EUconst_DefaultValues,0),"")</f>
        <v/>
      </c>
      <c r="AB1128" s="30"/>
      <c r="AC1128" s="548" t="b">
        <f>AND(AC1125,Y1128&lt;&gt;EUconst_NA)</f>
        <v>0</v>
      </c>
      <c r="AD1128" s="30"/>
      <c r="AE1128" s="549" t="str">
        <f>EUconst_CNTR_NCV&amp;EUconst_Unit</f>
        <v>NCV_Vienetas</v>
      </c>
      <c r="AF1128" s="550" t="str">
        <f>IF(AC1128=TRUE, IF(COUNTIF(MSPara_SourceStreamCategory,V1128)=0,"",INDEX(MSPara_CalcFactorsMatrix,MATCH(V1128,MSPara_SourceStreamCategory,0),MATCH(AE1128&amp;"_"&amp;2,MSPara_CalcFactors,0))),"")</f>
        <v/>
      </c>
      <c r="AG1128" s="551" t="str">
        <f>IF(AC1128=TRUE, IF(COUNTIF(MSPara_SourceStreamCategory,V1128)=0,"",INDEX(MSPara_CalcFactorsMatrix,MATCH(V1128,MSPara_SourceStreamCategory,0),MATCH(AE1128&amp;"_"&amp;1,MSPara_CalcFactors,0))),"")</f>
        <v/>
      </c>
      <c r="AH1128" s="552" t="str">
        <f>IF(AA1128="","",INDEX(AF1128:AG1128,3-AA1128))</f>
        <v/>
      </c>
      <c r="AI1128" s="553"/>
      <c r="AJ1128" s="548" t="str">
        <f>IF(AC1128=TRUE,IF(AJ1125="","",IF(AJ1125=EUconst_kNm3,EUconst_GJpkNm3,EUconst_GJpt)),"")</f>
        <v/>
      </c>
      <c r="AK1128" s="554"/>
      <c r="AL1128" s="333"/>
      <c r="AM1128" s="549" t="str">
        <f>EUconst_CNTR_NCV&amp;EUconst_Value</f>
        <v>NCV_Vertė</v>
      </c>
      <c r="AN1128" s="555" t="str">
        <f>IF(AC1128=TRUE,IF(COUNTIF(MSPara_SourceStreamCategory,V1128)=0,"",INDEX(MSPara_CalcFactorsMatrix,MATCH(V1128,MSPara_SourceStreamCategory,0),MATCH(AM1128&amp;"_"&amp;2,MSPara_CalcFactors,0))),"")</f>
        <v/>
      </c>
      <c r="AO1128" s="556" t="str">
        <f>IF(AC1128=TRUE,IF(COUNTIF(MSPara_SourceStreamCategory,V1128)=0,"",INDEX(MSPara_CalcFactorsMatrix,MATCH(V1128,MSPara_SourceStreamCategory,0),MATCH(AM1128&amp;"_"&amp;1,MSPara_CalcFactors,0))),"")</f>
        <v/>
      </c>
      <c r="AP1128" s="548" t="b">
        <f>AND(AND(AH1128&lt;&gt;"",AJ1128&lt;&gt;""),AJ1128=AH1128)</f>
        <v>0</v>
      </c>
      <c r="AQ1128" s="557" t="str">
        <f>IF(AND(AA1128&lt;&gt;"",AP1128=TRUE),IF(OR(INDEX(AN1128:AO1128,3-AA1128)=EUconst_NA,INDEX(AN1128:AO1128,3-AA1128)=0),"",INDEX(AN1128:AO1128,3-AA1128)),"")</f>
        <v/>
      </c>
      <c r="AR1128" s="548">
        <f>IF(AC1128=TRUE,IF(COUNT(K1128:L1128)=0,0,IF(L1128="",K1128,L1128)),0)</f>
        <v>0</v>
      </c>
      <c r="AS1128" s="544" t="b">
        <f>AND(AC1128=TRUE,OR(AND(F1128&lt;&gt;"",NOT(ISNUMBER(AA1128))),L1128&lt;&gt;"",F1128="",AQ1128=""))</f>
        <v>0</v>
      </c>
      <c r="AT1128" s="544" t="b">
        <f t="shared" si="275"/>
        <v>0</v>
      </c>
      <c r="AU1128" s="30"/>
      <c r="AV1128" s="558" t="b">
        <f t="shared" si="276"/>
        <v>0</v>
      </c>
      <c r="AW1128" s="559" t="b">
        <f t="shared" si="277"/>
        <v>0</v>
      </c>
      <c r="AX1128" s="30"/>
      <c r="AY1128" s="544" t="b">
        <f t="shared" si="278"/>
        <v>0</v>
      </c>
      <c r="AZ1128" s="30"/>
      <c r="BA1128" s="30"/>
      <c r="BB1128" s="538" t="s">
        <v>589</v>
      </c>
      <c r="BC1128" s="537" t="str">
        <f>IF(K1115=BC1125,AR1125*IF(AJ1127=EUconst_tCO2pTJ,(AR1128/1000),1)*AR1127*AR1129*AR1132,"")</f>
        <v/>
      </c>
      <c r="BD1128" s="515" t="str">
        <f>IF(K1115=BD1125,AR1125*AR1127*AR1130*AR1132,"")</f>
        <v/>
      </c>
      <c r="BE1128" s="514" t="str">
        <f>IF(K1115=BE1125,3.664*AR1125*AR1131*AR1132,"")</f>
        <v/>
      </c>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544" t="b">
        <f>OR(BZ1125,Y1128=EUconst_NA)</f>
        <v>1</v>
      </c>
    </row>
    <row r="1129" spans="1:78" s="140" customFormat="1" ht="12.75" customHeight="1" thickBot="1" x14ac:dyDescent="0.25">
      <c r="A1129" s="777"/>
      <c r="B1129" s="1248"/>
      <c r="C1129" s="783" t="s">
        <v>197</v>
      </c>
      <c r="D1129" s="503" t="str">
        <f>Translations!$B$638</f>
        <v>Oksidacijos koef.:</v>
      </c>
      <c r="E1129" s="504"/>
      <c r="F1129" s="539"/>
      <c r="G1129" s="1603" t="str">
        <f t="shared" si="273"/>
        <v/>
      </c>
      <c r="H1129" s="1604"/>
      <c r="I1129" s="1113" t="str">
        <f>IF(OR(AC1129=FALSE,Y1129=EUconst_NA),"","-")</f>
        <v/>
      </c>
      <c r="J1129" s="560"/>
      <c r="K1129" s="561" t="str">
        <f t="shared" si="274"/>
        <v/>
      </c>
      <c r="L1129" s="694"/>
      <c r="M1129" s="700" t="str">
        <f>IF(AND(E1116&lt;&gt;"",OR(F1129="",COUNT(K1129:L1129)=0),Y1129&lt;&gt;EUconst_NA,T1116&lt;&gt;TRUE),EUconst_ERR_Incomplete,IF(COUNTIF(AX1129:AZ1129,TRUE)&gt;0,EUconst_ERR_Inconsistent,""))</f>
        <v/>
      </c>
      <c r="O1129" s="1305"/>
      <c r="P1129" s="33"/>
      <c r="Q1129" s="33"/>
      <c r="R1129" s="33"/>
      <c r="S1129" s="30"/>
      <c r="T1129" s="543" t="str">
        <f>EUconst_CNTR_OxidationFactor&amp;E1116</f>
        <v>OxF_</v>
      </c>
      <c r="U1129" s="488"/>
      <c r="V1129" s="544" t="str">
        <f t="shared" si="279"/>
        <v/>
      </c>
      <c r="W1129" s="30"/>
      <c r="X1129" s="488"/>
      <c r="Y1129" s="545" t="str">
        <f>IF(OR(T1116=TRUE,E1116=""),"",INDEX(EUwideConstants!$N:$N,MATCH(T1129,EUwideConstants!$Q:$Q,0)))</f>
        <v/>
      </c>
      <c r="Z1129" s="546" t="str">
        <f>IF(ISBLANK(F1129),"",IF(F1129=EUconst_NA,"",INDEX(EUwideConstants!$H:$M,MATCH(T1129,EUwideConstants!$Q:$Q,0),MATCH(F1129,CNTR_TierList,0))))</f>
        <v/>
      </c>
      <c r="AA1129" s="525" t="str">
        <f>IF(F1129=1,1,"")</f>
        <v/>
      </c>
      <c r="AB1129" s="30"/>
      <c r="AC1129" s="548" t="b">
        <f>AND(AC1125,Y1129&lt;&gt;EUconst_NA)</f>
        <v>0</v>
      </c>
      <c r="AD1129" s="30"/>
      <c r="AE1129" s="563"/>
      <c r="AG1129" s="564"/>
      <c r="AH1129" s="553"/>
      <c r="AI1129" s="565"/>
      <c r="AJ1129" s="553"/>
      <c r="AK1129" s="566"/>
      <c r="AL1129" s="333"/>
      <c r="AM1129" s="549" t="str">
        <f>EUconst_CNTR_OxidationFactor&amp;EUconst_Value</f>
        <v>OxF_Vertė</v>
      </c>
      <c r="AN1129" s="567"/>
      <c r="AO1129" s="525">
        <v>1</v>
      </c>
      <c r="AP1129" s="553"/>
      <c r="AQ1129" s="568" t="str">
        <f>IF(AA1129="","",AO1129)</f>
        <v/>
      </c>
      <c r="AR1129" s="548">
        <f>IF(AC1129=TRUE,IF(COUNT(K1129:L1129)=0,0,IF(L1129="",K1129,L1129)),1)</f>
        <v>1</v>
      </c>
      <c r="AS1129" s="544" t="b">
        <f>AND(AC1129=TRUE,OR(ISNUMBER(L1129),NOT(ISNUMBER(AA1129))))</f>
        <v>0</v>
      </c>
      <c r="AT1129" s="544" t="b">
        <f t="shared" si="275"/>
        <v>0</v>
      </c>
      <c r="AU1129" s="30"/>
      <c r="AV1129" s="558" t="b">
        <f t="shared" si="276"/>
        <v>0</v>
      </c>
      <c r="AW1129" s="559" t="b">
        <f t="shared" si="277"/>
        <v>0</v>
      </c>
      <c r="AX1129" s="30"/>
      <c r="AY1129" s="585" t="b">
        <f t="shared" si="278"/>
        <v>0</v>
      </c>
      <c r="AZ1129" s="522" t="b">
        <f>AR1129&gt;100%</f>
        <v>0</v>
      </c>
      <c r="BA1129" s="30"/>
      <c r="BB1129" s="538" t="s">
        <v>287</v>
      </c>
      <c r="BC1129" s="537" t="str">
        <f>IF(K1115=BC1125,AR1125*IF(AJ1127=EUconst_tCO2pTJ,(AR1128/1000),1)*AR1127*AR1129*(1-AR1132),"")</f>
        <v/>
      </c>
      <c r="BD1129" s="515" t="str">
        <f>IF(K1115=BD1125,AR1125*AR1127*AR1130*(1-AR1132),"")</f>
        <v/>
      </c>
      <c r="BE1129" s="514" t="str">
        <f>IF(K1115=BE1125,3.664*AR1125*AR1131*(1-AR1132),"")</f>
        <v/>
      </c>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544" t="b">
        <f>OR(BZ1125,Y1129=EUconst_NA)</f>
        <v>1</v>
      </c>
    </row>
    <row r="1130" spans="1:78" s="140" customFormat="1" ht="12.75" customHeight="1" thickBot="1" x14ac:dyDescent="0.25">
      <c r="A1130" s="777"/>
      <c r="B1130" s="1248"/>
      <c r="C1130" s="783" t="s">
        <v>198</v>
      </c>
      <c r="D1130" s="503" t="str">
        <f>Translations!$B$639</f>
        <v>Konversijos koef.:</v>
      </c>
      <c r="E1130" s="504"/>
      <c r="F1130" s="539"/>
      <c r="G1130" s="1603" t="str">
        <f t="shared" si="273"/>
        <v/>
      </c>
      <c r="H1130" s="1604"/>
      <c r="I1130" s="1113" t="str">
        <f>IF(OR(AC1130=FALSE,Y1130=EUconst_NA),"","-")</f>
        <v/>
      </c>
      <c r="J1130" s="560"/>
      <c r="K1130" s="561" t="str">
        <f t="shared" si="274"/>
        <v/>
      </c>
      <c r="L1130" s="694"/>
      <c r="M1130" s="700" t="str">
        <f>IF(AND(E1116&lt;&gt;"",OR(F1130="",COUNT(K1130:L1130)=0),Y1130&lt;&gt;EUconst_NA,T1116&lt;&gt;TRUE),EUconst_ERR_Incomplete,IF(COUNTIF(AX1130:AZ1130,TRUE)&gt;0,EUconst_ERR_Inconsistent,""))</f>
        <v/>
      </c>
      <c r="O1130" s="1305"/>
      <c r="P1130" s="33"/>
      <c r="Q1130" s="33"/>
      <c r="R1130" s="33"/>
      <c r="S1130" s="30"/>
      <c r="T1130" s="543" t="str">
        <f>EUconst_CNTR_ConversionFactor&amp;E1116</f>
        <v>ConvF_</v>
      </c>
      <c r="U1130" s="488"/>
      <c r="V1130" s="544" t="str">
        <f t="shared" si="279"/>
        <v/>
      </c>
      <c r="W1130" s="30"/>
      <c r="X1130" s="488"/>
      <c r="Y1130" s="545" t="str">
        <f>IF(OR(T1116=TRUE,E1116=""),"",INDEX(EUwideConstants!$N:$N,MATCH(T1130,EUwideConstants!$Q:$Q,0)))</f>
        <v/>
      </c>
      <c r="Z1130" s="546" t="str">
        <f>IF(ISBLANK(F1130),"",IF(F1130=EUconst_NA,"",INDEX(EUwideConstants!$H:$M,MATCH(T1130,EUwideConstants!$Q:$Q,0),MATCH(F1130,CNTR_TierList,0))))</f>
        <v/>
      </c>
      <c r="AA1130" s="573" t="str">
        <f>IF(F1130=1,1,"")</f>
        <v/>
      </c>
      <c r="AB1130" s="30"/>
      <c r="AC1130" s="548" t="b">
        <f>AND(AC1125,Y1130&lt;&gt;EUconst_NA)</f>
        <v>0</v>
      </c>
      <c r="AD1130" s="30"/>
      <c r="AE1130" s="563"/>
      <c r="AG1130" s="564"/>
      <c r="AH1130" s="574"/>
      <c r="AI1130" s="565"/>
      <c r="AJ1130" s="574"/>
      <c r="AK1130" s="566"/>
      <c r="AL1130" s="333"/>
      <c r="AM1130" s="549" t="str">
        <f>EUconst_CNTR_ConversionFactor&amp;EUconst_Value</f>
        <v>ConvF_Vertė</v>
      </c>
      <c r="AN1130" s="575"/>
      <c r="AO1130" s="573">
        <v>1</v>
      </c>
      <c r="AP1130" s="574"/>
      <c r="AQ1130" s="576" t="str">
        <f>IF(AA1130="","",AO1130)</f>
        <v/>
      </c>
      <c r="AR1130" s="548">
        <f>IF(AC1130=TRUE,IF(COUNT(K1130:L1130)=0,0,IF(L1130="",K1130,L1130)),1)</f>
        <v>1</v>
      </c>
      <c r="AS1130" s="544" t="b">
        <f>AND(AC1130=TRUE,OR(ISNUMBER(L1130),NOT(ISNUMBER(AA1130))))</f>
        <v>0</v>
      </c>
      <c r="AT1130" s="544" t="b">
        <f t="shared" si="275"/>
        <v>0</v>
      </c>
      <c r="AU1130" s="30"/>
      <c r="AV1130" s="558" t="b">
        <f t="shared" si="276"/>
        <v>0</v>
      </c>
      <c r="AW1130" s="559" t="b">
        <f t="shared" si="277"/>
        <v>0</v>
      </c>
      <c r="AX1130" s="30"/>
      <c r="AY1130" s="585" t="b">
        <f t="shared" si="278"/>
        <v>0</v>
      </c>
      <c r="AZ1130" s="571" t="b">
        <f>AR1130&gt;100%</f>
        <v>0</v>
      </c>
      <c r="BA1130" s="30"/>
      <c r="BB1130" s="569" t="s">
        <v>481</v>
      </c>
      <c r="BC1130" s="570">
        <f>AR1125*AR1128/1000*(1-AR1132)</f>
        <v>0</v>
      </c>
      <c r="BD1130" s="571">
        <f>BC1130</f>
        <v>0</v>
      </c>
      <c r="BE1130" s="572">
        <f>BC1130</f>
        <v>0</v>
      </c>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544" t="b">
        <f>OR(BZ1125,Y1130=EUconst_NA)</f>
        <v>1</v>
      </c>
    </row>
    <row r="1131" spans="1:78" s="140" customFormat="1" ht="12.75" customHeight="1" thickBot="1" x14ac:dyDescent="0.25">
      <c r="A1131" s="777"/>
      <c r="B1131" s="1248"/>
      <c r="C1131" s="783" t="s">
        <v>324</v>
      </c>
      <c r="D1131" s="503" t="str">
        <f>Translations!$B$640</f>
        <v>Anglies kiekis (C):</v>
      </c>
      <c r="E1131" s="504"/>
      <c r="F1131" s="539"/>
      <c r="G1131" s="1603" t="str">
        <f t="shared" si="273"/>
        <v/>
      </c>
      <c r="H1131" s="1604"/>
      <c r="I1131" s="1113" t="str">
        <f>AJ1131</f>
        <v/>
      </c>
      <c r="J1131" s="577"/>
      <c r="K1131" s="578" t="str">
        <f t="shared" si="274"/>
        <v/>
      </c>
      <c r="L1131" s="579"/>
      <c r="M1131" s="700" t="str">
        <f>IF(AND(E1116&lt;&gt;"",OR(F1131="",COUNT(K1131:L1131)=0),Y1131&lt;&gt;EUconst_NA,T1116&lt;&gt;TRUE),EUconst_ERR_Incomplete,IF(COUNTIF(AX1131:AZ1131,TRUE)&gt;0,EUconst_ERR_Inconsistent,""))</f>
        <v/>
      </c>
      <c r="O1131" s="1305"/>
      <c r="P1131" s="33"/>
      <c r="Q1131" s="33"/>
      <c r="R1131" s="33"/>
      <c r="S1131" s="30"/>
      <c r="T1131" s="543" t="str">
        <f>EUconst_CNTR_CarbonContent&amp;E1116</f>
        <v>CarbC_</v>
      </c>
      <c r="U1131" s="488"/>
      <c r="V1131" s="544" t="str">
        <f t="shared" si="279"/>
        <v/>
      </c>
      <c r="W1131" s="30"/>
      <c r="X1131" s="488"/>
      <c r="Y1131" s="545" t="str">
        <f>IF(OR(T1116=TRUE,E1116=""),"",INDEX(EUwideConstants!$N:$N,MATCH(T1131,EUwideConstants!$Q:$Q,0)))</f>
        <v/>
      </c>
      <c r="Z1131" s="546" t="str">
        <f>IF(ISBLANK(F1131),"",IF(F1131=EUconst_NA,"",INDEX(EUwideConstants!$H:$M,MATCH(T1131,EUwideConstants!$Q:$Q,0),MATCH(F1131,CNTR_TierList,0))))</f>
        <v/>
      </c>
      <c r="AA1131" s="580" t="str">
        <f>IF(COUNTIF(EUconst_DefaultValues,Z1131)&gt;0,MATCH(Z1131,EUconst_DefaultValues,0),"")</f>
        <v/>
      </c>
      <c r="AB1131" s="30"/>
      <c r="AC1131" s="548" t="b">
        <f>AND(AC1125,Y1131&lt;&gt;EUconst_NA)</f>
        <v>0</v>
      </c>
      <c r="AD1131" s="30"/>
      <c r="AE1131" s="549" t="str">
        <f>EUconst_CNTR_CarbonContent&amp;EUconst_Unit</f>
        <v>CarbC_Vienetas</v>
      </c>
      <c r="AF1131" s="550" t="str">
        <f>IF(AC1131=TRUE, IF(COUNTIF(MSPara_SourceStreamCategory,V1131)=0,"",INDEX(MSPara_CalcFactorsMatrix,MATCH(V1131,MSPara_SourceStreamCategory,0),MATCH(AE1131&amp;"_"&amp;2,MSPara_CalcFactors,0))),"")</f>
        <v/>
      </c>
      <c r="AG1131" s="551" t="str">
        <f>IF(AC1131=TRUE, IF(COUNTIF(MSPara_SourceStreamCategory,V1131)=0,"",INDEX(MSPara_CalcFactorsMatrix,MATCH(V1131,MSPara_SourceStreamCategory,0),MATCH(AE1131&amp;"_"&amp;1,MSPara_CalcFactors,0))),"")</f>
        <v/>
      </c>
      <c r="AH1131" s="581" t="str">
        <f>IF(AA1131="","",INDEX(AF1131:AG1131,3-AA1131))</f>
        <v/>
      </c>
      <c r="AI1131" s="565"/>
      <c r="AJ1131" s="582" t="str">
        <f>IF(AC1131=TRUE,IF(AJ1125="","",IF(AJ1125=EUconst_kNm3,EUconst_tCpkNm3,EUconst_tCpt)),"")</f>
        <v/>
      </c>
      <c r="AK1131" s="566"/>
      <c r="AL1131" s="333"/>
      <c r="AM1131" s="549" t="str">
        <f>EUconst_CNTR_CarbonContent&amp;EUconst_Value</f>
        <v>CarbC_Vertė</v>
      </c>
      <c r="AN1131" s="555" t="str">
        <f>IF(AC1131=TRUE,IF(COUNTIF(MSPara_SourceStreamCategory,V1131)=0,"",INDEX(MSPara_CalcFactorsMatrix,MATCH(V1131,MSPara_SourceStreamCategory,0),MATCH(AM1131&amp;"_"&amp;2,MSPara_CalcFactors,0))),"")</f>
        <v/>
      </c>
      <c r="AO1131" s="583" t="str">
        <f>IF(AC1131=TRUE,IF(COUNTIF(MSPara_SourceStreamCategory,V1131)=0,"",INDEX(MSPara_CalcFactorsMatrix,MATCH(V1131,MSPara_SourceStreamCategory,0),MATCH(AM1131&amp;"_"&amp;1,MSPara_CalcFactors,0))),"")</f>
        <v/>
      </c>
      <c r="AP1131" s="548" t="b">
        <f>AND(AND(AH1131&lt;&gt;"",AJ1131&lt;&gt;""),AJ1131=AH1131)</f>
        <v>0</v>
      </c>
      <c r="AQ1131" s="584" t="str">
        <f>IF(AND(AA1131&lt;&gt;"",AP1131=TRUE),IF(OR(INDEX(AN1131:AO1131,3-AA1131)=EUconst_NA,INDEX(AN1131:AO1131,3-AA1131)=0),"",INDEX(AN1131:AO1131,3-AA1131)),"")</f>
        <v/>
      </c>
      <c r="AR1131" s="548">
        <f>IF(AC1131=TRUE,IF(COUNT(K1131:L1131)=0,0,IF(L1131="",K1131,L1131)),0)</f>
        <v>0</v>
      </c>
      <c r="AS1131" s="544" t="b">
        <f>AND(AC1131=TRUE,OR(AND(F1131&lt;&gt;"",NOT(ISNUMBER(AA1131))),L1131&lt;&gt;"",F1131="",AQ1131=""))</f>
        <v>0</v>
      </c>
      <c r="AT1131" s="544" t="b">
        <f t="shared" si="275"/>
        <v>0</v>
      </c>
      <c r="AU1131" s="30"/>
      <c r="AV1131" s="558" t="b">
        <f t="shared" si="276"/>
        <v>0</v>
      </c>
      <c r="AW1131" s="559" t="b">
        <f t="shared" si="277"/>
        <v>0</v>
      </c>
      <c r="AX1131" s="537" t="b">
        <f>OR(AND(AJ1125=EUconst_kNm3,AJ1131=EUconst_tCpt),AND(AJ1125=EUconst_t,AJ1131=EUconst_tCpkNm3))</f>
        <v>0</v>
      </c>
      <c r="AY1131" s="544" t="b">
        <f t="shared" si="278"/>
        <v>0</v>
      </c>
      <c r="AZ1131" s="30"/>
      <c r="BA1131" s="30"/>
      <c r="BB1131" s="569" t="s">
        <v>482</v>
      </c>
      <c r="BC1131" s="570">
        <f>AR1125*AR1128/1000*AR1132</f>
        <v>0</v>
      </c>
      <c r="BD1131" s="571">
        <f>BC1131</f>
        <v>0</v>
      </c>
      <c r="BE1131" s="572">
        <f>BC1131</f>
        <v>0</v>
      </c>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544" t="b">
        <f>OR(BZ1125,Y1131=EUconst_NA)</f>
        <v>1</v>
      </c>
    </row>
    <row r="1132" spans="1:78" s="140" customFormat="1" ht="12.75" customHeight="1" x14ac:dyDescent="0.2">
      <c r="A1132" s="777"/>
      <c r="B1132" s="1248"/>
      <c r="C1132" s="753" t="s">
        <v>325</v>
      </c>
      <c r="D1132" s="503" t="str">
        <f>Translations!$B$641</f>
        <v>Biomasės dalis (BioC):</v>
      </c>
      <c r="E1132" s="504"/>
      <c r="F1132" s="539"/>
      <c r="G1132" s="1603" t="str">
        <f t="shared" si="273"/>
        <v/>
      </c>
      <c r="H1132" s="1604"/>
      <c r="I1132" s="1113" t="str">
        <f>IF(OR(AC1132=FALSE,Y1132=EUconst_NA),"","-")</f>
        <v/>
      </c>
      <c r="J1132" s="560"/>
      <c r="K1132" s="561" t="str">
        <f t="shared" si="274"/>
        <v/>
      </c>
      <c r="L1132" s="694"/>
      <c r="M1132" s="700" t="str">
        <f>IF(AND(E1116&lt;&gt;"",OR(F1132="",COUNT(K1132:L1132)=0),Y1132&lt;&gt;EUconst_NA,T1116&lt;&gt;TRUE),EUconst_ERR_Incomplete,IF(COUNTIF(AX1132:AZ1132,TRUE)&gt;0,EUconst_ERR_Inconsistent,""))</f>
        <v/>
      </c>
      <c r="O1132" s="1305"/>
      <c r="P1132" s="635"/>
      <c r="Q1132" s="635"/>
      <c r="R1132" s="635"/>
      <c r="S1132" s="30"/>
      <c r="T1132" s="543" t="str">
        <f>EUconst_CNTR_BiomassContent&amp;E1116</f>
        <v>BioC_</v>
      </c>
      <c r="U1132" s="488"/>
      <c r="V1132" s="585" t="str">
        <f t="shared" si="279"/>
        <v/>
      </c>
      <c r="W1132" s="522" t="str">
        <f>IF(COUNTIF(MSPara_SourceStreamCategory,V1132)=0,"",INDEX(MSPara_IsFossil,MATCH(V1132,MSPara_SourceStreamCategory,0)))</f>
        <v/>
      </c>
      <c r="X1132" s="488"/>
      <c r="Y1132" s="545" t="str">
        <f>IF(OR(T1116=TRUE,E1116=""),"",IF(OR(W1132=TRUE,F1132=EUconst_NA),EUconst_NA,INDEX(EUwideConstants!$N:$N,MATCH(T1132,EUwideConstants!$Q:$Q,0))))</f>
        <v/>
      </c>
      <c r="Z1132" s="546" t="str">
        <f>IF(ISBLANK(F1132),"",IF(F1132=EUconst_NA,"",INDEX(EUwideConstants!$H:$M,MATCH(T1132,EUwideConstants!$Q:$Q,0),MATCH(F1132,CNTR_TierList,0))))</f>
        <v/>
      </c>
      <c r="AA1132" s="586" t="str">
        <f>IF(F1132=1,1,"")</f>
        <v/>
      </c>
      <c r="AB1132" s="30"/>
      <c r="AC1132" s="548" t="b">
        <f>AND(AC1125,Y1132&lt;&gt;EUconst_NA)</f>
        <v>0</v>
      </c>
      <c r="AD1132" s="30"/>
      <c r="AE1132" s="563"/>
      <c r="AG1132" s="564"/>
      <c r="AH1132" s="553"/>
      <c r="AI1132" s="565"/>
      <c r="AJ1132" s="553"/>
      <c r="AK1132" s="566"/>
      <c r="AL1132" s="333"/>
      <c r="AM1132" s="549" t="str">
        <f>EUconst_CNTR_BiomassContent&amp;EUconst_Value</f>
        <v>BioC_Vertė</v>
      </c>
      <c r="AO1132" s="587" t="str">
        <f>IF(AC1132=TRUE,IF(COUNTIF(MSPara_SourceStreamCategory,V1132)=0,"",INDEX(MSPara_CalcFactorsMatrix,MATCH(V1132,MSPara_SourceStreamCategory,0),MATCH(AM1132&amp;"_"&amp;2,MSPara_CalcFactors,0))),"")</f>
        <v/>
      </c>
      <c r="AP1132" s="553"/>
      <c r="AQ1132" s="568" t="str">
        <f>IF(OR(AA1132="",AO1132=EUconst_NA),"",AO1132)</f>
        <v/>
      </c>
      <c r="AR1132" s="548">
        <f>IF(AC1132=TRUE,IF(COUNT(K1132:L1132)=0,0,IF(L1132="",K1132,L1132)),0)</f>
        <v>0</v>
      </c>
      <c r="AS1132" s="544" t="b">
        <f>AND(AC1132=TRUE,OR(AND(F1132&lt;&gt;"",NOT(ISNUMBER(AA1132))),L1132&lt;&gt;"",F1132="",AQ1132=""))</f>
        <v>0</v>
      </c>
      <c r="AT1132" s="544" t="b">
        <f t="shared" si="275"/>
        <v>0</v>
      </c>
      <c r="AU1132" s="30"/>
      <c r="AV1132" s="558" t="b">
        <f t="shared" si="276"/>
        <v>0</v>
      </c>
      <c r="AW1132" s="559" t="b">
        <f t="shared" si="277"/>
        <v>0</v>
      </c>
      <c r="AX1132" s="30"/>
      <c r="AY1132" s="585" t="b">
        <f t="shared" si="278"/>
        <v>0</v>
      </c>
      <c r="AZ1132" s="522" t="b">
        <f>OR(AR1132&gt;100%,(AR1132+AR1133)&gt;100%)</f>
        <v>0</v>
      </c>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544" t="b">
        <f>OR(BZ1125,Y1132=EUconst_NA)</f>
        <v>1</v>
      </c>
    </row>
    <row r="1133" spans="1:78" s="140" customFormat="1" ht="12.75" customHeight="1" thickBot="1" x14ac:dyDescent="0.25">
      <c r="A1133" s="777"/>
      <c r="B1133" s="1248"/>
      <c r="C1133" s="753" t="s">
        <v>448</v>
      </c>
      <c r="D1133" s="503" t="str">
        <f>Translations!$B$647</f>
        <v>Netvarios BioC dalis:</v>
      </c>
      <c r="E1133" s="504"/>
      <c r="F1133" s="588"/>
      <c r="G1133" s="1603" t="str">
        <f t="shared" si="273"/>
        <v/>
      </c>
      <c r="H1133" s="1604"/>
      <c r="I1133" s="1114" t="str">
        <f>IF(OR(AC1133=FALSE,Y1133=EUconst_NA),"","-")</f>
        <v/>
      </c>
      <c r="J1133" s="560"/>
      <c r="K1133" s="589" t="str">
        <f t="shared" si="274"/>
        <v/>
      </c>
      <c r="L1133" s="1100"/>
      <c r="M1133" s="700" t="str">
        <f>IF(AND(E1116&lt;&gt;"",OR(F1133="",COUNT(K1133:L1133)=0),Y1133&lt;&gt;EUconst_NA,T1116&lt;&gt;TRUE),EUconst_ERR_Incomplete,IF(COUNTIF(AX1133:AZ1133,TRUE)&gt;0,EUconst_ERR_Inconsistent,""))</f>
        <v/>
      </c>
      <c r="O1133" s="1305"/>
      <c r="P1133" s="635"/>
      <c r="Q1133" s="635"/>
      <c r="R1133" s="635"/>
      <c r="S1133" s="30"/>
      <c r="T1133" s="590" t="str">
        <f>EUconst_CNTR_BiomassContent&amp;E1116</f>
        <v>BioC_</v>
      </c>
      <c r="U1133" s="488"/>
      <c r="V1133" s="570" t="str">
        <f t="shared" si="279"/>
        <v/>
      </c>
      <c r="W1133" s="571" t="str">
        <f>IF(COUNTIF(MSPara_SourceStreamCategory,V1133)=0,"",INDEX(MSPara_IsFossil,MATCH(V1133,MSPara_SourceStreamCategory,0)))</f>
        <v/>
      </c>
      <c r="X1133" s="488"/>
      <c r="Y1133" s="591" t="str">
        <f>IF(OR(T1116=TRUE,E1116=""),"",IF(OR(W1133=TRUE,F1133=EUconst_NA),EUconst_NA,INDEX(EUwideConstants!$N:$N,MATCH(T1133,EUwideConstants!$Q:$Q,0))))</f>
        <v/>
      </c>
      <c r="Z1133" s="592" t="str">
        <f>IF(ISBLANK(F1133),"",IF(F1133=EUconst_NA,"",INDEX(EUwideConstants!$H:$M,MATCH(T1133,EUwideConstants!$Q:$Q,0),MATCH(F1133,CNTR_TierList,0))))</f>
        <v/>
      </c>
      <c r="AA1133" s="593" t="str">
        <f>IF(F1133=1,1,"")</f>
        <v/>
      </c>
      <c r="AB1133" s="30"/>
      <c r="AC1133" s="594" t="b">
        <f>AND(AC1125,Y1133&lt;&gt;EUconst_NA)</f>
        <v>0</v>
      </c>
      <c r="AD1133" s="30"/>
      <c r="AE1133" s="595"/>
      <c r="AF1133" s="596"/>
      <c r="AG1133" s="597"/>
      <c r="AH1133" s="598"/>
      <c r="AI1133" s="598"/>
      <c r="AJ1133" s="598"/>
      <c r="AK1133" s="599"/>
      <c r="AL1133" s="333"/>
      <c r="AM1133" s="600" t="str">
        <f>EUconst_CNTR_BiomassContent&amp;EUconst_Value</f>
        <v>BioC_Vertė</v>
      </c>
      <c r="AN1133" s="596"/>
      <c r="AO1133" s="601" t="str">
        <f>IF(AC1133=TRUE,IF(COUNTIF(MSPara_SourceStreamCategory,V1133)=0,"",INDEX(MSPara_CalcFactorsMatrix,MATCH(V1133,MSPara_SourceStreamCategory,0),MATCH(AM1133&amp;"_"&amp;2,MSPara_CalcFactors,0))),"")</f>
        <v/>
      </c>
      <c r="AP1133" s="598"/>
      <c r="AQ1133" s="602" t="str">
        <f>IF(OR(AA1133="",AO1133=EUconst_NA),"",AO1133)</f>
        <v/>
      </c>
      <c r="AR1133" s="594">
        <f>IF(AC1133=TRUE,IF(COUNT(K1133:L1133)=0,0,IF(L1133="",K1133,L1133)),0)</f>
        <v>0</v>
      </c>
      <c r="AS1133" s="603" t="b">
        <f>AND(AC1133=TRUE,OR(AND(F1133&lt;&gt;"",NOT(ISNUMBER(AA1133))),L1133&lt;&gt;"",F1133="",AQ1133=""))</f>
        <v>0</v>
      </c>
      <c r="AT1133" s="603" t="b">
        <f t="shared" si="275"/>
        <v>0</v>
      </c>
      <c r="AU1133" s="30"/>
      <c r="AV1133" s="604" t="b">
        <f t="shared" si="276"/>
        <v>0</v>
      </c>
      <c r="AW1133" s="605" t="b">
        <f t="shared" si="277"/>
        <v>0</v>
      </c>
      <c r="AX1133" s="30"/>
      <c r="AY1133" s="570" t="b">
        <f t="shared" si="278"/>
        <v>0</v>
      </c>
      <c r="AZ1133" s="571" t="b">
        <f>OR(AR1132&gt;100%,(AR1132+AR1133)&gt;100%)</f>
        <v>0</v>
      </c>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571" t="b">
        <f>OR(BZ1125,Y1133=EUconst_NA)</f>
        <v>1</v>
      </c>
    </row>
    <row r="1134" spans="1:78" s="140" customFormat="1" ht="5.0999999999999996" customHeight="1" x14ac:dyDescent="0.2">
      <c r="A1134" s="777"/>
      <c r="B1134" s="1248"/>
      <c r="C1134" s="164"/>
      <c r="D1134" s="178"/>
      <c r="O1134" s="1305"/>
      <c r="P1134" s="33"/>
      <c r="Q1134" s="33"/>
      <c r="R1134" s="33"/>
      <c r="S1134" s="172"/>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row>
    <row r="1135" spans="1:78" s="140" customFormat="1" ht="12.75" customHeight="1" x14ac:dyDescent="0.2">
      <c r="A1135" s="777"/>
      <c r="B1135" s="1248"/>
      <c r="C1135" s="164"/>
      <c r="D1135" s="1629" t="str">
        <f>Translations!$B$674</f>
        <v>Pakopos galioja nuo:</v>
      </c>
      <c r="E1135" s="1629"/>
      <c r="F1135" s="1630"/>
      <c r="G1135" s="1014"/>
      <c r="H1135" s="606" t="str">
        <f>Translations!$B$675</f>
        <v>iki:</v>
      </c>
      <c r="I1135" s="1014"/>
      <c r="J1135" s="1620" t="str">
        <f>Translations!$B$676</f>
        <v>Atliekų katalogo numeris (jeigu taikytina):</v>
      </c>
      <c r="K1135" s="1621"/>
      <c r="L1135" s="1621"/>
      <c r="M1135" s="1622"/>
      <c r="N1135" s="1232"/>
      <c r="O1135" s="1305"/>
      <c r="P1135" s="33"/>
      <c r="Q1135" s="33"/>
      <c r="R1135" s="33"/>
      <c r="S1135" s="1233"/>
      <c r="T1135" s="483"/>
      <c r="U1135" s="483"/>
      <c r="V1135" s="48" t="b">
        <f>IF(V1125="",FALSE,INDEX(CNTR_IsWaste,MATCH(V1125,MSParameters!$A$218:$A$376,0)))</f>
        <v>0</v>
      </c>
      <c r="W1135" s="1233" t="s">
        <v>1689</v>
      </c>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2" t="b">
        <f>BZ1125</f>
        <v>1</v>
      </c>
    </row>
    <row r="1136" spans="1:78" s="140" customFormat="1" ht="5.0999999999999996" customHeight="1" x14ac:dyDescent="0.2">
      <c r="A1136" s="777"/>
      <c r="B1136" s="1248"/>
      <c r="C1136" s="164"/>
      <c r="D1136" s="606"/>
      <c r="E1136" s="486"/>
      <c r="F1136" s="486"/>
      <c r="G1136" s="486"/>
      <c r="H1136" s="486"/>
      <c r="I1136" s="486"/>
      <c r="J1136" s="486"/>
      <c r="K1136" s="486"/>
      <c r="L1136" s="486"/>
      <c r="M1136" s="486"/>
      <c r="N1136" s="486"/>
      <c r="O1136" s="1305"/>
      <c r="P1136" s="33"/>
      <c r="Q1136" s="33"/>
      <c r="R1136" s="33"/>
      <c r="S1136" s="172"/>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row>
    <row r="1137" spans="1:78" s="140" customFormat="1" ht="12.75" customHeight="1" x14ac:dyDescent="0.2">
      <c r="A1137" s="777"/>
      <c r="B1137" s="1248"/>
      <c r="C1137" s="164"/>
      <c r="D1137" s="486"/>
      <c r="E1137" s="486"/>
      <c r="F1137" s="486"/>
      <c r="G1137" s="486"/>
      <c r="H1137" s="486"/>
      <c r="I1137" s="486"/>
      <c r="J1137" s="486"/>
      <c r="K1137" s="486"/>
      <c r="L1137" s="486"/>
      <c r="M1137" s="606" t="str">
        <f>Translations!$B$677</f>
        <v>Stebėsenos plane šiam sukėlikliui suteiktas identifikatorius:</v>
      </c>
      <c r="N1137" s="705"/>
      <c r="O1137" s="1305"/>
      <c r="P1137" s="33"/>
      <c r="Q1137" s="33"/>
      <c r="R1137" s="33"/>
      <c r="S1137" s="172"/>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2" t="b">
        <f>BZ1135</f>
        <v>1</v>
      </c>
    </row>
    <row r="1138" spans="1:78" s="140" customFormat="1" ht="5.0999999999999996" customHeight="1" x14ac:dyDescent="0.2">
      <c r="A1138" s="784"/>
      <c r="B1138" s="1316"/>
      <c r="D1138" s="178"/>
      <c r="O1138" s="1317"/>
      <c r="P1138" s="488"/>
      <c r="Q1138" s="488"/>
      <c r="R1138" s="488"/>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row>
    <row r="1139" spans="1:78" s="140" customFormat="1" x14ac:dyDescent="0.2">
      <c r="A1139" s="784"/>
      <c r="B1139" s="1316"/>
      <c r="D1139" s="1618" t="str">
        <f>Translations!$B$160</f>
        <v>Pastabos:</v>
      </c>
      <c r="E1139" s="1619"/>
      <c r="F1139" s="1605"/>
      <c r="G1139" s="1606"/>
      <c r="H1139" s="1606"/>
      <c r="I1139" s="1606"/>
      <c r="J1139" s="1606"/>
      <c r="K1139" s="1606"/>
      <c r="L1139" s="1606"/>
      <c r="M1139" s="1606"/>
      <c r="N1139" s="1607"/>
      <c r="O1139" s="1317"/>
      <c r="P1139" s="488"/>
      <c r="Q1139" s="488"/>
      <c r="R1139" s="488"/>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2" t="b">
        <f>BZ1135</f>
        <v>1</v>
      </c>
    </row>
    <row r="1140" spans="1:78" s="28" customFormat="1" ht="12.75" customHeight="1" thickBot="1" x14ac:dyDescent="0.25">
      <c r="A1140" s="777"/>
      <c r="B1140" s="1312"/>
      <c r="C1140" s="490"/>
      <c r="D1140" s="491"/>
      <c r="E1140" s="492"/>
      <c r="F1140" s="490"/>
      <c r="G1140" s="493"/>
      <c r="H1140" s="493"/>
      <c r="I1140" s="493"/>
      <c r="J1140" s="493"/>
      <c r="K1140" s="493"/>
      <c r="L1140" s="493"/>
      <c r="M1140" s="493"/>
      <c r="N1140" s="493"/>
      <c r="O1140" s="1313"/>
      <c r="P1140" s="485"/>
      <c r="Q1140" s="485"/>
      <c r="R1140" s="485"/>
      <c r="S1140" s="58"/>
      <c r="T1140" s="58"/>
      <c r="U1140" s="489"/>
      <c r="V1140" s="58"/>
      <c r="W1140" s="58"/>
      <c r="X1140" s="489"/>
      <c r="Y1140" s="58"/>
      <c r="Z1140" s="58"/>
      <c r="AA1140" s="58"/>
      <c r="AB1140" s="58"/>
      <c r="AC1140" s="58"/>
      <c r="AD1140" s="58"/>
      <c r="AE1140" s="58"/>
      <c r="AF1140" s="58"/>
      <c r="AG1140" s="58"/>
      <c r="AH1140" s="58"/>
      <c r="AI1140" s="58"/>
      <c r="AJ1140" s="58"/>
      <c r="AK1140" s="58"/>
      <c r="AL1140" s="58"/>
      <c r="AM1140" s="58"/>
      <c r="AN1140" s="58"/>
      <c r="AO1140" s="58"/>
      <c r="AP1140" s="58"/>
      <c r="AQ1140" s="58"/>
      <c r="AR1140" s="58"/>
      <c r="AS1140" s="58"/>
      <c r="AT1140" s="58"/>
      <c r="AU1140" s="58"/>
      <c r="AV1140" s="58"/>
      <c r="AW1140" s="58"/>
      <c r="AX1140" s="58"/>
      <c r="AY1140" s="58"/>
      <c r="AZ1140" s="58"/>
      <c r="BA1140" s="58"/>
      <c r="BB1140" s="58"/>
      <c r="BC1140" s="58"/>
      <c r="BD1140" s="58"/>
      <c r="BE1140" s="58"/>
      <c r="BF1140" s="58"/>
      <c r="BG1140" s="58"/>
      <c r="BH1140" s="58"/>
      <c r="BI1140" s="30"/>
      <c r="BJ1140" s="30"/>
      <c r="BK1140" s="30"/>
      <c r="BL1140" s="58"/>
      <c r="BM1140" s="58"/>
      <c r="BN1140" s="58"/>
      <c r="BO1140" s="58"/>
      <c r="BP1140" s="58"/>
      <c r="BQ1140" s="58"/>
      <c r="BR1140" s="58"/>
      <c r="BS1140" s="58"/>
      <c r="BT1140" s="58"/>
      <c r="BU1140" s="58"/>
      <c r="BV1140" s="58"/>
      <c r="BW1140" s="58"/>
      <c r="BX1140" s="58"/>
      <c r="BY1140" s="58"/>
      <c r="BZ1140" s="58"/>
    </row>
    <row r="1141" spans="1:78" s="28" customFormat="1" ht="12.75" customHeight="1" thickBot="1" x14ac:dyDescent="0.25">
      <c r="A1141" s="782"/>
      <c r="B1141" s="1312"/>
      <c r="C1141" s="486"/>
      <c r="D1141" s="178"/>
      <c r="E1141" s="487"/>
      <c r="F1141" s="486"/>
      <c r="G1141" s="478"/>
      <c r="H1141" s="478"/>
      <c r="I1141" s="478"/>
      <c r="J1141" s="478"/>
      <c r="K1141" s="486"/>
      <c r="L1141" s="478"/>
      <c r="M1141" s="478"/>
      <c r="N1141" s="478"/>
      <c r="O1141" s="1313"/>
      <c r="P1141" s="485"/>
      <c r="Q1141" s="485"/>
      <c r="R1141" s="485"/>
      <c r="S1141" s="23"/>
      <c r="T1141" s="27" t="str">
        <f>IF(ISBLANK(E1142),"",MATCH(E1142,CNTR_SourceStreamNames,0))</f>
        <v/>
      </c>
      <c r="U1141" s="609" t="str">
        <f>IF(ISBLANK(E1142),"",INDEX(B_InstallationDescription!$D$71:$D$145,MATCH(E1142,CNTR_SourceStreamNames,0)))</f>
        <v/>
      </c>
      <c r="V1141" s="76"/>
      <c r="W1141" s="56"/>
      <c r="X1141" s="56"/>
      <c r="Y1141" s="56"/>
      <c r="Z1141" s="58"/>
      <c r="AA1141" s="58"/>
      <c r="AB1141" s="58"/>
      <c r="AC1141" s="58"/>
      <c r="AD1141" s="58"/>
      <c r="AE1141" s="58"/>
      <c r="AF1141" s="58"/>
      <c r="AG1141" s="58"/>
      <c r="AH1141" s="58"/>
      <c r="AI1141" s="58"/>
      <c r="AJ1141" s="58"/>
      <c r="AK1141" s="482"/>
      <c r="AL1141" s="58"/>
      <c r="AM1141" s="58"/>
      <c r="AN1141" s="58"/>
      <c r="AO1141" s="58"/>
      <c r="AP1141" s="58"/>
      <c r="AQ1141" s="58"/>
      <c r="AR1141" s="58"/>
      <c r="AS1141" s="58"/>
      <c r="AT1141" s="58"/>
      <c r="AU1141" s="58"/>
      <c r="AV1141" s="58"/>
      <c r="AW1141" s="58"/>
      <c r="AX1141" s="58"/>
      <c r="AY1141" s="58"/>
      <c r="AZ1141" s="58"/>
      <c r="BA1141" s="58"/>
      <c r="BB1141" s="58"/>
      <c r="BC1141" s="58"/>
      <c r="BD1141" s="58"/>
      <c r="BE1141" s="58"/>
      <c r="BF1141" s="58"/>
      <c r="BG1141" s="58"/>
      <c r="BH1141" s="56"/>
      <c r="BI1141" s="56"/>
      <c r="BJ1141" s="56"/>
      <c r="BK1141" s="56"/>
      <c r="BL1141" s="56"/>
      <c r="BM1141" s="56"/>
      <c r="BN1141" s="56"/>
      <c r="BO1141" s="56"/>
      <c r="BP1141" s="56"/>
      <c r="BQ1141" s="56"/>
      <c r="BR1141" s="56"/>
      <c r="BS1141" s="56"/>
      <c r="BT1141" s="56"/>
      <c r="BU1141" s="56"/>
      <c r="BV1141" s="56"/>
      <c r="BW1141" s="56"/>
      <c r="BX1141" s="56"/>
      <c r="BY1141" s="56"/>
      <c r="BZ1141" s="484" t="s">
        <v>259</v>
      </c>
    </row>
    <row r="1142" spans="1:78" s="140" customFormat="1" ht="15" customHeight="1" thickBot="1" x14ac:dyDescent="0.25">
      <c r="A1142" s="1302" t="str">
        <f>IF(E1142="","","PRINT")</f>
        <v/>
      </c>
      <c r="B1142" s="1248"/>
      <c r="C1142" s="608">
        <f>C1115+1</f>
        <v>41</v>
      </c>
      <c r="D1142" s="164"/>
      <c r="E1142" s="1610"/>
      <c r="F1142" s="1611"/>
      <c r="G1142" s="1611"/>
      <c r="H1142" s="1611"/>
      <c r="I1142" s="1611"/>
      <c r="J1142" s="1612"/>
      <c r="K1142" s="1623" t="str">
        <f>IF(E1143="","",INDEX(EUwideConstants!$F$353:$F$394,MATCH(E1143,EUConst_TierActivityListNames,0)))</f>
        <v/>
      </c>
      <c r="L1142" s="1624"/>
      <c r="M1142" s="494" t="str">
        <f>Translations!$B$665</f>
        <v>CO2, iškastinio kuro kilmės:</v>
      </c>
      <c r="N1142" s="1012" t="str">
        <f>IF(OR(K1142="",T1143=TRUE),"",INDEX(BC1156:BE1156,MATCH(K1142,BC1152:BE1152,0)))</f>
        <v/>
      </c>
      <c r="O1142" s="1314" t="s">
        <v>257</v>
      </c>
      <c r="P1142" s="1303" t="str">
        <f>IF(AND(E1142&lt;&gt;"",COUNTIF(P1143:$P$2089,"PRINT")=0),"PRINT","")</f>
        <v/>
      </c>
      <c r="Q1142" s="343" t="str">
        <f>EUconst_SumCO2 &amp; "_" &amp; K1142</f>
        <v>SUM_CO2_</v>
      </c>
      <c r="R1142" s="485"/>
      <c r="S1142" s="23"/>
      <c r="T1142" s="500" t="s">
        <v>387</v>
      </c>
      <c r="U1142" s="23"/>
      <c r="V1142" s="76"/>
      <c r="W1142" s="56"/>
      <c r="X1142" s="58"/>
      <c r="Y1142" s="58"/>
      <c r="Z1142" s="58"/>
      <c r="AA1142" s="58"/>
      <c r="AB1142" s="58"/>
      <c r="AC1142" s="58"/>
      <c r="AD1142" s="58"/>
      <c r="AE1142" s="58"/>
      <c r="AF1142" s="58"/>
      <c r="AG1142" s="58"/>
      <c r="AH1142" s="58"/>
      <c r="AI1142" s="333"/>
      <c r="AJ1142" s="333"/>
      <c r="AK1142" s="333"/>
      <c r="AL1142" s="333"/>
      <c r="AM1142" s="333"/>
      <c r="AN1142" s="333"/>
      <c r="AO1142" s="333"/>
      <c r="AP1142" s="333"/>
      <c r="AQ1142" s="333"/>
      <c r="AR1142" s="333"/>
      <c r="AS1142" s="333"/>
      <c r="AT1142" s="333"/>
      <c r="AU1142" s="333"/>
      <c r="AV1142" s="333"/>
      <c r="AW1142" s="333"/>
      <c r="AX1142" s="333"/>
      <c r="AY1142" s="333"/>
      <c r="AZ1142" s="333"/>
      <c r="BA1142" s="333"/>
      <c r="BB1142" s="333"/>
      <c r="BC1142" s="333"/>
      <c r="BD1142" s="333"/>
      <c r="BE1142" s="333"/>
      <c r="BF1142" s="333"/>
      <c r="BG1142" s="333"/>
      <c r="BH1142" s="834">
        <f>AR1152</f>
        <v>0</v>
      </c>
      <c r="BI1142" s="834" t="str">
        <f>AJ1152</f>
        <v/>
      </c>
      <c r="BJ1142" s="834">
        <f>AR1154</f>
        <v>0</v>
      </c>
      <c r="BK1142" s="834" t="str">
        <f>AJ1154</f>
        <v/>
      </c>
      <c r="BL1142" s="834">
        <f>AR1155</f>
        <v>0</v>
      </c>
      <c r="BM1142" s="834" t="str">
        <f>AJ1155</f>
        <v/>
      </c>
      <c r="BN1142" s="834">
        <f>AR1156</f>
        <v>1</v>
      </c>
      <c r="BO1142" s="834">
        <f>AR1157</f>
        <v>1</v>
      </c>
      <c r="BP1142" s="834">
        <f>AR1158</f>
        <v>0</v>
      </c>
      <c r="BQ1142" s="834" t="str">
        <f>AJ1158</f>
        <v/>
      </c>
      <c r="BR1142" s="834">
        <f>AR1159</f>
        <v>0</v>
      </c>
      <c r="BS1142" s="834">
        <f>AR1160</f>
        <v>0</v>
      </c>
      <c r="BT1142" s="834" t="str">
        <f>N1142</f>
        <v/>
      </c>
      <c r="BU1142" s="834" t="str">
        <f>N1143</f>
        <v/>
      </c>
      <c r="BV1142" s="834" t="str">
        <f>R1145</f>
        <v/>
      </c>
      <c r="BW1142" s="834" t="str">
        <f>R1151</f>
        <v/>
      </c>
      <c r="BX1142" s="834" t="str">
        <f>R1152</f>
        <v/>
      </c>
      <c r="BY1142" s="56"/>
      <c r="BZ1142" s="610" t="b">
        <f>CNTR_CalcRelevant=EUconst_NotRelevant</f>
        <v>0</v>
      </c>
    </row>
    <row r="1143" spans="1:78" s="140" customFormat="1" ht="15" customHeight="1" thickBot="1" x14ac:dyDescent="0.25">
      <c r="A1143" s="777"/>
      <c r="B1143" s="1248"/>
      <c r="C1143" s="164"/>
      <c r="D1143" s="164"/>
      <c r="E1143" s="1625" t="str">
        <f>IF(ISBLANK(E1142),"",IF(INDEX(B_InstallationDescription!$E$71:$E$145,MATCH(U1141,B_InstallationDescription!$D$71:$D$145,0))&gt;0,INDEX(B_InstallationDescription!$E$71:$E$145,MATCH(U1141,B_InstallationDescription!$D$71:$D$145,0)),""))</f>
        <v/>
      </c>
      <c r="F1143" s="1626"/>
      <c r="G1143" s="1626"/>
      <c r="H1143" s="1626"/>
      <c r="I1143" s="1626"/>
      <c r="J1143" s="1627"/>
      <c r="M1143" s="337" t="str">
        <f>Translations!$B$666</f>
        <v>CO2, biomasės kilmės.:</v>
      </c>
      <c r="N1143" s="1013" t="str">
        <f>IF(OR(K1142="",T1143=TRUE),"",INDEX(BC1155:BE1155,MATCH(K1142,BC1152:BE1152,0)))</f>
        <v/>
      </c>
      <c r="O1143" s="1315" t="s">
        <v>257</v>
      </c>
      <c r="P1143" s="485"/>
      <c r="Q1143" s="343" t="str">
        <f>EUconst_SumBioCO2 &amp; "_" &amp; K1142</f>
        <v>SUM_bioCO2_</v>
      </c>
      <c r="R1143" s="485"/>
      <c r="S1143" s="23"/>
      <c r="T1143" s="48" t="str">
        <f>IF(E1143="","",MATCH(E1143,EUConst_TierActivityListNames,0)&gt;40)</f>
        <v/>
      </c>
      <c r="U1143" s="23"/>
      <c r="V1143" s="76"/>
      <c r="W1143" s="56"/>
      <c r="X1143" s="58"/>
      <c r="Y1143" s="27" t="s">
        <v>91</v>
      </c>
      <c r="Z1143" s="30"/>
      <c r="AA1143" s="30"/>
      <c r="AB1143" s="30"/>
      <c r="AC1143" s="30"/>
      <c r="AD1143" s="30"/>
      <c r="AE1143" s="27" t="s">
        <v>297</v>
      </c>
      <c r="AF1143" s="58"/>
      <c r="AG1143" s="495"/>
      <c r="AH1143" s="30"/>
      <c r="AI1143" s="30"/>
      <c r="AJ1143" s="495"/>
      <c r="AK1143" s="495"/>
      <c r="AL1143" s="333"/>
      <c r="AM1143" s="27" t="s">
        <v>303</v>
      </c>
      <c r="AN1143" s="496"/>
      <c r="AO1143" s="496"/>
      <c r="AP1143" s="30"/>
      <c r="AQ1143" s="30"/>
      <c r="AR1143" s="30"/>
      <c r="AS1143" s="30"/>
      <c r="AT1143" s="30"/>
      <c r="AU1143" s="30"/>
      <c r="AV1143" s="27" t="s">
        <v>310</v>
      </c>
      <c r="AW1143" s="30"/>
      <c r="AX1143" s="483"/>
      <c r="AY1143" s="30"/>
      <c r="AZ1143" s="30"/>
      <c r="BA1143" s="30"/>
      <c r="BB1143" s="27" t="s">
        <v>217</v>
      </c>
      <c r="BC1143" s="30"/>
      <c r="BD1143" s="30"/>
      <c r="BE1143" s="30"/>
      <c r="BF1143" s="30"/>
      <c r="BG1143" s="27" t="s">
        <v>486</v>
      </c>
      <c r="BH1143" s="833" t="s">
        <v>552</v>
      </c>
      <c r="BI1143" s="833" t="s">
        <v>487</v>
      </c>
      <c r="BJ1143" s="833" t="s">
        <v>211</v>
      </c>
      <c r="BK1143" s="833" t="s">
        <v>488</v>
      </c>
      <c r="BL1143" s="833" t="s">
        <v>68</v>
      </c>
      <c r="BM1143" s="833" t="s">
        <v>489</v>
      </c>
      <c r="BN1143" s="833" t="s">
        <v>490</v>
      </c>
      <c r="BO1143" s="833" t="s">
        <v>491</v>
      </c>
      <c r="BP1143" s="833" t="s">
        <v>214</v>
      </c>
      <c r="BQ1143" s="833" t="s">
        <v>492</v>
      </c>
      <c r="BR1143" s="833" t="s">
        <v>493</v>
      </c>
      <c r="BS1143" s="833" t="s">
        <v>494</v>
      </c>
      <c r="BT1143" s="833" t="s">
        <v>287</v>
      </c>
      <c r="BU1143" s="833" t="s">
        <v>495</v>
      </c>
      <c r="BV1143" s="833" t="s">
        <v>498</v>
      </c>
      <c r="BW1143" s="833" t="s">
        <v>496</v>
      </c>
      <c r="BX1143" s="833" t="s">
        <v>497</v>
      </c>
      <c r="BY1143" s="30"/>
      <c r="BZ1143" s="30"/>
    </row>
    <row r="1144" spans="1:78" s="140" customFormat="1" ht="5.0999999999999996" customHeight="1" thickBot="1" x14ac:dyDescent="0.25">
      <c r="A1144" s="777"/>
      <c r="B1144" s="1248"/>
      <c r="C1144" s="164"/>
      <c r="D1144" s="164"/>
      <c r="E1144" s="164"/>
      <c r="F1144" s="164"/>
      <c r="G1144" s="164"/>
      <c r="M1144" s="141"/>
      <c r="N1144" s="141"/>
      <c r="O1144" s="1305"/>
      <c r="P1144" s="33"/>
      <c r="Q1144" s="33"/>
      <c r="R1144" s="33"/>
      <c r="S1144" s="23"/>
      <c r="T1144" s="23"/>
      <c r="U1144" s="23"/>
      <c r="V1144" s="76"/>
      <c r="W1144" s="30"/>
      <c r="X1144" s="30"/>
      <c r="Y1144" s="485"/>
      <c r="Z1144" s="30"/>
      <c r="AA1144" s="30"/>
      <c r="AB1144" s="30"/>
      <c r="AC1144" s="30"/>
      <c r="AD1144" s="30"/>
      <c r="AE1144" s="30"/>
      <c r="AF1144" s="58"/>
      <c r="AG1144" s="30"/>
      <c r="AH1144" s="30"/>
      <c r="AI1144" s="30"/>
      <c r="AJ1144" s="495"/>
      <c r="AK1144" s="495"/>
      <c r="AL1144" s="333"/>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row>
    <row r="1145" spans="1:78" s="140" customFormat="1" ht="12.75" customHeight="1" thickBot="1" x14ac:dyDescent="0.25">
      <c r="A1145" s="777"/>
      <c r="B1145" s="1248"/>
      <c r="C1145" s="164"/>
      <c r="D1145" s="164"/>
      <c r="E1145" s="1628" t="str">
        <f>IF(E1142="","",IF(T1143=TRUE,HYPERLINK("#JUMP_14",EUconst_MsgGoOnPFC),HYPERLINK("#JUMP_E_8",EUconst_FurtherGuidancePoint1)))</f>
        <v/>
      </c>
      <c r="F1145" s="1628"/>
      <c r="G1145" s="1628"/>
      <c r="H1145" s="1628"/>
      <c r="I1145" s="1628"/>
      <c r="J1145" s="1628"/>
      <c r="K1145" s="1628"/>
      <c r="L1145" s="1628"/>
      <c r="M1145" s="1628"/>
      <c r="N1145" s="141"/>
      <c r="O1145" s="1305"/>
      <c r="P1145" s="33"/>
      <c r="Q1145" s="343" t="str">
        <f>EUconst_SumNonSustBioCO2 &amp; "_" &amp; K1142</f>
        <v>SUM_bioNonSustCO2_</v>
      </c>
      <c r="R1145" s="698" t="str">
        <f>IF(OR(K1142="",T1143=TRUE),"",ROUND(INDEX(BC1154:BE1154,MATCH(K1142,BC1152:BE1152,0)),0))</f>
        <v/>
      </c>
      <c r="S1145" s="23"/>
      <c r="T1145" s="23"/>
      <c r="U1145" s="23"/>
      <c r="V1145" s="30"/>
      <c r="W1145" s="30"/>
      <c r="X1145" s="30"/>
      <c r="Y1145" s="58"/>
      <c r="Z1145" s="30"/>
      <c r="AA1145" s="30"/>
      <c r="AB1145" s="30"/>
      <c r="AC1145" s="30"/>
      <c r="AD1145" s="30"/>
      <c r="AE1145" s="30"/>
      <c r="AF1145" s="58"/>
      <c r="AG1145" s="30"/>
      <c r="AH1145" s="30"/>
      <c r="AI1145" s="30"/>
      <c r="AJ1145" s="495"/>
      <c r="AK1145" s="495"/>
      <c r="AL1145" s="333"/>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row>
    <row r="1146" spans="1:78" s="140" customFormat="1" ht="5.0999999999999996" customHeight="1" thickBot="1" x14ac:dyDescent="0.25">
      <c r="A1146" s="777"/>
      <c r="B1146" s="1248"/>
      <c r="C1146" s="164"/>
      <c r="D1146" s="164"/>
      <c r="E1146" s="164"/>
      <c r="F1146" s="164"/>
      <c r="G1146" s="164"/>
      <c r="M1146" s="141"/>
      <c r="N1146" s="141"/>
      <c r="O1146" s="1305"/>
      <c r="P1146" s="23"/>
      <c r="Q1146" s="23"/>
      <c r="R1146" s="23"/>
      <c r="S1146" s="23"/>
      <c r="T1146" s="23"/>
      <c r="U1146" s="23"/>
      <c r="V1146" s="30"/>
      <c r="W1146" s="30"/>
      <c r="X1146" s="30"/>
      <c r="Y1146" s="485"/>
      <c r="Z1146" s="30"/>
      <c r="AA1146" s="30"/>
      <c r="AB1146" s="30"/>
      <c r="AC1146" s="30"/>
      <c r="AD1146" s="30"/>
      <c r="AE1146" s="30"/>
      <c r="AF1146" s="58"/>
      <c r="AG1146" s="30"/>
      <c r="AH1146" s="30"/>
      <c r="AI1146" s="30"/>
      <c r="AJ1146" s="495"/>
      <c r="AK1146" s="495"/>
      <c r="AL1146" s="333"/>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row>
    <row r="1147" spans="1:78" s="140" customFormat="1" ht="12.75" customHeight="1" thickBot="1" x14ac:dyDescent="0.25">
      <c r="A1147" s="777"/>
      <c r="B1147" s="1248"/>
      <c r="C1147" s="783" t="s">
        <v>4</v>
      </c>
      <c r="D1147" s="503" t="str">
        <f>Translations!$B$622</f>
        <v>VD:</v>
      </c>
      <c r="E1147" s="1631" t="str">
        <f>Translations!$B$667</f>
        <v>Ar veiklos duomenys gaunami sudedant išmatuotus kiekius (t. y. ne atliekant nuolatinius matavimus)?</v>
      </c>
      <c r="F1147" s="1631"/>
      <c r="G1147" s="1631"/>
      <c r="H1147" s="1631"/>
      <c r="I1147" s="1631"/>
      <c r="J1147" s="1631"/>
      <c r="K1147" s="1631"/>
      <c r="L1147" s="1122"/>
      <c r="M1147" s="498"/>
      <c r="O1147" s="1305"/>
      <c r="P1147" s="23"/>
      <c r="Q1147" s="23"/>
      <c r="R1147" s="23"/>
      <c r="S1147" s="23"/>
      <c r="T1147" s="23"/>
      <c r="U1147" s="23"/>
      <c r="V1147" s="30"/>
      <c r="W1147" s="30"/>
      <c r="X1147" s="30"/>
      <c r="Y1147" s="485"/>
      <c r="Z1147" s="30"/>
      <c r="AA1147" s="30"/>
      <c r="AB1147" s="30"/>
      <c r="AC1147" s="1115" t="b">
        <f>AND(E1142&lt;&gt;"",T1143&lt;&gt;TRUE)</f>
        <v>0</v>
      </c>
      <c r="AD1147" s="30"/>
      <c r="AE1147" s="30"/>
      <c r="AF1147" s="58"/>
      <c r="AG1147" s="30"/>
      <c r="AH1147" s="30"/>
      <c r="AI1147" s="30"/>
      <c r="AJ1147" s="495"/>
      <c r="AK1147" s="495"/>
      <c r="AL1147" s="333"/>
      <c r="AM1147" s="30"/>
      <c r="AN1147" s="30"/>
      <c r="AO1147" s="30"/>
      <c r="AP1147" s="30"/>
      <c r="AQ1147" s="30"/>
      <c r="AR1147" s="30"/>
      <c r="AS1147" s="30"/>
      <c r="AT1147" s="1115" t="b">
        <f>MSPara_BatchReportingMandatory&lt;&gt;TRUE</f>
        <v>0</v>
      </c>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1115" t="b">
        <f>OR(CNTR_CalcRelevant=EUconst_NotRelevant,AND(COUNTA(CNTR_ListRelevantSections)&gt;0,OR(T1143=TRUE,E1142="")))</f>
        <v>1</v>
      </c>
    </row>
    <row r="1148" spans="1:78" s="140" customFormat="1" ht="5.0999999999999996" customHeight="1" thickBot="1" x14ac:dyDescent="0.25">
      <c r="A1148" s="777"/>
      <c r="B1148" s="1248"/>
      <c r="C1148" s="164"/>
      <c r="D1148" s="164"/>
      <c r="E1148" s="164"/>
      <c r="F1148" s="164"/>
      <c r="G1148" s="164"/>
      <c r="H1148" s="486"/>
      <c r="I1148" s="486"/>
      <c r="J1148" s="486"/>
      <c r="K1148" s="486"/>
      <c r="L1148" s="486"/>
      <c r="M1148" s="498"/>
      <c r="O1148" s="1305"/>
      <c r="P1148" s="23"/>
      <c r="Q1148" s="23"/>
      <c r="R1148" s="23"/>
      <c r="S1148" s="23"/>
      <c r="T1148" s="23"/>
      <c r="U1148" s="23"/>
      <c r="V1148" s="30"/>
      <c r="W1148" s="30"/>
      <c r="X1148" s="30"/>
      <c r="Y1148" s="485"/>
      <c r="Z1148" s="30"/>
      <c r="AA1148" s="30"/>
      <c r="AB1148" s="30"/>
      <c r="AC1148" s="483"/>
      <c r="AD1148" s="30"/>
      <c r="AE1148" s="30"/>
      <c r="AF1148" s="58"/>
      <c r="AG1148" s="30"/>
      <c r="AH1148" s="30"/>
      <c r="AI1148" s="30"/>
      <c r="AJ1148" s="495"/>
      <c r="AK1148" s="495"/>
      <c r="AL1148" s="333"/>
      <c r="AM1148" s="30"/>
      <c r="AN1148" s="30"/>
      <c r="AO1148" s="30"/>
      <c r="AP1148" s="30"/>
      <c r="AQ1148" s="30"/>
      <c r="AR1148" s="30"/>
      <c r="AS1148" s="30"/>
      <c r="AT1148" s="483"/>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483"/>
    </row>
    <row r="1149" spans="1:78" s="140" customFormat="1" ht="12.75" customHeight="1" thickBot="1" x14ac:dyDescent="0.25">
      <c r="A1149" s="777"/>
      <c r="B1149" s="1248"/>
      <c r="C1149" s="783" t="s">
        <v>5</v>
      </c>
      <c r="D1149" s="503" t="str">
        <f>Translations!$B$622</f>
        <v>VD:</v>
      </c>
      <c r="E1149" s="1105" t="str">
        <f>Translations!$B$668</f>
        <v>Pradinis kiekis:</v>
      </c>
      <c r="F1149" s="1123"/>
      <c r="G1149" s="1106" t="str">
        <f>Translations!$B$669</f>
        <v>Galutinis kiekis:</v>
      </c>
      <c r="H1149" s="1123"/>
      <c r="I1149" s="1106" t="str">
        <f>Translations!$B$670</f>
        <v>Įsigytas kiekis:</v>
      </c>
      <c r="J1149" s="1123"/>
      <c r="K1149" s="1106" t="str">
        <f>Translations!$B$671</f>
        <v>Perduotas kiekis:</v>
      </c>
      <c r="L1149" s="1123"/>
      <c r="M1149" s="1107" t="str">
        <f>IF(AND(L1147=TRUE,COUNT(F1149,H1149,J1149,L1149)&lt;4),EUconst_ERR_Incomplete,"")</f>
        <v/>
      </c>
      <c r="O1149" s="1305"/>
      <c r="P1149" s="23"/>
      <c r="Q1149" s="23"/>
      <c r="R1149" s="23"/>
      <c r="S1149" s="23"/>
      <c r="T1149" s="23"/>
      <c r="U1149" s="23"/>
      <c r="V1149" s="30"/>
      <c r="W1149" s="30"/>
      <c r="X1149" s="30"/>
      <c r="Y1149" s="485"/>
      <c r="Z1149" s="30"/>
      <c r="AA1149" s="30"/>
      <c r="AB1149" s="30"/>
      <c r="AC1149" s="1115" t="b">
        <f>AC1147</f>
        <v>0</v>
      </c>
      <c r="AD1149" s="30"/>
      <c r="AE1149" s="30"/>
      <c r="AF1149" s="58"/>
      <c r="AG1149" s="30"/>
      <c r="AH1149" s="30"/>
      <c r="AI1149" s="30"/>
      <c r="AJ1149" s="495"/>
      <c r="AK1149" s="495"/>
      <c r="AL1149" s="333"/>
      <c r="AM1149" s="30"/>
      <c r="AN1149" s="30"/>
      <c r="AO1149" s="30"/>
      <c r="AP1149" s="30"/>
      <c r="AQ1149" s="30"/>
      <c r="AR1149" s="30"/>
      <c r="AS1149" s="30"/>
      <c r="AT1149" s="1115" t="b">
        <f>AND(AT1147=TRUE,L1147="")</f>
        <v>0</v>
      </c>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1115" t="b">
        <f>OR(BZ1147,AND(NOT(ISBLANK(L1147)),L1147=FALSE))</f>
        <v>1</v>
      </c>
    </row>
    <row r="1150" spans="1:78" s="140" customFormat="1" ht="5.0999999999999996" customHeight="1" thickBot="1" x14ac:dyDescent="0.25">
      <c r="A1150" s="777"/>
      <c r="B1150" s="1248"/>
      <c r="C1150" s="164"/>
      <c r="D1150" s="164"/>
      <c r="E1150" s="164"/>
      <c r="F1150" s="164"/>
      <c r="G1150" s="164"/>
      <c r="M1150" s="141"/>
      <c r="N1150" s="141"/>
      <c r="O1150" s="1305"/>
      <c r="P1150" s="23"/>
      <c r="Q1150" s="23"/>
      <c r="R1150" s="23"/>
      <c r="S1150" s="23"/>
      <c r="T1150" s="23"/>
      <c r="U1150" s="23"/>
      <c r="V1150" s="30"/>
      <c r="W1150" s="30"/>
      <c r="X1150" s="30"/>
      <c r="Y1150" s="485"/>
      <c r="Z1150" s="30"/>
      <c r="AA1150" s="30"/>
      <c r="AB1150" s="30"/>
      <c r="AC1150" s="30"/>
      <c r="AD1150" s="30"/>
      <c r="AE1150" s="30"/>
      <c r="AF1150" s="58"/>
      <c r="AG1150" s="30"/>
      <c r="AH1150" s="30"/>
      <c r="AI1150" s="30"/>
      <c r="AJ1150" s="495"/>
      <c r="AK1150" s="495"/>
      <c r="AL1150" s="333"/>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row>
    <row r="1151" spans="1:78" s="140" customFormat="1" ht="12.75" customHeight="1" thickBot="1" x14ac:dyDescent="0.25">
      <c r="A1151" s="777"/>
      <c r="B1151" s="1248"/>
      <c r="C1151" s="164"/>
      <c r="D1151" s="164"/>
      <c r="E1151" s="164"/>
      <c r="F1151" s="497" t="str">
        <f>Translations!$B$333</f>
        <v>Pakopa</v>
      </c>
      <c r="G1151" s="1613" t="str">
        <f>Translations!$B$672</f>
        <v>pakopos aprašas</v>
      </c>
      <c r="H1151" s="1613"/>
      <c r="I1151" s="1608" t="str">
        <f>Translations!$B$158</f>
        <v>Vienetas</v>
      </c>
      <c r="J1151" s="1608"/>
      <c r="K1151" s="1608" t="str">
        <f>Translations!$B$673</f>
        <v>Vertė</v>
      </c>
      <c r="L1151" s="1608"/>
      <c r="M1151" s="498" t="str">
        <f>Translations!$B$610</f>
        <v>klaida</v>
      </c>
      <c r="O1151" s="1305"/>
      <c r="P1151" s="499"/>
      <c r="Q1151" s="343" t="str">
        <f>EUconst_SumEnergyIN &amp; "_" &amp; K1142</f>
        <v>SUM_EnergyIN_</v>
      </c>
      <c r="R1151" s="390" t="str">
        <f>IF(OR(K1142="",T1143)=TRUE,"",INDEX(BC1157:BE1157,MATCH(K1142,BC1152:BE1152,0)))</f>
        <v/>
      </c>
      <c r="S1151" s="30"/>
      <c r="T1151" s="480"/>
      <c r="U1151" s="30"/>
      <c r="V1151" s="500" t="s">
        <v>298</v>
      </c>
      <c r="W1151" s="30"/>
      <c r="X1151" s="30"/>
      <c r="Y1151" s="485" t="s">
        <v>560</v>
      </c>
      <c r="Z1151" s="485" t="s">
        <v>313</v>
      </c>
      <c r="AA1151" s="30"/>
      <c r="AB1151" s="30"/>
      <c r="AC1151" s="496" t="s">
        <v>304</v>
      </c>
      <c r="AD1151" s="30"/>
      <c r="AE1151" s="30"/>
      <c r="AF1151" s="483" t="s">
        <v>300</v>
      </c>
      <c r="AG1151" s="483" t="s">
        <v>301</v>
      </c>
      <c r="AH1151" s="485" t="s">
        <v>299</v>
      </c>
      <c r="AI1151" s="495" t="s">
        <v>302</v>
      </c>
      <c r="AJ1151" s="495" t="s">
        <v>561</v>
      </c>
      <c r="AK1151" s="501" t="s">
        <v>306</v>
      </c>
      <c r="AL1151" s="333"/>
      <c r="AM1151" s="30"/>
      <c r="AN1151" s="483" t="s">
        <v>300</v>
      </c>
      <c r="AO1151" s="483" t="s">
        <v>301</v>
      </c>
      <c r="AP1151" s="502" t="s">
        <v>305</v>
      </c>
      <c r="AQ1151" s="495" t="s">
        <v>563</v>
      </c>
      <c r="AR1151" s="495" t="s">
        <v>562</v>
      </c>
      <c r="AS1151" s="501" t="s">
        <v>599</v>
      </c>
      <c r="AT1151" s="501" t="s">
        <v>599</v>
      </c>
      <c r="AU1151" s="30"/>
      <c r="AV1151" s="483"/>
      <c r="AW1151" s="483"/>
      <c r="AX1151" s="483" t="s">
        <v>316</v>
      </c>
      <c r="AY1151" s="483"/>
      <c r="AZ1151" s="483"/>
      <c r="BA1151" s="483"/>
      <c r="BB1151" s="483"/>
      <c r="BC1151" s="483"/>
      <c r="BD1151" s="483"/>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484" t="s">
        <v>259</v>
      </c>
    </row>
    <row r="1152" spans="1:78" s="140" customFormat="1" ht="12.75" customHeight="1" thickBot="1" x14ac:dyDescent="0.25">
      <c r="A1152" s="777"/>
      <c r="B1152" s="1248"/>
      <c r="C1152" s="753" t="s">
        <v>194</v>
      </c>
      <c r="D1152" s="503" t="str">
        <f>Translations!$B$622</f>
        <v>VD:</v>
      </c>
      <c r="E1152" s="504"/>
      <c r="F1152" s="393"/>
      <c r="G1152" s="1603" t="str">
        <f>IF(OR(ISBLANK(F1152),F1152=EUconst_NoTier),"",IF(Z1152=0,EUconst_NA,IF(ISERROR(Z1152),"",Z1152)))</f>
        <v/>
      </c>
      <c r="H1152" s="1604"/>
      <c r="I1152" s="1108" t="str">
        <f>IF(J1152&lt;&gt;"","",AI1152)</f>
        <v/>
      </c>
      <c r="J1152" s="1109"/>
      <c r="K1152" s="1116" t="str">
        <f>IF(L1152="",AQ1152,"")</f>
        <v/>
      </c>
      <c r="L1152" s="1199"/>
      <c r="M1152" s="700" t="str">
        <f>IF(AND(E1143&lt;&gt;"",OR(F1152="",COUNT(K1152:L1152)=0),Y1152&lt;&gt;EUconst_NA,T1143&lt;&gt;TRUE),EUconst_ERR_Incomplete,IF(COUNTIF(AX1152:AZ1152,TRUE)&gt;0,EUconst_ERR_Inconsistent,""))</f>
        <v/>
      </c>
      <c r="O1152" s="1305"/>
      <c r="P1152" s="635"/>
      <c r="Q1152" s="343" t="str">
        <f>EUconst_SumBioEnergyIN &amp; "_" &amp; K1142</f>
        <v>SUM_BioEnergyIN_</v>
      </c>
      <c r="R1152" s="390" t="str">
        <f>IF(OR(K1142="",T1143)=TRUE,"",INDEX(BC1158:BE1158,MATCH(K1142,BC1152:BE1152,0)))</f>
        <v/>
      </c>
      <c r="S1152" s="30"/>
      <c r="T1152" s="505" t="str">
        <f>EUconst_CNTR_ActivityData&amp;E1143</f>
        <v>ActivityData_</v>
      </c>
      <c r="U1152" s="488"/>
      <c r="V1152" s="505" t="str">
        <f>IF(E1142="","",INDEX(B_InstallationDescription!$I$71:$I$145,MATCH(U1141,B_InstallationDescription!$D$71:$D$145,0)))</f>
        <v/>
      </c>
      <c r="W1152" s="495" t="s">
        <v>533</v>
      </c>
      <c r="X1152" s="488"/>
      <c r="Y1152" s="506" t="str">
        <f>IF(OR(T1143=TRUE,E1143=""),"",INDEX(EUwideConstants!$N:$N,MATCH(T1152,EUwideConstants!$Q:$Q,0)))</f>
        <v/>
      </c>
      <c r="Z1152" s="507" t="str">
        <f>IF(ISBLANK(F1152),"",IF(F1152=EUconst_NA,"",INDEX(EUwideConstants!$H:$M,MATCH(T1152,EUwideConstants!$Q:$Q,0),MATCH(F1152,CNTR_TierList,0))))</f>
        <v/>
      </c>
      <c r="AA1152" s="508" t="s">
        <v>299</v>
      </c>
      <c r="AB1152" s="495"/>
      <c r="AC1152" s="509" t="b">
        <f>AC1147</f>
        <v>0</v>
      </c>
      <c r="AD1152" s="30"/>
      <c r="AE1152" s="510" t="str">
        <f>EUconst_CNTR_ActivityData&amp;EUconst_Unit</f>
        <v>ActivityData_Vienetas</v>
      </c>
      <c r="AF1152" s="511" t="str">
        <f>IF(AC1152=TRUE, IF(COUNTIF(MSPara_SourceStreamCategory,V1152)=0,"",INDEX(MSPara_CalcFactorsMatrix,MATCH(V1152,MSPara_SourceStreamCategory,0),MATCH(AE1152&amp;"_"&amp;2,MSPara_CalcFactors,0))),"")</f>
        <v/>
      </c>
      <c r="AG1152" s="512" t="str">
        <f>IF(AC1152=TRUE, IF(COUNTIF(MSPara_SourceStreamCategory,V1152)=0,"",INDEX(MSPara_CalcFactorsMatrix,MATCH(V1152,MSPara_SourceStreamCategory,0),MATCH(AE1152&amp;"_"&amp;1,MSPara_CalcFactors,0))),"")</f>
        <v/>
      </c>
      <c r="AH1152" s="509" t="str">
        <f>IF(OR(AF1152="",AF1152=EUconst_NA),IF(OR(AG1152=EUconst_NA,AG1152=""),"",AG1152),AF1152)</f>
        <v/>
      </c>
      <c r="AI1152" s="506" t="str">
        <f>IF(AC1152=TRUE,IF(AH1152="",EUconst_t,AH1152),"")</f>
        <v/>
      </c>
      <c r="AJ1152" s="513" t="str">
        <f>IF(J1152="",AI1152,J1152)</f>
        <v/>
      </c>
      <c r="AK1152" s="514" t="b">
        <f>IF(K1142=EUconst_Fuel,J1152&lt;&gt;"",FALSE)</f>
        <v>0</v>
      </c>
      <c r="AL1152" s="333"/>
      <c r="AM1152" s="505" t="str">
        <f>EUconst_CNTR_ActivityData&amp;EUconst_Value</f>
        <v>ActivityData_Vertė</v>
      </c>
      <c r="AN1152" s="496"/>
      <c r="AO1152" s="496"/>
      <c r="AP1152" s="509" t="b">
        <f>AND(AND(AH1152&lt;&gt;"",AJ1152&lt;&gt;""),AJ1152=AH1152)</f>
        <v>0</v>
      </c>
      <c r="AQ1152" s="610" t="str">
        <f>IF(L1147=TRUE,SUM(F1149)-SUM(H1149)+SUM(J1149)-SUM(L1149),"")</f>
        <v/>
      </c>
      <c r="AR1152" s="509">
        <f>IF(Y1152=EUconst_NA,0,IF(COUNT(K1152:L1152)=0,0,IF(L1152="",K1152,L1152)))</f>
        <v>0</v>
      </c>
      <c r="AS1152" s="1115" t="b">
        <f>AND(AC1152=TRUE,OR(L1152&lt;&gt;"",AQ1152=""))</f>
        <v>0</v>
      </c>
      <c r="AT1152" s="1115" t="b">
        <f>AND(AC1152=TRUE,NOT(AS1152))</f>
        <v>0</v>
      </c>
      <c r="AU1152" s="30"/>
      <c r="AV1152" s="483" t="s">
        <v>309</v>
      </c>
      <c r="AW1152" s="483" t="s">
        <v>314</v>
      </c>
      <c r="AX1152" s="515"/>
      <c r="AY1152" s="30" t="s">
        <v>536</v>
      </c>
      <c r="AZ1152" s="30"/>
      <c r="BA1152" s="30"/>
      <c r="BB1152" s="495"/>
      <c r="BC1152" s="484" t="str">
        <f>EUconst_Fuel</f>
        <v>Degimas</v>
      </c>
      <c r="BD1152" s="484" t="str">
        <f>EUconst_ProcessCarbonate</f>
        <v>Proceso metu išsiskiriančios ŠESD</v>
      </c>
      <c r="BE1152" s="484" t="str">
        <f>EUconst_MassBalance</f>
        <v>Masės balansas</v>
      </c>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515" t="b">
        <f>BZ1147</f>
        <v>1</v>
      </c>
    </row>
    <row r="1153" spans="1:78" s="140" customFormat="1" ht="5.0999999999999996" customHeight="1" thickBot="1" x14ac:dyDescent="0.25">
      <c r="A1153" s="777"/>
      <c r="B1153" s="1248"/>
      <c r="C1153" s="783"/>
      <c r="D1153" s="298"/>
      <c r="F1153" s="141"/>
      <c r="G1153" s="141"/>
      <c r="H1153" s="141" t="s">
        <v>233</v>
      </c>
      <c r="I1153" s="516"/>
      <c r="J1153" s="516"/>
      <c r="K1153" s="141"/>
      <c r="L1153" s="141"/>
      <c r="M1153" s="701"/>
      <c r="O1153" s="1305"/>
      <c r="P1153" s="33"/>
      <c r="Q1153" s="33"/>
      <c r="R1153" s="33"/>
      <c r="S1153" s="30"/>
      <c r="T1153" s="153"/>
      <c r="U1153" s="488"/>
      <c r="V1153" s="30"/>
      <c r="W1153" s="30"/>
      <c r="X1153" s="488"/>
      <c r="Y1153" s="517"/>
      <c r="Z1153" s="30"/>
      <c r="AA1153" s="30"/>
      <c r="AB1153" s="30"/>
      <c r="AC1153" s="30"/>
      <c r="AD1153" s="30"/>
      <c r="AE1153" s="30"/>
      <c r="AF1153" s="30"/>
      <c r="AG1153" s="30"/>
      <c r="AH1153" s="30"/>
      <c r="AI1153" s="30"/>
      <c r="AJ1153" s="30"/>
      <c r="AK1153" s="30"/>
      <c r="AL1153" s="333"/>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484"/>
    </row>
    <row r="1154" spans="1:78" s="140" customFormat="1" ht="12.75" customHeight="1" thickBot="1" x14ac:dyDescent="0.25">
      <c r="A1154" s="777"/>
      <c r="B1154" s="1248"/>
      <c r="C1154" s="783" t="s">
        <v>195</v>
      </c>
      <c r="D1154" s="503" t="str">
        <f>Translations!$B$634</f>
        <v>(prelim.) ITF:</v>
      </c>
      <c r="E1154" s="504"/>
      <c r="F1154" s="518"/>
      <c r="G1154" s="1603" t="str">
        <f t="shared" ref="G1154:G1160" si="280">IF(OR(ISBLANK(F1154),F1154=EUconst_NoTier),"",IF(Z1154=0,EUconst_NotApplicable,IF(ISERROR(Z1154),"",Z1154)))</f>
        <v/>
      </c>
      <c r="H1154" s="1609"/>
      <c r="I1154" s="1110" t="str">
        <f>IF(J1154&lt;&gt;"","",AI1154)</f>
        <v/>
      </c>
      <c r="J1154" s="1111"/>
      <c r="K1154" s="519" t="str">
        <f t="shared" ref="K1154:K1160" si="281">IF(L1154="",AQ1154,"")</f>
        <v/>
      </c>
      <c r="L1154" s="520"/>
      <c r="M1154" s="700" t="str">
        <f>IF(AND(E1143&lt;&gt;"",OR(F1154="",COUNT(K1154:L1154)=0),Y1154&lt;&gt;EUconst_NA,T1143&lt;&gt;TRUE),EUconst_ERR_Incomplete,IF(COUNTIF(AX1154:AZ1154,TRUE)&gt;0,EUconst_ERR_Inconsistent,""))</f>
        <v/>
      </c>
      <c r="N1154" s="486"/>
      <c r="O1154" s="1305"/>
      <c r="P1154" s="33"/>
      <c r="Q1154" s="33"/>
      <c r="R1154" s="33"/>
      <c r="S1154" s="30"/>
      <c r="T1154" s="521" t="str">
        <f>EUconst_CNTR_EF&amp;E1143</f>
        <v>EF_</v>
      </c>
      <c r="U1154" s="488"/>
      <c r="V1154" s="522" t="str">
        <f>V1152</f>
        <v/>
      </c>
      <c r="W1154" s="30"/>
      <c r="X1154" s="488"/>
      <c r="Y1154" s="523" t="str">
        <f>IF(OR(T1143=TRUE,E1143=""),"",IF(F1154=EUconst_NA,EUconst_NA,INDEX(EUwideConstants!$N:$N,MATCH(T1154,EUwideConstants!$Q:$Q,0))))</f>
        <v/>
      </c>
      <c r="Z1154" s="524" t="str">
        <f>IF(ISBLANK(F1154),"",IF(F1154=EUconst_NA,"",INDEX(EUwideConstants!$H:$M,MATCH(T1154,EUwideConstants!$Q:$Q,0),MATCH(F1154,CNTR_TierList,0))))</f>
        <v/>
      </c>
      <c r="AA1154" s="525" t="str">
        <f>IF(COUNTIF(EUconst_DefaultValues,Z1154)&gt;0,MATCH(Z1154,EUconst_DefaultValues,0),"")</f>
        <v/>
      </c>
      <c r="AB1154" s="30"/>
      <c r="AC1154" s="526" t="b">
        <f>AND(AC1152,Y1154&lt;&gt;EUconst_NA)</f>
        <v>0</v>
      </c>
      <c r="AD1154" s="30"/>
      <c r="AE1154" s="510" t="str">
        <f>EUconst_CNTR_EF&amp;EUconst_Unit</f>
        <v>EF_Vienetas</v>
      </c>
      <c r="AF1154" s="527" t="str">
        <f>IF(AC1154=TRUE, IF(COUNTIF(MSPara_SourceStreamCategory,V1154)=0,"",INDEX(MSPara_CalcFactorsMatrix,MATCH(V1154,MSPara_SourceStreamCategory,0),MATCH(AE1154&amp;"_"&amp;2,MSPara_CalcFactors,0))),"")</f>
        <v/>
      </c>
      <c r="AG1154" s="528" t="str">
        <f>IF(AC1154=TRUE, IF(COUNTIF(MSPara_SourceStreamCategory,V1154)=0,"",INDEX(MSPara_CalcFactorsMatrix,MATCH(V1154,MSPara_SourceStreamCategory,0),MATCH(AE1154&amp;"_"&amp;1,MSPara_CalcFactors,0))),"")</f>
        <v/>
      </c>
      <c r="AH1154" s="529" t="str">
        <f>IF(AA1154="","",INDEX(AF1154:AG1154,3-AA1154))</f>
        <v/>
      </c>
      <c r="AI1154" s="530" t="str">
        <f>IF(AC1154=TRUE,IF(OR(AH1154="",AH1154=EUconst_NA),IF(K1142=EUconst_Fuel,EUconst_tCO2pTJ,EUconst_tCO2pt),AH1154),"")</f>
        <v/>
      </c>
      <c r="AJ1154" s="526" t="str">
        <f>IF(J1154="",AI1154,J1154)</f>
        <v/>
      </c>
      <c r="AK1154" s="531" t="b">
        <f>IF(K1142=EUconst_Fuel,J1154&lt;&gt;"",FALSE)</f>
        <v>0</v>
      </c>
      <c r="AL1154" s="333"/>
      <c r="AM1154" s="510" t="str">
        <f>EUconst_CNTR_EF&amp;EUconst_Value</f>
        <v>EF_Vertė</v>
      </c>
      <c r="AN1154" s="532" t="str">
        <f>IF(AC1154=TRUE,IF(COUNTIF(MSPara_SourceStreamCategory,V1154)=0,"",INDEX(MSPara_CalcFactorsMatrix,MATCH(V1154,MSPara_SourceStreamCategory,0),MATCH(AM1154&amp;"_"&amp;2,MSPara_CalcFactors,0))),"")</f>
        <v/>
      </c>
      <c r="AO1154" s="533" t="str">
        <f>IF(AC1154=TRUE,IF(COUNTIF(MSPara_SourceStreamCategory,V1154)=0,"",INDEX(MSPara_CalcFactorsMatrix,MATCH(V1154,MSPara_SourceStreamCategory,0),MATCH(AM1154&amp;"_"&amp;1,MSPara_CalcFactors,0))),"")</f>
        <v/>
      </c>
      <c r="AP1154" s="526" t="b">
        <f>AND(AND(AH1154&lt;&gt;"",AJ1154&lt;&gt;""),AJ1154=AH1154)</f>
        <v>0</v>
      </c>
      <c r="AQ1154" s="534" t="str">
        <f>IF(AND(AA1154&lt;&gt;"",AP1154=TRUE),IF(OR(INDEX(AN1154:AO1154,3-AA1154)=EUconst_NA,INDEX(AN1154:AO1154,3-AA1154)=0),"",INDEX(AN1154:AO1154,3-AA1154)),"")</f>
        <v/>
      </c>
      <c r="AR1154" s="526">
        <f>IF(AC1154=TRUE,IF(COUNT(K1154:L1154)=0,0,IF(L1154="",K1154,L1154)),0)</f>
        <v>0</v>
      </c>
      <c r="AS1154" s="522" t="b">
        <f>AND(AC1154=TRUE,OR(AND(F1154&lt;&gt;"",NOT(ISNUMBER(AA1154))),L1154&lt;&gt;"",F1154="",AQ1154=""))</f>
        <v>0</v>
      </c>
      <c r="AT1154" s="522" t="b">
        <f t="shared" ref="AT1154:AT1160" si="282">AND(AC1154=TRUE,NOT(AS1154))</f>
        <v>0</v>
      </c>
      <c r="AU1154" s="30"/>
      <c r="AV1154" s="535" t="b">
        <f t="shared" ref="AV1154:AV1160" si="283">AND(ISNUMBER(AA1154),AQ1154="")</f>
        <v>0</v>
      </c>
      <c r="AW1154" s="536" t="b">
        <f t="shared" ref="AW1154:AW1160" si="284">AND(ISNUMBER(AA1154),AQ1154&lt;&gt;AR1154)</f>
        <v>0</v>
      </c>
      <c r="AX1154" s="537" t="b">
        <f>OR(AND(AJ1152=EUconst_kNm3,AJ1154=EUconst_tCO2pt),AND(AJ1152=EUconst_t,AJ1154=EUconst_tCO2pkNm3))</f>
        <v>0</v>
      </c>
      <c r="AY1154" s="522" t="b">
        <f t="shared" ref="AY1154:AY1160" si="285">AND(L1154&lt;&gt;"",Y1154=EUconst_NA)</f>
        <v>0</v>
      </c>
      <c r="AZ1154" s="30"/>
      <c r="BA1154" s="30"/>
      <c r="BB1154" s="538" t="s">
        <v>588</v>
      </c>
      <c r="BC1154" s="537" t="str">
        <f>IF(K1142=BC1152,AR1152*IF(AJ1154=EUconst_tCO2pTJ,(AR1155/1000),1)*AR1154*AR1156*AR1160,"")</f>
        <v/>
      </c>
      <c r="BD1154" s="515" t="str">
        <f>IF(K1142=BD1152,AR1152*AR1154*AR1157*AR1160,"")</f>
        <v/>
      </c>
      <c r="BE1154" s="514" t="str">
        <f>IF(K1142=BE1152,3.664*AR1152*AR1158*AR1160,"")</f>
        <v/>
      </c>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522" t="b">
        <f>OR(BZ1152,Y1154=EUconst_NA)</f>
        <v>1</v>
      </c>
    </row>
    <row r="1155" spans="1:78" s="140" customFormat="1" ht="12.75" customHeight="1" thickBot="1" x14ac:dyDescent="0.25">
      <c r="A1155" s="777"/>
      <c r="B1155" s="1248"/>
      <c r="C1155" s="783" t="s">
        <v>196</v>
      </c>
      <c r="D1155" s="503" t="str">
        <f>Translations!$B$636</f>
        <v>GŠV:</v>
      </c>
      <c r="E1155" s="504"/>
      <c r="F1155" s="539"/>
      <c r="G1155" s="1603" t="str">
        <f t="shared" si="280"/>
        <v/>
      </c>
      <c r="H1155" s="1604"/>
      <c r="I1155" s="1112" t="str">
        <f>AJ1155</f>
        <v/>
      </c>
      <c r="J1155" s="540"/>
      <c r="K1155" s="541" t="str">
        <f t="shared" si="281"/>
        <v/>
      </c>
      <c r="L1155" s="542"/>
      <c r="M1155" s="700" t="str">
        <f>IF(AND(E1143&lt;&gt;"",OR(F1155="",COUNT(K1155:L1155)=0),Y1155&lt;&gt;EUconst_NA,T1143&lt;&gt;TRUE),EUconst_ERR_Incomplete,IF(COUNTIF(AX1155:AZ1155,TRUE)&gt;0,EUconst_ERR_Inconsistent,""))</f>
        <v/>
      </c>
      <c r="O1155" s="1305"/>
      <c r="P1155" s="33"/>
      <c r="Q1155" s="33"/>
      <c r="R1155" s="33"/>
      <c r="S1155" s="30"/>
      <c r="T1155" s="543" t="str">
        <f>EUconst_CNTR_NCV&amp;E1143</f>
        <v>NCV_</v>
      </c>
      <c r="U1155" s="488"/>
      <c r="V1155" s="544" t="str">
        <f t="shared" ref="V1155:V1160" si="286">V1154</f>
        <v/>
      </c>
      <c r="W1155" s="30"/>
      <c r="X1155" s="488"/>
      <c r="Y1155" s="545" t="str">
        <f>IF(OR(T1143=TRUE,E1143=""),"",IF(F1155=EUconst_NA,EUconst_NA,INDEX(EUwideConstants!$N:$N,MATCH(T1155,EUwideConstants!$Q:$Q,0))))</f>
        <v/>
      </c>
      <c r="Z1155" s="546" t="str">
        <f>IF(ISBLANK(F1155),"",IF(F1155=EUconst_NA,"",INDEX(EUwideConstants!$H:$M,MATCH(T1155,EUwideConstants!$Q:$Q,0),MATCH(F1155,CNTR_TierList,0))))</f>
        <v/>
      </c>
      <c r="AA1155" s="547" t="str">
        <f>IF(COUNTIF(EUconst_DefaultValues,Z1155)&gt;0,MATCH(Z1155,EUconst_DefaultValues,0),"")</f>
        <v/>
      </c>
      <c r="AB1155" s="30"/>
      <c r="AC1155" s="548" t="b">
        <f>AND(AC1152,Y1155&lt;&gt;EUconst_NA)</f>
        <v>0</v>
      </c>
      <c r="AD1155" s="30"/>
      <c r="AE1155" s="549" t="str">
        <f>EUconst_CNTR_NCV&amp;EUconst_Unit</f>
        <v>NCV_Vienetas</v>
      </c>
      <c r="AF1155" s="550" t="str">
        <f>IF(AC1155=TRUE, IF(COUNTIF(MSPara_SourceStreamCategory,V1155)=0,"",INDEX(MSPara_CalcFactorsMatrix,MATCH(V1155,MSPara_SourceStreamCategory,0),MATCH(AE1155&amp;"_"&amp;2,MSPara_CalcFactors,0))),"")</f>
        <v/>
      </c>
      <c r="AG1155" s="551" t="str">
        <f>IF(AC1155=TRUE, IF(COUNTIF(MSPara_SourceStreamCategory,V1155)=0,"",INDEX(MSPara_CalcFactorsMatrix,MATCH(V1155,MSPara_SourceStreamCategory,0),MATCH(AE1155&amp;"_"&amp;1,MSPara_CalcFactors,0))),"")</f>
        <v/>
      </c>
      <c r="AH1155" s="552" t="str">
        <f>IF(AA1155="","",INDEX(AF1155:AG1155,3-AA1155))</f>
        <v/>
      </c>
      <c r="AI1155" s="553"/>
      <c r="AJ1155" s="548" t="str">
        <f>IF(AC1155=TRUE,IF(AJ1152="","",IF(AJ1152=EUconst_kNm3,EUconst_GJpkNm3,EUconst_GJpt)),"")</f>
        <v/>
      </c>
      <c r="AK1155" s="554"/>
      <c r="AL1155" s="333"/>
      <c r="AM1155" s="549" t="str">
        <f>EUconst_CNTR_NCV&amp;EUconst_Value</f>
        <v>NCV_Vertė</v>
      </c>
      <c r="AN1155" s="555" t="str">
        <f>IF(AC1155=TRUE,IF(COUNTIF(MSPara_SourceStreamCategory,V1155)=0,"",INDEX(MSPara_CalcFactorsMatrix,MATCH(V1155,MSPara_SourceStreamCategory,0),MATCH(AM1155&amp;"_"&amp;2,MSPara_CalcFactors,0))),"")</f>
        <v/>
      </c>
      <c r="AO1155" s="556" t="str">
        <f>IF(AC1155=TRUE,IF(COUNTIF(MSPara_SourceStreamCategory,V1155)=0,"",INDEX(MSPara_CalcFactorsMatrix,MATCH(V1155,MSPara_SourceStreamCategory,0),MATCH(AM1155&amp;"_"&amp;1,MSPara_CalcFactors,0))),"")</f>
        <v/>
      </c>
      <c r="AP1155" s="548" t="b">
        <f>AND(AND(AH1155&lt;&gt;"",AJ1155&lt;&gt;""),AJ1155=AH1155)</f>
        <v>0</v>
      </c>
      <c r="AQ1155" s="557" t="str">
        <f>IF(AND(AA1155&lt;&gt;"",AP1155=TRUE),IF(OR(INDEX(AN1155:AO1155,3-AA1155)=EUconst_NA,INDEX(AN1155:AO1155,3-AA1155)=0),"",INDEX(AN1155:AO1155,3-AA1155)),"")</f>
        <v/>
      </c>
      <c r="AR1155" s="548">
        <f>IF(AC1155=TRUE,IF(COUNT(K1155:L1155)=0,0,IF(L1155="",K1155,L1155)),0)</f>
        <v>0</v>
      </c>
      <c r="AS1155" s="544" t="b">
        <f>AND(AC1155=TRUE,OR(AND(F1155&lt;&gt;"",NOT(ISNUMBER(AA1155))),L1155&lt;&gt;"",F1155="",AQ1155=""))</f>
        <v>0</v>
      </c>
      <c r="AT1155" s="544" t="b">
        <f t="shared" si="282"/>
        <v>0</v>
      </c>
      <c r="AU1155" s="30"/>
      <c r="AV1155" s="558" t="b">
        <f t="shared" si="283"/>
        <v>0</v>
      </c>
      <c r="AW1155" s="559" t="b">
        <f t="shared" si="284"/>
        <v>0</v>
      </c>
      <c r="AX1155" s="30"/>
      <c r="AY1155" s="544" t="b">
        <f t="shared" si="285"/>
        <v>0</v>
      </c>
      <c r="AZ1155" s="30"/>
      <c r="BA1155" s="30"/>
      <c r="BB1155" s="538" t="s">
        <v>589</v>
      </c>
      <c r="BC1155" s="537" t="str">
        <f>IF(K1142=BC1152,AR1152*IF(AJ1154=EUconst_tCO2pTJ,(AR1155/1000),1)*AR1154*AR1156*AR1159,"")</f>
        <v/>
      </c>
      <c r="BD1155" s="515" t="str">
        <f>IF(K1142=BD1152,AR1152*AR1154*AR1157*AR1159,"")</f>
        <v/>
      </c>
      <c r="BE1155" s="514" t="str">
        <f>IF(K1142=BE1152,3.664*AR1152*AR1158*AR1159,"")</f>
        <v/>
      </c>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544" t="b">
        <f>OR(BZ1152,Y1155=EUconst_NA)</f>
        <v>1</v>
      </c>
    </row>
    <row r="1156" spans="1:78" s="140" customFormat="1" ht="12.75" customHeight="1" thickBot="1" x14ac:dyDescent="0.25">
      <c r="A1156" s="777"/>
      <c r="B1156" s="1248"/>
      <c r="C1156" s="783" t="s">
        <v>197</v>
      </c>
      <c r="D1156" s="503" t="str">
        <f>Translations!$B$638</f>
        <v>Oksidacijos koef.:</v>
      </c>
      <c r="E1156" s="504"/>
      <c r="F1156" s="539"/>
      <c r="G1156" s="1603" t="str">
        <f t="shared" si="280"/>
        <v/>
      </c>
      <c r="H1156" s="1604"/>
      <c r="I1156" s="1113" t="str">
        <f>IF(OR(AC1156=FALSE,Y1156=EUconst_NA),"","-")</f>
        <v/>
      </c>
      <c r="J1156" s="560"/>
      <c r="K1156" s="561" t="str">
        <f t="shared" si="281"/>
        <v/>
      </c>
      <c r="L1156" s="694"/>
      <c r="M1156" s="700" t="str">
        <f>IF(AND(E1143&lt;&gt;"",OR(F1156="",COUNT(K1156:L1156)=0),Y1156&lt;&gt;EUconst_NA,T1143&lt;&gt;TRUE),EUconst_ERR_Incomplete,IF(COUNTIF(AX1156:AZ1156,TRUE)&gt;0,EUconst_ERR_Inconsistent,""))</f>
        <v/>
      </c>
      <c r="O1156" s="1305"/>
      <c r="P1156" s="33"/>
      <c r="Q1156" s="33"/>
      <c r="R1156" s="33"/>
      <c r="S1156" s="30"/>
      <c r="T1156" s="543" t="str">
        <f>EUconst_CNTR_OxidationFactor&amp;E1143</f>
        <v>OxF_</v>
      </c>
      <c r="U1156" s="488"/>
      <c r="V1156" s="544" t="str">
        <f t="shared" si="286"/>
        <v/>
      </c>
      <c r="W1156" s="30"/>
      <c r="X1156" s="488"/>
      <c r="Y1156" s="545" t="str">
        <f>IF(OR(T1143=TRUE,E1143=""),"",INDEX(EUwideConstants!$N:$N,MATCH(T1156,EUwideConstants!$Q:$Q,0)))</f>
        <v/>
      </c>
      <c r="Z1156" s="546" t="str">
        <f>IF(ISBLANK(F1156),"",IF(F1156=EUconst_NA,"",INDEX(EUwideConstants!$H:$M,MATCH(T1156,EUwideConstants!$Q:$Q,0),MATCH(F1156,CNTR_TierList,0))))</f>
        <v/>
      </c>
      <c r="AA1156" s="525" t="str">
        <f>IF(F1156=1,1,"")</f>
        <v/>
      </c>
      <c r="AB1156" s="30"/>
      <c r="AC1156" s="548" t="b">
        <f>AND(AC1152,Y1156&lt;&gt;EUconst_NA)</f>
        <v>0</v>
      </c>
      <c r="AD1156" s="30"/>
      <c r="AE1156" s="563"/>
      <c r="AG1156" s="564"/>
      <c r="AH1156" s="553"/>
      <c r="AI1156" s="565"/>
      <c r="AJ1156" s="553"/>
      <c r="AK1156" s="566"/>
      <c r="AL1156" s="333"/>
      <c r="AM1156" s="549" t="str">
        <f>EUconst_CNTR_OxidationFactor&amp;EUconst_Value</f>
        <v>OxF_Vertė</v>
      </c>
      <c r="AN1156" s="567"/>
      <c r="AO1156" s="525">
        <v>1</v>
      </c>
      <c r="AP1156" s="553"/>
      <c r="AQ1156" s="568" t="str">
        <f>IF(AA1156="","",AO1156)</f>
        <v/>
      </c>
      <c r="AR1156" s="548">
        <f>IF(AC1156=TRUE,IF(COUNT(K1156:L1156)=0,0,IF(L1156="",K1156,L1156)),1)</f>
        <v>1</v>
      </c>
      <c r="AS1156" s="544" t="b">
        <f>AND(AC1156=TRUE,OR(ISNUMBER(L1156),NOT(ISNUMBER(AA1156))))</f>
        <v>0</v>
      </c>
      <c r="AT1156" s="544" t="b">
        <f t="shared" si="282"/>
        <v>0</v>
      </c>
      <c r="AU1156" s="30"/>
      <c r="AV1156" s="558" t="b">
        <f t="shared" si="283"/>
        <v>0</v>
      </c>
      <c r="AW1156" s="559" t="b">
        <f t="shared" si="284"/>
        <v>0</v>
      </c>
      <c r="AX1156" s="30"/>
      <c r="AY1156" s="585" t="b">
        <f t="shared" si="285"/>
        <v>0</v>
      </c>
      <c r="AZ1156" s="522" t="b">
        <f>AR1156&gt;100%</f>
        <v>0</v>
      </c>
      <c r="BA1156" s="30"/>
      <c r="BB1156" s="538" t="s">
        <v>287</v>
      </c>
      <c r="BC1156" s="537" t="str">
        <f>IF(K1142=BC1152,AR1152*IF(AJ1154=EUconst_tCO2pTJ,(AR1155/1000),1)*AR1154*AR1156*(1-AR1159),"")</f>
        <v/>
      </c>
      <c r="BD1156" s="515" t="str">
        <f>IF(K1142=BD1152,AR1152*AR1154*AR1157*(1-AR1159),"")</f>
        <v/>
      </c>
      <c r="BE1156" s="514" t="str">
        <f>IF(K1142=BE1152,3.664*AR1152*AR1158*(1-AR1159),"")</f>
        <v/>
      </c>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544" t="b">
        <f>OR(BZ1152,Y1156=EUconst_NA)</f>
        <v>1</v>
      </c>
    </row>
    <row r="1157" spans="1:78" s="140" customFormat="1" ht="12.75" customHeight="1" thickBot="1" x14ac:dyDescent="0.25">
      <c r="A1157" s="777"/>
      <c r="B1157" s="1248"/>
      <c r="C1157" s="783" t="s">
        <v>198</v>
      </c>
      <c r="D1157" s="503" t="str">
        <f>Translations!$B$639</f>
        <v>Konversijos koef.:</v>
      </c>
      <c r="E1157" s="504"/>
      <c r="F1157" s="539"/>
      <c r="G1157" s="1603" t="str">
        <f t="shared" si="280"/>
        <v/>
      </c>
      <c r="H1157" s="1604"/>
      <c r="I1157" s="1113" t="str">
        <f>IF(OR(AC1157=FALSE,Y1157=EUconst_NA),"","-")</f>
        <v/>
      </c>
      <c r="J1157" s="560"/>
      <c r="K1157" s="561" t="str">
        <f t="shared" si="281"/>
        <v/>
      </c>
      <c r="L1157" s="694"/>
      <c r="M1157" s="700" t="str">
        <f>IF(AND(E1143&lt;&gt;"",OR(F1157="",COUNT(K1157:L1157)=0),Y1157&lt;&gt;EUconst_NA,T1143&lt;&gt;TRUE),EUconst_ERR_Incomplete,IF(COUNTIF(AX1157:AZ1157,TRUE)&gt;0,EUconst_ERR_Inconsistent,""))</f>
        <v/>
      </c>
      <c r="O1157" s="1305"/>
      <c r="P1157" s="33"/>
      <c r="Q1157" s="33"/>
      <c r="R1157" s="33"/>
      <c r="S1157" s="30"/>
      <c r="T1157" s="543" t="str">
        <f>EUconst_CNTR_ConversionFactor&amp;E1143</f>
        <v>ConvF_</v>
      </c>
      <c r="U1157" s="488"/>
      <c r="V1157" s="544" t="str">
        <f t="shared" si="286"/>
        <v/>
      </c>
      <c r="W1157" s="30"/>
      <c r="X1157" s="488"/>
      <c r="Y1157" s="545" t="str">
        <f>IF(OR(T1143=TRUE,E1143=""),"",INDEX(EUwideConstants!$N:$N,MATCH(T1157,EUwideConstants!$Q:$Q,0)))</f>
        <v/>
      </c>
      <c r="Z1157" s="546" t="str">
        <f>IF(ISBLANK(F1157),"",IF(F1157=EUconst_NA,"",INDEX(EUwideConstants!$H:$M,MATCH(T1157,EUwideConstants!$Q:$Q,0),MATCH(F1157,CNTR_TierList,0))))</f>
        <v/>
      </c>
      <c r="AA1157" s="573" t="str">
        <f>IF(F1157=1,1,"")</f>
        <v/>
      </c>
      <c r="AB1157" s="30"/>
      <c r="AC1157" s="548" t="b">
        <f>AND(AC1152,Y1157&lt;&gt;EUconst_NA)</f>
        <v>0</v>
      </c>
      <c r="AD1157" s="30"/>
      <c r="AE1157" s="563"/>
      <c r="AG1157" s="564"/>
      <c r="AH1157" s="574"/>
      <c r="AI1157" s="565"/>
      <c r="AJ1157" s="574"/>
      <c r="AK1157" s="566"/>
      <c r="AL1157" s="333"/>
      <c r="AM1157" s="549" t="str">
        <f>EUconst_CNTR_ConversionFactor&amp;EUconst_Value</f>
        <v>ConvF_Vertė</v>
      </c>
      <c r="AN1157" s="575"/>
      <c r="AO1157" s="573">
        <v>1</v>
      </c>
      <c r="AP1157" s="574"/>
      <c r="AQ1157" s="576" t="str">
        <f>IF(AA1157="","",AO1157)</f>
        <v/>
      </c>
      <c r="AR1157" s="548">
        <f>IF(AC1157=TRUE,IF(COUNT(K1157:L1157)=0,0,IF(L1157="",K1157,L1157)),1)</f>
        <v>1</v>
      </c>
      <c r="AS1157" s="544" t="b">
        <f>AND(AC1157=TRUE,OR(ISNUMBER(L1157),NOT(ISNUMBER(AA1157))))</f>
        <v>0</v>
      </c>
      <c r="AT1157" s="544" t="b">
        <f t="shared" si="282"/>
        <v>0</v>
      </c>
      <c r="AU1157" s="30"/>
      <c r="AV1157" s="558" t="b">
        <f t="shared" si="283"/>
        <v>0</v>
      </c>
      <c r="AW1157" s="559" t="b">
        <f t="shared" si="284"/>
        <v>0</v>
      </c>
      <c r="AX1157" s="30"/>
      <c r="AY1157" s="585" t="b">
        <f t="shared" si="285"/>
        <v>0</v>
      </c>
      <c r="AZ1157" s="571" t="b">
        <f>AR1157&gt;100%</f>
        <v>0</v>
      </c>
      <c r="BA1157" s="30"/>
      <c r="BB1157" s="569" t="s">
        <v>481</v>
      </c>
      <c r="BC1157" s="570">
        <f>AR1152*AR1155/1000*(1-AR1159)</f>
        <v>0</v>
      </c>
      <c r="BD1157" s="571">
        <f>BC1157</f>
        <v>0</v>
      </c>
      <c r="BE1157" s="572">
        <f>BC1157</f>
        <v>0</v>
      </c>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544" t="b">
        <f>OR(BZ1152,Y1157=EUconst_NA)</f>
        <v>1</v>
      </c>
    </row>
    <row r="1158" spans="1:78" s="140" customFormat="1" ht="12.75" customHeight="1" thickBot="1" x14ac:dyDescent="0.25">
      <c r="A1158" s="777"/>
      <c r="B1158" s="1248"/>
      <c r="C1158" s="783" t="s">
        <v>324</v>
      </c>
      <c r="D1158" s="503" t="str">
        <f>Translations!$B$640</f>
        <v>Anglies kiekis (C):</v>
      </c>
      <c r="E1158" s="504"/>
      <c r="F1158" s="539"/>
      <c r="G1158" s="1603" t="str">
        <f t="shared" si="280"/>
        <v/>
      </c>
      <c r="H1158" s="1604"/>
      <c r="I1158" s="1113" t="str">
        <f>AJ1158</f>
        <v/>
      </c>
      <c r="J1158" s="577"/>
      <c r="K1158" s="578" t="str">
        <f t="shared" si="281"/>
        <v/>
      </c>
      <c r="L1158" s="579"/>
      <c r="M1158" s="700" t="str">
        <f>IF(AND(E1143&lt;&gt;"",OR(F1158="",COUNT(K1158:L1158)=0),Y1158&lt;&gt;EUconst_NA,T1143&lt;&gt;TRUE),EUconst_ERR_Incomplete,IF(COUNTIF(AX1158:AZ1158,TRUE)&gt;0,EUconst_ERR_Inconsistent,""))</f>
        <v/>
      </c>
      <c r="O1158" s="1305"/>
      <c r="P1158" s="33"/>
      <c r="Q1158" s="33"/>
      <c r="R1158" s="33"/>
      <c r="S1158" s="30"/>
      <c r="T1158" s="543" t="str">
        <f>EUconst_CNTR_CarbonContent&amp;E1143</f>
        <v>CarbC_</v>
      </c>
      <c r="U1158" s="488"/>
      <c r="V1158" s="544" t="str">
        <f t="shared" si="286"/>
        <v/>
      </c>
      <c r="W1158" s="30"/>
      <c r="X1158" s="488"/>
      <c r="Y1158" s="545" t="str">
        <f>IF(OR(T1143=TRUE,E1143=""),"",INDEX(EUwideConstants!$N:$N,MATCH(T1158,EUwideConstants!$Q:$Q,0)))</f>
        <v/>
      </c>
      <c r="Z1158" s="546" t="str">
        <f>IF(ISBLANK(F1158),"",IF(F1158=EUconst_NA,"",INDEX(EUwideConstants!$H:$M,MATCH(T1158,EUwideConstants!$Q:$Q,0),MATCH(F1158,CNTR_TierList,0))))</f>
        <v/>
      </c>
      <c r="AA1158" s="580" t="str">
        <f>IF(COUNTIF(EUconst_DefaultValues,Z1158)&gt;0,MATCH(Z1158,EUconst_DefaultValues,0),"")</f>
        <v/>
      </c>
      <c r="AB1158" s="30"/>
      <c r="AC1158" s="548" t="b">
        <f>AND(AC1152,Y1158&lt;&gt;EUconst_NA)</f>
        <v>0</v>
      </c>
      <c r="AD1158" s="30"/>
      <c r="AE1158" s="549" t="str">
        <f>EUconst_CNTR_CarbonContent&amp;EUconst_Unit</f>
        <v>CarbC_Vienetas</v>
      </c>
      <c r="AF1158" s="550" t="str">
        <f>IF(AC1158=TRUE, IF(COUNTIF(MSPara_SourceStreamCategory,V1158)=0,"",INDEX(MSPara_CalcFactorsMatrix,MATCH(V1158,MSPara_SourceStreamCategory,0),MATCH(AE1158&amp;"_"&amp;2,MSPara_CalcFactors,0))),"")</f>
        <v/>
      </c>
      <c r="AG1158" s="551" t="str">
        <f>IF(AC1158=TRUE, IF(COUNTIF(MSPara_SourceStreamCategory,V1158)=0,"",INDEX(MSPara_CalcFactorsMatrix,MATCH(V1158,MSPara_SourceStreamCategory,0),MATCH(AE1158&amp;"_"&amp;1,MSPara_CalcFactors,0))),"")</f>
        <v/>
      </c>
      <c r="AH1158" s="581" t="str">
        <f>IF(AA1158="","",INDEX(AF1158:AG1158,3-AA1158))</f>
        <v/>
      </c>
      <c r="AI1158" s="565"/>
      <c r="AJ1158" s="582" t="str">
        <f>IF(AC1158=TRUE,IF(AJ1152="","",IF(AJ1152=EUconst_kNm3,EUconst_tCpkNm3,EUconst_tCpt)),"")</f>
        <v/>
      </c>
      <c r="AK1158" s="566"/>
      <c r="AL1158" s="333"/>
      <c r="AM1158" s="549" t="str">
        <f>EUconst_CNTR_CarbonContent&amp;EUconst_Value</f>
        <v>CarbC_Vertė</v>
      </c>
      <c r="AN1158" s="555" t="str">
        <f>IF(AC1158=TRUE,IF(COUNTIF(MSPara_SourceStreamCategory,V1158)=0,"",INDEX(MSPara_CalcFactorsMatrix,MATCH(V1158,MSPara_SourceStreamCategory,0),MATCH(AM1158&amp;"_"&amp;2,MSPara_CalcFactors,0))),"")</f>
        <v/>
      </c>
      <c r="AO1158" s="583" t="str">
        <f>IF(AC1158=TRUE,IF(COUNTIF(MSPara_SourceStreamCategory,V1158)=0,"",INDEX(MSPara_CalcFactorsMatrix,MATCH(V1158,MSPara_SourceStreamCategory,0),MATCH(AM1158&amp;"_"&amp;1,MSPara_CalcFactors,0))),"")</f>
        <v/>
      </c>
      <c r="AP1158" s="548" t="b">
        <f>AND(AND(AH1158&lt;&gt;"",AJ1158&lt;&gt;""),AJ1158=AH1158)</f>
        <v>0</v>
      </c>
      <c r="AQ1158" s="584" t="str">
        <f>IF(AND(AA1158&lt;&gt;"",AP1158=TRUE),IF(OR(INDEX(AN1158:AO1158,3-AA1158)=EUconst_NA,INDEX(AN1158:AO1158,3-AA1158)=0),"",INDEX(AN1158:AO1158,3-AA1158)),"")</f>
        <v/>
      </c>
      <c r="AR1158" s="548">
        <f>IF(AC1158=TRUE,IF(COUNT(K1158:L1158)=0,0,IF(L1158="",K1158,L1158)),0)</f>
        <v>0</v>
      </c>
      <c r="AS1158" s="544" t="b">
        <f>AND(AC1158=TRUE,OR(AND(F1158&lt;&gt;"",NOT(ISNUMBER(AA1158))),L1158&lt;&gt;"",F1158="",AQ1158=""))</f>
        <v>0</v>
      </c>
      <c r="AT1158" s="544" t="b">
        <f t="shared" si="282"/>
        <v>0</v>
      </c>
      <c r="AU1158" s="30"/>
      <c r="AV1158" s="558" t="b">
        <f t="shared" si="283"/>
        <v>0</v>
      </c>
      <c r="AW1158" s="559" t="b">
        <f t="shared" si="284"/>
        <v>0</v>
      </c>
      <c r="AX1158" s="537" t="b">
        <f>OR(AND(AJ1152=EUconst_kNm3,AJ1158=EUconst_tCpt),AND(AJ1152=EUconst_t,AJ1158=EUconst_tCpkNm3))</f>
        <v>0</v>
      </c>
      <c r="AY1158" s="544" t="b">
        <f t="shared" si="285"/>
        <v>0</v>
      </c>
      <c r="AZ1158" s="30"/>
      <c r="BA1158" s="30"/>
      <c r="BB1158" s="569" t="s">
        <v>482</v>
      </c>
      <c r="BC1158" s="570">
        <f>AR1152*AR1155/1000*AR1159</f>
        <v>0</v>
      </c>
      <c r="BD1158" s="571">
        <f>BC1158</f>
        <v>0</v>
      </c>
      <c r="BE1158" s="572">
        <f>BC1158</f>
        <v>0</v>
      </c>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544" t="b">
        <f>OR(BZ1152,Y1158=EUconst_NA)</f>
        <v>1</v>
      </c>
    </row>
    <row r="1159" spans="1:78" s="140" customFormat="1" ht="12.75" customHeight="1" x14ac:dyDescent="0.2">
      <c r="A1159" s="777"/>
      <c r="B1159" s="1248"/>
      <c r="C1159" s="753" t="s">
        <v>325</v>
      </c>
      <c r="D1159" s="503" t="str">
        <f>Translations!$B$641</f>
        <v>Biomasės dalis (BioC):</v>
      </c>
      <c r="E1159" s="504"/>
      <c r="F1159" s="539"/>
      <c r="G1159" s="1603" t="str">
        <f t="shared" si="280"/>
        <v/>
      </c>
      <c r="H1159" s="1604"/>
      <c r="I1159" s="1113" t="str">
        <f>IF(OR(AC1159=FALSE,Y1159=EUconst_NA),"","-")</f>
        <v/>
      </c>
      <c r="J1159" s="560"/>
      <c r="K1159" s="561" t="str">
        <f t="shared" si="281"/>
        <v/>
      </c>
      <c r="L1159" s="694"/>
      <c r="M1159" s="700" t="str">
        <f>IF(AND(E1143&lt;&gt;"",OR(F1159="",COUNT(K1159:L1159)=0),Y1159&lt;&gt;EUconst_NA,T1143&lt;&gt;TRUE),EUconst_ERR_Incomplete,IF(COUNTIF(AX1159:AZ1159,TRUE)&gt;0,EUconst_ERR_Inconsistent,""))</f>
        <v/>
      </c>
      <c r="O1159" s="1305"/>
      <c r="P1159" s="635"/>
      <c r="Q1159" s="635"/>
      <c r="R1159" s="635"/>
      <c r="S1159" s="30"/>
      <c r="T1159" s="543" t="str">
        <f>EUconst_CNTR_BiomassContent&amp;E1143</f>
        <v>BioC_</v>
      </c>
      <c r="U1159" s="488"/>
      <c r="V1159" s="585" t="str">
        <f t="shared" si="286"/>
        <v/>
      </c>
      <c r="W1159" s="522" t="str">
        <f>IF(COUNTIF(MSPara_SourceStreamCategory,V1159)=0,"",INDEX(MSPara_IsFossil,MATCH(V1159,MSPara_SourceStreamCategory,0)))</f>
        <v/>
      </c>
      <c r="X1159" s="488"/>
      <c r="Y1159" s="545" t="str">
        <f>IF(OR(T1143=TRUE,E1143=""),"",IF(OR(W1159=TRUE,F1159=EUconst_NA),EUconst_NA,INDEX(EUwideConstants!$N:$N,MATCH(T1159,EUwideConstants!$Q:$Q,0))))</f>
        <v/>
      </c>
      <c r="Z1159" s="546" t="str">
        <f>IF(ISBLANK(F1159),"",IF(F1159=EUconst_NA,"",INDEX(EUwideConstants!$H:$M,MATCH(T1159,EUwideConstants!$Q:$Q,0),MATCH(F1159,CNTR_TierList,0))))</f>
        <v/>
      </c>
      <c r="AA1159" s="586" t="str">
        <f>IF(F1159=1,1,"")</f>
        <v/>
      </c>
      <c r="AB1159" s="30"/>
      <c r="AC1159" s="548" t="b">
        <f>AND(AC1152,Y1159&lt;&gt;EUconst_NA)</f>
        <v>0</v>
      </c>
      <c r="AD1159" s="30"/>
      <c r="AE1159" s="563"/>
      <c r="AG1159" s="564"/>
      <c r="AH1159" s="553"/>
      <c r="AI1159" s="565"/>
      <c r="AJ1159" s="553"/>
      <c r="AK1159" s="566"/>
      <c r="AL1159" s="333"/>
      <c r="AM1159" s="549" t="str">
        <f>EUconst_CNTR_BiomassContent&amp;EUconst_Value</f>
        <v>BioC_Vertė</v>
      </c>
      <c r="AO1159" s="587" t="str">
        <f>IF(AC1159=TRUE,IF(COUNTIF(MSPara_SourceStreamCategory,V1159)=0,"",INDEX(MSPara_CalcFactorsMatrix,MATCH(V1159,MSPara_SourceStreamCategory,0),MATCH(AM1159&amp;"_"&amp;2,MSPara_CalcFactors,0))),"")</f>
        <v/>
      </c>
      <c r="AP1159" s="553"/>
      <c r="AQ1159" s="568" t="str">
        <f>IF(OR(AA1159="",AO1159=EUconst_NA),"",AO1159)</f>
        <v/>
      </c>
      <c r="AR1159" s="548">
        <f>IF(AC1159=TRUE,IF(COUNT(K1159:L1159)=0,0,IF(L1159="",K1159,L1159)),0)</f>
        <v>0</v>
      </c>
      <c r="AS1159" s="544" t="b">
        <f>AND(AC1159=TRUE,OR(AND(F1159&lt;&gt;"",NOT(ISNUMBER(AA1159))),L1159&lt;&gt;"",F1159="",AQ1159=""))</f>
        <v>0</v>
      </c>
      <c r="AT1159" s="544" t="b">
        <f t="shared" si="282"/>
        <v>0</v>
      </c>
      <c r="AU1159" s="30"/>
      <c r="AV1159" s="558" t="b">
        <f t="shared" si="283"/>
        <v>0</v>
      </c>
      <c r="AW1159" s="559" t="b">
        <f t="shared" si="284"/>
        <v>0</v>
      </c>
      <c r="AX1159" s="30"/>
      <c r="AY1159" s="585" t="b">
        <f t="shared" si="285"/>
        <v>0</v>
      </c>
      <c r="AZ1159" s="522" t="b">
        <f>OR(AR1159&gt;100%,(AR1159+AR1160)&gt;100%)</f>
        <v>0</v>
      </c>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544" t="b">
        <f>OR(BZ1152,Y1159=EUconst_NA)</f>
        <v>1</v>
      </c>
    </row>
    <row r="1160" spans="1:78" s="140" customFormat="1" ht="12.75" customHeight="1" thickBot="1" x14ac:dyDescent="0.25">
      <c r="A1160" s="777"/>
      <c r="B1160" s="1248"/>
      <c r="C1160" s="753" t="s">
        <v>448</v>
      </c>
      <c r="D1160" s="503" t="str">
        <f>Translations!$B$647</f>
        <v>Netvarios BioC dalis:</v>
      </c>
      <c r="E1160" s="504"/>
      <c r="F1160" s="588"/>
      <c r="G1160" s="1603" t="str">
        <f t="shared" si="280"/>
        <v/>
      </c>
      <c r="H1160" s="1604"/>
      <c r="I1160" s="1114" t="str">
        <f>IF(OR(AC1160=FALSE,Y1160=EUconst_NA),"","-")</f>
        <v/>
      </c>
      <c r="J1160" s="560"/>
      <c r="K1160" s="589" t="str">
        <f t="shared" si="281"/>
        <v/>
      </c>
      <c r="L1160" s="1100"/>
      <c r="M1160" s="700" t="str">
        <f>IF(AND(E1143&lt;&gt;"",OR(F1160="",COUNT(K1160:L1160)=0),Y1160&lt;&gt;EUconst_NA,T1143&lt;&gt;TRUE),EUconst_ERR_Incomplete,IF(COUNTIF(AX1160:AZ1160,TRUE)&gt;0,EUconst_ERR_Inconsistent,""))</f>
        <v/>
      </c>
      <c r="O1160" s="1305"/>
      <c r="P1160" s="635"/>
      <c r="Q1160" s="635"/>
      <c r="R1160" s="635"/>
      <c r="S1160" s="30"/>
      <c r="T1160" s="590" t="str">
        <f>EUconst_CNTR_BiomassContent&amp;E1143</f>
        <v>BioC_</v>
      </c>
      <c r="U1160" s="488"/>
      <c r="V1160" s="570" t="str">
        <f t="shared" si="286"/>
        <v/>
      </c>
      <c r="W1160" s="571" t="str">
        <f>IF(COUNTIF(MSPara_SourceStreamCategory,V1160)=0,"",INDEX(MSPara_IsFossil,MATCH(V1160,MSPara_SourceStreamCategory,0)))</f>
        <v/>
      </c>
      <c r="X1160" s="488"/>
      <c r="Y1160" s="591" t="str">
        <f>IF(OR(T1143=TRUE,E1143=""),"",IF(OR(W1160=TRUE,F1160=EUconst_NA),EUconst_NA,INDEX(EUwideConstants!$N:$N,MATCH(T1160,EUwideConstants!$Q:$Q,0))))</f>
        <v/>
      </c>
      <c r="Z1160" s="592" t="str">
        <f>IF(ISBLANK(F1160),"",IF(F1160=EUconst_NA,"",INDEX(EUwideConstants!$H:$M,MATCH(T1160,EUwideConstants!$Q:$Q,0),MATCH(F1160,CNTR_TierList,0))))</f>
        <v/>
      </c>
      <c r="AA1160" s="593" t="str">
        <f>IF(F1160=1,1,"")</f>
        <v/>
      </c>
      <c r="AB1160" s="30"/>
      <c r="AC1160" s="594" t="b">
        <f>AND(AC1152,Y1160&lt;&gt;EUconst_NA)</f>
        <v>0</v>
      </c>
      <c r="AD1160" s="30"/>
      <c r="AE1160" s="595"/>
      <c r="AF1160" s="596"/>
      <c r="AG1160" s="597"/>
      <c r="AH1160" s="598"/>
      <c r="AI1160" s="598"/>
      <c r="AJ1160" s="598"/>
      <c r="AK1160" s="599"/>
      <c r="AL1160" s="333"/>
      <c r="AM1160" s="600" t="str">
        <f>EUconst_CNTR_BiomassContent&amp;EUconst_Value</f>
        <v>BioC_Vertė</v>
      </c>
      <c r="AN1160" s="596"/>
      <c r="AO1160" s="601" t="str">
        <f>IF(AC1160=TRUE,IF(COUNTIF(MSPara_SourceStreamCategory,V1160)=0,"",INDEX(MSPara_CalcFactorsMatrix,MATCH(V1160,MSPara_SourceStreamCategory,0),MATCH(AM1160&amp;"_"&amp;2,MSPara_CalcFactors,0))),"")</f>
        <v/>
      </c>
      <c r="AP1160" s="598"/>
      <c r="AQ1160" s="602" t="str">
        <f>IF(OR(AA1160="",AO1160=EUconst_NA),"",AO1160)</f>
        <v/>
      </c>
      <c r="AR1160" s="594">
        <f>IF(AC1160=TRUE,IF(COUNT(K1160:L1160)=0,0,IF(L1160="",K1160,L1160)),0)</f>
        <v>0</v>
      </c>
      <c r="AS1160" s="603" t="b">
        <f>AND(AC1160=TRUE,OR(AND(F1160&lt;&gt;"",NOT(ISNUMBER(AA1160))),L1160&lt;&gt;"",F1160="",AQ1160=""))</f>
        <v>0</v>
      </c>
      <c r="AT1160" s="603" t="b">
        <f t="shared" si="282"/>
        <v>0</v>
      </c>
      <c r="AU1160" s="30"/>
      <c r="AV1160" s="604" t="b">
        <f t="shared" si="283"/>
        <v>0</v>
      </c>
      <c r="AW1160" s="605" t="b">
        <f t="shared" si="284"/>
        <v>0</v>
      </c>
      <c r="AX1160" s="30"/>
      <c r="AY1160" s="570" t="b">
        <f t="shared" si="285"/>
        <v>0</v>
      </c>
      <c r="AZ1160" s="571" t="b">
        <f>OR(AR1159&gt;100%,(AR1159+AR1160)&gt;100%)</f>
        <v>0</v>
      </c>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571" t="b">
        <f>OR(BZ1152,Y1160=EUconst_NA)</f>
        <v>1</v>
      </c>
    </row>
    <row r="1161" spans="1:78" s="140" customFormat="1" ht="5.0999999999999996" customHeight="1" x14ac:dyDescent="0.2">
      <c r="A1161" s="777"/>
      <c r="B1161" s="1248"/>
      <c r="C1161" s="164"/>
      <c r="D1161" s="178"/>
      <c r="O1161" s="1305"/>
      <c r="P1161" s="33"/>
      <c r="Q1161" s="33"/>
      <c r="R1161" s="33"/>
      <c r="S1161" s="172"/>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row>
    <row r="1162" spans="1:78" s="140" customFormat="1" ht="12.75" customHeight="1" x14ac:dyDescent="0.2">
      <c r="A1162" s="777"/>
      <c r="B1162" s="1248"/>
      <c r="C1162" s="164"/>
      <c r="D1162" s="1629" t="str">
        <f>Translations!$B$674</f>
        <v>Pakopos galioja nuo:</v>
      </c>
      <c r="E1162" s="1629"/>
      <c r="F1162" s="1630"/>
      <c r="G1162" s="1014"/>
      <c r="H1162" s="606" t="str">
        <f>Translations!$B$675</f>
        <v>iki:</v>
      </c>
      <c r="I1162" s="1014"/>
      <c r="J1162" s="1620" t="str">
        <f>Translations!$B$676</f>
        <v>Atliekų katalogo numeris (jeigu taikytina):</v>
      </c>
      <c r="K1162" s="1621"/>
      <c r="L1162" s="1621"/>
      <c r="M1162" s="1622"/>
      <c r="N1162" s="1232"/>
      <c r="O1162" s="1305"/>
      <c r="P1162" s="33"/>
      <c r="Q1162" s="33"/>
      <c r="R1162" s="33"/>
      <c r="S1162" s="1233"/>
      <c r="T1162" s="483"/>
      <c r="U1162" s="483"/>
      <c r="V1162" s="48" t="b">
        <f>IF(V1152="",FALSE,INDEX(CNTR_IsWaste,MATCH(V1152,MSParameters!$A$218:$A$376,0)))</f>
        <v>0</v>
      </c>
      <c r="W1162" s="1233" t="s">
        <v>1689</v>
      </c>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2" t="b">
        <f>BZ1152</f>
        <v>1</v>
      </c>
    </row>
    <row r="1163" spans="1:78" s="140" customFormat="1" ht="5.0999999999999996" customHeight="1" x14ac:dyDescent="0.2">
      <c r="A1163" s="777"/>
      <c r="B1163" s="1248"/>
      <c r="C1163" s="164"/>
      <c r="D1163" s="606"/>
      <c r="E1163" s="486"/>
      <c r="F1163" s="486"/>
      <c r="G1163" s="486"/>
      <c r="H1163" s="486"/>
      <c r="I1163" s="486"/>
      <c r="J1163" s="486"/>
      <c r="K1163" s="486"/>
      <c r="L1163" s="486"/>
      <c r="M1163" s="486"/>
      <c r="N1163" s="486"/>
      <c r="O1163" s="1305"/>
      <c r="P1163" s="33"/>
      <c r="Q1163" s="33"/>
      <c r="R1163" s="33"/>
      <c r="S1163" s="172"/>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row>
    <row r="1164" spans="1:78" s="140" customFormat="1" ht="12.75" customHeight="1" x14ac:dyDescent="0.2">
      <c r="A1164" s="777"/>
      <c r="B1164" s="1248"/>
      <c r="C1164" s="164"/>
      <c r="D1164" s="486"/>
      <c r="E1164" s="486"/>
      <c r="F1164" s="486"/>
      <c r="G1164" s="486"/>
      <c r="H1164" s="486"/>
      <c r="I1164" s="486"/>
      <c r="J1164" s="486"/>
      <c r="K1164" s="486"/>
      <c r="L1164" s="486"/>
      <c r="M1164" s="606" t="str">
        <f>Translations!$B$677</f>
        <v>Stebėsenos plane šiam sukėlikliui suteiktas identifikatorius:</v>
      </c>
      <c r="N1164" s="705"/>
      <c r="O1164" s="1305"/>
      <c r="P1164" s="33"/>
      <c r="Q1164" s="33"/>
      <c r="R1164" s="33"/>
      <c r="S1164" s="172"/>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2" t="b">
        <f>BZ1162</f>
        <v>1</v>
      </c>
    </row>
    <row r="1165" spans="1:78" s="140" customFormat="1" ht="5.0999999999999996" customHeight="1" x14ac:dyDescent="0.2">
      <c r="A1165" s="784"/>
      <c r="B1165" s="1316"/>
      <c r="D1165" s="178"/>
      <c r="O1165" s="1317"/>
      <c r="P1165" s="488"/>
      <c r="Q1165" s="488"/>
      <c r="R1165" s="488"/>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row>
    <row r="1166" spans="1:78" s="140" customFormat="1" x14ac:dyDescent="0.2">
      <c r="A1166" s="784"/>
      <c r="B1166" s="1316"/>
      <c r="D1166" s="1618" t="str">
        <f>Translations!$B$160</f>
        <v>Pastabos:</v>
      </c>
      <c r="E1166" s="1619"/>
      <c r="F1166" s="1605"/>
      <c r="G1166" s="1606"/>
      <c r="H1166" s="1606"/>
      <c r="I1166" s="1606"/>
      <c r="J1166" s="1606"/>
      <c r="K1166" s="1606"/>
      <c r="L1166" s="1606"/>
      <c r="M1166" s="1606"/>
      <c r="N1166" s="1607"/>
      <c r="O1166" s="1317"/>
      <c r="P1166" s="488"/>
      <c r="Q1166" s="488"/>
      <c r="R1166" s="488"/>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2" t="b">
        <f>BZ1162</f>
        <v>1</v>
      </c>
    </row>
    <row r="1167" spans="1:78" s="28" customFormat="1" ht="12.75" customHeight="1" thickBot="1" x14ac:dyDescent="0.25">
      <c r="A1167" s="777"/>
      <c r="B1167" s="1312"/>
      <c r="C1167" s="490"/>
      <c r="D1167" s="491"/>
      <c r="E1167" s="492"/>
      <c r="F1167" s="490"/>
      <c r="G1167" s="493"/>
      <c r="H1167" s="493"/>
      <c r="I1167" s="493"/>
      <c r="J1167" s="493"/>
      <c r="K1167" s="493"/>
      <c r="L1167" s="493"/>
      <c r="M1167" s="493"/>
      <c r="N1167" s="493"/>
      <c r="O1167" s="1313"/>
      <c r="P1167" s="485"/>
      <c r="Q1167" s="485"/>
      <c r="R1167" s="485"/>
      <c r="S1167" s="58"/>
      <c r="T1167" s="58"/>
      <c r="U1167" s="489"/>
      <c r="V1167" s="58"/>
      <c r="W1167" s="58"/>
      <c r="X1167" s="489"/>
      <c r="Y1167" s="58"/>
      <c r="Z1167" s="58"/>
      <c r="AA1167" s="58"/>
      <c r="AB1167" s="58"/>
      <c r="AC1167" s="58"/>
      <c r="AD1167" s="58"/>
      <c r="AE1167" s="58"/>
      <c r="AF1167" s="58"/>
      <c r="AG1167" s="58"/>
      <c r="AH1167" s="58"/>
      <c r="AI1167" s="58"/>
      <c r="AJ1167" s="58"/>
      <c r="AK1167" s="58"/>
      <c r="AL1167" s="58"/>
      <c r="AM1167" s="58"/>
      <c r="AN1167" s="58"/>
      <c r="AO1167" s="58"/>
      <c r="AP1167" s="58"/>
      <c r="AQ1167" s="58"/>
      <c r="AR1167" s="58"/>
      <c r="AS1167" s="58"/>
      <c r="AT1167" s="58"/>
      <c r="AU1167" s="58"/>
      <c r="AV1167" s="58"/>
      <c r="AW1167" s="58"/>
      <c r="AX1167" s="58"/>
      <c r="AY1167" s="58"/>
      <c r="AZ1167" s="58"/>
      <c r="BA1167" s="58"/>
      <c r="BB1167" s="58"/>
      <c r="BC1167" s="58"/>
      <c r="BD1167" s="58"/>
      <c r="BE1167" s="58"/>
      <c r="BF1167" s="58"/>
      <c r="BG1167" s="58"/>
      <c r="BH1167" s="58"/>
      <c r="BI1167" s="30"/>
      <c r="BJ1167" s="30"/>
      <c r="BK1167" s="30"/>
      <c r="BL1167" s="58"/>
      <c r="BM1167" s="58"/>
      <c r="BN1167" s="58"/>
      <c r="BO1167" s="58"/>
      <c r="BP1167" s="58"/>
      <c r="BQ1167" s="58"/>
      <c r="BR1167" s="58"/>
      <c r="BS1167" s="58"/>
      <c r="BT1167" s="58"/>
      <c r="BU1167" s="58"/>
      <c r="BV1167" s="58"/>
      <c r="BW1167" s="58"/>
      <c r="BX1167" s="58"/>
      <c r="BY1167" s="58"/>
      <c r="BZ1167" s="58"/>
    </row>
    <row r="1168" spans="1:78" s="28" customFormat="1" ht="12.75" customHeight="1" thickBot="1" x14ac:dyDescent="0.25">
      <c r="A1168" s="782"/>
      <c r="B1168" s="1312"/>
      <c r="C1168" s="486"/>
      <c r="D1168" s="178"/>
      <c r="E1168" s="487"/>
      <c r="F1168" s="486"/>
      <c r="G1168" s="478"/>
      <c r="H1168" s="478"/>
      <c r="I1168" s="478"/>
      <c r="J1168" s="478"/>
      <c r="K1168" s="486"/>
      <c r="L1168" s="478"/>
      <c r="M1168" s="478"/>
      <c r="N1168" s="478"/>
      <c r="O1168" s="1313"/>
      <c r="P1168" s="485"/>
      <c r="Q1168" s="485"/>
      <c r="R1168" s="485"/>
      <c r="S1168" s="23"/>
      <c r="T1168" s="27" t="str">
        <f>IF(ISBLANK(E1169),"",MATCH(E1169,CNTR_SourceStreamNames,0))</f>
        <v/>
      </c>
      <c r="U1168" s="609" t="str">
        <f>IF(ISBLANK(E1169),"",INDEX(B_InstallationDescription!$D$71:$D$145,MATCH(E1169,CNTR_SourceStreamNames,0)))</f>
        <v/>
      </c>
      <c r="V1168" s="76"/>
      <c r="W1168" s="56"/>
      <c r="X1168" s="56"/>
      <c r="Y1168" s="56"/>
      <c r="Z1168" s="58"/>
      <c r="AA1168" s="58"/>
      <c r="AB1168" s="58"/>
      <c r="AC1168" s="58"/>
      <c r="AD1168" s="58"/>
      <c r="AE1168" s="58"/>
      <c r="AF1168" s="58"/>
      <c r="AG1168" s="58"/>
      <c r="AH1168" s="58"/>
      <c r="AI1168" s="58"/>
      <c r="AJ1168" s="58"/>
      <c r="AK1168" s="482"/>
      <c r="AL1168" s="58"/>
      <c r="AM1168" s="58"/>
      <c r="AN1168" s="58"/>
      <c r="AO1168" s="58"/>
      <c r="AP1168" s="58"/>
      <c r="AQ1168" s="58"/>
      <c r="AR1168" s="58"/>
      <c r="AS1168" s="58"/>
      <c r="AT1168" s="58"/>
      <c r="AU1168" s="58"/>
      <c r="AV1168" s="58"/>
      <c r="AW1168" s="58"/>
      <c r="AX1168" s="58"/>
      <c r="AY1168" s="58"/>
      <c r="AZ1168" s="58"/>
      <c r="BA1168" s="58"/>
      <c r="BB1168" s="58"/>
      <c r="BC1168" s="58"/>
      <c r="BD1168" s="58"/>
      <c r="BE1168" s="58"/>
      <c r="BF1168" s="58"/>
      <c r="BG1168" s="58"/>
      <c r="BH1168" s="56"/>
      <c r="BI1168" s="56"/>
      <c r="BJ1168" s="56"/>
      <c r="BK1168" s="56"/>
      <c r="BL1168" s="56"/>
      <c r="BM1168" s="56"/>
      <c r="BN1168" s="56"/>
      <c r="BO1168" s="56"/>
      <c r="BP1168" s="56"/>
      <c r="BQ1168" s="56"/>
      <c r="BR1168" s="56"/>
      <c r="BS1168" s="56"/>
      <c r="BT1168" s="56"/>
      <c r="BU1168" s="56"/>
      <c r="BV1168" s="56"/>
      <c r="BW1168" s="56"/>
      <c r="BX1168" s="56"/>
      <c r="BY1168" s="56"/>
      <c r="BZ1168" s="484" t="s">
        <v>259</v>
      </c>
    </row>
    <row r="1169" spans="1:78" s="140" customFormat="1" ht="15" customHeight="1" thickBot="1" x14ac:dyDescent="0.25">
      <c r="A1169" s="1302" t="str">
        <f>IF(E1169="","","PRINT")</f>
        <v/>
      </c>
      <c r="B1169" s="1248"/>
      <c r="C1169" s="608">
        <f>C1142+1</f>
        <v>42</v>
      </c>
      <c r="D1169" s="164"/>
      <c r="E1169" s="1610"/>
      <c r="F1169" s="1611"/>
      <c r="G1169" s="1611"/>
      <c r="H1169" s="1611"/>
      <c r="I1169" s="1611"/>
      <c r="J1169" s="1612"/>
      <c r="K1169" s="1623" t="str">
        <f>IF(E1170="","",INDEX(EUwideConstants!$F$353:$F$394,MATCH(E1170,EUConst_TierActivityListNames,0)))</f>
        <v/>
      </c>
      <c r="L1169" s="1624"/>
      <c r="M1169" s="494" t="str">
        <f>Translations!$B$665</f>
        <v>CO2, iškastinio kuro kilmės:</v>
      </c>
      <c r="N1169" s="1012" t="str">
        <f>IF(OR(K1169="",T1170=TRUE),"",INDEX(BC1183:BE1183,MATCH(K1169,BC1179:BE1179,0)))</f>
        <v/>
      </c>
      <c r="O1169" s="1314" t="s">
        <v>257</v>
      </c>
      <c r="P1169" s="1303" t="str">
        <f>IF(AND(E1169&lt;&gt;"",COUNTIF(P1170:$P$2089,"PRINT")=0),"PRINT","")</f>
        <v/>
      </c>
      <c r="Q1169" s="343" t="str">
        <f>EUconst_SumCO2 &amp; "_" &amp; K1169</f>
        <v>SUM_CO2_</v>
      </c>
      <c r="R1169" s="485"/>
      <c r="S1169" s="23"/>
      <c r="T1169" s="500" t="s">
        <v>387</v>
      </c>
      <c r="U1169" s="23"/>
      <c r="V1169" s="76"/>
      <c r="W1169" s="56"/>
      <c r="X1169" s="58"/>
      <c r="Y1169" s="58"/>
      <c r="Z1169" s="58"/>
      <c r="AA1169" s="58"/>
      <c r="AB1169" s="58"/>
      <c r="AC1169" s="58"/>
      <c r="AD1169" s="58"/>
      <c r="AE1169" s="58"/>
      <c r="AF1169" s="58"/>
      <c r="AG1169" s="58"/>
      <c r="AH1169" s="58"/>
      <c r="AI1169" s="333"/>
      <c r="AJ1169" s="333"/>
      <c r="AK1169" s="333"/>
      <c r="AL1169" s="333"/>
      <c r="AM1169" s="333"/>
      <c r="AN1169" s="333"/>
      <c r="AO1169" s="333"/>
      <c r="AP1169" s="333"/>
      <c r="AQ1169" s="333"/>
      <c r="AR1169" s="333"/>
      <c r="AS1169" s="333"/>
      <c r="AT1169" s="333"/>
      <c r="AU1169" s="333"/>
      <c r="AV1169" s="333"/>
      <c r="AW1169" s="333"/>
      <c r="AX1169" s="333"/>
      <c r="AY1169" s="333"/>
      <c r="AZ1169" s="333"/>
      <c r="BA1169" s="333"/>
      <c r="BB1169" s="333"/>
      <c r="BC1169" s="333"/>
      <c r="BD1169" s="333"/>
      <c r="BE1169" s="333"/>
      <c r="BF1169" s="333"/>
      <c r="BG1169" s="333"/>
      <c r="BH1169" s="834">
        <f>AR1179</f>
        <v>0</v>
      </c>
      <c r="BI1169" s="834" t="str">
        <f>AJ1179</f>
        <v/>
      </c>
      <c r="BJ1169" s="834">
        <f>AR1181</f>
        <v>0</v>
      </c>
      <c r="BK1169" s="834" t="str">
        <f>AJ1181</f>
        <v/>
      </c>
      <c r="BL1169" s="834">
        <f>AR1182</f>
        <v>0</v>
      </c>
      <c r="BM1169" s="834" t="str">
        <f>AJ1182</f>
        <v/>
      </c>
      <c r="BN1169" s="834">
        <f>AR1183</f>
        <v>1</v>
      </c>
      <c r="BO1169" s="834">
        <f>AR1184</f>
        <v>1</v>
      </c>
      <c r="BP1169" s="834">
        <f>AR1185</f>
        <v>0</v>
      </c>
      <c r="BQ1169" s="834" t="str">
        <f>AJ1185</f>
        <v/>
      </c>
      <c r="BR1169" s="834">
        <f>AR1186</f>
        <v>0</v>
      </c>
      <c r="BS1169" s="834">
        <f>AR1187</f>
        <v>0</v>
      </c>
      <c r="BT1169" s="834" t="str">
        <f>N1169</f>
        <v/>
      </c>
      <c r="BU1169" s="834" t="str">
        <f>N1170</f>
        <v/>
      </c>
      <c r="BV1169" s="834" t="str">
        <f>R1172</f>
        <v/>
      </c>
      <c r="BW1169" s="834" t="str">
        <f>R1178</f>
        <v/>
      </c>
      <c r="BX1169" s="834" t="str">
        <f>R1179</f>
        <v/>
      </c>
      <c r="BY1169" s="56"/>
      <c r="BZ1169" s="610" t="b">
        <f>CNTR_CalcRelevant=EUconst_NotRelevant</f>
        <v>0</v>
      </c>
    </row>
    <row r="1170" spans="1:78" s="140" customFormat="1" ht="15" customHeight="1" thickBot="1" x14ac:dyDescent="0.25">
      <c r="A1170" s="777"/>
      <c r="B1170" s="1248"/>
      <c r="C1170" s="164"/>
      <c r="D1170" s="164"/>
      <c r="E1170" s="1625" t="str">
        <f>IF(ISBLANK(E1169),"",IF(INDEX(B_InstallationDescription!$E$71:$E$145,MATCH(U1168,B_InstallationDescription!$D$71:$D$145,0))&gt;0,INDEX(B_InstallationDescription!$E$71:$E$145,MATCH(U1168,B_InstallationDescription!$D$71:$D$145,0)),""))</f>
        <v/>
      </c>
      <c r="F1170" s="1626"/>
      <c r="G1170" s="1626"/>
      <c r="H1170" s="1626"/>
      <c r="I1170" s="1626"/>
      <c r="J1170" s="1627"/>
      <c r="M1170" s="337" t="str">
        <f>Translations!$B$666</f>
        <v>CO2, biomasės kilmės.:</v>
      </c>
      <c r="N1170" s="1013" t="str">
        <f>IF(OR(K1169="",T1170=TRUE),"",INDEX(BC1182:BE1182,MATCH(K1169,BC1179:BE1179,0)))</f>
        <v/>
      </c>
      <c r="O1170" s="1315" t="s">
        <v>257</v>
      </c>
      <c r="P1170" s="485"/>
      <c r="Q1170" s="343" t="str">
        <f>EUconst_SumBioCO2 &amp; "_" &amp; K1169</f>
        <v>SUM_bioCO2_</v>
      </c>
      <c r="R1170" s="485"/>
      <c r="S1170" s="23"/>
      <c r="T1170" s="48" t="str">
        <f>IF(E1170="","",MATCH(E1170,EUConst_TierActivityListNames,0)&gt;40)</f>
        <v/>
      </c>
      <c r="U1170" s="23"/>
      <c r="V1170" s="76"/>
      <c r="W1170" s="56"/>
      <c r="X1170" s="58"/>
      <c r="Y1170" s="27" t="s">
        <v>91</v>
      </c>
      <c r="Z1170" s="30"/>
      <c r="AA1170" s="30"/>
      <c r="AB1170" s="30"/>
      <c r="AC1170" s="30"/>
      <c r="AD1170" s="30"/>
      <c r="AE1170" s="27" t="s">
        <v>297</v>
      </c>
      <c r="AF1170" s="58"/>
      <c r="AG1170" s="495"/>
      <c r="AH1170" s="30"/>
      <c r="AI1170" s="30"/>
      <c r="AJ1170" s="495"/>
      <c r="AK1170" s="495"/>
      <c r="AL1170" s="333"/>
      <c r="AM1170" s="27" t="s">
        <v>303</v>
      </c>
      <c r="AN1170" s="496"/>
      <c r="AO1170" s="496"/>
      <c r="AP1170" s="30"/>
      <c r="AQ1170" s="30"/>
      <c r="AR1170" s="30"/>
      <c r="AS1170" s="30"/>
      <c r="AT1170" s="30"/>
      <c r="AU1170" s="30"/>
      <c r="AV1170" s="27" t="s">
        <v>310</v>
      </c>
      <c r="AW1170" s="30"/>
      <c r="AX1170" s="483"/>
      <c r="AY1170" s="30"/>
      <c r="AZ1170" s="30"/>
      <c r="BA1170" s="30"/>
      <c r="BB1170" s="27" t="s">
        <v>217</v>
      </c>
      <c r="BC1170" s="30"/>
      <c r="BD1170" s="30"/>
      <c r="BE1170" s="30"/>
      <c r="BF1170" s="30"/>
      <c r="BG1170" s="27" t="s">
        <v>486</v>
      </c>
      <c r="BH1170" s="833" t="s">
        <v>552</v>
      </c>
      <c r="BI1170" s="833" t="s">
        <v>487</v>
      </c>
      <c r="BJ1170" s="833" t="s">
        <v>211</v>
      </c>
      <c r="BK1170" s="833" t="s">
        <v>488</v>
      </c>
      <c r="BL1170" s="833" t="s">
        <v>68</v>
      </c>
      <c r="BM1170" s="833" t="s">
        <v>489</v>
      </c>
      <c r="BN1170" s="833" t="s">
        <v>490</v>
      </c>
      <c r="BO1170" s="833" t="s">
        <v>491</v>
      </c>
      <c r="BP1170" s="833" t="s">
        <v>214</v>
      </c>
      <c r="BQ1170" s="833" t="s">
        <v>492</v>
      </c>
      <c r="BR1170" s="833" t="s">
        <v>493</v>
      </c>
      <c r="BS1170" s="833" t="s">
        <v>494</v>
      </c>
      <c r="BT1170" s="833" t="s">
        <v>287</v>
      </c>
      <c r="BU1170" s="833" t="s">
        <v>495</v>
      </c>
      <c r="BV1170" s="833" t="s">
        <v>498</v>
      </c>
      <c r="BW1170" s="833" t="s">
        <v>496</v>
      </c>
      <c r="BX1170" s="833" t="s">
        <v>497</v>
      </c>
      <c r="BY1170" s="30"/>
      <c r="BZ1170" s="30"/>
    </row>
    <row r="1171" spans="1:78" s="140" customFormat="1" ht="5.0999999999999996" customHeight="1" thickBot="1" x14ac:dyDescent="0.25">
      <c r="A1171" s="777"/>
      <c r="B1171" s="1248"/>
      <c r="C1171" s="164"/>
      <c r="D1171" s="164"/>
      <c r="E1171" s="164"/>
      <c r="F1171" s="164"/>
      <c r="G1171" s="164"/>
      <c r="M1171" s="141"/>
      <c r="N1171" s="141"/>
      <c r="O1171" s="1305"/>
      <c r="P1171" s="33"/>
      <c r="Q1171" s="33"/>
      <c r="R1171" s="33"/>
      <c r="S1171" s="23"/>
      <c r="T1171" s="23"/>
      <c r="U1171" s="23"/>
      <c r="V1171" s="76"/>
      <c r="W1171" s="30"/>
      <c r="X1171" s="30"/>
      <c r="Y1171" s="485"/>
      <c r="Z1171" s="30"/>
      <c r="AA1171" s="30"/>
      <c r="AB1171" s="30"/>
      <c r="AC1171" s="30"/>
      <c r="AD1171" s="30"/>
      <c r="AE1171" s="30"/>
      <c r="AF1171" s="58"/>
      <c r="AG1171" s="30"/>
      <c r="AH1171" s="30"/>
      <c r="AI1171" s="30"/>
      <c r="AJ1171" s="495"/>
      <c r="AK1171" s="495"/>
      <c r="AL1171" s="333"/>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row>
    <row r="1172" spans="1:78" s="140" customFormat="1" ht="12.75" customHeight="1" thickBot="1" x14ac:dyDescent="0.25">
      <c r="A1172" s="777"/>
      <c r="B1172" s="1248"/>
      <c r="C1172" s="164"/>
      <c r="D1172" s="164"/>
      <c r="E1172" s="1628" t="str">
        <f>IF(E1169="","",IF(T1170=TRUE,HYPERLINK("#JUMP_14",EUconst_MsgGoOnPFC),HYPERLINK("#JUMP_E_8",EUconst_FurtherGuidancePoint1)))</f>
        <v/>
      </c>
      <c r="F1172" s="1628"/>
      <c r="G1172" s="1628"/>
      <c r="H1172" s="1628"/>
      <c r="I1172" s="1628"/>
      <c r="J1172" s="1628"/>
      <c r="K1172" s="1628"/>
      <c r="L1172" s="1628"/>
      <c r="M1172" s="1628"/>
      <c r="N1172" s="141"/>
      <c r="O1172" s="1305"/>
      <c r="P1172" s="33"/>
      <c r="Q1172" s="343" t="str">
        <f>EUconst_SumNonSustBioCO2 &amp; "_" &amp; K1169</f>
        <v>SUM_bioNonSustCO2_</v>
      </c>
      <c r="R1172" s="698" t="str">
        <f>IF(OR(K1169="",T1170=TRUE),"",ROUND(INDEX(BC1181:BE1181,MATCH(K1169,BC1179:BE1179,0)),0))</f>
        <v/>
      </c>
      <c r="S1172" s="23"/>
      <c r="T1172" s="23"/>
      <c r="U1172" s="23"/>
      <c r="V1172" s="30"/>
      <c r="W1172" s="30"/>
      <c r="X1172" s="30"/>
      <c r="Y1172" s="58"/>
      <c r="Z1172" s="30"/>
      <c r="AA1172" s="30"/>
      <c r="AB1172" s="30"/>
      <c r="AC1172" s="30"/>
      <c r="AD1172" s="30"/>
      <c r="AE1172" s="30"/>
      <c r="AF1172" s="58"/>
      <c r="AG1172" s="30"/>
      <c r="AH1172" s="30"/>
      <c r="AI1172" s="30"/>
      <c r="AJ1172" s="495"/>
      <c r="AK1172" s="495"/>
      <c r="AL1172" s="333"/>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row>
    <row r="1173" spans="1:78" s="140" customFormat="1" ht="5.0999999999999996" customHeight="1" thickBot="1" x14ac:dyDescent="0.25">
      <c r="A1173" s="777"/>
      <c r="B1173" s="1248"/>
      <c r="C1173" s="164"/>
      <c r="D1173" s="164"/>
      <c r="E1173" s="164"/>
      <c r="F1173" s="164"/>
      <c r="G1173" s="164"/>
      <c r="M1173" s="141"/>
      <c r="N1173" s="141"/>
      <c r="O1173" s="1305"/>
      <c r="P1173" s="23"/>
      <c r="Q1173" s="23"/>
      <c r="R1173" s="23"/>
      <c r="S1173" s="23"/>
      <c r="T1173" s="23"/>
      <c r="U1173" s="23"/>
      <c r="V1173" s="30"/>
      <c r="W1173" s="30"/>
      <c r="X1173" s="30"/>
      <c r="Y1173" s="485"/>
      <c r="Z1173" s="30"/>
      <c r="AA1173" s="30"/>
      <c r="AB1173" s="30"/>
      <c r="AC1173" s="30"/>
      <c r="AD1173" s="30"/>
      <c r="AE1173" s="30"/>
      <c r="AF1173" s="58"/>
      <c r="AG1173" s="30"/>
      <c r="AH1173" s="30"/>
      <c r="AI1173" s="30"/>
      <c r="AJ1173" s="495"/>
      <c r="AK1173" s="495"/>
      <c r="AL1173" s="333"/>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row>
    <row r="1174" spans="1:78" s="140" customFormat="1" ht="12.75" customHeight="1" thickBot="1" x14ac:dyDescent="0.25">
      <c r="A1174" s="777"/>
      <c r="B1174" s="1248"/>
      <c r="C1174" s="783" t="s">
        <v>4</v>
      </c>
      <c r="D1174" s="503" t="str">
        <f>Translations!$B$622</f>
        <v>VD:</v>
      </c>
      <c r="E1174" s="1631" t="str">
        <f>Translations!$B$667</f>
        <v>Ar veiklos duomenys gaunami sudedant išmatuotus kiekius (t. y. ne atliekant nuolatinius matavimus)?</v>
      </c>
      <c r="F1174" s="1631"/>
      <c r="G1174" s="1631"/>
      <c r="H1174" s="1631"/>
      <c r="I1174" s="1631"/>
      <c r="J1174" s="1631"/>
      <c r="K1174" s="1631"/>
      <c r="L1174" s="1122"/>
      <c r="M1174" s="498"/>
      <c r="O1174" s="1305"/>
      <c r="P1174" s="23"/>
      <c r="Q1174" s="23"/>
      <c r="R1174" s="23"/>
      <c r="S1174" s="23"/>
      <c r="T1174" s="23"/>
      <c r="U1174" s="23"/>
      <c r="V1174" s="30"/>
      <c r="W1174" s="30"/>
      <c r="X1174" s="30"/>
      <c r="Y1174" s="485"/>
      <c r="Z1174" s="30"/>
      <c r="AA1174" s="30"/>
      <c r="AB1174" s="30"/>
      <c r="AC1174" s="1115" t="b">
        <f>AND(E1169&lt;&gt;"",T1170&lt;&gt;TRUE)</f>
        <v>0</v>
      </c>
      <c r="AD1174" s="30"/>
      <c r="AE1174" s="30"/>
      <c r="AF1174" s="58"/>
      <c r="AG1174" s="30"/>
      <c r="AH1174" s="30"/>
      <c r="AI1174" s="30"/>
      <c r="AJ1174" s="495"/>
      <c r="AK1174" s="495"/>
      <c r="AL1174" s="333"/>
      <c r="AM1174" s="30"/>
      <c r="AN1174" s="30"/>
      <c r="AO1174" s="30"/>
      <c r="AP1174" s="30"/>
      <c r="AQ1174" s="30"/>
      <c r="AR1174" s="30"/>
      <c r="AS1174" s="30"/>
      <c r="AT1174" s="1115" t="b">
        <f>MSPara_BatchReportingMandatory&lt;&gt;TRUE</f>
        <v>0</v>
      </c>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1115" t="b">
        <f>OR(CNTR_CalcRelevant=EUconst_NotRelevant,AND(COUNTA(CNTR_ListRelevantSections)&gt;0,OR(T1170=TRUE,E1169="")))</f>
        <v>1</v>
      </c>
    </row>
    <row r="1175" spans="1:78" s="140" customFormat="1" ht="5.0999999999999996" customHeight="1" thickBot="1" x14ac:dyDescent="0.25">
      <c r="A1175" s="777"/>
      <c r="B1175" s="1248"/>
      <c r="C1175" s="164"/>
      <c r="D1175" s="164"/>
      <c r="E1175" s="164"/>
      <c r="F1175" s="164"/>
      <c r="G1175" s="164"/>
      <c r="H1175" s="486"/>
      <c r="I1175" s="486"/>
      <c r="J1175" s="486"/>
      <c r="K1175" s="486"/>
      <c r="L1175" s="486"/>
      <c r="M1175" s="498"/>
      <c r="O1175" s="1305"/>
      <c r="P1175" s="23"/>
      <c r="Q1175" s="23"/>
      <c r="R1175" s="23"/>
      <c r="S1175" s="23"/>
      <c r="T1175" s="23"/>
      <c r="U1175" s="23"/>
      <c r="V1175" s="30"/>
      <c r="W1175" s="30"/>
      <c r="X1175" s="30"/>
      <c r="Y1175" s="485"/>
      <c r="Z1175" s="30"/>
      <c r="AA1175" s="30"/>
      <c r="AB1175" s="30"/>
      <c r="AC1175" s="483"/>
      <c r="AD1175" s="30"/>
      <c r="AE1175" s="30"/>
      <c r="AF1175" s="58"/>
      <c r="AG1175" s="30"/>
      <c r="AH1175" s="30"/>
      <c r="AI1175" s="30"/>
      <c r="AJ1175" s="495"/>
      <c r="AK1175" s="495"/>
      <c r="AL1175" s="333"/>
      <c r="AM1175" s="30"/>
      <c r="AN1175" s="30"/>
      <c r="AO1175" s="30"/>
      <c r="AP1175" s="30"/>
      <c r="AQ1175" s="30"/>
      <c r="AR1175" s="30"/>
      <c r="AS1175" s="30"/>
      <c r="AT1175" s="483"/>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483"/>
    </row>
    <row r="1176" spans="1:78" s="140" customFormat="1" ht="12.75" customHeight="1" thickBot="1" x14ac:dyDescent="0.25">
      <c r="A1176" s="777"/>
      <c r="B1176" s="1248"/>
      <c r="C1176" s="783" t="s">
        <v>5</v>
      </c>
      <c r="D1176" s="503" t="str">
        <f>Translations!$B$622</f>
        <v>VD:</v>
      </c>
      <c r="E1176" s="1105" t="str">
        <f>Translations!$B$668</f>
        <v>Pradinis kiekis:</v>
      </c>
      <c r="F1176" s="1123"/>
      <c r="G1176" s="1106" t="str">
        <f>Translations!$B$669</f>
        <v>Galutinis kiekis:</v>
      </c>
      <c r="H1176" s="1123"/>
      <c r="I1176" s="1106" t="str">
        <f>Translations!$B$670</f>
        <v>Įsigytas kiekis:</v>
      </c>
      <c r="J1176" s="1123"/>
      <c r="K1176" s="1106" t="str">
        <f>Translations!$B$671</f>
        <v>Perduotas kiekis:</v>
      </c>
      <c r="L1176" s="1123"/>
      <c r="M1176" s="1107" t="str">
        <f>IF(AND(L1174=TRUE,COUNT(F1176,H1176,J1176,L1176)&lt;4),EUconst_ERR_Incomplete,"")</f>
        <v/>
      </c>
      <c r="O1176" s="1305"/>
      <c r="P1176" s="23"/>
      <c r="Q1176" s="23"/>
      <c r="R1176" s="23"/>
      <c r="S1176" s="23"/>
      <c r="T1176" s="23"/>
      <c r="U1176" s="23"/>
      <c r="V1176" s="30"/>
      <c r="W1176" s="30"/>
      <c r="X1176" s="30"/>
      <c r="Y1176" s="485"/>
      <c r="Z1176" s="30"/>
      <c r="AA1176" s="30"/>
      <c r="AB1176" s="30"/>
      <c r="AC1176" s="1115" t="b">
        <f>AC1174</f>
        <v>0</v>
      </c>
      <c r="AD1176" s="30"/>
      <c r="AE1176" s="30"/>
      <c r="AF1176" s="58"/>
      <c r="AG1176" s="30"/>
      <c r="AH1176" s="30"/>
      <c r="AI1176" s="30"/>
      <c r="AJ1176" s="495"/>
      <c r="AK1176" s="495"/>
      <c r="AL1176" s="333"/>
      <c r="AM1176" s="30"/>
      <c r="AN1176" s="30"/>
      <c r="AO1176" s="30"/>
      <c r="AP1176" s="30"/>
      <c r="AQ1176" s="30"/>
      <c r="AR1176" s="30"/>
      <c r="AS1176" s="30"/>
      <c r="AT1176" s="1115" t="b">
        <f>AND(AT1174=TRUE,L1174="")</f>
        <v>0</v>
      </c>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1115" t="b">
        <f>OR(BZ1174,AND(NOT(ISBLANK(L1174)),L1174=FALSE))</f>
        <v>1</v>
      </c>
    </row>
    <row r="1177" spans="1:78" s="140" customFormat="1" ht="5.0999999999999996" customHeight="1" thickBot="1" x14ac:dyDescent="0.25">
      <c r="A1177" s="777"/>
      <c r="B1177" s="1248"/>
      <c r="C1177" s="164"/>
      <c r="D1177" s="164"/>
      <c r="E1177" s="164"/>
      <c r="F1177" s="164"/>
      <c r="G1177" s="164"/>
      <c r="M1177" s="141"/>
      <c r="N1177" s="141"/>
      <c r="O1177" s="1305"/>
      <c r="P1177" s="23"/>
      <c r="Q1177" s="23"/>
      <c r="R1177" s="23"/>
      <c r="S1177" s="23"/>
      <c r="T1177" s="23"/>
      <c r="U1177" s="23"/>
      <c r="V1177" s="30"/>
      <c r="W1177" s="30"/>
      <c r="X1177" s="30"/>
      <c r="Y1177" s="485"/>
      <c r="Z1177" s="30"/>
      <c r="AA1177" s="30"/>
      <c r="AB1177" s="30"/>
      <c r="AC1177" s="30"/>
      <c r="AD1177" s="30"/>
      <c r="AE1177" s="30"/>
      <c r="AF1177" s="58"/>
      <c r="AG1177" s="30"/>
      <c r="AH1177" s="30"/>
      <c r="AI1177" s="30"/>
      <c r="AJ1177" s="495"/>
      <c r="AK1177" s="495"/>
      <c r="AL1177" s="333"/>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row>
    <row r="1178" spans="1:78" s="140" customFormat="1" ht="12.75" customHeight="1" thickBot="1" x14ac:dyDescent="0.25">
      <c r="A1178" s="777"/>
      <c r="B1178" s="1248"/>
      <c r="C1178" s="164"/>
      <c r="D1178" s="164"/>
      <c r="E1178" s="164"/>
      <c r="F1178" s="497" t="str">
        <f>Translations!$B$333</f>
        <v>Pakopa</v>
      </c>
      <c r="G1178" s="1613" t="str">
        <f>Translations!$B$672</f>
        <v>pakopos aprašas</v>
      </c>
      <c r="H1178" s="1613"/>
      <c r="I1178" s="1608" t="str">
        <f>Translations!$B$158</f>
        <v>Vienetas</v>
      </c>
      <c r="J1178" s="1608"/>
      <c r="K1178" s="1608" t="str">
        <f>Translations!$B$673</f>
        <v>Vertė</v>
      </c>
      <c r="L1178" s="1608"/>
      <c r="M1178" s="498" t="str">
        <f>Translations!$B$610</f>
        <v>klaida</v>
      </c>
      <c r="O1178" s="1305"/>
      <c r="P1178" s="499"/>
      <c r="Q1178" s="343" t="str">
        <f>EUconst_SumEnergyIN &amp; "_" &amp; K1169</f>
        <v>SUM_EnergyIN_</v>
      </c>
      <c r="R1178" s="390" t="str">
        <f>IF(OR(K1169="",T1170)=TRUE,"",INDEX(BC1184:BE1184,MATCH(K1169,BC1179:BE1179,0)))</f>
        <v/>
      </c>
      <c r="S1178" s="30"/>
      <c r="T1178" s="480"/>
      <c r="U1178" s="30"/>
      <c r="V1178" s="500" t="s">
        <v>298</v>
      </c>
      <c r="W1178" s="30"/>
      <c r="X1178" s="30"/>
      <c r="Y1178" s="485" t="s">
        <v>560</v>
      </c>
      <c r="Z1178" s="485" t="s">
        <v>313</v>
      </c>
      <c r="AA1178" s="30"/>
      <c r="AB1178" s="30"/>
      <c r="AC1178" s="496" t="s">
        <v>304</v>
      </c>
      <c r="AD1178" s="30"/>
      <c r="AE1178" s="30"/>
      <c r="AF1178" s="483" t="s">
        <v>300</v>
      </c>
      <c r="AG1178" s="483" t="s">
        <v>301</v>
      </c>
      <c r="AH1178" s="485" t="s">
        <v>299</v>
      </c>
      <c r="AI1178" s="495" t="s">
        <v>302</v>
      </c>
      <c r="AJ1178" s="495" t="s">
        <v>561</v>
      </c>
      <c r="AK1178" s="501" t="s">
        <v>306</v>
      </c>
      <c r="AL1178" s="333"/>
      <c r="AM1178" s="30"/>
      <c r="AN1178" s="483" t="s">
        <v>300</v>
      </c>
      <c r="AO1178" s="483" t="s">
        <v>301</v>
      </c>
      <c r="AP1178" s="502" t="s">
        <v>305</v>
      </c>
      <c r="AQ1178" s="495" t="s">
        <v>563</v>
      </c>
      <c r="AR1178" s="495" t="s">
        <v>562</v>
      </c>
      <c r="AS1178" s="501" t="s">
        <v>599</v>
      </c>
      <c r="AT1178" s="501" t="s">
        <v>599</v>
      </c>
      <c r="AU1178" s="30"/>
      <c r="AV1178" s="483"/>
      <c r="AW1178" s="483"/>
      <c r="AX1178" s="483" t="s">
        <v>316</v>
      </c>
      <c r="AY1178" s="483"/>
      <c r="AZ1178" s="483"/>
      <c r="BA1178" s="483"/>
      <c r="BB1178" s="483"/>
      <c r="BC1178" s="483"/>
      <c r="BD1178" s="483"/>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484" t="s">
        <v>259</v>
      </c>
    </row>
    <row r="1179" spans="1:78" s="140" customFormat="1" ht="12.75" customHeight="1" thickBot="1" x14ac:dyDescent="0.25">
      <c r="A1179" s="777"/>
      <c r="B1179" s="1248"/>
      <c r="C1179" s="753" t="s">
        <v>194</v>
      </c>
      <c r="D1179" s="503" t="str">
        <f>Translations!$B$622</f>
        <v>VD:</v>
      </c>
      <c r="E1179" s="504"/>
      <c r="F1179" s="393"/>
      <c r="G1179" s="1603" t="str">
        <f>IF(OR(ISBLANK(F1179),F1179=EUconst_NoTier),"",IF(Z1179=0,EUconst_NA,IF(ISERROR(Z1179),"",Z1179)))</f>
        <v/>
      </c>
      <c r="H1179" s="1604"/>
      <c r="I1179" s="1108" t="str">
        <f>IF(J1179&lt;&gt;"","",AI1179)</f>
        <v/>
      </c>
      <c r="J1179" s="1109"/>
      <c r="K1179" s="1116" t="str">
        <f>IF(L1179="",AQ1179,"")</f>
        <v/>
      </c>
      <c r="L1179" s="1199"/>
      <c r="M1179" s="700" t="str">
        <f>IF(AND(E1170&lt;&gt;"",OR(F1179="",COUNT(K1179:L1179)=0),Y1179&lt;&gt;EUconst_NA,T1170&lt;&gt;TRUE),EUconst_ERR_Incomplete,IF(COUNTIF(AX1179:AZ1179,TRUE)&gt;0,EUconst_ERR_Inconsistent,""))</f>
        <v/>
      </c>
      <c r="O1179" s="1305"/>
      <c r="P1179" s="635"/>
      <c r="Q1179" s="343" t="str">
        <f>EUconst_SumBioEnergyIN &amp; "_" &amp; K1169</f>
        <v>SUM_BioEnergyIN_</v>
      </c>
      <c r="R1179" s="390" t="str">
        <f>IF(OR(K1169="",T1170)=TRUE,"",INDEX(BC1185:BE1185,MATCH(K1169,BC1179:BE1179,0)))</f>
        <v/>
      </c>
      <c r="S1179" s="30"/>
      <c r="T1179" s="505" t="str">
        <f>EUconst_CNTR_ActivityData&amp;E1170</f>
        <v>ActivityData_</v>
      </c>
      <c r="U1179" s="488"/>
      <c r="V1179" s="505" t="str">
        <f>IF(E1169="","",INDEX(B_InstallationDescription!$I$71:$I$145,MATCH(U1168,B_InstallationDescription!$D$71:$D$145,0)))</f>
        <v/>
      </c>
      <c r="W1179" s="495" t="s">
        <v>533</v>
      </c>
      <c r="X1179" s="488"/>
      <c r="Y1179" s="506" t="str">
        <f>IF(OR(T1170=TRUE,E1170=""),"",INDEX(EUwideConstants!$N:$N,MATCH(T1179,EUwideConstants!$Q:$Q,0)))</f>
        <v/>
      </c>
      <c r="Z1179" s="507" t="str">
        <f>IF(ISBLANK(F1179),"",IF(F1179=EUconst_NA,"",INDEX(EUwideConstants!$H:$M,MATCH(T1179,EUwideConstants!$Q:$Q,0),MATCH(F1179,CNTR_TierList,0))))</f>
        <v/>
      </c>
      <c r="AA1179" s="508" t="s">
        <v>299</v>
      </c>
      <c r="AB1179" s="495"/>
      <c r="AC1179" s="509" t="b">
        <f>AC1174</f>
        <v>0</v>
      </c>
      <c r="AD1179" s="30"/>
      <c r="AE1179" s="510" t="str">
        <f>EUconst_CNTR_ActivityData&amp;EUconst_Unit</f>
        <v>ActivityData_Vienetas</v>
      </c>
      <c r="AF1179" s="511" t="str">
        <f>IF(AC1179=TRUE, IF(COUNTIF(MSPara_SourceStreamCategory,V1179)=0,"",INDEX(MSPara_CalcFactorsMatrix,MATCH(V1179,MSPara_SourceStreamCategory,0),MATCH(AE1179&amp;"_"&amp;2,MSPara_CalcFactors,0))),"")</f>
        <v/>
      </c>
      <c r="AG1179" s="512" t="str">
        <f>IF(AC1179=TRUE, IF(COUNTIF(MSPara_SourceStreamCategory,V1179)=0,"",INDEX(MSPara_CalcFactorsMatrix,MATCH(V1179,MSPara_SourceStreamCategory,0),MATCH(AE1179&amp;"_"&amp;1,MSPara_CalcFactors,0))),"")</f>
        <v/>
      </c>
      <c r="AH1179" s="509" t="str">
        <f>IF(OR(AF1179="",AF1179=EUconst_NA),IF(OR(AG1179=EUconst_NA,AG1179=""),"",AG1179),AF1179)</f>
        <v/>
      </c>
      <c r="AI1179" s="506" t="str">
        <f>IF(AC1179=TRUE,IF(AH1179="",EUconst_t,AH1179),"")</f>
        <v/>
      </c>
      <c r="AJ1179" s="513" t="str">
        <f>IF(J1179="",AI1179,J1179)</f>
        <v/>
      </c>
      <c r="AK1179" s="514" t="b">
        <f>IF(K1169=EUconst_Fuel,J1179&lt;&gt;"",FALSE)</f>
        <v>0</v>
      </c>
      <c r="AL1179" s="333"/>
      <c r="AM1179" s="505" t="str">
        <f>EUconst_CNTR_ActivityData&amp;EUconst_Value</f>
        <v>ActivityData_Vertė</v>
      </c>
      <c r="AN1179" s="496"/>
      <c r="AO1179" s="496"/>
      <c r="AP1179" s="509" t="b">
        <f>AND(AND(AH1179&lt;&gt;"",AJ1179&lt;&gt;""),AJ1179=AH1179)</f>
        <v>0</v>
      </c>
      <c r="AQ1179" s="610" t="str">
        <f>IF(L1174=TRUE,SUM(F1176)-SUM(H1176)+SUM(J1176)-SUM(L1176),"")</f>
        <v/>
      </c>
      <c r="AR1179" s="509">
        <f>IF(Y1179=EUconst_NA,0,IF(COUNT(K1179:L1179)=0,0,IF(L1179="",K1179,L1179)))</f>
        <v>0</v>
      </c>
      <c r="AS1179" s="1115" t="b">
        <f>AND(AC1179=TRUE,OR(L1179&lt;&gt;"",AQ1179=""))</f>
        <v>0</v>
      </c>
      <c r="AT1179" s="1115" t="b">
        <f>AND(AC1179=TRUE,NOT(AS1179))</f>
        <v>0</v>
      </c>
      <c r="AU1179" s="30"/>
      <c r="AV1179" s="483" t="s">
        <v>309</v>
      </c>
      <c r="AW1179" s="483" t="s">
        <v>314</v>
      </c>
      <c r="AX1179" s="515"/>
      <c r="AY1179" s="30" t="s">
        <v>536</v>
      </c>
      <c r="AZ1179" s="30"/>
      <c r="BA1179" s="30"/>
      <c r="BB1179" s="495"/>
      <c r="BC1179" s="484" t="str">
        <f>EUconst_Fuel</f>
        <v>Degimas</v>
      </c>
      <c r="BD1179" s="484" t="str">
        <f>EUconst_ProcessCarbonate</f>
        <v>Proceso metu išsiskiriančios ŠESD</v>
      </c>
      <c r="BE1179" s="484" t="str">
        <f>EUconst_MassBalance</f>
        <v>Masės balansas</v>
      </c>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515" t="b">
        <f>BZ1174</f>
        <v>1</v>
      </c>
    </row>
    <row r="1180" spans="1:78" s="140" customFormat="1" ht="5.0999999999999996" customHeight="1" thickBot="1" x14ac:dyDescent="0.25">
      <c r="A1180" s="777"/>
      <c r="B1180" s="1248"/>
      <c r="C1180" s="783"/>
      <c r="D1180" s="298"/>
      <c r="F1180" s="141"/>
      <c r="G1180" s="141"/>
      <c r="H1180" s="141" t="s">
        <v>233</v>
      </c>
      <c r="I1180" s="516"/>
      <c r="J1180" s="516"/>
      <c r="K1180" s="141"/>
      <c r="L1180" s="141"/>
      <c r="M1180" s="701"/>
      <c r="O1180" s="1305"/>
      <c r="P1180" s="33"/>
      <c r="Q1180" s="33"/>
      <c r="R1180" s="33"/>
      <c r="S1180" s="30"/>
      <c r="T1180" s="153"/>
      <c r="U1180" s="488"/>
      <c r="V1180" s="30"/>
      <c r="W1180" s="30"/>
      <c r="X1180" s="488"/>
      <c r="Y1180" s="517"/>
      <c r="Z1180" s="30"/>
      <c r="AA1180" s="30"/>
      <c r="AB1180" s="30"/>
      <c r="AC1180" s="30"/>
      <c r="AD1180" s="30"/>
      <c r="AE1180" s="30"/>
      <c r="AF1180" s="30"/>
      <c r="AG1180" s="30"/>
      <c r="AH1180" s="30"/>
      <c r="AI1180" s="30"/>
      <c r="AJ1180" s="30"/>
      <c r="AK1180" s="30"/>
      <c r="AL1180" s="333"/>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484"/>
    </row>
    <row r="1181" spans="1:78" s="140" customFormat="1" ht="12.75" customHeight="1" thickBot="1" x14ac:dyDescent="0.25">
      <c r="A1181" s="777"/>
      <c r="B1181" s="1248"/>
      <c r="C1181" s="783" t="s">
        <v>195</v>
      </c>
      <c r="D1181" s="503" t="str">
        <f>Translations!$B$634</f>
        <v>(prelim.) ITF:</v>
      </c>
      <c r="E1181" s="504"/>
      <c r="F1181" s="518"/>
      <c r="G1181" s="1603" t="str">
        <f t="shared" ref="G1181:G1187" si="287">IF(OR(ISBLANK(F1181),F1181=EUconst_NoTier),"",IF(Z1181=0,EUconst_NotApplicable,IF(ISERROR(Z1181),"",Z1181)))</f>
        <v/>
      </c>
      <c r="H1181" s="1609"/>
      <c r="I1181" s="1110" t="str">
        <f>IF(J1181&lt;&gt;"","",AI1181)</f>
        <v/>
      </c>
      <c r="J1181" s="1111"/>
      <c r="K1181" s="519" t="str">
        <f t="shared" ref="K1181:K1187" si="288">IF(L1181="",AQ1181,"")</f>
        <v/>
      </c>
      <c r="L1181" s="520"/>
      <c r="M1181" s="700" t="str">
        <f>IF(AND(E1170&lt;&gt;"",OR(F1181="",COUNT(K1181:L1181)=0),Y1181&lt;&gt;EUconst_NA,T1170&lt;&gt;TRUE),EUconst_ERR_Incomplete,IF(COUNTIF(AX1181:AZ1181,TRUE)&gt;0,EUconst_ERR_Inconsistent,""))</f>
        <v/>
      </c>
      <c r="N1181" s="486"/>
      <c r="O1181" s="1305"/>
      <c r="P1181" s="33"/>
      <c r="Q1181" s="33"/>
      <c r="R1181" s="33"/>
      <c r="S1181" s="30"/>
      <c r="T1181" s="521" t="str">
        <f>EUconst_CNTR_EF&amp;E1170</f>
        <v>EF_</v>
      </c>
      <c r="U1181" s="488"/>
      <c r="V1181" s="522" t="str">
        <f>V1179</f>
        <v/>
      </c>
      <c r="W1181" s="30"/>
      <c r="X1181" s="488"/>
      <c r="Y1181" s="523" t="str">
        <f>IF(OR(T1170=TRUE,E1170=""),"",IF(F1181=EUconst_NA,EUconst_NA,INDEX(EUwideConstants!$N:$N,MATCH(T1181,EUwideConstants!$Q:$Q,0))))</f>
        <v/>
      </c>
      <c r="Z1181" s="524" t="str">
        <f>IF(ISBLANK(F1181),"",IF(F1181=EUconst_NA,"",INDEX(EUwideConstants!$H:$M,MATCH(T1181,EUwideConstants!$Q:$Q,0),MATCH(F1181,CNTR_TierList,0))))</f>
        <v/>
      </c>
      <c r="AA1181" s="525" t="str">
        <f>IF(COUNTIF(EUconst_DefaultValues,Z1181)&gt;0,MATCH(Z1181,EUconst_DefaultValues,0),"")</f>
        <v/>
      </c>
      <c r="AB1181" s="30"/>
      <c r="AC1181" s="526" t="b">
        <f>AND(AC1179,Y1181&lt;&gt;EUconst_NA)</f>
        <v>0</v>
      </c>
      <c r="AD1181" s="30"/>
      <c r="AE1181" s="510" t="str">
        <f>EUconst_CNTR_EF&amp;EUconst_Unit</f>
        <v>EF_Vienetas</v>
      </c>
      <c r="AF1181" s="527" t="str">
        <f>IF(AC1181=TRUE, IF(COUNTIF(MSPara_SourceStreamCategory,V1181)=0,"",INDEX(MSPara_CalcFactorsMatrix,MATCH(V1181,MSPara_SourceStreamCategory,0),MATCH(AE1181&amp;"_"&amp;2,MSPara_CalcFactors,0))),"")</f>
        <v/>
      </c>
      <c r="AG1181" s="528" t="str">
        <f>IF(AC1181=TRUE, IF(COUNTIF(MSPara_SourceStreamCategory,V1181)=0,"",INDEX(MSPara_CalcFactorsMatrix,MATCH(V1181,MSPara_SourceStreamCategory,0),MATCH(AE1181&amp;"_"&amp;1,MSPara_CalcFactors,0))),"")</f>
        <v/>
      </c>
      <c r="AH1181" s="529" t="str">
        <f>IF(AA1181="","",INDEX(AF1181:AG1181,3-AA1181))</f>
        <v/>
      </c>
      <c r="AI1181" s="530" t="str">
        <f>IF(AC1181=TRUE,IF(OR(AH1181="",AH1181=EUconst_NA),IF(K1169=EUconst_Fuel,EUconst_tCO2pTJ,EUconst_tCO2pt),AH1181),"")</f>
        <v/>
      </c>
      <c r="AJ1181" s="526" t="str">
        <f>IF(J1181="",AI1181,J1181)</f>
        <v/>
      </c>
      <c r="AK1181" s="531" t="b">
        <f>IF(K1169=EUconst_Fuel,J1181&lt;&gt;"",FALSE)</f>
        <v>0</v>
      </c>
      <c r="AL1181" s="333"/>
      <c r="AM1181" s="510" t="str">
        <f>EUconst_CNTR_EF&amp;EUconst_Value</f>
        <v>EF_Vertė</v>
      </c>
      <c r="AN1181" s="532" t="str">
        <f>IF(AC1181=TRUE,IF(COUNTIF(MSPara_SourceStreamCategory,V1181)=0,"",INDEX(MSPara_CalcFactorsMatrix,MATCH(V1181,MSPara_SourceStreamCategory,0),MATCH(AM1181&amp;"_"&amp;2,MSPara_CalcFactors,0))),"")</f>
        <v/>
      </c>
      <c r="AO1181" s="533" t="str">
        <f>IF(AC1181=TRUE,IF(COUNTIF(MSPara_SourceStreamCategory,V1181)=0,"",INDEX(MSPara_CalcFactorsMatrix,MATCH(V1181,MSPara_SourceStreamCategory,0),MATCH(AM1181&amp;"_"&amp;1,MSPara_CalcFactors,0))),"")</f>
        <v/>
      </c>
      <c r="AP1181" s="526" t="b">
        <f>AND(AND(AH1181&lt;&gt;"",AJ1181&lt;&gt;""),AJ1181=AH1181)</f>
        <v>0</v>
      </c>
      <c r="AQ1181" s="534" t="str">
        <f>IF(AND(AA1181&lt;&gt;"",AP1181=TRUE),IF(OR(INDEX(AN1181:AO1181,3-AA1181)=EUconst_NA,INDEX(AN1181:AO1181,3-AA1181)=0),"",INDEX(AN1181:AO1181,3-AA1181)),"")</f>
        <v/>
      </c>
      <c r="AR1181" s="526">
        <f>IF(AC1181=TRUE,IF(COUNT(K1181:L1181)=0,0,IF(L1181="",K1181,L1181)),0)</f>
        <v>0</v>
      </c>
      <c r="AS1181" s="522" t="b">
        <f>AND(AC1181=TRUE,OR(AND(F1181&lt;&gt;"",NOT(ISNUMBER(AA1181))),L1181&lt;&gt;"",F1181="",AQ1181=""))</f>
        <v>0</v>
      </c>
      <c r="AT1181" s="522" t="b">
        <f t="shared" ref="AT1181:AT1187" si="289">AND(AC1181=TRUE,NOT(AS1181))</f>
        <v>0</v>
      </c>
      <c r="AU1181" s="30"/>
      <c r="AV1181" s="535" t="b">
        <f t="shared" ref="AV1181:AV1187" si="290">AND(ISNUMBER(AA1181),AQ1181="")</f>
        <v>0</v>
      </c>
      <c r="AW1181" s="536" t="b">
        <f t="shared" ref="AW1181:AW1187" si="291">AND(ISNUMBER(AA1181),AQ1181&lt;&gt;AR1181)</f>
        <v>0</v>
      </c>
      <c r="AX1181" s="537" t="b">
        <f>OR(AND(AJ1179=EUconst_kNm3,AJ1181=EUconst_tCO2pt),AND(AJ1179=EUconst_t,AJ1181=EUconst_tCO2pkNm3))</f>
        <v>0</v>
      </c>
      <c r="AY1181" s="522" t="b">
        <f t="shared" ref="AY1181:AY1187" si="292">AND(L1181&lt;&gt;"",Y1181=EUconst_NA)</f>
        <v>0</v>
      </c>
      <c r="AZ1181" s="30"/>
      <c r="BA1181" s="30"/>
      <c r="BB1181" s="538" t="s">
        <v>588</v>
      </c>
      <c r="BC1181" s="537" t="str">
        <f>IF(K1169=BC1179,AR1179*IF(AJ1181=EUconst_tCO2pTJ,(AR1182/1000),1)*AR1181*AR1183*AR1187,"")</f>
        <v/>
      </c>
      <c r="BD1181" s="515" t="str">
        <f>IF(K1169=BD1179,AR1179*AR1181*AR1184*AR1187,"")</f>
        <v/>
      </c>
      <c r="BE1181" s="514" t="str">
        <f>IF(K1169=BE1179,3.664*AR1179*AR1185*AR1187,"")</f>
        <v/>
      </c>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522" t="b">
        <f>OR(BZ1179,Y1181=EUconst_NA)</f>
        <v>1</v>
      </c>
    </row>
    <row r="1182" spans="1:78" s="140" customFormat="1" ht="12.75" customHeight="1" thickBot="1" x14ac:dyDescent="0.25">
      <c r="A1182" s="777"/>
      <c r="B1182" s="1248"/>
      <c r="C1182" s="783" t="s">
        <v>196</v>
      </c>
      <c r="D1182" s="503" t="str">
        <f>Translations!$B$636</f>
        <v>GŠV:</v>
      </c>
      <c r="E1182" s="504"/>
      <c r="F1182" s="539"/>
      <c r="G1182" s="1603" t="str">
        <f t="shared" si="287"/>
        <v/>
      </c>
      <c r="H1182" s="1604"/>
      <c r="I1182" s="1112" t="str">
        <f>AJ1182</f>
        <v/>
      </c>
      <c r="J1182" s="540"/>
      <c r="K1182" s="541" t="str">
        <f t="shared" si="288"/>
        <v/>
      </c>
      <c r="L1182" s="542"/>
      <c r="M1182" s="700" t="str">
        <f>IF(AND(E1170&lt;&gt;"",OR(F1182="",COUNT(K1182:L1182)=0),Y1182&lt;&gt;EUconst_NA,T1170&lt;&gt;TRUE),EUconst_ERR_Incomplete,IF(COUNTIF(AX1182:AZ1182,TRUE)&gt;0,EUconst_ERR_Inconsistent,""))</f>
        <v/>
      </c>
      <c r="O1182" s="1305"/>
      <c r="P1182" s="33"/>
      <c r="Q1182" s="33"/>
      <c r="R1182" s="33"/>
      <c r="S1182" s="30"/>
      <c r="T1182" s="543" t="str">
        <f>EUconst_CNTR_NCV&amp;E1170</f>
        <v>NCV_</v>
      </c>
      <c r="U1182" s="488"/>
      <c r="V1182" s="544" t="str">
        <f t="shared" ref="V1182:V1187" si="293">V1181</f>
        <v/>
      </c>
      <c r="W1182" s="30"/>
      <c r="X1182" s="488"/>
      <c r="Y1182" s="545" t="str">
        <f>IF(OR(T1170=TRUE,E1170=""),"",IF(F1182=EUconst_NA,EUconst_NA,INDEX(EUwideConstants!$N:$N,MATCH(T1182,EUwideConstants!$Q:$Q,0))))</f>
        <v/>
      </c>
      <c r="Z1182" s="546" t="str">
        <f>IF(ISBLANK(F1182),"",IF(F1182=EUconst_NA,"",INDEX(EUwideConstants!$H:$M,MATCH(T1182,EUwideConstants!$Q:$Q,0),MATCH(F1182,CNTR_TierList,0))))</f>
        <v/>
      </c>
      <c r="AA1182" s="547" t="str">
        <f>IF(COUNTIF(EUconst_DefaultValues,Z1182)&gt;0,MATCH(Z1182,EUconst_DefaultValues,0),"")</f>
        <v/>
      </c>
      <c r="AB1182" s="30"/>
      <c r="AC1182" s="548" t="b">
        <f>AND(AC1179,Y1182&lt;&gt;EUconst_NA)</f>
        <v>0</v>
      </c>
      <c r="AD1182" s="30"/>
      <c r="AE1182" s="549" t="str">
        <f>EUconst_CNTR_NCV&amp;EUconst_Unit</f>
        <v>NCV_Vienetas</v>
      </c>
      <c r="AF1182" s="550" t="str">
        <f>IF(AC1182=TRUE, IF(COUNTIF(MSPara_SourceStreamCategory,V1182)=0,"",INDEX(MSPara_CalcFactorsMatrix,MATCH(V1182,MSPara_SourceStreamCategory,0),MATCH(AE1182&amp;"_"&amp;2,MSPara_CalcFactors,0))),"")</f>
        <v/>
      </c>
      <c r="AG1182" s="551" t="str">
        <f>IF(AC1182=TRUE, IF(COUNTIF(MSPara_SourceStreamCategory,V1182)=0,"",INDEX(MSPara_CalcFactorsMatrix,MATCH(V1182,MSPara_SourceStreamCategory,0),MATCH(AE1182&amp;"_"&amp;1,MSPara_CalcFactors,0))),"")</f>
        <v/>
      </c>
      <c r="AH1182" s="552" t="str">
        <f>IF(AA1182="","",INDEX(AF1182:AG1182,3-AA1182))</f>
        <v/>
      </c>
      <c r="AI1182" s="553"/>
      <c r="AJ1182" s="548" t="str">
        <f>IF(AC1182=TRUE,IF(AJ1179="","",IF(AJ1179=EUconst_kNm3,EUconst_GJpkNm3,EUconst_GJpt)),"")</f>
        <v/>
      </c>
      <c r="AK1182" s="554"/>
      <c r="AL1182" s="333"/>
      <c r="AM1182" s="549" t="str">
        <f>EUconst_CNTR_NCV&amp;EUconst_Value</f>
        <v>NCV_Vertė</v>
      </c>
      <c r="AN1182" s="555" t="str">
        <f>IF(AC1182=TRUE,IF(COUNTIF(MSPara_SourceStreamCategory,V1182)=0,"",INDEX(MSPara_CalcFactorsMatrix,MATCH(V1182,MSPara_SourceStreamCategory,0),MATCH(AM1182&amp;"_"&amp;2,MSPara_CalcFactors,0))),"")</f>
        <v/>
      </c>
      <c r="AO1182" s="556" t="str">
        <f>IF(AC1182=TRUE,IF(COUNTIF(MSPara_SourceStreamCategory,V1182)=0,"",INDEX(MSPara_CalcFactorsMatrix,MATCH(V1182,MSPara_SourceStreamCategory,0),MATCH(AM1182&amp;"_"&amp;1,MSPara_CalcFactors,0))),"")</f>
        <v/>
      </c>
      <c r="AP1182" s="548" t="b">
        <f>AND(AND(AH1182&lt;&gt;"",AJ1182&lt;&gt;""),AJ1182=AH1182)</f>
        <v>0</v>
      </c>
      <c r="AQ1182" s="557" t="str">
        <f>IF(AND(AA1182&lt;&gt;"",AP1182=TRUE),IF(OR(INDEX(AN1182:AO1182,3-AA1182)=EUconst_NA,INDEX(AN1182:AO1182,3-AA1182)=0),"",INDEX(AN1182:AO1182,3-AA1182)),"")</f>
        <v/>
      </c>
      <c r="AR1182" s="548">
        <f>IF(AC1182=TRUE,IF(COUNT(K1182:L1182)=0,0,IF(L1182="",K1182,L1182)),0)</f>
        <v>0</v>
      </c>
      <c r="AS1182" s="544" t="b">
        <f>AND(AC1182=TRUE,OR(AND(F1182&lt;&gt;"",NOT(ISNUMBER(AA1182))),L1182&lt;&gt;"",F1182="",AQ1182=""))</f>
        <v>0</v>
      </c>
      <c r="AT1182" s="544" t="b">
        <f t="shared" si="289"/>
        <v>0</v>
      </c>
      <c r="AU1182" s="30"/>
      <c r="AV1182" s="558" t="b">
        <f t="shared" si="290"/>
        <v>0</v>
      </c>
      <c r="AW1182" s="559" t="b">
        <f t="shared" si="291"/>
        <v>0</v>
      </c>
      <c r="AX1182" s="30"/>
      <c r="AY1182" s="544" t="b">
        <f t="shared" si="292"/>
        <v>0</v>
      </c>
      <c r="AZ1182" s="30"/>
      <c r="BA1182" s="30"/>
      <c r="BB1182" s="538" t="s">
        <v>589</v>
      </c>
      <c r="BC1182" s="537" t="str">
        <f>IF(K1169=BC1179,AR1179*IF(AJ1181=EUconst_tCO2pTJ,(AR1182/1000),1)*AR1181*AR1183*AR1186,"")</f>
        <v/>
      </c>
      <c r="BD1182" s="515" t="str">
        <f>IF(K1169=BD1179,AR1179*AR1181*AR1184*AR1186,"")</f>
        <v/>
      </c>
      <c r="BE1182" s="514" t="str">
        <f>IF(K1169=BE1179,3.664*AR1179*AR1185*AR1186,"")</f>
        <v/>
      </c>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544" t="b">
        <f>OR(BZ1179,Y1182=EUconst_NA)</f>
        <v>1</v>
      </c>
    </row>
    <row r="1183" spans="1:78" s="140" customFormat="1" ht="12.75" customHeight="1" thickBot="1" x14ac:dyDescent="0.25">
      <c r="A1183" s="777"/>
      <c r="B1183" s="1248"/>
      <c r="C1183" s="783" t="s">
        <v>197</v>
      </c>
      <c r="D1183" s="503" t="str">
        <f>Translations!$B$638</f>
        <v>Oksidacijos koef.:</v>
      </c>
      <c r="E1183" s="504"/>
      <c r="F1183" s="539"/>
      <c r="G1183" s="1603" t="str">
        <f t="shared" si="287"/>
        <v/>
      </c>
      <c r="H1183" s="1604"/>
      <c r="I1183" s="1113" t="str">
        <f>IF(OR(AC1183=FALSE,Y1183=EUconst_NA),"","-")</f>
        <v/>
      </c>
      <c r="J1183" s="560"/>
      <c r="K1183" s="561" t="str">
        <f t="shared" si="288"/>
        <v/>
      </c>
      <c r="L1183" s="694"/>
      <c r="M1183" s="700" t="str">
        <f>IF(AND(E1170&lt;&gt;"",OR(F1183="",COUNT(K1183:L1183)=0),Y1183&lt;&gt;EUconst_NA,T1170&lt;&gt;TRUE),EUconst_ERR_Incomplete,IF(COUNTIF(AX1183:AZ1183,TRUE)&gt;0,EUconst_ERR_Inconsistent,""))</f>
        <v/>
      </c>
      <c r="O1183" s="1305"/>
      <c r="P1183" s="33"/>
      <c r="Q1183" s="33"/>
      <c r="R1183" s="33"/>
      <c r="S1183" s="30"/>
      <c r="T1183" s="543" t="str">
        <f>EUconst_CNTR_OxidationFactor&amp;E1170</f>
        <v>OxF_</v>
      </c>
      <c r="U1183" s="488"/>
      <c r="V1183" s="544" t="str">
        <f t="shared" si="293"/>
        <v/>
      </c>
      <c r="W1183" s="30"/>
      <c r="X1183" s="488"/>
      <c r="Y1183" s="545" t="str">
        <f>IF(OR(T1170=TRUE,E1170=""),"",INDEX(EUwideConstants!$N:$N,MATCH(T1183,EUwideConstants!$Q:$Q,0)))</f>
        <v/>
      </c>
      <c r="Z1183" s="546" t="str">
        <f>IF(ISBLANK(F1183),"",IF(F1183=EUconst_NA,"",INDEX(EUwideConstants!$H:$M,MATCH(T1183,EUwideConstants!$Q:$Q,0),MATCH(F1183,CNTR_TierList,0))))</f>
        <v/>
      </c>
      <c r="AA1183" s="525" t="str">
        <f>IF(F1183=1,1,"")</f>
        <v/>
      </c>
      <c r="AB1183" s="30"/>
      <c r="AC1183" s="548" t="b">
        <f>AND(AC1179,Y1183&lt;&gt;EUconst_NA)</f>
        <v>0</v>
      </c>
      <c r="AD1183" s="30"/>
      <c r="AE1183" s="563"/>
      <c r="AG1183" s="564"/>
      <c r="AH1183" s="553"/>
      <c r="AI1183" s="565"/>
      <c r="AJ1183" s="553"/>
      <c r="AK1183" s="566"/>
      <c r="AL1183" s="333"/>
      <c r="AM1183" s="549" t="str">
        <f>EUconst_CNTR_OxidationFactor&amp;EUconst_Value</f>
        <v>OxF_Vertė</v>
      </c>
      <c r="AN1183" s="567"/>
      <c r="AO1183" s="525">
        <v>1</v>
      </c>
      <c r="AP1183" s="553"/>
      <c r="AQ1183" s="568" t="str">
        <f>IF(AA1183="","",AO1183)</f>
        <v/>
      </c>
      <c r="AR1183" s="548">
        <f>IF(AC1183=TRUE,IF(COUNT(K1183:L1183)=0,0,IF(L1183="",K1183,L1183)),1)</f>
        <v>1</v>
      </c>
      <c r="AS1183" s="544" t="b">
        <f>AND(AC1183=TRUE,OR(ISNUMBER(L1183),NOT(ISNUMBER(AA1183))))</f>
        <v>0</v>
      </c>
      <c r="AT1183" s="544" t="b">
        <f t="shared" si="289"/>
        <v>0</v>
      </c>
      <c r="AU1183" s="30"/>
      <c r="AV1183" s="558" t="b">
        <f t="shared" si="290"/>
        <v>0</v>
      </c>
      <c r="AW1183" s="559" t="b">
        <f t="shared" si="291"/>
        <v>0</v>
      </c>
      <c r="AX1183" s="30"/>
      <c r="AY1183" s="585" t="b">
        <f t="shared" si="292"/>
        <v>0</v>
      </c>
      <c r="AZ1183" s="522" t="b">
        <f>AR1183&gt;100%</f>
        <v>0</v>
      </c>
      <c r="BA1183" s="30"/>
      <c r="BB1183" s="538" t="s">
        <v>287</v>
      </c>
      <c r="BC1183" s="537" t="str">
        <f>IF(K1169=BC1179,AR1179*IF(AJ1181=EUconst_tCO2pTJ,(AR1182/1000),1)*AR1181*AR1183*(1-AR1186),"")</f>
        <v/>
      </c>
      <c r="BD1183" s="515" t="str">
        <f>IF(K1169=BD1179,AR1179*AR1181*AR1184*(1-AR1186),"")</f>
        <v/>
      </c>
      <c r="BE1183" s="514" t="str">
        <f>IF(K1169=BE1179,3.664*AR1179*AR1185*(1-AR1186),"")</f>
        <v/>
      </c>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544" t="b">
        <f>OR(BZ1179,Y1183=EUconst_NA)</f>
        <v>1</v>
      </c>
    </row>
    <row r="1184" spans="1:78" s="140" customFormat="1" ht="12.75" customHeight="1" thickBot="1" x14ac:dyDescent="0.25">
      <c r="A1184" s="777"/>
      <c r="B1184" s="1248"/>
      <c r="C1184" s="783" t="s">
        <v>198</v>
      </c>
      <c r="D1184" s="503" t="str">
        <f>Translations!$B$639</f>
        <v>Konversijos koef.:</v>
      </c>
      <c r="E1184" s="504"/>
      <c r="F1184" s="539"/>
      <c r="G1184" s="1603" t="str">
        <f t="shared" si="287"/>
        <v/>
      </c>
      <c r="H1184" s="1604"/>
      <c r="I1184" s="1113" t="str">
        <f>IF(OR(AC1184=FALSE,Y1184=EUconst_NA),"","-")</f>
        <v/>
      </c>
      <c r="J1184" s="560"/>
      <c r="K1184" s="561" t="str">
        <f t="shared" si="288"/>
        <v/>
      </c>
      <c r="L1184" s="694"/>
      <c r="M1184" s="700" t="str">
        <f>IF(AND(E1170&lt;&gt;"",OR(F1184="",COUNT(K1184:L1184)=0),Y1184&lt;&gt;EUconst_NA,T1170&lt;&gt;TRUE),EUconst_ERR_Incomplete,IF(COUNTIF(AX1184:AZ1184,TRUE)&gt;0,EUconst_ERR_Inconsistent,""))</f>
        <v/>
      </c>
      <c r="O1184" s="1305"/>
      <c r="P1184" s="33"/>
      <c r="Q1184" s="33"/>
      <c r="R1184" s="33"/>
      <c r="S1184" s="30"/>
      <c r="T1184" s="543" t="str">
        <f>EUconst_CNTR_ConversionFactor&amp;E1170</f>
        <v>ConvF_</v>
      </c>
      <c r="U1184" s="488"/>
      <c r="V1184" s="544" t="str">
        <f t="shared" si="293"/>
        <v/>
      </c>
      <c r="W1184" s="30"/>
      <c r="X1184" s="488"/>
      <c r="Y1184" s="545" t="str">
        <f>IF(OR(T1170=TRUE,E1170=""),"",INDEX(EUwideConstants!$N:$N,MATCH(T1184,EUwideConstants!$Q:$Q,0)))</f>
        <v/>
      </c>
      <c r="Z1184" s="546" t="str">
        <f>IF(ISBLANK(F1184),"",IF(F1184=EUconst_NA,"",INDEX(EUwideConstants!$H:$M,MATCH(T1184,EUwideConstants!$Q:$Q,0),MATCH(F1184,CNTR_TierList,0))))</f>
        <v/>
      </c>
      <c r="AA1184" s="573" t="str">
        <f>IF(F1184=1,1,"")</f>
        <v/>
      </c>
      <c r="AB1184" s="30"/>
      <c r="AC1184" s="548" t="b">
        <f>AND(AC1179,Y1184&lt;&gt;EUconst_NA)</f>
        <v>0</v>
      </c>
      <c r="AD1184" s="30"/>
      <c r="AE1184" s="563"/>
      <c r="AG1184" s="564"/>
      <c r="AH1184" s="574"/>
      <c r="AI1184" s="565"/>
      <c r="AJ1184" s="574"/>
      <c r="AK1184" s="566"/>
      <c r="AL1184" s="333"/>
      <c r="AM1184" s="549" t="str">
        <f>EUconst_CNTR_ConversionFactor&amp;EUconst_Value</f>
        <v>ConvF_Vertė</v>
      </c>
      <c r="AN1184" s="575"/>
      <c r="AO1184" s="573">
        <v>1</v>
      </c>
      <c r="AP1184" s="574"/>
      <c r="AQ1184" s="576" t="str">
        <f>IF(AA1184="","",AO1184)</f>
        <v/>
      </c>
      <c r="AR1184" s="548">
        <f>IF(AC1184=TRUE,IF(COUNT(K1184:L1184)=0,0,IF(L1184="",K1184,L1184)),1)</f>
        <v>1</v>
      </c>
      <c r="AS1184" s="544" t="b">
        <f>AND(AC1184=TRUE,OR(ISNUMBER(L1184),NOT(ISNUMBER(AA1184))))</f>
        <v>0</v>
      </c>
      <c r="AT1184" s="544" t="b">
        <f t="shared" si="289"/>
        <v>0</v>
      </c>
      <c r="AU1184" s="30"/>
      <c r="AV1184" s="558" t="b">
        <f t="shared" si="290"/>
        <v>0</v>
      </c>
      <c r="AW1184" s="559" t="b">
        <f t="shared" si="291"/>
        <v>0</v>
      </c>
      <c r="AX1184" s="30"/>
      <c r="AY1184" s="585" t="b">
        <f t="shared" si="292"/>
        <v>0</v>
      </c>
      <c r="AZ1184" s="571" t="b">
        <f>AR1184&gt;100%</f>
        <v>0</v>
      </c>
      <c r="BA1184" s="30"/>
      <c r="BB1184" s="569" t="s">
        <v>481</v>
      </c>
      <c r="BC1184" s="570">
        <f>AR1179*AR1182/1000*(1-AR1186)</f>
        <v>0</v>
      </c>
      <c r="BD1184" s="571">
        <f>BC1184</f>
        <v>0</v>
      </c>
      <c r="BE1184" s="572">
        <f>BC1184</f>
        <v>0</v>
      </c>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544" t="b">
        <f>OR(BZ1179,Y1184=EUconst_NA)</f>
        <v>1</v>
      </c>
    </row>
    <row r="1185" spans="1:78" s="140" customFormat="1" ht="12.75" customHeight="1" thickBot="1" x14ac:dyDescent="0.25">
      <c r="A1185" s="777"/>
      <c r="B1185" s="1248"/>
      <c r="C1185" s="783" t="s">
        <v>324</v>
      </c>
      <c r="D1185" s="503" t="str">
        <f>Translations!$B$640</f>
        <v>Anglies kiekis (C):</v>
      </c>
      <c r="E1185" s="504"/>
      <c r="F1185" s="539"/>
      <c r="G1185" s="1603" t="str">
        <f t="shared" si="287"/>
        <v/>
      </c>
      <c r="H1185" s="1604"/>
      <c r="I1185" s="1113" t="str">
        <f>AJ1185</f>
        <v/>
      </c>
      <c r="J1185" s="577"/>
      <c r="K1185" s="578" t="str">
        <f t="shared" si="288"/>
        <v/>
      </c>
      <c r="L1185" s="579"/>
      <c r="M1185" s="700" t="str">
        <f>IF(AND(E1170&lt;&gt;"",OR(F1185="",COUNT(K1185:L1185)=0),Y1185&lt;&gt;EUconst_NA,T1170&lt;&gt;TRUE),EUconst_ERR_Incomplete,IF(COUNTIF(AX1185:AZ1185,TRUE)&gt;0,EUconst_ERR_Inconsistent,""))</f>
        <v/>
      </c>
      <c r="O1185" s="1305"/>
      <c r="P1185" s="33"/>
      <c r="Q1185" s="33"/>
      <c r="R1185" s="33"/>
      <c r="S1185" s="30"/>
      <c r="T1185" s="543" t="str">
        <f>EUconst_CNTR_CarbonContent&amp;E1170</f>
        <v>CarbC_</v>
      </c>
      <c r="U1185" s="488"/>
      <c r="V1185" s="544" t="str">
        <f t="shared" si="293"/>
        <v/>
      </c>
      <c r="W1185" s="30"/>
      <c r="X1185" s="488"/>
      <c r="Y1185" s="545" t="str">
        <f>IF(OR(T1170=TRUE,E1170=""),"",INDEX(EUwideConstants!$N:$N,MATCH(T1185,EUwideConstants!$Q:$Q,0)))</f>
        <v/>
      </c>
      <c r="Z1185" s="546" t="str">
        <f>IF(ISBLANK(F1185),"",IF(F1185=EUconst_NA,"",INDEX(EUwideConstants!$H:$M,MATCH(T1185,EUwideConstants!$Q:$Q,0),MATCH(F1185,CNTR_TierList,0))))</f>
        <v/>
      </c>
      <c r="AA1185" s="580" t="str">
        <f>IF(COUNTIF(EUconst_DefaultValues,Z1185)&gt;0,MATCH(Z1185,EUconst_DefaultValues,0),"")</f>
        <v/>
      </c>
      <c r="AB1185" s="30"/>
      <c r="AC1185" s="548" t="b">
        <f>AND(AC1179,Y1185&lt;&gt;EUconst_NA)</f>
        <v>0</v>
      </c>
      <c r="AD1185" s="30"/>
      <c r="AE1185" s="549" t="str">
        <f>EUconst_CNTR_CarbonContent&amp;EUconst_Unit</f>
        <v>CarbC_Vienetas</v>
      </c>
      <c r="AF1185" s="550" t="str">
        <f>IF(AC1185=TRUE, IF(COUNTIF(MSPara_SourceStreamCategory,V1185)=0,"",INDEX(MSPara_CalcFactorsMatrix,MATCH(V1185,MSPara_SourceStreamCategory,0),MATCH(AE1185&amp;"_"&amp;2,MSPara_CalcFactors,0))),"")</f>
        <v/>
      </c>
      <c r="AG1185" s="551" t="str">
        <f>IF(AC1185=TRUE, IF(COUNTIF(MSPara_SourceStreamCategory,V1185)=0,"",INDEX(MSPara_CalcFactorsMatrix,MATCH(V1185,MSPara_SourceStreamCategory,0),MATCH(AE1185&amp;"_"&amp;1,MSPara_CalcFactors,0))),"")</f>
        <v/>
      </c>
      <c r="AH1185" s="581" t="str">
        <f>IF(AA1185="","",INDEX(AF1185:AG1185,3-AA1185))</f>
        <v/>
      </c>
      <c r="AI1185" s="565"/>
      <c r="AJ1185" s="582" t="str">
        <f>IF(AC1185=TRUE,IF(AJ1179="","",IF(AJ1179=EUconst_kNm3,EUconst_tCpkNm3,EUconst_tCpt)),"")</f>
        <v/>
      </c>
      <c r="AK1185" s="566"/>
      <c r="AL1185" s="333"/>
      <c r="AM1185" s="549" t="str">
        <f>EUconst_CNTR_CarbonContent&amp;EUconst_Value</f>
        <v>CarbC_Vertė</v>
      </c>
      <c r="AN1185" s="555" t="str">
        <f>IF(AC1185=TRUE,IF(COUNTIF(MSPara_SourceStreamCategory,V1185)=0,"",INDEX(MSPara_CalcFactorsMatrix,MATCH(V1185,MSPara_SourceStreamCategory,0),MATCH(AM1185&amp;"_"&amp;2,MSPara_CalcFactors,0))),"")</f>
        <v/>
      </c>
      <c r="AO1185" s="583" t="str">
        <f>IF(AC1185=TRUE,IF(COUNTIF(MSPara_SourceStreamCategory,V1185)=0,"",INDEX(MSPara_CalcFactorsMatrix,MATCH(V1185,MSPara_SourceStreamCategory,0),MATCH(AM1185&amp;"_"&amp;1,MSPara_CalcFactors,0))),"")</f>
        <v/>
      </c>
      <c r="AP1185" s="548" t="b">
        <f>AND(AND(AH1185&lt;&gt;"",AJ1185&lt;&gt;""),AJ1185=AH1185)</f>
        <v>0</v>
      </c>
      <c r="AQ1185" s="584" t="str">
        <f>IF(AND(AA1185&lt;&gt;"",AP1185=TRUE),IF(OR(INDEX(AN1185:AO1185,3-AA1185)=EUconst_NA,INDEX(AN1185:AO1185,3-AA1185)=0),"",INDEX(AN1185:AO1185,3-AA1185)),"")</f>
        <v/>
      </c>
      <c r="AR1185" s="548">
        <f>IF(AC1185=TRUE,IF(COUNT(K1185:L1185)=0,0,IF(L1185="",K1185,L1185)),0)</f>
        <v>0</v>
      </c>
      <c r="AS1185" s="544" t="b">
        <f>AND(AC1185=TRUE,OR(AND(F1185&lt;&gt;"",NOT(ISNUMBER(AA1185))),L1185&lt;&gt;"",F1185="",AQ1185=""))</f>
        <v>0</v>
      </c>
      <c r="AT1185" s="544" t="b">
        <f t="shared" si="289"/>
        <v>0</v>
      </c>
      <c r="AU1185" s="30"/>
      <c r="AV1185" s="558" t="b">
        <f t="shared" si="290"/>
        <v>0</v>
      </c>
      <c r="AW1185" s="559" t="b">
        <f t="shared" si="291"/>
        <v>0</v>
      </c>
      <c r="AX1185" s="537" t="b">
        <f>OR(AND(AJ1179=EUconst_kNm3,AJ1185=EUconst_tCpt),AND(AJ1179=EUconst_t,AJ1185=EUconst_tCpkNm3))</f>
        <v>0</v>
      </c>
      <c r="AY1185" s="544" t="b">
        <f t="shared" si="292"/>
        <v>0</v>
      </c>
      <c r="AZ1185" s="30"/>
      <c r="BA1185" s="30"/>
      <c r="BB1185" s="569" t="s">
        <v>482</v>
      </c>
      <c r="BC1185" s="570">
        <f>AR1179*AR1182/1000*AR1186</f>
        <v>0</v>
      </c>
      <c r="BD1185" s="571">
        <f>BC1185</f>
        <v>0</v>
      </c>
      <c r="BE1185" s="572">
        <f>BC1185</f>
        <v>0</v>
      </c>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544" t="b">
        <f>OR(BZ1179,Y1185=EUconst_NA)</f>
        <v>1</v>
      </c>
    </row>
    <row r="1186" spans="1:78" s="140" customFormat="1" ht="12.75" customHeight="1" x14ac:dyDescent="0.2">
      <c r="A1186" s="777"/>
      <c r="B1186" s="1248"/>
      <c r="C1186" s="753" t="s">
        <v>325</v>
      </c>
      <c r="D1186" s="503" t="str">
        <f>Translations!$B$641</f>
        <v>Biomasės dalis (BioC):</v>
      </c>
      <c r="E1186" s="504"/>
      <c r="F1186" s="539"/>
      <c r="G1186" s="1603" t="str">
        <f t="shared" si="287"/>
        <v/>
      </c>
      <c r="H1186" s="1604"/>
      <c r="I1186" s="1113" t="str">
        <f>IF(OR(AC1186=FALSE,Y1186=EUconst_NA),"","-")</f>
        <v/>
      </c>
      <c r="J1186" s="560"/>
      <c r="K1186" s="561" t="str">
        <f t="shared" si="288"/>
        <v/>
      </c>
      <c r="L1186" s="694"/>
      <c r="M1186" s="700" t="str">
        <f>IF(AND(E1170&lt;&gt;"",OR(F1186="",COUNT(K1186:L1186)=0),Y1186&lt;&gt;EUconst_NA,T1170&lt;&gt;TRUE),EUconst_ERR_Incomplete,IF(COUNTIF(AX1186:AZ1186,TRUE)&gt;0,EUconst_ERR_Inconsistent,""))</f>
        <v/>
      </c>
      <c r="O1186" s="1305"/>
      <c r="P1186" s="635"/>
      <c r="Q1186" s="635"/>
      <c r="R1186" s="635"/>
      <c r="S1186" s="30"/>
      <c r="T1186" s="543" t="str">
        <f>EUconst_CNTR_BiomassContent&amp;E1170</f>
        <v>BioC_</v>
      </c>
      <c r="U1186" s="488"/>
      <c r="V1186" s="585" t="str">
        <f t="shared" si="293"/>
        <v/>
      </c>
      <c r="W1186" s="522" t="str">
        <f>IF(COUNTIF(MSPara_SourceStreamCategory,V1186)=0,"",INDEX(MSPara_IsFossil,MATCH(V1186,MSPara_SourceStreamCategory,0)))</f>
        <v/>
      </c>
      <c r="X1186" s="488"/>
      <c r="Y1186" s="545" t="str">
        <f>IF(OR(T1170=TRUE,E1170=""),"",IF(OR(W1186=TRUE,F1186=EUconst_NA),EUconst_NA,INDEX(EUwideConstants!$N:$N,MATCH(T1186,EUwideConstants!$Q:$Q,0))))</f>
        <v/>
      </c>
      <c r="Z1186" s="546" t="str">
        <f>IF(ISBLANK(F1186),"",IF(F1186=EUconst_NA,"",INDEX(EUwideConstants!$H:$M,MATCH(T1186,EUwideConstants!$Q:$Q,0),MATCH(F1186,CNTR_TierList,0))))</f>
        <v/>
      </c>
      <c r="AA1186" s="586" t="str">
        <f>IF(F1186=1,1,"")</f>
        <v/>
      </c>
      <c r="AB1186" s="30"/>
      <c r="AC1186" s="548" t="b">
        <f>AND(AC1179,Y1186&lt;&gt;EUconst_NA)</f>
        <v>0</v>
      </c>
      <c r="AD1186" s="30"/>
      <c r="AE1186" s="563"/>
      <c r="AG1186" s="564"/>
      <c r="AH1186" s="553"/>
      <c r="AI1186" s="565"/>
      <c r="AJ1186" s="553"/>
      <c r="AK1186" s="566"/>
      <c r="AL1186" s="333"/>
      <c r="AM1186" s="549" t="str">
        <f>EUconst_CNTR_BiomassContent&amp;EUconst_Value</f>
        <v>BioC_Vertė</v>
      </c>
      <c r="AO1186" s="587" t="str">
        <f>IF(AC1186=TRUE,IF(COUNTIF(MSPara_SourceStreamCategory,V1186)=0,"",INDEX(MSPara_CalcFactorsMatrix,MATCH(V1186,MSPara_SourceStreamCategory,0),MATCH(AM1186&amp;"_"&amp;2,MSPara_CalcFactors,0))),"")</f>
        <v/>
      </c>
      <c r="AP1186" s="553"/>
      <c r="AQ1186" s="568" t="str">
        <f>IF(OR(AA1186="",AO1186=EUconst_NA),"",AO1186)</f>
        <v/>
      </c>
      <c r="AR1186" s="548">
        <f>IF(AC1186=TRUE,IF(COUNT(K1186:L1186)=0,0,IF(L1186="",K1186,L1186)),0)</f>
        <v>0</v>
      </c>
      <c r="AS1186" s="544" t="b">
        <f>AND(AC1186=TRUE,OR(AND(F1186&lt;&gt;"",NOT(ISNUMBER(AA1186))),L1186&lt;&gt;"",F1186="",AQ1186=""))</f>
        <v>0</v>
      </c>
      <c r="AT1186" s="544" t="b">
        <f t="shared" si="289"/>
        <v>0</v>
      </c>
      <c r="AU1186" s="30"/>
      <c r="AV1186" s="558" t="b">
        <f t="shared" si="290"/>
        <v>0</v>
      </c>
      <c r="AW1186" s="559" t="b">
        <f t="shared" si="291"/>
        <v>0</v>
      </c>
      <c r="AX1186" s="30"/>
      <c r="AY1186" s="585" t="b">
        <f t="shared" si="292"/>
        <v>0</v>
      </c>
      <c r="AZ1186" s="522" t="b">
        <f>OR(AR1186&gt;100%,(AR1186+AR1187)&gt;100%)</f>
        <v>0</v>
      </c>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544" t="b">
        <f>OR(BZ1179,Y1186=EUconst_NA)</f>
        <v>1</v>
      </c>
    </row>
    <row r="1187" spans="1:78" s="140" customFormat="1" ht="12.75" customHeight="1" thickBot="1" x14ac:dyDescent="0.25">
      <c r="A1187" s="777"/>
      <c r="B1187" s="1248"/>
      <c r="C1187" s="753" t="s">
        <v>448</v>
      </c>
      <c r="D1187" s="503" t="str">
        <f>Translations!$B$647</f>
        <v>Netvarios BioC dalis:</v>
      </c>
      <c r="E1187" s="504"/>
      <c r="F1187" s="588"/>
      <c r="G1187" s="1603" t="str">
        <f t="shared" si="287"/>
        <v/>
      </c>
      <c r="H1187" s="1604"/>
      <c r="I1187" s="1114" t="str">
        <f>IF(OR(AC1187=FALSE,Y1187=EUconst_NA),"","-")</f>
        <v/>
      </c>
      <c r="J1187" s="560"/>
      <c r="K1187" s="589" t="str">
        <f t="shared" si="288"/>
        <v/>
      </c>
      <c r="L1187" s="1100"/>
      <c r="M1187" s="700" t="str">
        <f>IF(AND(E1170&lt;&gt;"",OR(F1187="",COUNT(K1187:L1187)=0),Y1187&lt;&gt;EUconst_NA,T1170&lt;&gt;TRUE),EUconst_ERR_Incomplete,IF(COUNTIF(AX1187:AZ1187,TRUE)&gt;0,EUconst_ERR_Inconsistent,""))</f>
        <v/>
      </c>
      <c r="O1187" s="1305"/>
      <c r="P1187" s="635"/>
      <c r="Q1187" s="635"/>
      <c r="R1187" s="635"/>
      <c r="S1187" s="30"/>
      <c r="T1187" s="590" t="str">
        <f>EUconst_CNTR_BiomassContent&amp;E1170</f>
        <v>BioC_</v>
      </c>
      <c r="U1187" s="488"/>
      <c r="V1187" s="570" t="str">
        <f t="shared" si="293"/>
        <v/>
      </c>
      <c r="W1187" s="571" t="str">
        <f>IF(COUNTIF(MSPara_SourceStreamCategory,V1187)=0,"",INDEX(MSPara_IsFossil,MATCH(V1187,MSPara_SourceStreamCategory,0)))</f>
        <v/>
      </c>
      <c r="X1187" s="488"/>
      <c r="Y1187" s="591" t="str">
        <f>IF(OR(T1170=TRUE,E1170=""),"",IF(OR(W1187=TRUE,F1187=EUconst_NA),EUconst_NA,INDEX(EUwideConstants!$N:$N,MATCH(T1187,EUwideConstants!$Q:$Q,0))))</f>
        <v/>
      </c>
      <c r="Z1187" s="592" t="str">
        <f>IF(ISBLANK(F1187),"",IF(F1187=EUconst_NA,"",INDEX(EUwideConstants!$H:$M,MATCH(T1187,EUwideConstants!$Q:$Q,0),MATCH(F1187,CNTR_TierList,0))))</f>
        <v/>
      </c>
      <c r="AA1187" s="593" t="str">
        <f>IF(F1187=1,1,"")</f>
        <v/>
      </c>
      <c r="AB1187" s="30"/>
      <c r="AC1187" s="594" t="b">
        <f>AND(AC1179,Y1187&lt;&gt;EUconst_NA)</f>
        <v>0</v>
      </c>
      <c r="AD1187" s="30"/>
      <c r="AE1187" s="595"/>
      <c r="AF1187" s="596"/>
      <c r="AG1187" s="597"/>
      <c r="AH1187" s="598"/>
      <c r="AI1187" s="598"/>
      <c r="AJ1187" s="598"/>
      <c r="AK1187" s="599"/>
      <c r="AL1187" s="333"/>
      <c r="AM1187" s="600" t="str">
        <f>EUconst_CNTR_BiomassContent&amp;EUconst_Value</f>
        <v>BioC_Vertė</v>
      </c>
      <c r="AN1187" s="596"/>
      <c r="AO1187" s="601" t="str">
        <f>IF(AC1187=TRUE,IF(COUNTIF(MSPara_SourceStreamCategory,V1187)=0,"",INDEX(MSPara_CalcFactorsMatrix,MATCH(V1187,MSPara_SourceStreamCategory,0),MATCH(AM1187&amp;"_"&amp;2,MSPara_CalcFactors,0))),"")</f>
        <v/>
      </c>
      <c r="AP1187" s="598"/>
      <c r="AQ1187" s="602" t="str">
        <f>IF(OR(AA1187="",AO1187=EUconst_NA),"",AO1187)</f>
        <v/>
      </c>
      <c r="AR1187" s="594">
        <f>IF(AC1187=TRUE,IF(COUNT(K1187:L1187)=0,0,IF(L1187="",K1187,L1187)),0)</f>
        <v>0</v>
      </c>
      <c r="AS1187" s="603" t="b">
        <f>AND(AC1187=TRUE,OR(AND(F1187&lt;&gt;"",NOT(ISNUMBER(AA1187))),L1187&lt;&gt;"",F1187="",AQ1187=""))</f>
        <v>0</v>
      </c>
      <c r="AT1187" s="603" t="b">
        <f t="shared" si="289"/>
        <v>0</v>
      </c>
      <c r="AU1187" s="30"/>
      <c r="AV1187" s="604" t="b">
        <f t="shared" si="290"/>
        <v>0</v>
      </c>
      <c r="AW1187" s="605" t="b">
        <f t="shared" si="291"/>
        <v>0</v>
      </c>
      <c r="AX1187" s="30"/>
      <c r="AY1187" s="570" t="b">
        <f t="shared" si="292"/>
        <v>0</v>
      </c>
      <c r="AZ1187" s="571" t="b">
        <f>OR(AR1186&gt;100%,(AR1186+AR1187)&gt;100%)</f>
        <v>0</v>
      </c>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571" t="b">
        <f>OR(BZ1179,Y1187=EUconst_NA)</f>
        <v>1</v>
      </c>
    </row>
    <row r="1188" spans="1:78" s="140" customFormat="1" ht="5.0999999999999996" customHeight="1" x14ac:dyDescent="0.2">
      <c r="A1188" s="777"/>
      <c r="B1188" s="1248"/>
      <c r="C1188" s="164"/>
      <c r="D1188" s="178"/>
      <c r="O1188" s="1305"/>
      <c r="P1188" s="33"/>
      <c r="Q1188" s="33"/>
      <c r="R1188" s="33"/>
      <c r="S1188" s="172"/>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row>
    <row r="1189" spans="1:78" s="140" customFormat="1" ht="12.75" customHeight="1" x14ac:dyDescent="0.2">
      <c r="A1189" s="777"/>
      <c r="B1189" s="1248"/>
      <c r="C1189" s="164"/>
      <c r="D1189" s="1629" t="str">
        <f>Translations!$B$674</f>
        <v>Pakopos galioja nuo:</v>
      </c>
      <c r="E1189" s="1629"/>
      <c r="F1189" s="1630"/>
      <c r="G1189" s="1014"/>
      <c r="H1189" s="606" t="str">
        <f>Translations!$B$675</f>
        <v>iki:</v>
      </c>
      <c r="I1189" s="1014"/>
      <c r="J1189" s="1620" t="str">
        <f>Translations!$B$676</f>
        <v>Atliekų katalogo numeris (jeigu taikytina):</v>
      </c>
      <c r="K1189" s="1621"/>
      <c r="L1189" s="1621"/>
      <c r="M1189" s="1622"/>
      <c r="N1189" s="1232"/>
      <c r="O1189" s="1305"/>
      <c r="P1189" s="33"/>
      <c r="Q1189" s="33"/>
      <c r="R1189" s="33"/>
      <c r="S1189" s="1233"/>
      <c r="T1189" s="483"/>
      <c r="U1189" s="483"/>
      <c r="V1189" s="48" t="b">
        <f>IF(V1179="",FALSE,INDEX(CNTR_IsWaste,MATCH(V1179,MSParameters!$A$218:$A$376,0)))</f>
        <v>0</v>
      </c>
      <c r="W1189" s="1233" t="s">
        <v>1689</v>
      </c>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2" t="b">
        <f>BZ1179</f>
        <v>1</v>
      </c>
    </row>
    <row r="1190" spans="1:78" s="140" customFormat="1" ht="5.0999999999999996" customHeight="1" x14ac:dyDescent="0.2">
      <c r="A1190" s="777"/>
      <c r="B1190" s="1248"/>
      <c r="C1190" s="164"/>
      <c r="D1190" s="606"/>
      <c r="E1190" s="486"/>
      <c r="F1190" s="486"/>
      <c r="G1190" s="486"/>
      <c r="H1190" s="486"/>
      <c r="I1190" s="486"/>
      <c r="J1190" s="486"/>
      <c r="K1190" s="486"/>
      <c r="L1190" s="486"/>
      <c r="M1190" s="486"/>
      <c r="N1190" s="486"/>
      <c r="O1190" s="1305"/>
      <c r="P1190" s="33"/>
      <c r="Q1190" s="33"/>
      <c r="R1190" s="33"/>
      <c r="S1190" s="172"/>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row>
    <row r="1191" spans="1:78" s="140" customFormat="1" ht="12.75" customHeight="1" x14ac:dyDescent="0.2">
      <c r="A1191" s="777"/>
      <c r="B1191" s="1248"/>
      <c r="C1191" s="164"/>
      <c r="D1191" s="486"/>
      <c r="E1191" s="486"/>
      <c r="F1191" s="486"/>
      <c r="G1191" s="486"/>
      <c r="H1191" s="486"/>
      <c r="I1191" s="486"/>
      <c r="J1191" s="486"/>
      <c r="K1191" s="486"/>
      <c r="L1191" s="486"/>
      <c r="M1191" s="606" t="str">
        <f>Translations!$B$677</f>
        <v>Stebėsenos plane šiam sukėlikliui suteiktas identifikatorius:</v>
      </c>
      <c r="N1191" s="705"/>
      <c r="O1191" s="1305"/>
      <c r="P1191" s="33"/>
      <c r="Q1191" s="33"/>
      <c r="R1191" s="33"/>
      <c r="S1191" s="172"/>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2" t="b">
        <f>BZ1189</f>
        <v>1</v>
      </c>
    </row>
    <row r="1192" spans="1:78" s="140" customFormat="1" ht="5.0999999999999996" customHeight="1" x14ac:dyDescent="0.2">
      <c r="A1192" s="784"/>
      <c r="B1192" s="1316"/>
      <c r="D1192" s="178"/>
      <c r="O1192" s="1317"/>
      <c r="P1192" s="488"/>
      <c r="Q1192" s="488"/>
      <c r="R1192" s="488"/>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row>
    <row r="1193" spans="1:78" s="140" customFormat="1" x14ac:dyDescent="0.2">
      <c r="A1193" s="784"/>
      <c r="B1193" s="1316"/>
      <c r="D1193" s="1618" t="str">
        <f>Translations!$B$160</f>
        <v>Pastabos:</v>
      </c>
      <c r="E1193" s="1619"/>
      <c r="F1193" s="1605"/>
      <c r="G1193" s="1606"/>
      <c r="H1193" s="1606"/>
      <c r="I1193" s="1606"/>
      <c r="J1193" s="1606"/>
      <c r="K1193" s="1606"/>
      <c r="L1193" s="1606"/>
      <c r="M1193" s="1606"/>
      <c r="N1193" s="1607"/>
      <c r="O1193" s="1317"/>
      <c r="P1193" s="488"/>
      <c r="Q1193" s="488"/>
      <c r="R1193" s="488"/>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2" t="b">
        <f>BZ1189</f>
        <v>1</v>
      </c>
    </row>
    <row r="1194" spans="1:78" s="28" customFormat="1" ht="12.75" customHeight="1" thickBot="1" x14ac:dyDescent="0.25">
      <c r="A1194" s="777"/>
      <c r="B1194" s="1312"/>
      <c r="C1194" s="490"/>
      <c r="D1194" s="491"/>
      <c r="E1194" s="492"/>
      <c r="F1194" s="490"/>
      <c r="G1194" s="493"/>
      <c r="H1194" s="493"/>
      <c r="I1194" s="493"/>
      <c r="J1194" s="493"/>
      <c r="K1194" s="493"/>
      <c r="L1194" s="493"/>
      <c r="M1194" s="493"/>
      <c r="N1194" s="493"/>
      <c r="O1194" s="1313"/>
      <c r="P1194" s="485"/>
      <c r="Q1194" s="485"/>
      <c r="R1194" s="485"/>
      <c r="S1194" s="58"/>
      <c r="T1194" s="58"/>
      <c r="U1194" s="489"/>
      <c r="V1194" s="58"/>
      <c r="W1194" s="58"/>
      <c r="X1194" s="489"/>
      <c r="Y1194" s="58"/>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58"/>
      <c r="AU1194" s="58"/>
      <c r="AV1194" s="58"/>
      <c r="AW1194" s="58"/>
      <c r="AX1194" s="58"/>
      <c r="AY1194" s="58"/>
      <c r="AZ1194" s="58"/>
      <c r="BA1194" s="58"/>
      <c r="BB1194" s="58"/>
      <c r="BC1194" s="58"/>
      <c r="BD1194" s="58"/>
      <c r="BE1194" s="58"/>
      <c r="BF1194" s="58"/>
      <c r="BG1194" s="58"/>
      <c r="BH1194" s="58"/>
      <c r="BI1194" s="30"/>
      <c r="BJ1194" s="30"/>
      <c r="BK1194" s="30"/>
      <c r="BL1194" s="58"/>
      <c r="BM1194" s="58"/>
      <c r="BN1194" s="58"/>
      <c r="BO1194" s="58"/>
      <c r="BP1194" s="58"/>
      <c r="BQ1194" s="58"/>
      <c r="BR1194" s="58"/>
      <c r="BS1194" s="58"/>
      <c r="BT1194" s="58"/>
      <c r="BU1194" s="58"/>
      <c r="BV1194" s="58"/>
      <c r="BW1194" s="58"/>
      <c r="BX1194" s="58"/>
      <c r="BY1194" s="58"/>
      <c r="BZ1194" s="58"/>
    </row>
    <row r="1195" spans="1:78" s="28" customFormat="1" ht="12.75" customHeight="1" thickBot="1" x14ac:dyDescent="0.25">
      <c r="A1195" s="782"/>
      <c r="B1195" s="1312"/>
      <c r="C1195" s="486"/>
      <c r="D1195" s="178"/>
      <c r="E1195" s="487"/>
      <c r="F1195" s="486"/>
      <c r="G1195" s="478"/>
      <c r="H1195" s="478"/>
      <c r="I1195" s="478"/>
      <c r="J1195" s="478"/>
      <c r="K1195" s="486"/>
      <c r="L1195" s="478"/>
      <c r="M1195" s="478"/>
      <c r="N1195" s="478"/>
      <c r="O1195" s="1313"/>
      <c r="P1195" s="485"/>
      <c r="Q1195" s="485"/>
      <c r="R1195" s="485"/>
      <c r="S1195" s="23"/>
      <c r="T1195" s="27" t="str">
        <f>IF(ISBLANK(E1196),"",MATCH(E1196,CNTR_SourceStreamNames,0))</f>
        <v/>
      </c>
      <c r="U1195" s="609" t="str">
        <f>IF(ISBLANK(E1196),"",INDEX(B_InstallationDescription!$D$71:$D$145,MATCH(E1196,CNTR_SourceStreamNames,0)))</f>
        <v/>
      </c>
      <c r="V1195" s="76"/>
      <c r="W1195" s="56"/>
      <c r="X1195" s="56"/>
      <c r="Y1195" s="56"/>
      <c r="Z1195" s="58"/>
      <c r="AA1195" s="58"/>
      <c r="AB1195" s="58"/>
      <c r="AC1195" s="58"/>
      <c r="AD1195" s="58"/>
      <c r="AE1195" s="58"/>
      <c r="AF1195" s="58"/>
      <c r="AG1195" s="58"/>
      <c r="AH1195" s="58"/>
      <c r="AI1195" s="58"/>
      <c r="AJ1195" s="58"/>
      <c r="AK1195" s="482"/>
      <c r="AL1195" s="58"/>
      <c r="AM1195" s="58"/>
      <c r="AN1195" s="58"/>
      <c r="AO1195" s="58"/>
      <c r="AP1195" s="58"/>
      <c r="AQ1195" s="58"/>
      <c r="AR1195" s="58"/>
      <c r="AS1195" s="58"/>
      <c r="AT1195" s="58"/>
      <c r="AU1195" s="58"/>
      <c r="AV1195" s="58"/>
      <c r="AW1195" s="58"/>
      <c r="AX1195" s="58"/>
      <c r="AY1195" s="58"/>
      <c r="AZ1195" s="58"/>
      <c r="BA1195" s="58"/>
      <c r="BB1195" s="58"/>
      <c r="BC1195" s="58"/>
      <c r="BD1195" s="58"/>
      <c r="BE1195" s="58"/>
      <c r="BF1195" s="58"/>
      <c r="BG1195" s="58"/>
      <c r="BH1195" s="56"/>
      <c r="BI1195" s="56"/>
      <c r="BJ1195" s="56"/>
      <c r="BK1195" s="56"/>
      <c r="BL1195" s="56"/>
      <c r="BM1195" s="56"/>
      <c r="BN1195" s="56"/>
      <c r="BO1195" s="56"/>
      <c r="BP1195" s="56"/>
      <c r="BQ1195" s="56"/>
      <c r="BR1195" s="56"/>
      <c r="BS1195" s="56"/>
      <c r="BT1195" s="56"/>
      <c r="BU1195" s="56"/>
      <c r="BV1195" s="56"/>
      <c r="BW1195" s="56"/>
      <c r="BX1195" s="56"/>
      <c r="BY1195" s="56"/>
      <c r="BZ1195" s="484" t="s">
        <v>259</v>
      </c>
    </row>
    <row r="1196" spans="1:78" s="140" customFormat="1" ht="15" customHeight="1" thickBot="1" x14ac:dyDescent="0.25">
      <c r="A1196" s="1302" t="str">
        <f>IF(E1196="","","PRINT")</f>
        <v/>
      </c>
      <c r="B1196" s="1248"/>
      <c r="C1196" s="608">
        <f>C1169+1</f>
        <v>43</v>
      </c>
      <c r="D1196" s="164"/>
      <c r="E1196" s="1610"/>
      <c r="F1196" s="1611"/>
      <c r="G1196" s="1611"/>
      <c r="H1196" s="1611"/>
      <c r="I1196" s="1611"/>
      <c r="J1196" s="1612"/>
      <c r="K1196" s="1623" t="str">
        <f>IF(E1197="","",INDEX(EUwideConstants!$F$353:$F$394,MATCH(E1197,EUConst_TierActivityListNames,0)))</f>
        <v/>
      </c>
      <c r="L1196" s="1624"/>
      <c r="M1196" s="494" t="str">
        <f>Translations!$B$665</f>
        <v>CO2, iškastinio kuro kilmės:</v>
      </c>
      <c r="N1196" s="1012" t="str">
        <f>IF(OR(K1196="",T1197=TRUE),"",INDEX(BC1210:BE1210,MATCH(K1196,BC1206:BE1206,0)))</f>
        <v/>
      </c>
      <c r="O1196" s="1314" t="s">
        <v>257</v>
      </c>
      <c r="P1196" s="1303" t="str">
        <f>IF(AND(E1196&lt;&gt;"",COUNTIF(P1197:$P$2089,"PRINT")=0),"PRINT","")</f>
        <v/>
      </c>
      <c r="Q1196" s="343" t="str">
        <f>EUconst_SumCO2 &amp; "_" &amp; K1196</f>
        <v>SUM_CO2_</v>
      </c>
      <c r="R1196" s="485"/>
      <c r="S1196" s="23"/>
      <c r="T1196" s="500" t="s">
        <v>387</v>
      </c>
      <c r="U1196" s="23"/>
      <c r="V1196" s="76"/>
      <c r="W1196" s="56"/>
      <c r="X1196" s="58"/>
      <c r="Y1196" s="58"/>
      <c r="Z1196" s="58"/>
      <c r="AA1196" s="58"/>
      <c r="AB1196" s="58"/>
      <c r="AC1196" s="58"/>
      <c r="AD1196" s="58"/>
      <c r="AE1196" s="58"/>
      <c r="AF1196" s="58"/>
      <c r="AG1196" s="58"/>
      <c r="AH1196" s="58"/>
      <c r="AI1196" s="333"/>
      <c r="AJ1196" s="333"/>
      <c r="AK1196" s="333"/>
      <c r="AL1196" s="333"/>
      <c r="AM1196" s="333"/>
      <c r="AN1196" s="333"/>
      <c r="AO1196" s="333"/>
      <c r="AP1196" s="333"/>
      <c r="AQ1196" s="333"/>
      <c r="AR1196" s="333"/>
      <c r="AS1196" s="333"/>
      <c r="AT1196" s="333"/>
      <c r="AU1196" s="333"/>
      <c r="AV1196" s="333"/>
      <c r="AW1196" s="333"/>
      <c r="AX1196" s="333"/>
      <c r="AY1196" s="333"/>
      <c r="AZ1196" s="333"/>
      <c r="BA1196" s="333"/>
      <c r="BB1196" s="333"/>
      <c r="BC1196" s="333"/>
      <c r="BD1196" s="333"/>
      <c r="BE1196" s="333"/>
      <c r="BF1196" s="333"/>
      <c r="BG1196" s="333"/>
      <c r="BH1196" s="834">
        <f>AR1206</f>
        <v>0</v>
      </c>
      <c r="BI1196" s="834" t="str">
        <f>AJ1206</f>
        <v/>
      </c>
      <c r="BJ1196" s="834">
        <f>AR1208</f>
        <v>0</v>
      </c>
      <c r="BK1196" s="834" t="str">
        <f>AJ1208</f>
        <v/>
      </c>
      <c r="BL1196" s="834">
        <f>AR1209</f>
        <v>0</v>
      </c>
      <c r="BM1196" s="834" t="str">
        <f>AJ1209</f>
        <v/>
      </c>
      <c r="BN1196" s="834">
        <f>AR1210</f>
        <v>1</v>
      </c>
      <c r="BO1196" s="834">
        <f>AR1211</f>
        <v>1</v>
      </c>
      <c r="BP1196" s="834">
        <f>AR1212</f>
        <v>0</v>
      </c>
      <c r="BQ1196" s="834" t="str">
        <f>AJ1212</f>
        <v/>
      </c>
      <c r="BR1196" s="834">
        <f>AR1213</f>
        <v>0</v>
      </c>
      <c r="BS1196" s="834">
        <f>AR1214</f>
        <v>0</v>
      </c>
      <c r="BT1196" s="834" t="str">
        <f>N1196</f>
        <v/>
      </c>
      <c r="BU1196" s="834" t="str">
        <f>N1197</f>
        <v/>
      </c>
      <c r="BV1196" s="834" t="str">
        <f>R1199</f>
        <v/>
      </c>
      <c r="BW1196" s="834" t="str">
        <f>R1205</f>
        <v/>
      </c>
      <c r="BX1196" s="834" t="str">
        <f>R1206</f>
        <v/>
      </c>
      <c r="BY1196" s="56"/>
      <c r="BZ1196" s="610" t="b">
        <f>CNTR_CalcRelevant=EUconst_NotRelevant</f>
        <v>0</v>
      </c>
    </row>
    <row r="1197" spans="1:78" s="140" customFormat="1" ht="15" customHeight="1" thickBot="1" x14ac:dyDescent="0.25">
      <c r="A1197" s="777"/>
      <c r="B1197" s="1248"/>
      <c r="C1197" s="164"/>
      <c r="D1197" s="164"/>
      <c r="E1197" s="1625" t="str">
        <f>IF(ISBLANK(E1196),"",IF(INDEX(B_InstallationDescription!$E$71:$E$145,MATCH(U1195,B_InstallationDescription!$D$71:$D$145,0))&gt;0,INDEX(B_InstallationDescription!$E$71:$E$145,MATCH(U1195,B_InstallationDescription!$D$71:$D$145,0)),""))</f>
        <v/>
      </c>
      <c r="F1197" s="1626"/>
      <c r="G1197" s="1626"/>
      <c r="H1197" s="1626"/>
      <c r="I1197" s="1626"/>
      <c r="J1197" s="1627"/>
      <c r="M1197" s="337" t="str">
        <f>Translations!$B$666</f>
        <v>CO2, biomasės kilmės.:</v>
      </c>
      <c r="N1197" s="1013" t="str">
        <f>IF(OR(K1196="",T1197=TRUE),"",INDEX(BC1209:BE1209,MATCH(K1196,BC1206:BE1206,0)))</f>
        <v/>
      </c>
      <c r="O1197" s="1315" t="s">
        <v>257</v>
      </c>
      <c r="P1197" s="485"/>
      <c r="Q1197" s="343" t="str">
        <f>EUconst_SumBioCO2 &amp; "_" &amp; K1196</f>
        <v>SUM_bioCO2_</v>
      </c>
      <c r="R1197" s="485"/>
      <c r="S1197" s="23"/>
      <c r="T1197" s="48" t="str">
        <f>IF(E1197="","",MATCH(E1197,EUConst_TierActivityListNames,0)&gt;40)</f>
        <v/>
      </c>
      <c r="U1197" s="23"/>
      <c r="V1197" s="76"/>
      <c r="W1197" s="56"/>
      <c r="X1197" s="58"/>
      <c r="Y1197" s="27" t="s">
        <v>91</v>
      </c>
      <c r="Z1197" s="30"/>
      <c r="AA1197" s="30"/>
      <c r="AB1197" s="30"/>
      <c r="AC1197" s="30"/>
      <c r="AD1197" s="30"/>
      <c r="AE1197" s="27" t="s">
        <v>297</v>
      </c>
      <c r="AF1197" s="58"/>
      <c r="AG1197" s="495"/>
      <c r="AH1197" s="30"/>
      <c r="AI1197" s="30"/>
      <c r="AJ1197" s="495"/>
      <c r="AK1197" s="495"/>
      <c r="AL1197" s="333"/>
      <c r="AM1197" s="27" t="s">
        <v>303</v>
      </c>
      <c r="AN1197" s="496"/>
      <c r="AO1197" s="496"/>
      <c r="AP1197" s="30"/>
      <c r="AQ1197" s="30"/>
      <c r="AR1197" s="30"/>
      <c r="AS1197" s="30"/>
      <c r="AT1197" s="30"/>
      <c r="AU1197" s="30"/>
      <c r="AV1197" s="27" t="s">
        <v>310</v>
      </c>
      <c r="AW1197" s="30"/>
      <c r="AX1197" s="483"/>
      <c r="AY1197" s="30"/>
      <c r="AZ1197" s="30"/>
      <c r="BA1197" s="30"/>
      <c r="BB1197" s="27" t="s">
        <v>217</v>
      </c>
      <c r="BC1197" s="30"/>
      <c r="BD1197" s="30"/>
      <c r="BE1197" s="30"/>
      <c r="BF1197" s="30"/>
      <c r="BG1197" s="27" t="s">
        <v>486</v>
      </c>
      <c r="BH1197" s="833" t="s">
        <v>552</v>
      </c>
      <c r="BI1197" s="833" t="s">
        <v>487</v>
      </c>
      <c r="BJ1197" s="833" t="s">
        <v>211</v>
      </c>
      <c r="BK1197" s="833" t="s">
        <v>488</v>
      </c>
      <c r="BL1197" s="833" t="s">
        <v>68</v>
      </c>
      <c r="BM1197" s="833" t="s">
        <v>489</v>
      </c>
      <c r="BN1197" s="833" t="s">
        <v>490</v>
      </c>
      <c r="BO1197" s="833" t="s">
        <v>491</v>
      </c>
      <c r="BP1197" s="833" t="s">
        <v>214</v>
      </c>
      <c r="BQ1197" s="833" t="s">
        <v>492</v>
      </c>
      <c r="BR1197" s="833" t="s">
        <v>493</v>
      </c>
      <c r="BS1197" s="833" t="s">
        <v>494</v>
      </c>
      <c r="BT1197" s="833" t="s">
        <v>287</v>
      </c>
      <c r="BU1197" s="833" t="s">
        <v>495</v>
      </c>
      <c r="BV1197" s="833" t="s">
        <v>498</v>
      </c>
      <c r="BW1197" s="833" t="s">
        <v>496</v>
      </c>
      <c r="BX1197" s="833" t="s">
        <v>497</v>
      </c>
      <c r="BY1197" s="30"/>
      <c r="BZ1197" s="30"/>
    </row>
    <row r="1198" spans="1:78" s="140" customFormat="1" ht="5.0999999999999996" customHeight="1" thickBot="1" x14ac:dyDescent="0.25">
      <c r="A1198" s="777"/>
      <c r="B1198" s="1248"/>
      <c r="C1198" s="164"/>
      <c r="D1198" s="164"/>
      <c r="E1198" s="164"/>
      <c r="F1198" s="164"/>
      <c r="G1198" s="164"/>
      <c r="M1198" s="141"/>
      <c r="N1198" s="141"/>
      <c r="O1198" s="1305"/>
      <c r="P1198" s="33"/>
      <c r="Q1198" s="33"/>
      <c r="R1198" s="33"/>
      <c r="S1198" s="23"/>
      <c r="T1198" s="23"/>
      <c r="U1198" s="23"/>
      <c r="V1198" s="76"/>
      <c r="W1198" s="30"/>
      <c r="X1198" s="30"/>
      <c r="Y1198" s="485"/>
      <c r="Z1198" s="30"/>
      <c r="AA1198" s="30"/>
      <c r="AB1198" s="30"/>
      <c r="AC1198" s="30"/>
      <c r="AD1198" s="30"/>
      <c r="AE1198" s="30"/>
      <c r="AF1198" s="58"/>
      <c r="AG1198" s="30"/>
      <c r="AH1198" s="30"/>
      <c r="AI1198" s="30"/>
      <c r="AJ1198" s="495"/>
      <c r="AK1198" s="495"/>
      <c r="AL1198" s="333"/>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row>
    <row r="1199" spans="1:78" s="140" customFormat="1" ht="12.75" customHeight="1" thickBot="1" x14ac:dyDescent="0.25">
      <c r="A1199" s="777"/>
      <c r="B1199" s="1248"/>
      <c r="C1199" s="164"/>
      <c r="D1199" s="164"/>
      <c r="E1199" s="1628" t="str">
        <f>IF(E1196="","",IF(T1197=TRUE,HYPERLINK("#JUMP_14",EUconst_MsgGoOnPFC),HYPERLINK("#JUMP_E_8",EUconst_FurtherGuidancePoint1)))</f>
        <v/>
      </c>
      <c r="F1199" s="1628"/>
      <c r="G1199" s="1628"/>
      <c r="H1199" s="1628"/>
      <c r="I1199" s="1628"/>
      <c r="J1199" s="1628"/>
      <c r="K1199" s="1628"/>
      <c r="L1199" s="1628"/>
      <c r="M1199" s="1628"/>
      <c r="N1199" s="141"/>
      <c r="O1199" s="1305"/>
      <c r="P1199" s="33"/>
      <c r="Q1199" s="343" t="str">
        <f>EUconst_SumNonSustBioCO2 &amp; "_" &amp; K1196</f>
        <v>SUM_bioNonSustCO2_</v>
      </c>
      <c r="R1199" s="698" t="str">
        <f>IF(OR(K1196="",T1197=TRUE),"",ROUND(INDEX(BC1208:BE1208,MATCH(K1196,BC1206:BE1206,0)),0))</f>
        <v/>
      </c>
      <c r="S1199" s="23"/>
      <c r="T1199" s="23"/>
      <c r="U1199" s="23"/>
      <c r="V1199" s="30"/>
      <c r="W1199" s="30"/>
      <c r="X1199" s="30"/>
      <c r="Y1199" s="58"/>
      <c r="Z1199" s="30"/>
      <c r="AA1199" s="30"/>
      <c r="AB1199" s="30"/>
      <c r="AC1199" s="30"/>
      <c r="AD1199" s="30"/>
      <c r="AE1199" s="30"/>
      <c r="AF1199" s="58"/>
      <c r="AG1199" s="30"/>
      <c r="AH1199" s="30"/>
      <c r="AI1199" s="30"/>
      <c r="AJ1199" s="495"/>
      <c r="AK1199" s="495"/>
      <c r="AL1199" s="333"/>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row>
    <row r="1200" spans="1:78" s="140" customFormat="1" ht="5.0999999999999996" customHeight="1" thickBot="1" x14ac:dyDescent="0.25">
      <c r="A1200" s="777"/>
      <c r="B1200" s="1248"/>
      <c r="C1200" s="164"/>
      <c r="D1200" s="164"/>
      <c r="E1200" s="164"/>
      <c r="F1200" s="164"/>
      <c r="G1200" s="164"/>
      <c r="M1200" s="141"/>
      <c r="N1200" s="141"/>
      <c r="O1200" s="1305"/>
      <c r="P1200" s="23"/>
      <c r="Q1200" s="23"/>
      <c r="R1200" s="23"/>
      <c r="S1200" s="23"/>
      <c r="T1200" s="23"/>
      <c r="U1200" s="23"/>
      <c r="V1200" s="30"/>
      <c r="W1200" s="30"/>
      <c r="X1200" s="30"/>
      <c r="Y1200" s="485"/>
      <c r="Z1200" s="30"/>
      <c r="AA1200" s="30"/>
      <c r="AB1200" s="30"/>
      <c r="AC1200" s="30"/>
      <c r="AD1200" s="30"/>
      <c r="AE1200" s="30"/>
      <c r="AF1200" s="58"/>
      <c r="AG1200" s="30"/>
      <c r="AH1200" s="30"/>
      <c r="AI1200" s="30"/>
      <c r="AJ1200" s="495"/>
      <c r="AK1200" s="495"/>
      <c r="AL1200" s="333"/>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row>
    <row r="1201" spans="1:78" s="140" customFormat="1" ht="12.75" customHeight="1" thickBot="1" x14ac:dyDescent="0.25">
      <c r="A1201" s="777"/>
      <c r="B1201" s="1248"/>
      <c r="C1201" s="783" t="s">
        <v>4</v>
      </c>
      <c r="D1201" s="503" t="str">
        <f>Translations!$B$622</f>
        <v>VD:</v>
      </c>
      <c r="E1201" s="1631" t="str">
        <f>Translations!$B$667</f>
        <v>Ar veiklos duomenys gaunami sudedant išmatuotus kiekius (t. y. ne atliekant nuolatinius matavimus)?</v>
      </c>
      <c r="F1201" s="1631"/>
      <c r="G1201" s="1631"/>
      <c r="H1201" s="1631"/>
      <c r="I1201" s="1631"/>
      <c r="J1201" s="1631"/>
      <c r="K1201" s="1631"/>
      <c r="L1201" s="1122"/>
      <c r="M1201" s="498"/>
      <c r="O1201" s="1305"/>
      <c r="P1201" s="23"/>
      <c r="Q1201" s="23"/>
      <c r="R1201" s="23"/>
      <c r="S1201" s="23"/>
      <c r="T1201" s="23"/>
      <c r="U1201" s="23"/>
      <c r="V1201" s="30"/>
      <c r="W1201" s="30"/>
      <c r="X1201" s="30"/>
      <c r="Y1201" s="485"/>
      <c r="Z1201" s="30"/>
      <c r="AA1201" s="30"/>
      <c r="AB1201" s="30"/>
      <c r="AC1201" s="1115" t="b">
        <f>AND(E1196&lt;&gt;"",T1197&lt;&gt;TRUE)</f>
        <v>0</v>
      </c>
      <c r="AD1201" s="30"/>
      <c r="AE1201" s="30"/>
      <c r="AF1201" s="58"/>
      <c r="AG1201" s="30"/>
      <c r="AH1201" s="30"/>
      <c r="AI1201" s="30"/>
      <c r="AJ1201" s="495"/>
      <c r="AK1201" s="495"/>
      <c r="AL1201" s="333"/>
      <c r="AM1201" s="30"/>
      <c r="AN1201" s="30"/>
      <c r="AO1201" s="30"/>
      <c r="AP1201" s="30"/>
      <c r="AQ1201" s="30"/>
      <c r="AR1201" s="30"/>
      <c r="AS1201" s="30"/>
      <c r="AT1201" s="1115" t="b">
        <f>MSPara_BatchReportingMandatory&lt;&gt;TRUE</f>
        <v>0</v>
      </c>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1115" t="b">
        <f>OR(CNTR_CalcRelevant=EUconst_NotRelevant,AND(COUNTA(CNTR_ListRelevantSections)&gt;0,OR(T1197=TRUE,E1196="")))</f>
        <v>1</v>
      </c>
    </row>
    <row r="1202" spans="1:78" s="140" customFormat="1" ht="5.0999999999999996" customHeight="1" thickBot="1" x14ac:dyDescent="0.25">
      <c r="A1202" s="777"/>
      <c r="B1202" s="1248"/>
      <c r="C1202" s="164"/>
      <c r="D1202" s="164"/>
      <c r="E1202" s="164"/>
      <c r="F1202" s="164"/>
      <c r="G1202" s="164"/>
      <c r="H1202" s="486"/>
      <c r="I1202" s="486"/>
      <c r="J1202" s="486"/>
      <c r="K1202" s="486"/>
      <c r="L1202" s="486"/>
      <c r="M1202" s="498"/>
      <c r="O1202" s="1305"/>
      <c r="P1202" s="23"/>
      <c r="Q1202" s="23"/>
      <c r="R1202" s="23"/>
      <c r="S1202" s="23"/>
      <c r="T1202" s="23"/>
      <c r="U1202" s="23"/>
      <c r="V1202" s="30"/>
      <c r="W1202" s="30"/>
      <c r="X1202" s="30"/>
      <c r="Y1202" s="485"/>
      <c r="Z1202" s="30"/>
      <c r="AA1202" s="30"/>
      <c r="AB1202" s="30"/>
      <c r="AC1202" s="483"/>
      <c r="AD1202" s="30"/>
      <c r="AE1202" s="30"/>
      <c r="AF1202" s="58"/>
      <c r="AG1202" s="30"/>
      <c r="AH1202" s="30"/>
      <c r="AI1202" s="30"/>
      <c r="AJ1202" s="495"/>
      <c r="AK1202" s="495"/>
      <c r="AL1202" s="333"/>
      <c r="AM1202" s="30"/>
      <c r="AN1202" s="30"/>
      <c r="AO1202" s="30"/>
      <c r="AP1202" s="30"/>
      <c r="AQ1202" s="30"/>
      <c r="AR1202" s="30"/>
      <c r="AS1202" s="30"/>
      <c r="AT1202" s="483"/>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483"/>
    </row>
    <row r="1203" spans="1:78" s="140" customFormat="1" ht="12.75" customHeight="1" thickBot="1" x14ac:dyDescent="0.25">
      <c r="A1203" s="777"/>
      <c r="B1203" s="1248"/>
      <c r="C1203" s="783" t="s">
        <v>5</v>
      </c>
      <c r="D1203" s="503" t="str">
        <f>Translations!$B$622</f>
        <v>VD:</v>
      </c>
      <c r="E1203" s="1105" t="str">
        <f>Translations!$B$668</f>
        <v>Pradinis kiekis:</v>
      </c>
      <c r="F1203" s="1123"/>
      <c r="G1203" s="1106" t="str">
        <f>Translations!$B$669</f>
        <v>Galutinis kiekis:</v>
      </c>
      <c r="H1203" s="1123"/>
      <c r="I1203" s="1106" t="str">
        <f>Translations!$B$670</f>
        <v>Įsigytas kiekis:</v>
      </c>
      <c r="J1203" s="1123"/>
      <c r="K1203" s="1106" t="str">
        <f>Translations!$B$671</f>
        <v>Perduotas kiekis:</v>
      </c>
      <c r="L1203" s="1123"/>
      <c r="M1203" s="1107" t="str">
        <f>IF(AND(L1201=TRUE,COUNT(F1203,H1203,J1203,L1203)&lt;4),EUconst_ERR_Incomplete,"")</f>
        <v/>
      </c>
      <c r="O1203" s="1305"/>
      <c r="P1203" s="23"/>
      <c r="Q1203" s="23"/>
      <c r="R1203" s="23"/>
      <c r="S1203" s="23"/>
      <c r="T1203" s="23"/>
      <c r="U1203" s="23"/>
      <c r="V1203" s="30"/>
      <c r="W1203" s="30"/>
      <c r="X1203" s="30"/>
      <c r="Y1203" s="485"/>
      <c r="Z1203" s="30"/>
      <c r="AA1203" s="30"/>
      <c r="AB1203" s="30"/>
      <c r="AC1203" s="1115" t="b">
        <f>AC1201</f>
        <v>0</v>
      </c>
      <c r="AD1203" s="30"/>
      <c r="AE1203" s="30"/>
      <c r="AF1203" s="58"/>
      <c r="AG1203" s="30"/>
      <c r="AH1203" s="30"/>
      <c r="AI1203" s="30"/>
      <c r="AJ1203" s="495"/>
      <c r="AK1203" s="495"/>
      <c r="AL1203" s="333"/>
      <c r="AM1203" s="30"/>
      <c r="AN1203" s="30"/>
      <c r="AO1203" s="30"/>
      <c r="AP1203" s="30"/>
      <c r="AQ1203" s="30"/>
      <c r="AR1203" s="30"/>
      <c r="AS1203" s="30"/>
      <c r="AT1203" s="1115" t="b">
        <f>AND(AT1201=TRUE,L1201="")</f>
        <v>0</v>
      </c>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1115" t="b">
        <f>OR(BZ1201,AND(NOT(ISBLANK(L1201)),L1201=FALSE))</f>
        <v>1</v>
      </c>
    </row>
    <row r="1204" spans="1:78" s="140" customFormat="1" ht="5.0999999999999996" customHeight="1" thickBot="1" x14ac:dyDescent="0.25">
      <c r="A1204" s="777"/>
      <c r="B1204" s="1248"/>
      <c r="C1204" s="164"/>
      <c r="D1204" s="164"/>
      <c r="E1204" s="164"/>
      <c r="F1204" s="164"/>
      <c r="G1204" s="164"/>
      <c r="M1204" s="141"/>
      <c r="N1204" s="141"/>
      <c r="O1204" s="1305"/>
      <c r="P1204" s="23"/>
      <c r="Q1204" s="23"/>
      <c r="R1204" s="23"/>
      <c r="S1204" s="23"/>
      <c r="T1204" s="23"/>
      <c r="U1204" s="23"/>
      <c r="V1204" s="30"/>
      <c r="W1204" s="30"/>
      <c r="X1204" s="30"/>
      <c r="Y1204" s="485"/>
      <c r="Z1204" s="30"/>
      <c r="AA1204" s="30"/>
      <c r="AB1204" s="30"/>
      <c r="AC1204" s="30"/>
      <c r="AD1204" s="30"/>
      <c r="AE1204" s="30"/>
      <c r="AF1204" s="58"/>
      <c r="AG1204" s="30"/>
      <c r="AH1204" s="30"/>
      <c r="AI1204" s="30"/>
      <c r="AJ1204" s="495"/>
      <c r="AK1204" s="495"/>
      <c r="AL1204" s="333"/>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row>
    <row r="1205" spans="1:78" s="140" customFormat="1" ht="12.75" customHeight="1" thickBot="1" x14ac:dyDescent="0.25">
      <c r="A1205" s="777"/>
      <c r="B1205" s="1248"/>
      <c r="C1205" s="164"/>
      <c r="D1205" s="164"/>
      <c r="E1205" s="164"/>
      <c r="F1205" s="497" t="str">
        <f>Translations!$B$333</f>
        <v>Pakopa</v>
      </c>
      <c r="G1205" s="1613" t="str">
        <f>Translations!$B$672</f>
        <v>pakopos aprašas</v>
      </c>
      <c r="H1205" s="1613"/>
      <c r="I1205" s="1608" t="str">
        <f>Translations!$B$158</f>
        <v>Vienetas</v>
      </c>
      <c r="J1205" s="1608"/>
      <c r="K1205" s="1608" t="str">
        <f>Translations!$B$673</f>
        <v>Vertė</v>
      </c>
      <c r="L1205" s="1608"/>
      <c r="M1205" s="498" t="str">
        <f>Translations!$B$610</f>
        <v>klaida</v>
      </c>
      <c r="O1205" s="1305"/>
      <c r="P1205" s="499"/>
      <c r="Q1205" s="343" t="str">
        <f>EUconst_SumEnergyIN &amp; "_" &amp; K1196</f>
        <v>SUM_EnergyIN_</v>
      </c>
      <c r="R1205" s="390" t="str">
        <f>IF(OR(K1196="",T1197)=TRUE,"",INDEX(BC1211:BE1211,MATCH(K1196,BC1206:BE1206,0)))</f>
        <v/>
      </c>
      <c r="S1205" s="30"/>
      <c r="T1205" s="480"/>
      <c r="U1205" s="30"/>
      <c r="V1205" s="500" t="s">
        <v>298</v>
      </c>
      <c r="W1205" s="30"/>
      <c r="X1205" s="30"/>
      <c r="Y1205" s="485" t="s">
        <v>560</v>
      </c>
      <c r="Z1205" s="485" t="s">
        <v>313</v>
      </c>
      <c r="AA1205" s="30"/>
      <c r="AB1205" s="30"/>
      <c r="AC1205" s="496" t="s">
        <v>304</v>
      </c>
      <c r="AD1205" s="30"/>
      <c r="AE1205" s="30"/>
      <c r="AF1205" s="483" t="s">
        <v>300</v>
      </c>
      <c r="AG1205" s="483" t="s">
        <v>301</v>
      </c>
      <c r="AH1205" s="485" t="s">
        <v>299</v>
      </c>
      <c r="AI1205" s="495" t="s">
        <v>302</v>
      </c>
      <c r="AJ1205" s="495" t="s">
        <v>561</v>
      </c>
      <c r="AK1205" s="501" t="s">
        <v>306</v>
      </c>
      <c r="AL1205" s="333"/>
      <c r="AM1205" s="30"/>
      <c r="AN1205" s="483" t="s">
        <v>300</v>
      </c>
      <c r="AO1205" s="483" t="s">
        <v>301</v>
      </c>
      <c r="AP1205" s="502" t="s">
        <v>305</v>
      </c>
      <c r="AQ1205" s="495" t="s">
        <v>563</v>
      </c>
      <c r="AR1205" s="495" t="s">
        <v>562</v>
      </c>
      <c r="AS1205" s="501" t="s">
        <v>599</v>
      </c>
      <c r="AT1205" s="501" t="s">
        <v>599</v>
      </c>
      <c r="AU1205" s="30"/>
      <c r="AV1205" s="483"/>
      <c r="AW1205" s="483"/>
      <c r="AX1205" s="483" t="s">
        <v>316</v>
      </c>
      <c r="AY1205" s="483"/>
      <c r="AZ1205" s="483"/>
      <c r="BA1205" s="483"/>
      <c r="BB1205" s="483"/>
      <c r="BC1205" s="483"/>
      <c r="BD1205" s="483"/>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484" t="s">
        <v>259</v>
      </c>
    </row>
    <row r="1206" spans="1:78" s="140" customFormat="1" ht="12.75" customHeight="1" thickBot="1" x14ac:dyDescent="0.25">
      <c r="A1206" s="777"/>
      <c r="B1206" s="1248"/>
      <c r="C1206" s="753" t="s">
        <v>194</v>
      </c>
      <c r="D1206" s="503" t="str">
        <f>Translations!$B$622</f>
        <v>VD:</v>
      </c>
      <c r="E1206" s="504"/>
      <c r="F1206" s="393"/>
      <c r="G1206" s="1603" t="str">
        <f>IF(OR(ISBLANK(F1206),F1206=EUconst_NoTier),"",IF(Z1206=0,EUconst_NA,IF(ISERROR(Z1206),"",Z1206)))</f>
        <v/>
      </c>
      <c r="H1206" s="1604"/>
      <c r="I1206" s="1108" t="str">
        <f>IF(J1206&lt;&gt;"","",AI1206)</f>
        <v/>
      </c>
      <c r="J1206" s="1109"/>
      <c r="K1206" s="1116" t="str">
        <f>IF(L1206="",AQ1206,"")</f>
        <v/>
      </c>
      <c r="L1206" s="1199"/>
      <c r="M1206" s="700" t="str">
        <f>IF(AND(E1197&lt;&gt;"",OR(F1206="",COUNT(K1206:L1206)=0),Y1206&lt;&gt;EUconst_NA,T1197&lt;&gt;TRUE),EUconst_ERR_Incomplete,IF(COUNTIF(AX1206:AZ1206,TRUE)&gt;0,EUconst_ERR_Inconsistent,""))</f>
        <v/>
      </c>
      <c r="O1206" s="1305"/>
      <c r="P1206" s="635"/>
      <c r="Q1206" s="343" t="str">
        <f>EUconst_SumBioEnergyIN &amp; "_" &amp; K1196</f>
        <v>SUM_BioEnergyIN_</v>
      </c>
      <c r="R1206" s="390" t="str">
        <f>IF(OR(K1196="",T1197)=TRUE,"",INDEX(BC1212:BE1212,MATCH(K1196,BC1206:BE1206,0)))</f>
        <v/>
      </c>
      <c r="S1206" s="30"/>
      <c r="T1206" s="505" t="str">
        <f>EUconst_CNTR_ActivityData&amp;E1197</f>
        <v>ActivityData_</v>
      </c>
      <c r="U1206" s="488"/>
      <c r="V1206" s="505" t="str">
        <f>IF(E1196="","",INDEX(B_InstallationDescription!$I$71:$I$145,MATCH(U1195,B_InstallationDescription!$D$71:$D$145,0)))</f>
        <v/>
      </c>
      <c r="W1206" s="495" t="s">
        <v>533</v>
      </c>
      <c r="X1206" s="488"/>
      <c r="Y1206" s="506" t="str">
        <f>IF(OR(T1197=TRUE,E1197=""),"",INDEX(EUwideConstants!$N:$N,MATCH(T1206,EUwideConstants!$Q:$Q,0)))</f>
        <v/>
      </c>
      <c r="Z1206" s="507" t="str">
        <f>IF(ISBLANK(F1206),"",IF(F1206=EUconst_NA,"",INDEX(EUwideConstants!$H:$M,MATCH(T1206,EUwideConstants!$Q:$Q,0),MATCH(F1206,CNTR_TierList,0))))</f>
        <v/>
      </c>
      <c r="AA1206" s="508" t="s">
        <v>299</v>
      </c>
      <c r="AB1206" s="495"/>
      <c r="AC1206" s="509" t="b">
        <f>AC1201</f>
        <v>0</v>
      </c>
      <c r="AD1206" s="30"/>
      <c r="AE1206" s="510" t="str">
        <f>EUconst_CNTR_ActivityData&amp;EUconst_Unit</f>
        <v>ActivityData_Vienetas</v>
      </c>
      <c r="AF1206" s="511" t="str">
        <f>IF(AC1206=TRUE, IF(COUNTIF(MSPara_SourceStreamCategory,V1206)=0,"",INDEX(MSPara_CalcFactorsMatrix,MATCH(V1206,MSPara_SourceStreamCategory,0),MATCH(AE1206&amp;"_"&amp;2,MSPara_CalcFactors,0))),"")</f>
        <v/>
      </c>
      <c r="AG1206" s="512" t="str">
        <f>IF(AC1206=TRUE, IF(COUNTIF(MSPara_SourceStreamCategory,V1206)=0,"",INDEX(MSPara_CalcFactorsMatrix,MATCH(V1206,MSPara_SourceStreamCategory,0),MATCH(AE1206&amp;"_"&amp;1,MSPara_CalcFactors,0))),"")</f>
        <v/>
      </c>
      <c r="AH1206" s="509" t="str">
        <f>IF(OR(AF1206="",AF1206=EUconst_NA),IF(OR(AG1206=EUconst_NA,AG1206=""),"",AG1206),AF1206)</f>
        <v/>
      </c>
      <c r="AI1206" s="506" t="str">
        <f>IF(AC1206=TRUE,IF(AH1206="",EUconst_t,AH1206),"")</f>
        <v/>
      </c>
      <c r="AJ1206" s="513" t="str">
        <f>IF(J1206="",AI1206,J1206)</f>
        <v/>
      </c>
      <c r="AK1206" s="514" t="b">
        <f>IF(K1196=EUconst_Fuel,J1206&lt;&gt;"",FALSE)</f>
        <v>0</v>
      </c>
      <c r="AL1206" s="333"/>
      <c r="AM1206" s="505" t="str">
        <f>EUconst_CNTR_ActivityData&amp;EUconst_Value</f>
        <v>ActivityData_Vertė</v>
      </c>
      <c r="AN1206" s="496"/>
      <c r="AO1206" s="496"/>
      <c r="AP1206" s="509" t="b">
        <f>AND(AND(AH1206&lt;&gt;"",AJ1206&lt;&gt;""),AJ1206=AH1206)</f>
        <v>0</v>
      </c>
      <c r="AQ1206" s="610" t="str">
        <f>IF(L1201=TRUE,SUM(F1203)-SUM(H1203)+SUM(J1203)-SUM(L1203),"")</f>
        <v/>
      </c>
      <c r="AR1206" s="509">
        <f>IF(Y1206=EUconst_NA,0,IF(COUNT(K1206:L1206)=0,0,IF(L1206="",K1206,L1206)))</f>
        <v>0</v>
      </c>
      <c r="AS1206" s="1115" t="b">
        <f>AND(AC1206=TRUE,OR(L1206&lt;&gt;"",AQ1206=""))</f>
        <v>0</v>
      </c>
      <c r="AT1206" s="1115" t="b">
        <f>AND(AC1206=TRUE,NOT(AS1206))</f>
        <v>0</v>
      </c>
      <c r="AU1206" s="30"/>
      <c r="AV1206" s="483" t="s">
        <v>309</v>
      </c>
      <c r="AW1206" s="483" t="s">
        <v>314</v>
      </c>
      <c r="AX1206" s="515"/>
      <c r="AY1206" s="30" t="s">
        <v>536</v>
      </c>
      <c r="AZ1206" s="30"/>
      <c r="BA1206" s="30"/>
      <c r="BB1206" s="495"/>
      <c r="BC1206" s="484" t="str">
        <f>EUconst_Fuel</f>
        <v>Degimas</v>
      </c>
      <c r="BD1206" s="484" t="str">
        <f>EUconst_ProcessCarbonate</f>
        <v>Proceso metu išsiskiriančios ŠESD</v>
      </c>
      <c r="BE1206" s="484" t="str">
        <f>EUconst_MassBalance</f>
        <v>Masės balansas</v>
      </c>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515" t="b">
        <f>BZ1201</f>
        <v>1</v>
      </c>
    </row>
    <row r="1207" spans="1:78" s="140" customFormat="1" ht="5.0999999999999996" customHeight="1" thickBot="1" x14ac:dyDescent="0.25">
      <c r="A1207" s="777"/>
      <c r="B1207" s="1248"/>
      <c r="C1207" s="783"/>
      <c r="D1207" s="298"/>
      <c r="F1207" s="141"/>
      <c r="G1207" s="141"/>
      <c r="H1207" s="141" t="s">
        <v>233</v>
      </c>
      <c r="I1207" s="516"/>
      <c r="J1207" s="516"/>
      <c r="K1207" s="141"/>
      <c r="L1207" s="141"/>
      <c r="M1207" s="701"/>
      <c r="O1207" s="1305"/>
      <c r="P1207" s="33"/>
      <c r="Q1207" s="33"/>
      <c r="R1207" s="33"/>
      <c r="S1207" s="30"/>
      <c r="T1207" s="153"/>
      <c r="U1207" s="488"/>
      <c r="V1207" s="30"/>
      <c r="W1207" s="30"/>
      <c r="X1207" s="488"/>
      <c r="Y1207" s="517"/>
      <c r="Z1207" s="30"/>
      <c r="AA1207" s="30"/>
      <c r="AB1207" s="30"/>
      <c r="AC1207" s="30"/>
      <c r="AD1207" s="30"/>
      <c r="AE1207" s="30"/>
      <c r="AF1207" s="30"/>
      <c r="AG1207" s="30"/>
      <c r="AH1207" s="30"/>
      <c r="AI1207" s="30"/>
      <c r="AJ1207" s="30"/>
      <c r="AK1207" s="30"/>
      <c r="AL1207" s="333"/>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484"/>
    </row>
    <row r="1208" spans="1:78" s="140" customFormat="1" ht="12.75" customHeight="1" thickBot="1" x14ac:dyDescent="0.25">
      <c r="A1208" s="777"/>
      <c r="B1208" s="1248"/>
      <c r="C1208" s="783" t="s">
        <v>195</v>
      </c>
      <c r="D1208" s="503" t="str">
        <f>Translations!$B$634</f>
        <v>(prelim.) ITF:</v>
      </c>
      <c r="E1208" s="504"/>
      <c r="F1208" s="518"/>
      <c r="G1208" s="1603" t="str">
        <f t="shared" ref="G1208:G1214" si="294">IF(OR(ISBLANK(F1208),F1208=EUconst_NoTier),"",IF(Z1208=0,EUconst_NotApplicable,IF(ISERROR(Z1208),"",Z1208)))</f>
        <v/>
      </c>
      <c r="H1208" s="1609"/>
      <c r="I1208" s="1110" t="str">
        <f>IF(J1208&lt;&gt;"","",AI1208)</f>
        <v/>
      </c>
      <c r="J1208" s="1111"/>
      <c r="K1208" s="519" t="str">
        <f t="shared" ref="K1208:K1214" si="295">IF(L1208="",AQ1208,"")</f>
        <v/>
      </c>
      <c r="L1208" s="520"/>
      <c r="M1208" s="700" t="str">
        <f>IF(AND(E1197&lt;&gt;"",OR(F1208="",COUNT(K1208:L1208)=0),Y1208&lt;&gt;EUconst_NA,T1197&lt;&gt;TRUE),EUconst_ERR_Incomplete,IF(COUNTIF(AX1208:AZ1208,TRUE)&gt;0,EUconst_ERR_Inconsistent,""))</f>
        <v/>
      </c>
      <c r="N1208" s="486"/>
      <c r="O1208" s="1305"/>
      <c r="P1208" s="33"/>
      <c r="Q1208" s="33"/>
      <c r="R1208" s="33"/>
      <c r="S1208" s="30"/>
      <c r="T1208" s="521" t="str">
        <f>EUconst_CNTR_EF&amp;E1197</f>
        <v>EF_</v>
      </c>
      <c r="U1208" s="488"/>
      <c r="V1208" s="522" t="str">
        <f>V1206</f>
        <v/>
      </c>
      <c r="W1208" s="30"/>
      <c r="X1208" s="488"/>
      <c r="Y1208" s="523" t="str">
        <f>IF(OR(T1197=TRUE,E1197=""),"",IF(F1208=EUconst_NA,EUconst_NA,INDEX(EUwideConstants!$N:$N,MATCH(T1208,EUwideConstants!$Q:$Q,0))))</f>
        <v/>
      </c>
      <c r="Z1208" s="524" t="str">
        <f>IF(ISBLANK(F1208),"",IF(F1208=EUconst_NA,"",INDEX(EUwideConstants!$H:$M,MATCH(T1208,EUwideConstants!$Q:$Q,0),MATCH(F1208,CNTR_TierList,0))))</f>
        <v/>
      </c>
      <c r="AA1208" s="525" t="str">
        <f>IF(COUNTIF(EUconst_DefaultValues,Z1208)&gt;0,MATCH(Z1208,EUconst_DefaultValues,0),"")</f>
        <v/>
      </c>
      <c r="AB1208" s="30"/>
      <c r="AC1208" s="526" t="b">
        <f>AND(AC1206,Y1208&lt;&gt;EUconst_NA)</f>
        <v>0</v>
      </c>
      <c r="AD1208" s="30"/>
      <c r="AE1208" s="510" t="str">
        <f>EUconst_CNTR_EF&amp;EUconst_Unit</f>
        <v>EF_Vienetas</v>
      </c>
      <c r="AF1208" s="527" t="str">
        <f>IF(AC1208=TRUE, IF(COUNTIF(MSPara_SourceStreamCategory,V1208)=0,"",INDEX(MSPara_CalcFactorsMatrix,MATCH(V1208,MSPara_SourceStreamCategory,0),MATCH(AE1208&amp;"_"&amp;2,MSPara_CalcFactors,0))),"")</f>
        <v/>
      </c>
      <c r="AG1208" s="528" t="str">
        <f>IF(AC1208=TRUE, IF(COUNTIF(MSPara_SourceStreamCategory,V1208)=0,"",INDEX(MSPara_CalcFactorsMatrix,MATCH(V1208,MSPara_SourceStreamCategory,0),MATCH(AE1208&amp;"_"&amp;1,MSPara_CalcFactors,0))),"")</f>
        <v/>
      </c>
      <c r="AH1208" s="529" t="str">
        <f>IF(AA1208="","",INDEX(AF1208:AG1208,3-AA1208))</f>
        <v/>
      </c>
      <c r="AI1208" s="530" t="str">
        <f>IF(AC1208=TRUE,IF(OR(AH1208="",AH1208=EUconst_NA),IF(K1196=EUconst_Fuel,EUconst_tCO2pTJ,EUconst_tCO2pt),AH1208),"")</f>
        <v/>
      </c>
      <c r="AJ1208" s="526" t="str">
        <f>IF(J1208="",AI1208,J1208)</f>
        <v/>
      </c>
      <c r="AK1208" s="531" t="b">
        <f>IF(K1196=EUconst_Fuel,J1208&lt;&gt;"",FALSE)</f>
        <v>0</v>
      </c>
      <c r="AL1208" s="333"/>
      <c r="AM1208" s="510" t="str">
        <f>EUconst_CNTR_EF&amp;EUconst_Value</f>
        <v>EF_Vertė</v>
      </c>
      <c r="AN1208" s="532" t="str">
        <f>IF(AC1208=TRUE,IF(COUNTIF(MSPara_SourceStreamCategory,V1208)=0,"",INDEX(MSPara_CalcFactorsMatrix,MATCH(V1208,MSPara_SourceStreamCategory,0),MATCH(AM1208&amp;"_"&amp;2,MSPara_CalcFactors,0))),"")</f>
        <v/>
      </c>
      <c r="AO1208" s="533" t="str">
        <f>IF(AC1208=TRUE,IF(COUNTIF(MSPara_SourceStreamCategory,V1208)=0,"",INDEX(MSPara_CalcFactorsMatrix,MATCH(V1208,MSPara_SourceStreamCategory,0),MATCH(AM1208&amp;"_"&amp;1,MSPara_CalcFactors,0))),"")</f>
        <v/>
      </c>
      <c r="AP1208" s="526" t="b">
        <f>AND(AND(AH1208&lt;&gt;"",AJ1208&lt;&gt;""),AJ1208=AH1208)</f>
        <v>0</v>
      </c>
      <c r="AQ1208" s="534" t="str">
        <f>IF(AND(AA1208&lt;&gt;"",AP1208=TRUE),IF(OR(INDEX(AN1208:AO1208,3-AA1208)=EUconst_NA,INDEX(AN1208:AO1208,3-AA1208)=0),"",INDEX(AN1208:AO1208,3-AA1208)),"")</f>
        <v/>
      </c>
      <c r="AR1208" s="526">
        <f>IF(AC1208=TRUE,IF(COUNT(K1208:L1208)=0,0,IF(L1208="",K1208,L1208)),0)</f>
        <v>0</v>
      </c>
      <c r="AS1208" s="522" t="b">
        <f>AND(AC1208=TRUE,OR(AND(F1208&lt;&gt;"",NOT(ISNUMBER(AA1208))),L1208&lt;&gt;"",F1208="",AQ1208=""))</f>
        <v>0</v>
      </c>
      <c r="AT1208" s="522" t="b">
        <f t="shared" ref="AT1208:AT1214" si="296">AND(AC1208=TRUE,NOT(AS1208))</f>
        <v>0</v>
      </c>
      <c r="AU1208" s="30"/>
      <c r="AV1208" s="535" t="b">
        <f t="shared" ref="AV1208:AV1214" si="297">AND(ISNUMBER(AA1208),AQ1208="")</f>
        <v>0</v>
      </c>
      <c r="AW1208" s="536" t="b">
        <f t="shared" ref="AW1208:AW1214" si="298">AND(ISNUMBER(AA1208),AQ1208&lt;&gt;AR1208)</f>
        <v>0</v>
      </c>
      <c r="AX1208" s="537" t="b">
        <f>OR(AND(AJ1206=EUconst_kNm3,AJ1208=EUconst_tCO2pt),AND(AJ1206=EUconst_t,AJ1208=EUconst_tCO2pkNm3))</f>
        <v>0</v>
      </c>
      <c r="AY1208" s="522" t="b">
        <f t="shared" ref="AY1208:AY1214" si="299">AND(L1208&lt;&gt;"",Y1208=EUconst_NA)</f>
        <v>0</v>
      </c>
      <c r="AZ1208" s="30"/>
      <c r="BA1208" s="30"/>
      <c r="BB1208" s="538" t="s">
        <v>588</v>
      </c>
      <c r="BC1208" s="537" t="str">
        <f>IF(K1196=BC1206,AR1206*IF(AJ1208=EUconst_tCO2pTJ,(AR1209/1000),1)*AR1208*AR1210*AR1214,"")</f>
        <v/>
      </c>
      <c r="BD1208" s="515" t="str">
        <f>IF(K1196=BD1206,AR1206*AR1208*AR1211*AR1214,"")</f>
        <v/>
      </c>
      <c r="BE1208" s="514" t="str">
        <f>IF(K1196=BE1206,3.664*AR1206*AR1212*AR1214,"")</f>
        <v/>
      </c>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522" t="b">
        <f>OR(BZ1206,Y1208=EUconst_NA)</f>
        <v>1</v>
      </c>
    </row>
    <row r="1209" spans="1:78" s="140" customFormat="1" ht="12.75" customHeight="1" thickBot="1" x14ac:dyDescent="0.25">
      <c r="A1209" s="777"/>
      <c r="B1209" s="1248"/>
      <c r="C1209" s="783" t="s">
        <v>196</v>
      </c>
      <c r="D1209" s="503" t="str">
        <f>Translations!$B$636</f>
        <v>GŠV:</v>
      </c>
      <c r="E1209" s="504"/>
      <c r="F1209" s="539"/>
      <c r="G1209" s="1603" t="str">
        <f t="shared" si="294"/>
        <v/>
      </c>
      <c r="H1209" s="1604"/>
      <c r="I1209" s="1112" t="str">
        <f>AJ1209</f>
        <v/>
      </c>
      <c r="J1209" s="540"/>
      <c r="K1209" s="541" t="str">
        <f t="shared" si="295"/>
        <v/>
      </c>
      <c r="L1209" s="542"/>
      <c r="M1209" s="700" t="str">
        <f>IF(AND(E1197&lt;&gt;"",OR(F1209="",COUNT(K1209:L1209)=0),Y1209&lt;&gt;EUconst_NA,T1197&lt;&gt;TRUE),EUconst_ERR_Incomplete,IF(COUNTIF(AX1209:AZ1209,TRUE)&gt;0,EUconst_ERR_Inconsistent,""))</f>
        <v/>
      </c>
      <c r="O1209" s="1305"/>
      <c r="P1209" s="33"/>
      <c r="Q1209" s="33"/>
      <c r="R1209" s="33"/>
      <c r="S1209" s="30"/>
      <c r="T1209" s="543" t="str">
        <f>EUconst_CNTR_NCV&amp;E1197</f>
        <v>NCV_</v>
      </c>
      <c r="U1209" s="488"/>
      <c r="V1209" s="544" t="str">
        <f t="shared" ref="V1209:V1214" si="300">V1208</f>
        <v/>
      </c>
      <c r="W1209" s="30"/>
      <c r="X1209" s="488"/>
      <c r="Y1209" s="545" t="str">
        <f>IF(OR(T1197=TRUE,E1197=""),"",IF(F1209=EUconst_NA,EUconst_NA,INDEX(EUwideConstants!$N:$N,MATCH(T1209,EUwideConstants!$Q:$Q,0))))</f>
        <v/>
      </c>
      <c r="Z1209" s="546" t="str">
        <f>IF(ISBLANK(F1209),"",IF(F1209=EUconst_NA,"",INDEX(EUwideConstants!$H:$M,MATCH(T1209,EUwideConstants!$Q:$Q,0),MATCH(F1209,CNTR_TierList,0))))</f>
        <v/>
      </c>
      <c r="AA1209" s="547" t="str">
        <f>IF(COUNTIF(EUconst_DefaultValues,Z1209)&gt;0,MATCH(Z1209,EUconst_DefaultValues,0),"")</f>
        <v/>
      </c>
      <c r="AB1209" s="30"/>
      <c r="AC1209" s="548" t="b">
        <f>AND(AC1206,Y1209&lt;&gt;EUconst_NA)</f>
        <v>0</v>
      </c>
      <c r="AD1209" s="30"/>
      <c r="AE1209" s="549" t="str">
        <f>EUconst_CNTR_NCV&amp;EUconst_Unit</f>
        <v>NCV_Vienetas</v>
      </c>
      <c r="AF1209" s="550" t="str">
        <f>IF(AC1209=TRUE, IF(COUNTIF(MSPara_SourceStreamCategory,V1209)=0,"",INDEX(MSPara_CalcFactorsMatrix,MATCH(V1209,MSPara_SourceStreamCategory,0),MATCH(AE1209&amp;"_"&amp;2,MSPara_CalcFactors,0))),"")</f>
        <v/>
      </c>
      <c r="AG1209" s="551" t="str">
        <f>IF(AC1209=TRUE, IF(COUNTIF(MSPara_SourceStreamCategory,V1209)=0,"",INDEX(MSPara_CalcFactorsMatrix,MATCH(V1209,MSPara_SourceStreamCategory,0),MATCH(AE1209&amp;"_"&amp;1,MSPara_CalcFactors,0))),"")</f>
        <v/>
      </c>
      <c r="AH1209" s="552" t="str">
        <f>IF(AA1209="","",INDEX(AF1209:AG1209,3-AA1209))</f>
        <v/>
      </c>
      <c r="AI1209" s="553"/>
      <c r="AJ1209" s="548" t="str">
        <f>IF(AC1209=TRUE,IF(AJ1206="","",IF(AJ1206=EUconst_kNm3,EUconst_GJpkNm3,EUconst_GJpt)),"")</f>
        <v/>
      </c>
      <c r="AK1209" s="554"/>
      <c r="AL1209" s="333"/>
      <c r="AM1209" s="549" t="str">
        <f>EUconst_CNTR_NCV&amp;EUconst_Value</f>
        <v>NCV_Vertė</v>
      </c>
      <c r="AN1209" s="555" t="str">
        <f>IF(AC1209=TRUE,IF(COUNTIF(MSPara_SourceStreamCategory,V1209)=0,"",INDEX(MSPara_CalcFactorsMatrix,MATCH(V1209,MSPara_SourceStreamCategory,0),MATCH(AM1209&amp;"_"&amp;2,MSPara_CalcFactors,0))),"")</f>
        <v/>
      </c>
      <c r="AO1209" s="556" t="str">
        <f>IF(AC1209=TRUE,IF(COUNTIF(MSPara_SourceStreamCategory,V1209)=0,"",INDEX(MSPara_CalcFactorsMatrix,MATCH(V1209,MSPara_SourceStreamCategory,0),MATCH(AM1209&amp;"_"&amp;1,MSPara_CalcFactors,0))),"")</f>
        <v/>
      </c>
      <c r="AP1209" s="548" t="b">
        <f>AND(AND(AH1209&lt;&gt;"",AJ1209&lt;&gt;""),AJ1209=AH1209)</f>
        <v>0</v>
      </c>
      <c r="AQ1209" s="557" t="str">
        <f>IF(AND(AA1209&lt;&gt;"",AP1209=TRUE),IF(OR(INDEX(AN1209:AO1209,3-AA1209)=EUconst_NA,INDEX(AN1209:AO1209,3-AA1209)=0),"",INDEX(AN1209:AO1209,3-AA1209)),"")</f>
        <v/>
      </c>
      <c r="AR1209" s="548">
        <f>IF(AC1209=TRUE,IF(COUNT(K1209:L1209)=0,0,IF(L1209="",K1209,L1209)),0)</f>
        <v>0</v>
      </c>
      <c r="AS1209" s="544" t="b">
        <f>AND(AC1209=TRUE,OR(AND(F1209&lt;&gt;"",NOT(ISNUMBER(AA1209))),L1209&lt;&gt;"",F1209="",AQ1209=""))</f>
        <v>0</v>
      </c>
      <c r="AT1209" s="544" t="b">
        <f t="shared" si="296"/>
        <v>0</v>
      </c>
      <c r="AU1209" s="30"/>
      <c r="AV1209" s="558" t="b">
        <f t="shared" si="297"/>
        <v>0</v>
      </c>
      <c r="AW1209" s="559" t="b">
        <f t="shared" si="298"/>
        <v>0</v>
      </c>
      <c r="AX1209" s="30"/>
      <c r="AY1209" s="544" t="b">
        <f t="shared" si="299"/>
        <v>0</v>
      </c>
      <c r="AZ1209" s="30"/>
      <c r="BA1209" s="30"/>
      <c r="BB1209" s="538" t="s">
        <v>589</v>
      </c>
      <c r="BC1209" s="537" t="str">
        <f>IF(K1196=BC1206,AR1206*IF(AJ1208=EUconst_tCO2pTJ,(AR1209/1000),1)*AR1208*AR1210*AR1213,"")</f>
        <v/>
      </c>
      <c r="BD1209" s="515" t="str">
        <f>IF(K1196=BD1206,AR1206*AR1208*AR1211*AR1213,"")</f>
        <v/>
      </c>
      <c r="BE1209" s="514" t="str">
        <f>IF(K1196=BE1206,3.664*AR1206*AR1212*AR1213,"")</f>
        <v/>
      </c>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544" t="b">
        <f>OR(BZ1206,Y1209=EUconst_NA)</f>
        <v>1</v>
      </c>
    </row>
    <row r="1210" spans="1:78" s="140" customFormat="1" ht="12.75" customHeight="1" thickBot="1" x14ac:dyDescent="0.25">
      <c r="A1210" s="777"/>
      <c r="B1210" s="1248"/>
      <c r="C1210" s="783" t="s">
        <v>197</v>
      </c>
      <c r="D1210" s="503" t="str">
        <f>Translations!$B$638</f>
        <v>Oksidacijos koef.:</v>
      </c>
      <c r="E1210" s="504"/>
      <c r="F1210" s="539"/>
      <c r="G1210" s="1603" t="str">
        <f t="shared" si="294"/>
        <v/>
      </c>
      <c r="H1210" s="1604"/>
      <c r="I1210" s="1113" t="str">
        <f>IF(OR(AC1210=FALSE,Y1210=EUconst_NA),"","-")</f>
        <v/>
      </c>
      <c r="J1210" s="560"/>
      <c r="K1210" s="561" t="str">
        <f t="shared" si="295"/>
        <v/>
      </c>
      <c r="L1210" s="694"/>
      <c r="M1210" s="700" t="str">
        <f>IF(AND(E1197&lt;&gt;"",OR(F1210="",COUNT(K1210:L1210)=0),Y1210&lt;&gt;EUconst_NA,T1197&lt;&gt;TRUE),EUconst_ERR_Incomplete,IF(COUNTIF(AX1210:AZ1210,TRUE)&gt;0,EUconst_ERR_Inconsistent,""))</f>
        <v/>
      </c>
      <c r="O1210" s="1305"/>
      <c r="P1210" s="33"/>
      <c r="Q1210" s="33"/>
      <c r="R1210" s="33"/>
      <c r="S1210" s="30"/>
      <c r="T1210" s="543" t="str">
        <f>EUconst_CNTR_OxidationFactor&amp;E1197</f>
        <v>OxF_</v>
      </c>
      <c r="U1210" s="488"/>
      <c r="V1210" s="544" t="str">
        <f t="shared" si="300"/>
        <v/>
      </c>
      <c r="W1210" s="30"/>
      <c r="X1210" s="488"/>
      <c r="Y1210" s="545" t="str">
        <f>IF(OR(T1197=TRUE,E1197=""),"",INDEX(EUwideConstants!$N:$N,MATCH(T1210,EUwideConstants!$Q:$Q,0)))</f>
        <v/>
      </c>
      <c r="Z1210" s="546" t="str">
        <f>IF(ISBLANK(F1210),"",IF(F1210=EUconst_NA,"",INDEX(EUwideConstants!$H:$M,MATCH(T1210,EUwideConstants!$Q:$Q,0),MATCH(F1210,CNTR_TierList,0))))</f>
        <v/>
      </c>
      <c r="AA1210" s="525" t="str">
        <f>IF(F1210=1,1,"")</f>
        <v/>
      </c>
      <c r="AB1210" s="30"/>
      <c r="AC1210" s="548" t="b">
        <f>AND(AC1206,Y1210&lt;&gt;EUconst_NA)</f>
        <v>0</v>
      </c>
      <c r="AD1210" s="30"/>
      <c r="AE1210" s="563"/>
      <c r="AG1210" s="564"/>
      <c r="AH1210" s="553"/>
      <c r="AI1210" s="565"/>
      <c r="AJ1210" s="553"/>
      <c r="AK1210" s="566"/>
      <c r="AL1210" s="333"/>
      <c r="AM1210" s="549" t="str">
        <f>EUconst_CNTR_OxidationFactor&amp;EUconst_Value</f>
        <v>OxF_Vertė</v>
      </c>
      <c r="AN1210" s="567"/>
      <c r="AO1210" s="525">
        <v>1</v>
      </c>
      <c r="AP1210" s="553"/>
      <c r="AQ1210" s="568" t="str">
        <f>IF(AA1210="","",AO1210)</f>
        <v/>
      </c>
      <c r="AR1210" s="548">
        <f>IF(AC1210=TRUE,IF(COUNT(K1210:L1210)=0,0,IF(L1210="",K1210,L1210)),1)</f>
        <v>1</v>
      </c>
      <c r="AS1210" s="544" t="b">
        <f>AND(AC1210=TRUE,OR(ISNUMBER(L1210),NOT(ISNUMBER(AA1210))))</f>
        <v>0</v>
      </c>
      <c r="AT1210" s="544" t="b">
        <f t="shared" si="296"/>
        <v>0</v>
      </c>
      <c r="AU1210" s="30"/>
      <c r="AV1210" s="558" t="b">
        <f t="shared" si="297"/>
        <v>0</v>
      </c>
      <c r="AW1210" s="559" t="b">
        <f t="shared" si="298"/>
        <v>0</v>
      </c>
      <c r="AX1210" s="30"/>
      <c r="AY1210" s="585" t="b">
        <f t="shared" si="299"/>
        <v>0</v>
      </c>
      <c r="AZ1210" s="522" t="b">
        <f>AR1210&gt;100%</f>
        <v>0</v>
      </c>
      <c r="BA1210" s="30"/>
      <c r="BB1210" s="538" t="s">
        <v>287</v>
      </c>
      <c r="BC1210" s="537" t="str">
        <f>IF(K1196=BC1206,AR1206*IF(AJ1208=EUconst_tCO2pTJ,(AR1209/1000),1)*AR1208*AR1210*(1-AR1213),"")</f>
        <v/>
      </c>
      <c r="BD1210" s="515" t="str">
        <f>IF(K1196=BD1206,AR1206*AR1208*AR1211*(1-AR1213),"")</f>
        <v/>
      </c>
      <c r="BE1210" s="514" t="str">
        <f>IF(K1196=BE1206,3.664*AR1206*AR1212*(1-AR1213),"")</f>
        <v/>
      </c>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544" t="b">
        <f>OR(BZ1206,Y1210=EUconst_NA)</f>
        <v>1</v>
      </c>
    </row>
    <row r="1211" spans="1:78" s="140" customFormat="1" ht="12.75" customHeight="1" thickBot="1" x14ac:dyDescent="0.25">
      <c r="A1211" s="777"/>
      <c r="B1211" s="1248"/>
      <c r="C1211" s="783" t="s">
        <v>198</v>
      </c>
      <c r="D1211" s="503" t="str">
        <f>Translations!$B$639</f>
        <v>Konversijos koef.:</v>
      </c>
      <c r="E1211" s="504"/>
      <c r="F1211" s="539"/>
      <c r="G1211" s="1603" t="str">
        <f t="shared" si="294"/>
        <v/>
      </c>
      <c r="H1211" s="1604"/>
      <c r="I1211" s="1113" t="str">
        <f>IF(OR(AC1211=FALSE,Y1211=EUconst_NA),"","-")</f>
        <v/>
      </c>
      <c r="J1211" s="560"/>
      <c r="K1211" s="561" t="str">
        <f t="shared" si="295"/>
        <v/>
      </c>
      <c r="L1211" s="694"/>
      <c r="M1211" s="700" t="str">
        <f>IF(AND(E1197&lt;&gt;"",OR(F1211="",COUNT(K1211:L1211)=0),Y1211&lt;&gt;EUconst_NA,T1197&lt;&gt;TRUE),EUconst_ERR_Incomplete,IF(COUNTIF(AX1211:AZ1211,TRUE)&gt;0,EUconst_ERR_Inconsistent,""))</f>
        <v/>
      </c>
      <c r="O1211" s="1305"/>
      <c r="P1211" s="33"/>
      <c r="Q1211" s="33"/>
      <c r="R1211" s="33"/>
      <c r="S1211" s="30"/>
      <c r="T1211" s="543" t="str">
        <f>EUconst_CNTR_ConversionFactor&amp;E1197</f>
        <v>ConvF_</v>
      </c>
      <c r="U1211" s="488"/>
      <c r="V1211" s="544" t="str">
        <f t="shared" si="300"/>
        <v/>
      </c>
      <c r="W1211" s="30"/>
      <c r="X1211" s="488"/>
      <c r="Y1211" s="545" t="str">
        <f>IF(OR(T1197=TRUE,E1197=""),"",INDEX(EUwideConstants!$N:$N,MATCH(T1211,EUwideConstants!$Q:$Q,0)))</f>
        <v/>
      </c>
      <c r="Z1211" s="546" t="str">
        <f>IF(ISBLANK(F1211),"",IF(F1211=EUconst_NA,"",INDEX(EUwideConstants!$H:$M,MATCH(T1211,EUwideConstants!$Q:$Q,0),MATCH(F1211,CNTR_TierList,0))))</f>
        <v/>
      </c>
      <c r="AA1211" s="573" t="str">
        <f>IF(F1211=1,1,"")</f>
        <v/>
      </c>
      <c r="AB1211" s="30"/>
      <c r="AC1211" s="548" t="b">
        <f>AND(AC1206,Y1211&lt;&gt;EUconst_NA)</f>
        <v>0</v>
      </c>
      <c r="AD1211" s="30"/>
      <c r="AE1211" s="563"/>
      <c r="AG1211" s="564"/>
      <c r="AH1211" s="574"/>
      <c r="AI1211" s="565"/>
      <c r="AJ1211" s="574"/>
      <c r="AK1211" s="566"/>
      <c r="AL1211" s="333"/>
      <c r="AM1211" s="549" t="str">
        <f>EUconst_CNTR_ConversionFactor&amp;EUconst_Value</f>
        <v>ConvF_Vertė</v>
      </c>
      <c r="AN1211" s="575"/>
      <c r="AO1211" s="573">
        <v>1</v>
      </c>
      <c r="AP1211" s="574"/>
      <c r="AQ1211" s="576" t="str">
        <f>IF(AA1211="","",AO1211)</f>
        <v/>
      </c>
      <c r="AR1211" s="548">
        <f>IF(AC1211=TRUE,IF(COUNT(K1211:L1211)=0,0,IF(L1211="",K1211,L1211)),1)</f>
        <v>1</v>
      </c>
      <c r="AS1211" s="544" t="b">
        <f>AND(AC1211=TRUE,OR(ISNUMBER(L1211),NOT(ISNUMBER(AA1211))))</f>
        <v>0</v>
      </c>
      <c r="AT1211" s="544" t="b">
        <f t="shared" si="296"/>
        <v>0</v>
      </c>
      <c r="AU1211" s="30"/>
      <c r="AV1211" s="558" t="b">
        <f t="shared" si="297"/>
        <v>0</v>
      </c>
      <c r="AW1211" s="559" t="b">
        <f t="shared" si="298"/>
        <v>0</v>
      </c>
      <c r="AX1211" s="30"/>
      <c r="AY1211" s="585" t="b">
        <f t="shared" si="299"/>
        <v>0</v>
      </c>
      <c r="AZ1211" s="571" t="b">
        <f>AR1211&gt;100%</f>
        <v>0</v>
      </c>
      <c r="BA1211" s="30"/>
      <c r="BB1211" s="569" t="s">
        <v>481</v>
      </c>
      <c r="BC1211" s="570">
        <f>AR1206*AR1209/1000*(1-AR1213)</f>
        <v>0</v>
      </c>
      <c r="BD1211" s="571">
        <f>BC1211</f>
        <v>0</v>
      </c>
      <c r="BE1211" s="572">
        <f>BC1211</f>
        <v>0</v>
      </c>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544" t="b">
        <f>OR(BZ1206,Y1211=EUconst_NA)</f>
        <v>1</v>
      </c>
    </row>
    <row r="1212" spans="1:78" s="140" customFormat="1" ht="12.75" customHeight="1" thickBot="1" x14ac:dyDescent="0.25">
      <c r="A1212" s="777"/>
      <c r="B1212" s="1248"/>
      <c r="C1212" s="783" t="s">
        <v>324</v>
      </c>
      <c r="D1212" s="503" t="str">
        <f>Translations!$B$640</f>
        <v>Anglies kiekis (C):</v>
      </c>
      <c r="E1212" s="504"/>
      <c r="F1212" s="539"/>
      <c r="G1212" s="1603" t="str">
        <f t="shared" si="294"/>
        <v/>
      </c>
      <c r="H1212" s="1604"/>
      <c r="I1212" s="1113" t="str">
        <f>AJ1212</f>
        <v/>
      </c>
      <c r="J1212" s="577"/>
      <c r="K1212" s="578" t="str">
        <f t="shared" si="295"/>
        <v/>
      </c>
      <c r="L1212" s="579"/>
      <c r="M1212" s="700" t="str">
        <f>IF(AND(E1197&lt;&gt;"",OR(F1212="",COUNT(K1212:L1212)=0),Y1212&lt;&gt;EUconst_NA,T1197&lt;&gt;TRUE),EUconst_ERR_Incomplete,IF(COUNTIF(AX1212:AZ1212,TRUE)&gt;0,EUconst_ERR_Inconsistent,""))</f>
        <v/>
      </c>
      <c r="O1212" s="1305"/>
      <c r="P1212" s="33"/>
      <c r="Q1212" s="33"/>
      <c r="R1212" s="33"/>
      <c r="S1212" s="30"/>
      <c r="T1212" s="543" t="str">
        <f>EUconst_CNTR_CarbonContent&amp;E1197</f>
        <v>CarbC_</v>
      </c>
      <c r="U1212" s="488"/>
      <c r="V1212" s="544" t="str">
        <f t="shared" si="300"/>
        <v/>
      </c>
      <c r="W1212" s="30"/>
      <c r="X1212" s="488"/>
      <c r="Y1212" s="545" t="str">
        <f>IF(OR(T1197=TRUE,E1197=""),"",INDEX(EUwideConstants!$N:$N,MATCH(T1212,EUwideConstants!$Q:$Q,0)))</f>
        <v/>
      </c>
      <c r="Z1212" s="546" t="str">
        <f>IF(ISBLANK(F1212),"",IF(F1212=EUconst_NA,"",INDEX(EUwideConstants!$H:$M,MATCH(T1212,EUwideConstants!$Q:$Q,0),MATCH(F1212,CNTR_TierList,0))))</f>
        <v/>
      </c>
      <c r="AA1212" s="580" t="str">
        <f>IF(COUNTIF(EUconst_DefaultValues,Z1212)&gt;0,MATCH(Z1212,EUconst_DefaultValues,0),"")</f>
        <v/>
      </c>
      <c r="AB1212" s="30"/>
      <c r="AC1212" s="548" t="b">
        <f>AND(AC1206,Y1212&lt;&gt;EUconst_NA)</f>
        <v>0</v>
      </c>
      <c r="AD1212" s="30"/>
      <c r="AE1212" s="549" t="str">
        <f>EUconst_CNTR_CarbonContent&amp;EUconst_Unit</f>
        <v>CarbC_Vienetas</v>
      </c>
      <c r="AF1212" s="550" t="str">
        <f>IF(AC1212=TRUE, IF(COUNTIF(MSPara_SourceStreamCategory,V1212)=0,"",INDEX(MSPara_CalcFactorsMatrix,MATCH(V1212,MSPara_SourceStreamCategory,0),MATCH(AE1212&amp;"_"&amp;2,MSPara_CalcFactors,0))),"")</f>
        <v/>
      </c>
      <c r="AG1212" s="551" t="str">
        <f>IF(AC1212=TRUE, IF(COUNTIF(MSPara_SourceStreamCategory,V1212)=0,"",INDEX(MSPara_CalcFactorsMatrix,MATCH(V1212,MSPara_SourceStreamCategory,0),MATCH(AE1212&amp;"_"&amp;1,MSPara_CalcFactors,0))),"")</f>
        <v/>
      </c>
      <c r="AH1212" s="581" t="str">
        <f>IF(AA1212="","",INDEX(AF1212:AG1212,3-AA1212))</f>
        <v/>
      </c>
      <c r="AI1212" s="565"/>
      <c r="AJ1212" s="582" t="str">
        <f>IF(AC1212=TRUE,IF(AJ1206="","",IF(AJ1206=EUconst_kNm3,EUconst_tCpkNm3,EUconst_tCpt)),"")</f>
        <v/>
      </c>
      <c r="AK1212" s="566"/>
      <c r="AL1212" s="333"/>
      <c r="AM1212" s="549" t="str">
        <f>EUconst_CNTR_CarbonContent&amp;EUconst_Value</f>
        <v>CarbC_Vertė</v>
      </c>
      <c r="AN1212" s="555" t="str">
        <f>IF(AC1212=TRUE,IF(COUNTIF(MSPara_SourceStreamCategory,V1212)=0,"",INDEX(MSPara_CalcFactorsMatrix,MATCH(V1212,MSPara_SourceStreamCategory,0),MATCH(AM1212&amp;"_"&amp;2,MSPara_CalcFactors,0))),"")</f>
        <v/>
      </c>
      <c r="AO1212" s="583" t="str">
        <f>IF(AC1212=TRUE,IF(COUNTIF(MSPara_SourceStreamCategory,V1212)=0,"",INDEX(MSPara_CalcFactorsMatrix,MATCH(V1212,MSPara_SourceStreamCategory,0),MATCH(AM1212&amp;"_"&amp;1,MSPara_CalcFactors,0))),"")</f>
        <v/>
      </c>
      <c r="AP1212" s="548" t="b">
        <f>AND(AND(AH1212&lt;&gt;"",AJ1212&lt;&gt;""),AJ1212=AH1212)</f>
        <v>0</v>
      </c>
      <c r="AQ1212" s="584" t="str">
        <f>IF(AND(AA1212&lt;&gt;"",AP1212=TRUE),IF(OR(INDEX(AN1212:AO1212,3-AA1212)=EUconst_NA,INDEX(AN1212:AO1212,3-AA1212)=0),"",INDEX(AN1212:AO1212,3-AA1212)),"")</f>
        <v/>
      </c>
      <c r="AR1212" s="548">
        <f>IF(AC1212=TRUE,IF(COUNT(K1212:L1212)=0,0,IF(L1212="",K1212,L1212)),0)</f>
        <v>0</v>
      </c>
      <c r="AS1212" s="544" t="b">
        <f>AND(AC1212=TRUE,OR(AND(F1212&lt;&gt;"",NOT(ISNUMBER(AA1212))),L1212&lt;&gt;"",F1212="",AQ1212=""))</f>
        <v>0</v>
      </c>
      <c r="AT1212" s="544" t="b">
        <f t="shared" si="296"/>
        <v>0</v>
      </c>
      <c r="AU1212" s="30"/>
      <c r="AV1212" s="558" t="b">
        <f t="shared" si="297"/>
        <v>0</v>
      </c>
      <c r="AW1212" s="559" t="b">
        <f t="shared" si="298"/>
        <v>0</v>
      </c>
      <c r="AX1212" s="537" t="b">
        <f>OR(AND(AJ1206=EUconst_kNm3,AJ1212=EUconst_tCpt),AND(AJ1206=EUconst_t,AJ1212=EUconst_tCpkNm3))</f>
        <v>0</v>
      </c>
      <c r="AY1212" s="544" t="b">
        <f t="shared" si="299"/>
        <v>0</v>
      </c>
      <c r="AZ1212" s="30"/>
      <c r="BA1212" s="30"/>
      <c r="BB1212" s="569" t="s">
        <v>482</v>
      </c>
      <c r="BC1212" s="570">
        <f>AR1206*AR1209/1000*AR1213</f>
        <v>0</v>
      </c>
      <c r="BD1212" s="571">
        <f>BC1212</f>
        <v>0</v>
      </c>
      <c r="BE1212" s="572">
        <f>BC1212</f>
        <v>0</v>
      </c>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544" t="b">
        <f>OR(BZ1206,Y1212=EUconst_NA)</f>
        <v>1</v>
      </c>
    </row>
    <row r="1213" spans="1:78" s="140" customFormat="1" ht="12.75" customHeight="1" x14ac:dyDescent="0.2">
      <c r="A1213" s="777"/>
      <c r="B1213" s="1248"/>
      <c r="C1213" s="753" t="s">
        <v>325</v>
      </c>
      <c r="D1213" s="503" t="str">
        <f>Translations!$B$641</f>
        <v>Biomasės dalis (BioC):</v>
      </c>
      <c r="E1213" s="504"/>
      <c r="F1213" s="539"/>
      <c r="G1213" s="1603" t="str">
        <f t="shared" si="294"/>
        <v/>
      </c>
      <c r="H1213" s="1604"/>
      <c r="I1213" s="1113" t="str">
        <f>IF(OR(AC1213=FALSE,Y1213=EUconst_NA),"","-")</f>
        <v/>
      </c>
      <c r="J1213" s="560"/>
      <c r="K1213" s="561" t="str">
        <f t="shared" si="295"/>
        <v/>
      </c>
      <c r="L1213" s="694"/>
      <c r="M1213" s="700" t="str">
        <f>IF(AND(E1197&lt;&gt;"",OR(F1213="",COUNT(K1213:L1213)=0),Y1213&lt;&gt;EUconst_NA,T1197&lt;&gt;TRUE),EUconst_ERR_Incomplete,IF(COUNTIF(AX1213:AZ1213,TRUE)&gt;0,EUconst_ERR_Inconsistent,""))</f>
        <v/>
      </c>
      <c r="O1213" s="1305"/>
      <c r="P1213" s="635"/>
      <c r="Q1213" s="635"/>
      <c r="R1213" s="635"/>
      <c r="S1213" s="30"/>
      <c r="T1213" s="543" t="str">
        <f>EUconst_CNTR_BiomassContent&amp;E1197</f>
        <v>BioC_</v>
      </c>
      <c r="U1213" s="488"/>
      <c r="V1213" s="585" t="str">
        <f t="shared" si="300"/>
        <v/>
      </c>
      <c r="W1213" s="522" t="str">
        <f>IF(COUNTIF(MSPara_SourceStreamCategory,V1213)=0,"",INDEX(MSPara_IsFossil,MATCH(V1213,MSPara_SourceStreamCategory,0)))</f>
        <v/>
      </c>
      <c r="X1213" s="488"/>
      <c r="Y1213" s="545" t="str">
        <f>IF(OR(T1197=TRUE,E1197=""),"",IF(OR(W1213=TRUE,F1213=EUconst_NA),EUconst_NA,INDEX(EUwideConstants!$N:$N,MATCH(T1213,EUwideConstants!$Q:$Q,0))))</f>
        <v/>
      </c>
      <c r="Z1213" s="546" t="str">
        <f>IF(ISBLANK(F1213),"",IF(F1213=EUconst_NA,"",INDEX(EUwideConstants!$H:$M,MATCH(T1213,EUwideConstants!$Q:$Q,0),MATCH(F1213,CNTR_TierList,0))))</f>
        <v/>
      </c>
      <c r="AA1213" s="586" t="str">
        <f>IF(F1213=1,1,"")</f>
        <v/>
      </c>
      <c r="AB1213" s="30"/>
      <c r="AC1213" s="548" t="b">
        <f>AND(AC1206,Y1213&lt;&gt;EUconst_NA)</f>
        <v>0</v>
      </c>
      <c r="AD1213" s="30"/>
      <c r="AE1213" s="563"/>
      <c r="AG1213" s="564"/>
      <c r="AH1213" s="553"/>
      <c r="AI1213" s="565"/>
      <c r="AJ1213" s="553"/>
      <c r="AK1213" s="566"/>
      <c r="AL1213" s="333"/>
      <c r="AM1213" s="549" t="str">
        <f>EUconst_CNTR_BiomassContent&amp;EUconst_Value</f>
        <v>BioC_Vertė</v>
      </c>
      <c r="AO1213" s="587" t="str">
        <f>IF(AC1213=TRUE,IF(COUNTIF(MSPara_SourceStreamCategory,V1213)=0,"",INDEX(MSPara_CalcFactorsMatrix,MATCH(V1213,MSPara_SourceStreamCategory,0),MATCH(AM1213&amp;"_"&amp;2,MSPara_CalcFactors,0))),"")</f>
        <v/>
      </c>
      <c r="AP1213" s="553"/>
      <c r="AQ1213" s="568" t="str">
        <f>IF(OR(AA1213="",AO1213=EUconst_NA),"",AO1213)</f>
        <v/>
      </c>
      <c r="AR1213" s="548">
        <f>IF(AC1213=TRUE,IF(COUNT(K1213:L1213)=0,0,IF(L1213="",K1213,L1213)),0)</f>
        <v>0</v>
      </c>
      <c r="AS1213" s="544" t="b">
        <f>AND(AC1213=TRUE,OR(AND(F1213&lt;&gt;"",NOT(ISNUMBER(AA1213))),L1213&lt;&gt;"",F1213="",AQ1213=""))</f>
        <v>0</v>
      </c>
      <c r="AT1213" s="544" t="b">
        <f t="shared" si="296"/>
        <v>0</v>
      </c>
      <c r="AU1213" s="30"/>
      <c r="AV1213" s="558" t="b">
        <f t="shared" si="297"/>
        <v>0</v>
      </c>
      <c r="AW1213" s="559" t="b">
        <f t="shared" si="298"/>
        <v>0</v>
      </c>
      <c r="AX1213" s="30"/>
      <c r="AY1213" s="585" t="b">
        <f t="shared" si="299"/>
        <v>0</v>
      </c>
      <c r="AZ1213" s="522" t="b">
        <f>OR(AR1213&gt;100%,(AR1213+AR1214)&gt;100%)</f>
        <v>0</v>
      </c>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544" t="b">
        <f>OR(BZ1206,Y1213=EUconst_NA)</f>
        <v>1</v>
      </c>
    </row>
    <row r="1214" spans="1:78" s="140" customFormat="1" ht="12.75" customHeight="1" thickBot="1" x14ac:dyDescent="0.25">
      <c r="A1214" s="777"/>
      <c r="B1214" s="1248"/>
      <c r="C1214" s="753" t="s">
        <v>448</v>
      </c>
      <c r="D1214" s="503" t="str">
        <f>Translations!$B$647</f>
        <v>Netvarios BioC dalis:</v>
      </c>
      <c r="E1214" s="504"/>
      <c r="F1214" s="588"/>
      <c r="G1214" s="1603" t="str">
        <f t="shared" si="294"/>
        <v/>
      </c>
      <c r="H1214" s="1604"/>
      <c r="I1214" s="1114" t="str">
        <f>IF(OR(AC1214=FALSE,Y1214=EUconst_NA),"","-")</f>
        <v/>
      </c>
      <c r="J1214" s="560"/>
      <c r="K1214" s="589" t="str">
        <f t="shared" si="295"/>
        <v/>
      </c>
      <c r="L1214" s="1100"/>
      <c r="M1214" s="700" t="str">
        <f>IF(AND(E1197&lt;&gt;"",OR(F1214="",COUNT(K1214:L1214)=0),Y1214&lt;&gt;EUconst_NA,T1197&lt;&gt;TRUE),EUconst_ERR_Incomplete,IF(COUNTIF(AX1214:AZ1214,TRUE)&gt;0,EUconst_ERR_Inconsistent,""))</f>
        <v/>
      </c>
      <c r="O1214" s="1305"/>
      <c r="P1214" s="635"/>
      <c r="Q1214" s="635"/>
      <c r="R1214" s="635"/>
      <c r="S1214" s="30"/>
      <c r="T1214" s="590" t="str">
        <f>EUconst_CNTR_BiomassContent&amp;E1197</f>
        <v>BioC_</v>
      </c>
      <c r="U1214" s="488"/>
      <c r="V1214" s="570" t="str">
        <f t="shared" si="300"/>
        <v/>
      </c>
      <c r="W1214" s="571" t="str">
        <f>IF(COUNTIF(MSPara_SourceStreamCategory,V1214)=0,"",INDEX(MSPara_IsFossil,MATCH(V1214,MSPara_SourceStreamCategory,0)))</f>
        <v/>
      </c>
      <c r="X1214" s="488"/>
      <c r="Y1214" s="591" t="str">
        <f>IF(OR(T1197=TRUE,E1197=""),"",IF(OR(W1214=TRUE,F1214=EUconst_NA),EUconst_NA,INDEX(EUwideConstants!$N:$N,MATCH(T1214,EUwideConstants!$Q:$Q,0))))</f>
        <v/>
      </c>
      <c r="Z1214" s="592" t="str">
        <f>IF(ISBLANK(F1214),"",IF(F1214=EUconst_NA,"",INDEX(EUwideConstants!$H:$M,MATCH(T1214,EUwideConstants!$Q:$Q,0),MATCH(F1214,CNTR_TierList,0))))</f>
        <v/>
      </c>
      <c r="AA1214" s="593" t="str">
        <f>IF(F1214=1,1,"")</f>
        <v/>
      </c>
      <c r="AB1214" s="30"/>
      <c r="AC1214" s="594" t="b">
        <f>AND(AC1206,Y1214&lt;&gt;EUconst_NA)</f>
        <v>0</v>
      </c>
      <c r="AD1214" s="30"/>
      <c r="AE1214" s="595"/>
      <c r="AF1214" s="596"/>
      <c r="AG1214" s="597"/>
      <c r="AH1214" s="598"/>
      <c r="AI1214" s="598"/>
      <c r="AJ1214" s="598"/>
      <c r="AK1214" s="599"/>
      <c r="AL1214" s="333"/>
      <c r="AM1214" s="600" t="str">
        <f>EUconst_CNTR_BiomassContent&amp;EUconst_Value</f>
        <v>BioC_Vertė</v>
      </c>
      <c r="AN1214" s="596"/>
      <c r="AO1214" s="601" t="str">
        <f>IF(AC1214=TRUE,IF(COUNTIF(MSPara_SourceStreamCategory,V1214)=0,"",INDEX(MSPara_CalcFactorsMatrix,MATCH(V1214,MSPara_SourceStreamCategory,0),MATCH(AM1214&amp;"_"&amp;2,MSPara_CalcFactors,0))),"")</f>
        <v/>
      </c>
      <c r="AP1214" s="598"/>
      <c r="AQ1214" s="602" t="str">
        <f>IF(OR(AA1214="",AO1214=EUconst_NA),"",AO1214)</f>
        <v/>
      </c>
      <c r="AR1214" s="594">
        <f>IF(AC1214=TRUE,IF(COUNT(K1214:L1214)=0,0,IF(L1214="",K1214,L1214)),0)</f>
        <v>0</v>
      </c>
      <c r="AS1214" s="603" t="b">
        <f>AND(AC1214=TRUE,OR(AND(F1214&lt;&gt;"",NOT(ISNUMBER(AA1214))),L1214&lt;&gt;"",F1214="",AQ1214=""))</f>
        <v>0</v>
      </c>
      <c r="AT1214" s="603" t="b">
        <f t="shared" si="296"/>
        <v>0</v>
      </c>
      <c r="AU1214" s="30"/>
      <c r="AV1214" s="604" t="b">
        <f t="shared" si="297"/>
        <v>0</v>
      </c>
      <c r="AW1214" s="605" t="b">
        <f t="shared" si="298"/>
        <v>0</v>
      </c>
      <c r="AX1214" s="30"/>
      <c r="AY1214" s="570" t="b">
        <f t="shared" si="299"/>
        <v>0</v>
      </c>
      <c r="AZ1214" s="571" t="b">
        <f>OR(AR1213&gt;100%,(AR1213+AR1214)&gt;100%)</f>
        <v>0</v>
      </c>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571" t="b">
        <f>OR(BZ1206,Y1214=EUconst_NA)</f>
        <v>1</v>
      </c>
    </row>
    <row r="1215" spans="1:78" s="140" customFormat="1" ht="5.0999999999999996" customHeight="1" x14ac:dyDescent="0.2">
      <c r="A1215" s="777"/>
      <c r="B1215" s="1248"/>
      <c r="C1215" s="164"/>
      <c r="D1215" s="178"/>
      <c r="O1215" s="1305"/>
      <c r="P1215" s="33"/>
      <c r="Q1215" s="33"/>
      <c r="R1215" s="33"/>
      <c r="S1215" s="172"/>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row>
    <row r="1216" spans="1:78" s="140" customFormat="1" ht="12.75" customHeight="1" x14ac:dyDescent="0.2">
      <c r="A1216" s="777"/>
      <c r="B1216" s="1248"/>
      <c r="C1216" s="164"/>
      <c r="D1216" s="1629" t="str">
        <f>Translations!$B$674</f>
        <v>Pakopos galioja nuo:</v>
      </c>
      <c r="E1216" s="1629"/>
      <c r="F1216" s="1630"/>
      <c r="G1216" s="1014"/>
      <c r="H1216" s="606" t="str">
        <f>Translations!$B$675</f>
        <v>iki:</v>
      </c>
      <c r="I1216" s="1014"/>
      <c r="J1216" s="1620" t="str">
        <f>Translations!$B$676</f>
        <v>Atliekų katalogo numeris (jeigu taikytina):</v>
      </c>
      <c r="K1216" s="1621"/>
      <c r="L1216" s="1621"/>
      <c r="M1216" s="1622"/>
      <c r="N1216" s="1232"/>
      <c r="O1216" s="1305"/>
      <c r="P1216" s="33"/>
      <c r="Q1216" s="33"/>
      <c r="R1216" s="33"/>
      <c r="S1216" s="1233"/>
      <c r="T1216" s="483"/>
      <c r="U1216" s="483"/>
      <c r="V1216" s="48" t="b">
        <f>IF(V1206="",FALSE,INDEX(CNTR_IsWaste,MATCH(V1206,MSParameters!$A$218:$A$376,0)))</f>
        <v>0</v>
      </c>
      <c r="W1216" s="1233" t="s">
        <v>1689</v>
      </c>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2" t="b">
        <f>BZ1206</f>
        <v>1</v>
      </c>
    </row>
    <row r="1217" spans="1:78" s="140" customFormat="1" ht="5.0999999999999996" customHeight="1" x14ac:dyDescent="0.2">
      <c r="A1217" s="777"/>
      <c r="B1217" s="1248"/>
      <c r="C1217" s="164"/>
      <c r="D1217" s="606"/>
      <c r="E1217" s="486"/>
      <c r="F1217" s="486"/>
      <c r="G1217" s="486"/>
      <c r="H1217" s="486"/>
      <c r="I1217" s="486"/>
      <c r="J1217" s="486"/>
      <c r="K1217" s="486"/>
      <c r="L1217" s="486"/>
      <c r="M1217" s="486"/>
      <c r="N1217" s="486"/>
      <c r="O1217" s="1305"/>
      <c r="P1217" s="33"/>
      <c r="Q1217" s="33"/>
      <c r="R1217" s="33"/>
      <c r="S1217" s="172"/>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row>
    <row r="1218" spans="1:78" s="140" customFormat="1" ht="12.75" customHeight="1" x14ac:dyDescent="0.2">
      <c r="A1218" s="777"/>
      <c r="B1218" s="1248"/>
      <c r="C1218" s="164"/>
      <c r="D1218" s="486"/>
      <c r="E1218" s="486"/>
      <c r="F1218" s="486"/>
      <c r="G1218" s="486"/>
      <c r="H1218" s="486"/>
      <c r="I1218" s="486"/>
      <c r="J1218" s="486"/>
      <c r="K1218" s="486"/>
      <c r="L1218" s="486"/>
      <c r="M1218" s="606" t="str">
        <f>Translations!$B$677</f>
        <v>Stebėsenos plane šiam sukėlikliui suteiktas identifikatorius:</v>
      </c>
      <c r="N1218" s="705"/>
      <c r="O1218" s="1305"/>
      <c r="P1218" s="33"/>
      <c r="Q1218" s="33"/>
      <c r="R1218" s="33"/>
      <c r="S1218" s="172"/>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2" t="b">
        <f>BZ1216</f>
        <v>1</v>
      </c>
    </row>
    <row r="1219" spans="1:78" s="140" customFormat="1" ht="5.0999999999999996" customHeight="1" x14ac:dyDescent="0.2">
      <c r="A1219" s="784"/>
      <c r="B1219" s="1316"/>
      <c r="D1219" s="178"/>
      <c r="O1219" s="1317"/>
      <c r="P1219" s="488"/>
      <c r="Q1219" s="488"/>
      <c r="R1219" s="488"/>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row>
    <row r="1220" spans="1:78" s="140" customFormat="1" x14ac:dyDescent="0.2">
      <c r="A1220" s="784"/>
      <c r="B1220" s="1316"/>
      <c r="D1220" s="1618" t="str">
        <f>Translations!$B$160</f>
        <v>Pastabos:</v>
      </c>
      <c r="E1220" s="1619"/>
      <c r="F1220" s="1605"/>
      <c r="G1220" s="1606"/>
      <c r="H1220" s="1606"/>
      <c r="I1220" s="1606"/>
      <c r="J1220" s="1606"/>
      <c r="K1220" s="1606"/>
      <c r="L1220" s="1606"/>
      <c r="M1220" s="1606"/>
      <c r="N1220" s="1607"/>
      <c r="O1220" s="1317"/>
      <c r="P1220" s="488"/>
      <c r="Q1220" s="488"/>
      <c r="R1220" s="488"/>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2" t="b">
        <f>BZ1216</f>
        <v>1</v>
      </c>
    </row>
    <row r="1221" spans="1:78" s="28" customFormat="1" ht="12.75" customHeight="1" thickBot="1" x14ac:dyDescent="0.25">
      <c r="A1221" s="777"/>
      <c r="B1221" s="1312"/>
      <c r="C1221" s="490"/>
      <c r="D1221" s="491"/>
      <c r="E1221" s="492"/>
      <c r="F1221" s="490"/>
      <c r="G1221" s="493"/>
      <c r="H1221" s="493"/>
      <c r="I1221" s="493"/>
      <c r="J1221" s="493"/>
      <c r="K1221" s="493"/>
      <c r="L1221" s="493"/>
      <c r="M1221" s="493"/>
      <c r="N1221" s="493"/>
      <c r="O1221" s="1313"/>
      <c r="P1221" s="485"/>
      <c r="Q1221" s="485"/>
      <c r="R1221" s="485"/>
      <c r="S1221" s="58"/>
      <c r="T1221" s="58"/>
      <c r="U1221" s="489"/>
      <c r="V1221" s="58"/>
      <c r="W1221" s="58"/>
      <c r="X1221" s="489"/>
      <c r="Y1221" s="58"/>
      <c r="Z1221" s="58"/>
      <c r="AA1221" s="58"/>
      <c r="AB1221" s="58"/>
      <c r="AC1221" s="58"/>
      <c r="AD1221" s="58"/>
      <c r="AE1221" s="58"/>
      <c r="AF1221" s="58"/>
      <c r="AG1221" s="58"/>
      <c r="AH1221" s="58"/>
      <c r="AI1221" s="58"/>
      <c r="AJ1221" s="58"/>
      <c r="AK1221" s="58"/>
      <c r="AL1221" s="58"/>
      <c r="AM1221" s="58"/>
      <c r="AN1221" s="58"/>
      <c r="AO1221" s="58"/>
      <c r="AP1221" s="58"/>
      <c r="AQ1221" s="58"/>
      <c r="AR1221" s="58"/>
      <c r="AS1221" s="58"/>
      <c r="AT1221" s="58"/>
      <c r="AU1221" s="58"/>
      <c r="AV1221" s="58"/>
      <c r="AW1221" s="58"/>
      <c r="AX1221" s="58"/>
      <c r="AY1221" s="58"/>
      <c r="AZ1221" s="58"/>
      <c r="BA1221" s="58"/>
      <c r="BB1221" s="58"/>
      <c r="BC1221" s="58"/>
      <c r="BD1221" s="58"/>
      <c r="BE1221" s="58"/>
      <c r="BF1221" s="58"/>
      <c r="BG1221" s="58"/>
      <c r="BH1221" s="58"/>
      <c r="BI1221" s="30"/>
      <c r="BJ1221" s="30"/>
      <c r="BK1221" s="30"/>
      <c r="BL1221" s="58"/>
      <c r="BM1221" s="58"/>
      <c r="BN1221" s="58"/>
      <c r="BO1221" s="58"/>
      <c r="BP1221" s="58"/>
      <c r="BQ1221" s="58"/>
      <c r="BR1221" s="58"/>
      <c r="BS1221" s="58"/>
      <c r="BT1221" s="58"/>
      <c r="BU1221" s="58"/>
      <c r="BV1221" s="58"/>
      <c r="BW1221" s="58"/>
      <c r="BX1221" s="58"/>
      <c r="BY1221" s="58"/>
      <c r="BZ1221" s="58"/>
    </row>
    <row r="1222" spans="1:78" s="28" customFormat="1" ht="12.75" customHeight="1" thickBot="1" x14ac:dyDescent="0.25">
      <c r="A1222" s="782"/>
      <c r="B1222" s="1312"/>
      <c r="C1222" s="486"/>
      <c r="D1222" s="178"/>
      <c r="E1222" s="487"/>
      <c r="F1222" s="486"/>
      <c r="G1222" s="478"/>
      <c r="H1222" s="478"/>
      <c r="I1222" s="478"/>
      <c r="J1222" s="478"/>
      <c r="K1222" s="486"/>
      <c r="L1222" s="478"/>
      <c r="M1222" s="478"/>
      <c r="N1222" s="478"/>
      <c r="O1222" s="1313"/>
      <c r="P1222" s="485"/>
      <c r="Q1222" s="485"/>
      <c r="R1222" s="485"/>
      <c r="S1222" s="23"/>
      <c r="T1222" s="27" t="str">
        <f>IF(ISBLANK(E1223),"",MATCH(E1223,CNTR_SourceStreamNames,0))</f>
        <v/>
      </c>
      <c r="U1222" s="609" t="str">
        <f>IF(ISBLANK(E1223),"",INDEX(B_InstallationDescription!$D$71:$D$145,MATCH(E1223,CNTR_SourceStreamNames,0)))</f>
        <v/>
      </c>
      <c r="V1222" s="76"/>
      <c r="W1222" s="56"/>
      <c r="X1222" s="56"/>
      <c r="Y1222" s="56"/>
      <c r="Z1222" s="58"/>
      <c r="AA1222" s="58"/>
      <c r="AB1222" s="58"/>
      <c r="AC1222" s="58"/>
      <c r="AD1222" s="58"/>
      <c r="AE1222" s="58"/>
      <c r="AF1222" s="58"/>
      <c r="AG1222" s="58"/>
      <c r="AH1222" s="58"/>
      <c r="AI1222" s="58"/>
      <c r="AJ1222" s="58"/>
      <c r="AK1222" s="482"/>
      <c r="AL1222" s="58"/>
      <c r="AM1222" s="58"/>
      <c r="AN1222" s="58"/>
      <c r="AO1222" s="58"/>
      <c r="AP1222" s="58"/>
      <c r="AQ1222" s="58"/>
      <c r="AR1222" s="58"/>
      <c r="AS1222" s="58"/>
      <c r="AT1222" s="58"/>
      <c r="AU1222" s="58"/>
      <c r="AV1222" s="58"/>
      <c r="AW1222" s="58"/>
      <c r="AX1222" s="58"/>
      <c r="AY1222" s="58"/>
      <c r="AZ1222" s="58"/>
      <c r="BA1222" s="58"/>
      <c r="BB1222" s="58"/>
      <c r="BC1222" s="58"/>
      <c r="BD1222" s="58"/>
      <c r="BE1222" s="58"/>
      <c r="BF1222" s="58"/>
      <c r="BG1222" s="58"/>
      <c r="BH1222" s="56"/>
      <c r="BI1222" s="56"/>
      <c r="BJ1222" s="56"/>
      <c r="BK1222" s="56"/>
      <c r="BL1222" s="56"/>
      <c r="BM1222" s="56"/>
      <c r="BN1222" s="56"/>
      <c r="BO1222" s="56"/>
      <c r="BP1222" s="56"/>
      <c r="BQ1222" s="56"/>
      <c r="BR1222" s="56"/>
      <c r="BS1222" s="56"/>
      <c r="BT1222" s="56"/>
      <c r="BU1222" s="56"/>
      <c r="BV1222" s="56"/>
      <c r="BW1222" s="56"/>
      <c r="BX1222" s="56"/>
      <c r="BY1222" s="56"/>
      <c r="BZ1222" s="484" t="s">
        <v>259</v>
      </c>
    </row>
    <row r="1223" spans="1:78" s="140" customFormat="1" ht="15" customHeight="1" thickBot="1" x14ac:dyDescent="0.25">
      <c r="A1223" s="1302" t="str">
        <f>IF(E1223="","","PRINT")</f>
        <v/>
      </c>
      <c r="B1223" s="1248"/>
      <c r="C1223" s="608">
        <f>C1196+1</f>
        <v>44</v>
      </c>
      <c r="D1223" s="164"/>
      <c r="E1223" s="1610"/>
      <c r="F1223" s="1611"/>
      <c r="G1223" s="1611"/>
      <c r="H1223" s="1611"/>
      <c r="I1223" s="1611"/>
      <c r="J1223" s="1612"/>
      <c r="K1223" s="1623" t="str">
        <f>IF(E1224="","",INDEX(EUwideConstants!$F$353:$F$394,MATCH(E1224,EUConst_TierActivityListNames,0)))</f>
        <v/>
      </c>
      <c r="L1223" s="1624"/>
      <c r="M1223" s="494" t="str">
        <f>Translations!$B$665</f>
        <v>CO2, iškastinio kuro kilmės:</v>
      </c>
      <c r="N1223" s="1012" t="str">
        <f>IF(OR(K1223="",T1224=TRUE),"",INDEX(BC1237:BE1237,MATCH(K1223,BC1233:BE1233,0)))</f>
        <v/>
      </c>
      <c r="O1223" s="1314" t="s">
        <v>257</v>
      </c>
      <c r="P1223" s="1303" t="str">
        <f>IF(AND(E1223&lt;&gt;"",COUNTIF(P1224:$P$2089,"PRINT")=0),"PRINT","")</f>
        <v/>
      </c>
      <c r="Q1223" s="343" t="str">
        <f>EUconst_SumCO2 &amp; "_" &amp; K1223</f>
        <v>SUM_CO2_</v>
      </c>
      <c r="R1223" s="485"/>
      <c r="S1223" s="23"/>
      <c r="T1223" s="500" t="s">
        <v>387</v>
      </c>
      <c r="U1223" s="23"/>
      <c r="V1223" s="76"/>
      <c r="W1223" s="56"/>
      <c r="X1223" s="58"/>
      <c r="Y1223" s="58"/>
      <c r="Z1223" s="58"/>
      <c r="AA1223" s="58"/>
      <c r="AB1223" s="58"/>
      <c r="AC1223" s="58"/>
      <c r="AD1223" s="58"/>
      <c r="AE1223" s="58"/>
      <c r="AF1223" s="58"/>
      <c r="AG1223" s="58"/>
      <c r="AH1223" s="58"/>
      <c r="AI1223" s="333"/>
      <c r="AJ1223" s="333"/>
      <c r="AK1223" s="333"/>
      <c r="AL1223" s="333"/>
      <c r="AM1223" s="333"/>
      <c r="AN1223" s="333"/>
      <c r="AO1223" s="333"/>
      <c r="AP1223" s="333"/>
      <c r="AQ1223" s="333"/>
      <c r="AR1223" s="333"/>
      <c r="AS1223" s="333"/>
      <c r="AT1223" s="333"/>
      <c r="AU1223" s="333"/>
      <c r="AV1223" s="333"/>
      <c r="AW1223" s="333"/>
      <c r="AX1223" s="333"/>
      <c r="AY1223" s="333"/>
      <c r="AZ1223" s="333"/>
      <c r="BA1223" s="333"/>
      <c r="BB1223" s="333"/>
      <c r="BC1223" s="333"/>
      <c r="BD1223" s="333"/>
      <c r="BE1223" s="333"/>
      <c r="BF1223" s="333"/>
      <c r="BG1223" s="333"/>
      <c r="BH1223" s="834">
        <f>AR1233</f>
        <v>0</v>
      </c>
      <c r="BI1223" s="834" t="str">
        <f>AJ1233</f>
        <v/>
      </c>
      <c r="BJ1223" s="834">
        <f>AR1235</f>
        <v>0</v>
      </c>
      <c r="BK1223" s="834" t="str">
        <f>AJ1235</f>
        <v/>
      </c>
      <c r="BL1223" s="834">
        <f>AR1236</f>
        <v>0</v>
      </c>
      <c r="BM1223" s="834" t="str">
        <f>AJ1236</f>
        <v/>
      </c>
      <c r="BN1223" s="834">
        <f>AR1237</f>
        <v>1</v>
      </c>
      <c r="BO1223" s="834">
        <f>AR1238</f>
        <v>1</v>
      </c>
      <c r="BP1223" s="834">
        <f>AR1239</f>
        <v>0</v>
      </c>
      <c r="BQ1223" s="834" t="str">
        <f>AJ1239</f>
        <v/>
      </c>
      <c r="BR1223" s="834">
        <f>AR1240</f>
        <v>0</v>
      </c>
      <c r="BS1223" s="834">
        <f>AR1241</f>
        <v>0</v>
      </c>
      <c r="BT1223" s="834" t="str">
        <f>N1223</f>
        <v/>
      </c>
      <c r="BU1223" s="834" t="str">
        <f>N1224</f>
        <v/>
      </c>
      <c r="BV1223" s="834" t="str">
        <f>R1226</f>
        <v/>
      </c>
      <c r="BW1223" s="834" t="str">
        <f>R1232</f>
        <v/>
      </c>
      <c r="BX1223" s="834" t="str">
        <f>R1233</f>
        <v/>
      </c>
      <c r="BY1223" s="56"/>
      <c r="BZ1223" s="610" t="b">
        <f>CNTR_CalcRelevant=EUconst_NotRelevant</f>
        <v>0</v>
      </c>
    </row>
    <row r="1224" spans="1:78" s="140" customFormat="1" ht="15" customHeight="1" thickBot="1" x14ac:dyDescent="0.25">
      <c r="A1224" s="777"/>
      <c r="B1224" s="1248"/>
      <c r="C1224" s="164"/>
      <c r="D1224" s="164"/>
      <c r="E1224" s="1625" t="str">
        <f>IF(ISBLANK(E1223),"",IF(INDEX(B_InstallationDescription!$E$71:$E$145,MATCH(U1222,B_InstallationDescription!$D$71:$D$145,0))&gt;0,INDEX(B_InstallationDescription!$E$71:$E$145,MATCH(U1222,B_InstallationDescription!$D$71:$D$145,0)),""))</f>
        <v/>
      </c>
      <c r="F1224" s="1626"/>
      <c r="G1224" s="1626"/>
      <c r="H1224" s="1626"/>
      <c r="I1224" s="1626"/>
      <c r="J1224" s="1627"/>
      <c r="M1224" s="337" t="str">
        <f>Translations!$B$666</f>
        <v>CO2, biomasės kilmės.:</v>
      </c>
      <c r="N1224" s="1013" t="str">
        <f>IF(OR(K1223="",T1224=TRUE),"",INDEX(BC1236:BE1236,MATCH(K1223,BC1233:BE1233,0)))</f>
        <v/>
      </c>
      <c r="O1224" s="1315" t="s">
        <v>257</v>
      </c>
      <c r="P1224" s="485"/>
      <c r="Q1224" s="343" t="str">
        <f>EUconst_SumBioCO2 &amp; "_" &amp; K1223</f>
        <v>SUM_bioCO2_</v>
      </c>
      <c r="R1224" s="485"/>
      <c r="S1224" s="23"/>
      <c r="T1224" s="48" t="str">
        <f>IF(E1224="","",MATCH(E1224,EUConst_TierActivityListNames,0)&gt;40)</f>
        <v/>
      </c>
      <c r="U1224" s="23"/>
      <c r="V1224" s="76"/>
      <c r="W1224" s="56"/>
      <c r="X1224" s="58"/>
      <c r="Y1224" s="27" t="s">
        <v>91</v>
      </c>
      <c r="Z1224" s="30"/>
      <c r="AA1224" s="30"/>
      <c r="AB1224" s="30"/>
      <c r="AC1224" s="30"/>
      <c r="AD1224" s="30"/>
      <c r="AE1224" s="27" t="s">
        <v>297</v>
      </c>
      <c r="AF1224" s="58"/>
      <c r="AG1224" s="495"/>
      <c r="AH1224" s="30"/>
      <c r="AI1224" s="30"/>
      <c r="AJ1224" s="495"/>
      <c r="AK1224" s="495"/>
      <c r="AL1224" s="333"/>
      <c r="AM1224" s="27" t="s">
        <v>303</v>
      </c>
      <c r="AN1224" s="496"/>
      <c r="AO1224" s="496"/>
      <c r="AP1224" s="30"/>
      <c r="AQ1224" s="30"/>
      <c r="AR1224" s="30"/>
      <c r="AS1224" s="30"/>
      <c r="AT1224" s="30"/>
      <c r="AU1224" s="30"/>
      <c r="AV1224" s="27" t="s">
        <v>310</v>
      </c>
      <c r="AW1224" s="30"/>
      <c r="AX1224" s="483"/>
      <c r="AY1224" s="30"/>
      <c r="AZ1224" s="30"/>
      <c r="BA1224" s="30"/>
      <c r="BB1224" s="27" t="s">
        <v>217</v>
      </c>
      <c r="BC1224" s="30"/>
      <c r="BD1224" s="30"/>
      <c r="BE1224" s="30"/>
      <c r="BF1224" s="30"/>
      <c r="BG1224" s="27" t="s">
        <v>486</v>
      </c>
      <c r="BH1224" s="833" t="s">
        <v>552</v>
      </c>
      <c r="BI1224" s="833" t="s">
        <v>487</v>
      </c>
      <c r="BJ1224" s="833" t="s">
        <v>211</v>
      </c>
      <c r="BK1224" s="833" t="s">
        <v>488</v>
      </c>
      <c r="BL1224" s="833" t="s">
        <v>68</v>
      </c>
      <c r="BM1224" s="833" t="s">
        <v>489</v>
      </c>
      <c r="BN1224" s="833" t="s">
        <v>490</v>
      </c>
      <c r="BO1224" s="833" t="s">
        <v>491</v>
      </c>
      <c r="BP1224" s="833" t="s">
        <v>214</v>
      </c>
      <c r="BQ1224" s="833" t="s">
        <v>492</v>
      </c>
      <c r="BR1224" s="833" t="s">
        <v>493</v>
      </c>
      <c r="BS1224" s="833" t="s">
        <v>494</v>
      </c>
      <c r="BT1224" s="833" t="s">
        <v>287</v>
      </c>
      <c r="BU1224" s="833" t="s">
        <v>495</v>
      </c>
      <c r="BV1224" s="833" t="s">
        <v>498</v>
      </c>
      <c r="BW1224" s="833" t="s">
        <v>496</v>
      </c>
      <c r="BX1224" s="833" t="s">
        <v>497</v>
      </c>
      <c r="BY1224" s="30"/>
      <c r="BZ1224" s="30"/>
    </row>
    <row r="1225" spans="1:78" s="140" customFormat="1" ht="5.0999999999999996" customHeight="1" thickBot="1" x14ac:dyDescent="0.25">
      <c r="A1225" s="777"/>
      <c r="B1225" s="1248"/>
      <c r="C1225" s="164"/>
      <c r="D1225" s="164"/>
      <c r="E1225" s="164"/>
      <c r="F1225" s="164"/>
      <c r="G1225" s="164"/>
      <c r="M1225" s="141"/>
      <c r="N1225" s="141"/>
      <c r="O1225" s="1305"/>
      <c r="P1225" s="33"/>
      <c r="Q1225" s="33"/>
      <c r="R1225" s="33"/>
      <c r="S1225" s="23"/>
      <c r="T1225" s="23"/>
      <c r="U1225" s="23"/>
      <c r="V1225" s="76"/>
      <c r="W1225" s="30"/>
      <c r="X1225" s="30"/>
      <c r="Y1225" s="485"/>
      <c r="Z1225" s="30"/>
      <c r="AA1225" s="30"/>
      <c r="AB1225" s="30"/>
      <c r="AC1225" s="30"/>
      <c r="AD1225" s="30"/>
      <c r="AE1225" s="30"/>
      <c r="AF1225" s="58"/>
      <c r="AG1225" s="30"/>
      <c r="AH1225" s="30"/>
      <c r="AI1225" s="30"/>
      <c r="AJ1225" s="495"/>
      <c r="AK1225" s="495"/>
      <c r="AL1225" s="333"/>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row>
    <row r="1226" spans="1:78" s="140" customFormat="1" ht="12.75" customHeight="1" thickBot="1" x14ac:dyDescent="0.25">
      <c r="A1226" s="777"/>
      <c r="B1226" s="1248"/>
      <c r="C1226" s="164"/>
      <c r="D1226" s="164"/>
      <c r="E1226" s="1628" t="str">
        <f>IF(E1223="","",IF(T1224=TRUE,HYPERLINK("#JUMP_14",EUconst_MsgGoOnPFC),HYPERLINK("#JUMP_E_8",EUconst_FurtherGuidancePoint1)))</f>
        <v/>
      </c>
      <c r="F1226" s="1628"/>
      <c r="G1226" s="1628"/>
      <c r="H1226" s="1628"/>
      <c r="I1226" s="1628"/>
      <c r="J1226" s="1628"/>
      <c r="K1226" s="1628"/>
      <c r="L1226" s="1628"/>
      <c r="M1226" s="1628"/>
      <c r="N1226" s="141"/>
      <c r="O1226" s="1305"/>
      <c r="P1226" s="33"/>
      <c r="Q1226" s="343" t="str">
        <f>EUconst_SumNonSustBioCO2 &amp; "_" &amp; K1223</f>
        <v>SUM_bioNonSustCO2_</v>
      </c>
      <c r="R1226" s="698" t="str">
        <f>IF(OR(K1223="",T1224=TRUE),"",ROUND(INDEX(BC1235:BE1235,MATCH(K1223,BC1233:BE1233,0)),0))</f>
        <v/>
      </c>
      <c r="S1226" s="23"/>
      <c r="T1226" s="23"/>
      <c r="U1226" s="23"/>
      <c r="V1226" s="30"/>
      <c r="W1226" s="30"/>
      <c r="X1226" s="30"/>
      <c r="Y1226" s="58"/>
      <c r="Z1226" s="30"/>
      <c r="AA1226" s="30"/>
      <c r="AB1226" s="30"/>
      <c r="AC1226" s="30"/>
      <c r="AD1226" s="30"/>
      <c r="AE1226" s="30"/>
      <c r="AF1226" s="58"/>
      <c r="AG1226" s="30"/>
      <c r="AH1226" s="30"/>
      <c r="AI1226" s="30"/>
      <c r="AJ1226" s="495"/>
      <c r="AK1226" s="495"/>
      <c r="AL1226" s="333"/>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row>
    <row r="1227" spans="1:78" s="140" customFormat="1" ht="5.0999999999999996" customHeight="1" thickBot="1" x14ac:dyDescent="0.25">
      <c r="A1227" s="777"/>
      <c r="B1227" s="1248"/>
      <c r="C1227" s="164"/>
      <c r="D1227" s="164"/>
      <c r="E1227" s="164"/>
      <c r="F1227" s="164"/>
      <c r="G1227" s="164"/>
      <c r="M1227" s="141"/>
      <c r="N1227" s="141"/>
      <c r="O1227" s="1305"/>
      <c r="P1227" s="23"/>
      <c r="Q1227" s="23"/>
      <c r="R1227" s="23"/>
      <c r="S1227" s="23"/>
      <c r="T1227" s="23"/>
      <c r="U1227" s="23"/>
      <c r="V1227" s="30"/>
      <c r="W1227" s="30"/>
      <c r="X1227" s="30"/>
      <c r="Y1227" s="485"/>
      <c r="Z1227" s="30"/>
      <c r="AA1227" s="30"/>
      <c r="AB1227" s="30"/>
      <c r="AC1227" s="30"/>
      <c r="AD1227" s="30"/>
      <c r="AE1227" s="30"/>
      <c r="AF1227" s="58"/>
      <c r="AG1227" s="30"/>
      <c r="AH1227" s="30"/>
      <c r="AI1227" s="30"/>
      <c r="AJ1227" s="495"/>
      <c r="AK1227" s="495"/>
      <c r="AL1227" s="333"/>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row>
    <row r="1228" spans="1:78" s="140" customFormat="1" ht="12.75" customHeight="1" thickBot="1" x14ac:dyDescent="0.25">
      <c r="A1228" s="777"/>
      <c r="B1228" s="1248"/>
      <c r="C1228" s="783" t="s">
        <v>4</v>
      </c>
      <c r="D1228" s="503" t="str">
        <f>Translations!$B$622</f>
        <v>VD:</v>
      </c>
      <c r="E1228" s="1631" t="str">
        <f>Translations!$B$667</f>
        <v>Ar veiklos duomenys gaunami sudedant išmatuotus kiekius (t. y. ne atliekant nuolatinius matavimus)?</v>
      </c>
      <c r="F1228" s="1631"/>
      <c r="G1228" s="1631"/>
      <c r="H1228" s="1631"/>
      <c r="I1228" s="1631"/>
      <c r="J1228" s="1631"/>
      <c r="K1228" s="1631"/>
      <c r="L1228" s="1122"/>
      <c r="M1228" s="498"/>
      <c r="O1228" s="1305"/>
      <c r="P1228" s="23"/>
      <c r="Q1228" s="23"/>
      <c r="R1228" s="23"/>
      <c r="S1228" s="23"/>
      <c r="T1228" s="23"/>
      <c r="U1228" s="23"/>
      <c r="V1228" s="30"/>
      <c r="W1228" s="30"/>
      <c r="X1228" s="30"/>
      <c r="Y1228" s="485"/>
      <c r="Z1228" s="30"/>
      <c r="AA1228" s="30"/>
      <c r="AB1228" s="30"/>
      <c r="AC1228" s="1115" t="b">
        <f>AND(E1223&lt;&gt;"",T1224&lt;&gt;TRUE)</f>
        <v>0</v>
      </c>
      <c r="AD1228" s="30"/>
      <c r="AE1228" s="30"/>
      <c r="AF1228" s="58"/>
      <c r="AG1228" s="30"/>
      <c r="AH1228" s="30"/>
      <c r="AI1228" s="30"/>
      <c r="AJ1228" s="495"/>
      <c r="AK1228" s="495"/>
      <c r="AL1228" s="333"/>
      <c r="AM1228" s="30"/>
      <c r="AN1228" s="30"/>
      <c r="AO1228" s="30"/>
      <c r="AP1228" s="30"/>
      <c r="AQ1228" s="30"/>
      <c r="AR1228" s="30"/>
      <c r="AS1228" s="30"/>
      <c r="AT1228" s="1115" t="b">
        <f>MSPara_BatchReportingMandatory&lt;&gt;TRUE</f>
        <v>0</v>
      </c>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1115" t="b">
        <f>OR(CNTR_CalcRelevant=EUconst_NotRelevant,AND(COUNTA(CNTR_ListRelevantSections)&gt;0,OR(T1224=TRUE,E1223="")))</f>
        <v>1</v>
      </c>
    </row>
    <row r="1229" spans="1:78" s="140" customFormat="1" ht="5.0999999999999996" customHeight="1" thickBot="1" x14ac:dyDescent="0.25">
      <c r="A1229" s="777"/>
      <c r="B1229" s="1248"/>
      <c r="C1229" s="164"/>
      <c r="D1229" s="164"/>
      <c r="E1229" s="164"/>
      <c r="F1229" s="164"/>
      <c r="G1229" s="164"/>
      <c r="H1229" s="486"/>
      <c r="I1229" s="486"/>
      <c r="J1229" s="486"/>
      <c r="K1229" s="486"/>
      <c r="L1229" s="486"/>
      <c r="M1229" s="498"/>
      <c r="O1229" s="1305"/>
      <c r="P1229" s="23"/>
      <c r="Q1229" s="23"/>
      <c r="R1229" s="23"/>
      <c r="S1229" s="23"/>
      <c r="T1229" s="23"/>
      <c r="U1229" s="23"/>
      <c r="V1229" s="30"/>
      <c r="W1229" s="30"/>
      <c r="X1229" s="30"/>
      <c r="Y1229" s="485"/>
      <c r="Z1229" s="30"/>
      <c r="AA1229" s="30"/>
      <c r="AB1229" s="30"/>
      <c r="AC1229" s="483"/>
      <c r="AD1229" s="30"/>
      <c r="AE1229" s="30"/>
      <c r="AF1229" s="58"/>
      <c r="AG1229" s="30"/>
      <c r="AH1229" s="30"/>
      <c r="AI1229" s="30"/>
      <c r="AJ1229" s="495"/>
      <c r="AK1229" s="495"/>
      <c r="AL1229" s="333"/>
      <c r="AM1229" s="30"/>
      <c r="AN1229" s="30"/>
      <c r="AO1229" s="30"/>
      <c r="AP1229" s="30"/>
      <c r="AQ1229" s="30"/>
      <c r="AR1229" s="30"/>
      <c r="AS1229" s="30"/>
      <c r="AT1229" s="483"/>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483"/>
    </row>
    <row r="1230" spans="1:78" s="140" customFormat="1" ht="12.75" customHeight="1" thickBot="1" x14ac:dyDescent="0.25">
      <c r="A1230" s="777"/>
      <c r="B1230" s="1248"/>
      <c r="C1230" s="783" t="s">
        <v>5</v>
      </c>
      <c r="D1230" s="503" t="str">
        <f>Translations!$B$622</f>
        <v>VD:</v>
      </c>
      <c r="E1230" s="1105" t="str">
        <f>Translations!$B$668</f>
        <v>Pradinis kiekis:</v>
      </c>
      <c r="F1230" s="1123"/>
      <c r="G1230" s="1106" t="str">
        <f>Translations!$B$669</f>
        <v>Galutinis kiekis:</v>
      </c>
      <c r="H1230" s="1123"/>
      <c r="I1230" s="1106" t="str">
        <f>Translations!$B$670</f>
        <v>Įsigytas kiekis:</v>
      </c>
      <c r="J1230" s="1123"/>
      <c r="K1230" s="1106" t="str">
        <f>Translations!$B$671</f>
        <v>Perduotas kiekis:</v>
      </c>
      <c r="L1230" s="1123"/>
      <c r="M1230" s="1107" t="str">
        <f>IF(AND(L1228=TRUE,COUNT(F1230,H1230,J1230,L1230)&lt;4),EUconst_ERR_Incomplete,"")</f>
        <v/>
      </c>
      <c r="O1230" s="1305"/>
      <c r="P1230" s="23"/>
      <c r="Q1230" s="23"/>
      <c r="R1230" s="23"/>
      <c r="S1230" s="23"/>
      <c r="T1230" s="23"/>
      <c r="U1230" s="23"/>
      <c r="V1230" s="30"/>
      <c r="W1230" s="30"/>
      <c r="X1230" s="30"/>
      <c r="Y1230" s="485"/>
      <c r="Z1230" s="30"/>
      <c r="AA1230" s="30"/>
      <c r="AB1230" s="30"/>
      <c r="AC1230" s="1115" t="b">
        <f>AC1228</f>
        <v>0</v>
      </c>
      <c r="AD1230" s="30"/>
      <c r="AE1230" s="30"/>
      <c r="AF1230" s="58"/>
      <c r="AG1230" s="30"/>
      <c r="AH1230" s="30"/>
      <c r="AI1230" s="30"/>
      <c r="AJ1230" s="495"/>
      <c r="AK1230" s="495"/>
      <c r="AL1230" s="333"/>
      <c r="AM1230" s="30"/>
      <c r="AN1230" s="30"/>
      <c r="AO1230" s="30"/>
      <c r="AP1230" s="30"/>
      <c r="AQ1230" s="30"/>
      <c r="AR1230" s="30"/>
      <c r="AS1230" s="30"/>
      <c r="AT1230" s="1115" t="b">
        <f>AND(AT1228=TRUE,L1228="")</f>
        <v>0</v>
      </c>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1115" t="b">
        <f>OR(BZ1228,AND(NOT(ISBLANK(L1228)),L1228=FALSE))</f>
        <v>1</v>
      </c>
    </row>
    <row r="1231" spans="1:78" s="140" customFormat="1" ht="5.0999999999999996" customHeight="1" thickBot="1" x14ac:dyDescent="0.25">
      <c r="A1231" s="777"/>
      <c r="B1231" s="1248"/>
      <c r="C1231" s="164"/>
      <c r="D1231" s="164"/>
      <c r="E1231" s="164"/>
      <c r="F1231" s="164"/>
      <c r="G1231" s="164"/>
      <c r="M1231" s="141"/>
      <c r="N1231" s="141"/>
      <c r="O1231" s="1305"/>
      <c r="P1231" s="23"/>
      <c r="Q1231" s="23"/>
      <c r="R1231" s="23"/>
      <c r="S1231" s="23"/>
      <c r="T1231" s="23"/>
      <c r="U1231" s="23"/>
      <c r="V1231" s="30"/>
      <c r="W1231" s="30"/>
      <c r="X1231" s="30"/>
      <c r="Y1231" s="485"/>
      <c r="Z1231" s="30"/>
      <c r="AA1231" s="30"/>
      <c r="AB1231" s="30"/>
      <c r="AC1231" s="30"/>
      <c r="AD1231" s="30"/>
      <c r="AE1231" s="30"/>
      <c r="AF1231" s="58"/>
      <c r="AG1231" s="30"/>
      <c r="AH1231" s="30"/>
      <c r="AI1231" s="30"/>
      <c r="AJ1231" s="495"/>
      <c r="AK1231" s="495"/>
      <c r="AL1231" s="333"/>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row>
    <row r="1232" spans="1:78" s="140" customFormat="1" ht="12.75" customHeight="1" thickBot="1" x14ac:dyDescent="0.25">
      <c r="A1232" s="777"/>
      <c r="B1232" s="1248"/>
      <c r="C1232" s="164"/>
      <c r="D1232" s="164"/>
      <c r="E1232" s="164"/>
      <c r="F1232" s="497" t="str">
        <f>Translations!$B$333</f>
        <v>Pakopa</v>
      </c>
      <c r="G1232" s="1613" t="str">
        <f>Translations!$B$672</f>
        <v>pakopos aprašas</v>
      </c>
      <c r="H1232" s="1613"/>
      <c r="I1232" s="1608" t="str">
        <f>Translations!$B$158</f>
        <v>Vienetas</v>
      </c>
      <c r="J1232" s="1608"/>
      <c r="K1232" s="1608" t="str">
        <f>Translations!$B$673</f>
        <v>Vertė</v>
      </c>
      <c r="L1232" s="1608"/>
      <c r="M1232" s="498" t="str">
        <f>Translations!$B$610</f>
        <v>klaida</v>
      </c>
      <c r="O1232" s="1305"/>
      <c r="P1232" s="499"/>
      <c r="Q1232" s="343" t="str">
        <f>EUconst_SumEnergyIN &amp; "_" &amp; K1223</f>
        <v>SUM_EnergyIN_</v>
      </c>
      <c r="R1232" s="390" t="str">
        <f>IF(OR(K1223="",T1224)=TRUE,"",INDEX(BC1238:BE1238,MATCH(K1223,BC1233:BE1233,0)))</f>
        <v/>
      </c>
      <c r="S1232" s="30"/>
      <c r="T1232" s="480"/>
      <c r="U1232" s="30"/>
      <c r="V1232" s="500" t="s">
        <v>298</v>
      </c>
      <c r="W1232" s="30"/>
      <c r="X1232" s="30"/>
      <c r="Y1232" s="485" t="s">
        <v>560</v>
      </c>
      <c r="Z1232" s="485" t="s">
        <v>313</v>
      </c>
      <c r="AA1232" s="30"/>
      <c r="AB1232" s="30"/>
      <c r="AC1232" s="496" t="s">
        <v>304</v>
      </c>
      <c r="AD1232" s="30"/>
      <c r="AE1232" s="30"/>
      <c r="AF1232" s="483" t="s">
        <v>300</v>
      </c>
      <c r="AG1232" s="483" t="s">
        <v>301</v>
      </c>
      <c r="AH1232" s="485" t="s">
        <v>299</v>
      </c>
      <c r="AI1232" s="495" t="s">
        <v>302</v>
      </c>
      <c r="AJ1232" s="495" t="s">
        <v>561</v>
      </c>
      <c r="AK1232" s="501" t="s">
        <v>306</v>
      </c>
      <c r="AL1232" s="333"/>
      <c r="AM1232" s="30"/>
      <c r="AN1232" s="483" t="s">
        <v>300</v>
      </c>
      <c r="AO1232" s="483" t="s">
        <v>301</v>
      </c>
      <c r="AP1232" s="502" t="s">
        <v>305</v>
      </c>
      <c r="AQ1232" s="495" t="s">
        <v>563</v>
      </c>
      <c r="AR1232" s="495" t="s">
        <v>562</v>
      </c>
      <c r="AS1232" s="501" t="s">
        <v>599</v>
      </c>
      <c r="AT1232" s="501" t="s">
        <v>599</v>
      </c>
      <c r="AU1232" s="30"/>
      <c r="AV1232" s="483"/>
      <c r="AW1232" s="483"/>
      <c r="AX1232" s="483" t="s">
        <v>316</v>
      </c>
      <c r="AY1232" s="483"/>
      <c r="AZ1232" s="483"/>
      <c r="BA1232" s="483"/>
      <c r="BB1232" s="483"/>
      <c r="BC1232" s="483"/>
      <c r="BD1232" s="483"/>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484" t="s">
        <v>259</v>
      </c>
    </row>
    <row r="1233" spans="1:78" s="140" customFormat="1" ht="12.75" customHeight="1" thickBot="1" x14ac:dyDescent="0.25">
      <c r="A1233" s="777"/>
      <c r="B1233" s="1248"/>
      <c r="C1233" s="753" t="s">
        <v>194</v>
      </c>
      <c r="D1233" s="503" t="str">
        <f>Translations!$B$622</f>
        <v>VD:</v>
      </c>
      <c r="E1233" s="504"/>
      <c r="F1233" s="393"/>
      <c r="G1233" s="1603" t="str">
        <f>IF(OR(ISBLANK(F1233),F1233=EUconst_NoTier),"",IF(Z1233=0,EUconst_NA,IF(ISERROR(Z1233),"",Z1233)))</f>
        <v/>
      </c>
      <c r="H1233" s="1604"/>
      <c r="I1233" s="1108" t="str">
        <f>IF(J1233&lt;&gt;"","",AI1233)</f>
        <v/>
      </c>
      <c r="J1233" s="1109"/>
      <c r="K1233" s="1116" t="str">
        <f>IF(L1233="",AQ1233,"")</f>
        <v/>
      </c>
      <c r="L1233" s="1199"/>
      <c r="M1233" s="700" t="str">
        <f>IF(AND(E1224&lt;&gt;"",OR(F1233="",COUNT(K1233:L1233)=0),Y1233&lt;&gt;EUconst_NA,T1224&lt;&gt;TRUE),EUconst_ERR_Incomplete,IF(COUNTIF(AX1233:AZ1233,TRUE)&gt;0,EUconst_ERR_Inconsistent,""))</f>
        <v/>
      </c>
      <c r="O1233" s="1305"/>
      <c r="P1233" s="635"/>
      <c r="Q1233" s="343" t="str">
        <f>EUconst_SumBioEnergyIN &amp; "_" &amp; K1223</f>
        <v>SUM_BioEnergyIN_</v>
      </c>
      <c r="R1233" s="390" t="str">
        <f>IF(OR(K1223="",T1224)=TRUE,"",INDEX(BC1239:BE1239,MATCH(K1223,BC1233:BE1233,0)))</f>
        <v/>
      </c>
      <c r="S1233" s="30"/>
      <c r="T1233" s="505" t="str">
        <f>EUconst_CNTR_ActivityData&amp;E1224</f>
        <v>ActivityData_</v>
      </c>
      <c r="U1233" s="488"/>
      <c r="V1233" s="505" t="str">
        <f>IF(E1223="","",INDEX(B_InstallationDescription!$I$71:$I$145,MATCH(U1222,B_InstallationDescription!$D$71:$D$145,0)))</f>
        <v/>
      </c>
      <c r="W1233" s="495" t="s">
        <v>533</v>
      </c>
      <c r="X1233" s="488"/>
      <c r="Y1233" s="506" t="str">
        <f>IF(OR(T1224=TRUE,E1224=""),"",INDEX(EUwideConstants!$N:$N,MATCH(T1233,EUwideConstants!$Q:$Q,0)))</f>
        <v/>
      </c>
      <c r="Z1233" s="507" t="str">
        <f>IF(ISBLANK(F1233),"",IF(F1233=EUconst_NA,"",INDEX(EUwideConstants!$H:$M,MATCH(T1233,EUwideConstants!$Q:$Q,0),MATCH(F1233,CNTR_TierList,0))))</f>
        <v/>
      </c>
      <c r="AA1233" s="508" t="s">
        <v>299</v>
      </c>
      <c r="AB1233" s="495"/>
      <c r="AC1233" s="509" t="b">
        <f>AC1228</f>
        <v>0</v>
      </c>
      <c r="AD1233" s="30"/>
      <c r="AE1233" s="510" t="str">
        <f>EUconst_CNTR_ActivityData&amp;EUconst_Unit</f>
        <v>ActivityData_Vienetas</v>
      </c>
      <c r="AF1233" s="511" t="str">
        <f>IF(AC1233=TRUE, IF(COUNTIF(MSPara_SourceStreamCategory,V1233)=0,"",INDEX(MSPara_CalcFactorsMatrix,MATCH(V1233,MSPara_SourceStreamCategory,0),MATCH(AE1233&amp;"_"&amp;2,MSPara_CalcFactors,0))),"")</f>
        <v/>
      </c>
      <c r="AG1233" s="512" t="str">
        <f>IF(AC1233=TRUE, IF(COUNTIF(MSPara_SourceStreamCategory,V1233)=0,"",INDEX(MSPara_CalcFactorsMatrix,MATCH(V1233,MSPara_SourceStreamCategory,0),MATCH(AE1233&amp;"_"&amp;1,MSPara_CalcFactors,0))),"")</f>
        <v/>
      </c>
      <c r="AH1233" s="509" t="str">
        <f>IF(OR(AF1233="",AF1233=EUconst_NA),IF(OR(AG1233=EUconst_NA,AG1233=""),"",AG1233),AF1233)</f>
        <v/>
      </c>
      <c r="AI1233" s="506" t="str">
        <f>IF(AC1233=TRUE,IF(AH1233="",EUconst_t,AH1233),"")</f>
        <v/>
      </c>
      <c r="AJ1233" s="513" t="str">
        <f>IF(J1233="",AI1233,J1233)</f>
        <v/>
      </c>
      <c r="AK1233" s="514" t="b">
        <f>IF(K1223=EUconst_Fuel,J1233&lt;&gt;"",FALSE)</f>
        <v>0</v>
      </c>
      <c r="AL1233" s="333"/>
      <c r="AM1233" s="505" t="str">
        <f>EUconst_CNTR_ActivityData&amp;EUconst_Value</f>
        <v>ActivityData_Vertė</v>
      </c>
      <c r="AN1233" s="496"/>
      <c r="AO1233" s="496"/>
      <c r="AP1233" s="509" t="b">
        <f>AND(AND(AH1233&lt;&gt;"",AJ1233&lt;&gt;""),AJ1233=AH1233)</f>
        <v>0</v>
      </c>
      <c r="AQ1233" s="610" t="str">
        <f>IF(L1228=TRUE,SUM(F1230)-SUM(H1230)+SUM(J1230)-SUM(L1230),"")</f>
        <v/>
      </c>
      <c r="AR1233" s="509">
        <f>IF(Y1233=EUconst_NA,0,IF(COUNT(K1233:L1233)=0,0,IF(L1233="",K1233,L1233)))</f>
        <v>0</v>
      </c>
      <c r="AS1233" s="1115" t="b">
        <f>AND(AC1233=TRUE,OR(L1233&lt;&gt;"",AQ1233=""))</f>
        <v>0</v>
      </c>
      <c r="AT1233" s="1115" t="b">
        <f>AND(AC1233=TRUE,NOT(AS1233))</f>
        <v>0</v>
      </c>
      <c r="AU1233" s="30"/>
      <c r="AV1233" s="483" t="s">
        <v>309</v>
      </c>
      <c r="AW1233" s="483" t="s">
        <v>314</v>
      </c>
      <c r="AX1233" s="515"/>
      <c r="AY1233" s="30" t="s">
        <v>536</v>
      </c>
      <c r="AZ1233" s="30"/>
      <c r="BA1233" s="30"/>
      <c r="BB1233" s="495"/>
      <c r="BC1233" s="484" t="str">
        <f>EUconst_Fuel</f>
        <v>Degimas</v>
      </c>
      <c r="BD1233" s="484" t="str">
        <f>EUconst_ProcessCarbonate</f>
        <v>Proceso metu išsiskiriančios ŠESD</v>
      </c>
      <c r="BE1233" s="484" t="str">
        <f>EUconst_MassBalance</f>
        <v>Masės balansas</v>
      </c>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515" t="b">
        <f>BZ1228</f>
        <v>1</v>
      </c>
    </row>
    <row r="1234" spans="1:78" s="140" customFormat="1" ht="5.0999999999999996" customHeight="1" thickBot="1" x14ac:dyDescent="0.25">
      <c r="A1234" s="777"/>
      <c r="B1234" s="1248"/>
      <c r="C1234" s="783"/>
      <c r="D1234" s="298"/>
      <c r="F1234" s="141"/>
      <c r="G1234" s="141"/>
      <c r="H1234" s="141" t="s">
        <v>233</v>
      </c>
      <c r="I1234" s="516"/>
      <c r="J1234" s="516"/>
      <c r="K1234" s="141"/>
      <c r="L1234" s="141"/>
      <c r="M1234" s="701"/>
      <c r="O1234" s="1305"/>
      <c r="P1234" s="33"/>
      <c r="Q1234" s="33"/>
      <c r="R1234" s="33"/>
      <c r="S1234" s="30"/>
      <c r="T1234" s="153"/>
      <c r="U1234" s="488"/>
      <c r="V1234" s="30"/>
      <c r="W1234" s="30"/>
      <c r="X1234" s="488"/>
      <c r="Y1234" s="517"/>
      <c r="Z1234" s="30"/>
      <c r="AA1234" s="30"/>
      <c r="AB1234" s="30"/>
      <c r="AC1234" s="30"/>
      <c r="AD1234" s="30"/>
      <c r="AE1234" s="30"/>
      <c r="AF1234" s="30"/>
      <c r="AG1234" s="30"/>
      <c r="AH1234" s="30"/>
      <c r="AI1234" s="30"/>
      <c r="AJ1234" s="30"/>
      <c r="AK1234" s="30"/>
      <c r="AL1234" s="333"/>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484"/>
    </row>
    <row r="1235" spans="1:78" s="140" customFormat="1" ht="12.75" customHeight="1" thickBot="1" x14ac:dyDescent="0.25">
      <c r="A1235" s="777"/>
      <c r="B1235" s="1248"/>
      <c r="C1235" s="783" t="s">
        <v>195</v>
      </c>
      <c r="D1235" s="503" t="str">
        <f>Translations!$B$634</f>
        <v>(prelim.) ITF:</v>
      </c>
      <c r="E1235" s="504"/>
      <c r="F1235" s="518"/>
      <c r="G1235" s="1603" t="str">
        <f t="shared" ref="G1235:G1241" si="301">IF(OR(ISBLANK(F1235),F1235=EUconst_NoTier),"",IF(Z1235=0,EUconst_NotApplicable,IF(ISERROR(Z1235),"",Z1235)))</f>
        <v/>
      </c>
      <c r="H1235" s="1609"/>
      <c r="I1235" s="1110" t="str">
        <f>IF(J1235&lt;&gt;"","",AI1235)</f>
        <v/>
      </c>
      <c r="J1235" s="1111"/>
      <c r="K1235" s="519" t="str">
        <f t="shared" ref="K1235:K1241" si="302">IF(L1235="",AQ1235,"")</f>
        <v/>
      </c>
      <c r="L1235" s="520"/>
      <c r="M1235" s="700" t="str">
        <f>IF(AND(E1224&lt;&gt;"",OR(F1235="",COUNT(K1235:L1235)=0),Y1235&lt;&gt;EUconst_NA,T1224&lt;&gt;TRUE),EUconst_ERR_Incomplete,IF(COUNTIF(AX1235:AZ1235,TRUE)&gt;0,EUconst_ERR_Inconsistent,""))</f>
        <v/>
      </c>
      <c r="N1235" s="486"/>
      <c r="O1235" s="1305"/>
      <c r="P1235" s="33"/>
      <c r="Q1235" s="33"/>
      <c r="R1235" s="33"/>
      <c r="S1235" s="30"/>
      <c r="T1235" s="521" t="str">
        <f>EUconst_CNTR_EF&amp;E1224</f>
        <v>EF_</v>
      </c>
      <c r="U1235" s="488"/>
      <c r="V1235" s="522" t="str">
        <f>V1233</f>
        <v/>
      </c>
      <c r="W1235" s="30"/>
      <c r="X1235" s="488"/>
      <c r="Y1235" s="523" t="str">
        <f>IF(OR(T1224=TRUE,E1224=""),"",IF(F1235=EUconst_NA,EUconst_NA,INDEX(EUwideConstants!$N:$N,MATCH(T1235,EUwideConstants!$Q:$Q,0))))</f>
        <v/>
      </c>
      <c r="Z1235" s="524" t="str">
        <f>IF(ISBLANK(F1235),"",IF(F1235=EUconst_NA,"",INDEX(EUwideConstants!$H:$M,MATCH(T1235,EUwideConstants!$Q:$Q,0),MATCH(F1235,CNTR_TierList,0))))</f>
        <v/>
      </c>
      <c r="AA1235" s="525" t="str">
        <f>IF(COUNTIF(EUconst_DefaultValues,Z1235)&gt;0,MATCH(Z1235,EUconst_DefaultValues,0),"")</f>
        <v/>
      </c>
      <c r="AB1235" s="30"/>
      <c r="AC1235" s="526" t="b">
        <f>AND(AC1233,Y1235&lt;&gt;EUconst_NA)</f>
        <v>0</v>
      </c>
      <c r="AD1235" s="30"/>
      <c r="AE1235" s="510" t="str">
        <f>EUconst_CNTR_EF&amp;EUconst_Unit</f>
        <v>EF_Vienetas</v>
      </c>
      <c r="AF1235" s="527" t="str">
        <f>IF(AC1235=TRUE, IF(COUNTIF(MSPara_SourceStreamCategory,V1235)=0,"",INDEX(MSPara_CalcFactorsMatrix,MATCH(V1235,MSPara_SourceStreamCategory,0),MATCH(AE1235&amp;"_"&amp;2,MSPara_CalcFactors,0))),"")</f>
        <v/>
      </c>
      <c r="AG1235" s="528" t="str">
        <f>IF(AC1235=TRUE, IF(COUNTIF(MSPara_SourceStreamCategory,V1235)=0,"",INDEX(MSPara_CalcFactorsMatrix,MATCH(V1235,MSPara_SourceStreamCategory,0),MATCH(AE1235&amp;"_"&amp;1,MSPara_CalcFactors,0))),"")</f>
        <v/>
      </c>
      <c r="AH1235" s="529" t="str">
        <f>IF(AA1235="","",INDEX(AF1235:AG1235,3-AA1235))</f>
        <v/>
      </c>
      <c r="AI1235" s="530" t="str">
        <f>IF(AC1235=TRUE,IF(OR(AH1235="",AH1235=EUconst_NA),IF(K1223=EUconst_Fuel,EUconst_tCO2pTJ,EUconst_tCO2pt),AH1235),"")</f>
        <v/>
      </c>
      <c r="AJ1235" s="526" t="str">
        <f>IF(J1235="",AI1235,J1235)</f>
        <v/>
      </c>
      <c r="AK1235" s="531" t="b">
        <f>IF(K1223=EUconst_Fuel,J1235&lt;&gt;"",FALSE)</f>
        <v>0</v>
      </c>
      <c r="AL1235" s="333"/>
      <c r="AM1235" s="510" t="str">
        <f>EUconst_CNTR_EF&amp;EUconst_Value</f>
        <v>EF_Vertė</v>
      </c>
      <c r="AN1235" s="532" t="str">
        <f>IF(AC1235=TRUE,IF(COUNTIF(MSPara_SourceStreamCategory,V1235)=0,"",INDEX(MSPara_CalcFactorsMatrix,MATCH(V1235,MSPara_SourceStreamCategory,0),MATCH(AM1235&amp;"_"&amp;2,MSPara_CalcFactors,0))),"")</f>
        <v/>
      </c>
      <c r="AO1235" s="533" t="str">
        <f>IF(AC1235=TRUE,IF(COUNTIF(MSPara_SourceStreamCategory,V1235)=0,"",INDEX(MSPara_CalcFactorsMatrix,MATCH(V1235,MSPara_SourceStreamCategory,0),MATCH(AM1235&amp;"_"&amp;1,MSPara_CalcFactors,0))),"")</f>
        <v/>
      </c>
      <c r="AP1235" s="526" t="b">
        <f>AND(AND(AH1235&lt;&gt;"",AJ1235&lt;&gt;""),AJ1235=AH1235)</f>
        <v>0</v>
      </c>
      <c r="AQ1235" s="534" t="str">
        <f>IF(AND(AA1235&lt;&gt;"",AP1235=TRUE),IF(OR(INDEX(AN1235:AO1235,3-AA1235)=EUconst_NA,INDEX(AN1235:AO1235,3-AA1235)=0),"",INDEX(AN1235:AO1235,3-AA1235)),"")</f>
        <v/>
      </c>
      <c r="AR1235" s="526">
        <f>IF(AC1235=TRUE,IF(COUNT(K1235:L1235)=0,0,IF(L1235="",K1235,L1235)),0)</f>
        <v>0</v>
      </c>
      <c r="AS1235" s="522" t="b">
        <f>AND(AC1235=TRUE,OR(AND(F1235&lt;&gt;"",NOT(ISNUMBER(AA1235))),L1235&lt;&gt;"",F1235="",AQ1235=""))</f>
        <v>0</v>
      </c>
      <c r="AT1235" s="522" t="b">
        <f t="shared" ref="AT1235:AT1241" si="303">AND(AC1235=TRUE,NOT(AS1235))</f>
        <v>0</v>
      </c>
      <c r="AU1235" s="30"/>
      <c r="AV1235" s="535" t="b">
        <f t="shared" ref="AV1235:AV1241" si="304">AND(ISNUMBER(AA1235),AQ1235="")</f>
        <v>0</v>
      </c>
      <c r="AW1235" s="536" t="b">
        <f t="shared" ref="AW1235:AW1241" si="305">AND(ISNUMBER(AA1235),AQ1235&lt;&gt;AR1235)</f>
        <v>0</v>
      </c>
      <c r="AX1235" s="537" t="b">
        <f>OR(AND(AJ1233=EUconst_kNm3,AJ1235=EUconst_tCO2pt),AND(AJ1233=EUconst_t,AJ1235=EUconst_tCO2pkNm3))</f>
        <v>0</v>
      </c>
      <c r="AY1235" s="522" t="b">
        <f t="shared" ref="AY1235:AY1241" si="306">AND(L1235&lt;&gt;"",Y1235=EUconst_NA)</f>
        <v>0</v>
      </c>
      <c r="AZ1235" s="30"/>
      <c r="BA1235" s="30"/>
      <c r="BB1235" s="538" t="s">
        <v>588</v>
      </c>
      <c r="BC1235" s="537" t="str">
        <f>IF(K1223=BC1233,AR1233*IF(AJ1235=EUconst_tCO2pTJ,(AR1236/1000),1)*AR1235*AR1237*AR1241,"")</f>
        <v/>
      </c>
      <c r="BD1235" s="515" t="str">
        <f>IF(K1223=BD1233,AR1233*AR1235*AR1238*AR1241,"")</f>
        <v/>
      </c>
      <c r="BE1235" s="514" t="str">
        <f>IF(K1223=BE1233,3.664*AR1233*AR1239*AR1241,"")</f>
        <v/>
      </c>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522" t="b">
        <f>OR(BZ1233,Y1235=EUconst_NA)</f>
        <v>1</v>
      </c>
    </row>
    <row r="1236" spans="1:78" s="140" customFormat="1" ht="12.75" customHeight="1" thickBot="1" x14ac:dyDescent="0.25">
      <c r="A1236" s="777"/>
      <c r="B1236" s="1248"/>
      <c r="C1236" s="783" t="s">
        <v>196</v>
      </c>
      <c r="D1236" s="503" t="str">
        <f>Translations!$B$636</f>
        <v>GŠV:</v>
      </c>
      <c r="E1236" s="504"/>
      <c r="F1236" s="539"/>
      <c r="G1236" s="1603" t="str">
        <f t="shared" si="301"/>
        <v/>
      </c>
      <c r="H1236" s="1604"/>
      <c r="I1236" s="1112" t="str">
        <f>AJ1236</f>
        <v/>
      </c>
      <c r="J1236" s="540"/>
      <c r="K1236" s="541" t="str">
        <f t="shared" si="302"/>
        <v/>
      </c>
      <c r="L1236" s="542"/>
      <c r="M1236" s="700" t="str">
        <f>IF(AND(E1224&lt;&gt;"",OR(F1236="",COUNT(K1236:L1236)=0),Y1236&lt;&gt;EUconst_NA,T1224&lt;&gt;TRUE),EUconst_ERR_Incomplete,IF(COUNTIF(AX1236:AZ1236,TRUE)&gt;0,EUconst_ERR_Inconsistent,""))</f>
        <v/>
      </c>
      <c r="O1236" s="1305"/>
      <c r="P1236" s="33"/>
      <c r="Q1236" s="33"/>
      <c r="R1236" s="33"/>
      <c r="S1236" s="30"/>
      <c r="T1236" s="543" t="str">
        <f>EUconst_CNTR_NCV&amp;E1224</f>
        <v>NCV_</v>
      </c>
      <c r="U1236" s="488"/>
      <c r="V1236" s="544" t="str">
        <f t="shared" ref="V1236:V1241" si="307">V1235</f>
        <v/>
      </c>
      <c r="W1236" s="30"/>
      <c r="X1236" s="488"/>
      <c r="Y1236" s="545" t="str">
        <f>IF(OR(T1224=TRUE,E1224=""),"",IF(F1236=EUconst_NA,EUconst_NA,INDEX(EUwideConstants!$N:$N,MATCH(T1236,EUwideConstants!$Q:$Q,0))))</f>
        <v/>
      </c>
      <c r="Z1236" s="546" t="str">
        <f>IF(ISBLANK(F1236),"",IF(F1236=EUconst_NA,"",INDEX(EUwideConstants!$H:$M,MATCH(T1236,EUwideConstants!$Q:$Q,0),MATCH(F1236,CNTR_TierList,0))))</f>
        <v/>
      </c>
      <c r="AA1236" s="547" t="str">
        <f>IF(COUNTIF(EUconst_DefaultValues,Z1236)&gt;0,MATCH(Z1236,EUconst_DefaultValues,0),"")</f>
        <v/>
      </c>
      <c r="AB1236" s="30"/>
      <c r="AC1236" s="548" t="b">
        <f>AND(AC1233,Y1236&lt;&gt;EUconst_NA)</f>
        <v>0</v>
      </c>
      <c r="AD1236" s="30"/>
      <c r="AE1236" s="549" t="str">
        <f>EUconst_CNTR_NCV&amp;EUconst_Unit</f>
        <v>NCV_Vienetas</v>
      </c>
      <c r="AF1236" s="550" t="str">
        <f>IF(AC1236=TRUE, IF(COUNTIF(MSPara_SourceStreamCategory,V1236)=0,"",INDEX(MSPara_CalcFactorsMatrix,MATCH(V1236,MSPara_SourceStreamCategory,0),MATCH(AE1236&amp;"_"&amp;2,MSPara_CalcFactors,0))),"")</f>
        <v/>
      </c>
      <c r="AG1236" s="551" t="str">
        <f>IF(AC1236=TRUE, IF(COUNTIF(MSPara_SourceStreamCategory,V1236)=0,"",INDEX(MSPara_CalcFactorsMatrix,MATCH(V1236,MSPara_SourceStreamCategory,0),MATCH(AE1236&amp;"_"&amp;1,MSPara_CalcFactors,0))),"")</f>
        <v/>
      </c>
      <c r="AH1236" s="552" t="str">
        <f>IF(AA1236="","",INDEX(AF1236:AG1236,3-AA1236))</f>
        <v/>
      </c>
      <c r="AI1236" s="553"/>
      <c r="AJ1236" s="548" t="str">
        <f>IF(AC1236=TRUE,IF(AJ1233="","",IF(AJ1233=EUconst_kNm3,EUconst_GJpkNm3,EUconst_GJpt)),"")</f>
        <v/>
      </c>
      <c r="AK1236" s="554"/>
      <c r="AL1236" s="333"/>
      <c r="AM1236" s="549" t="str">
        <f>EUconst_CNTR_NCV&amp;EUconst_Value</f>
        <v>NCV_Vertė</v>
      </c>
      <c r="AN1236" s="555" t="str">
        <f>IF(AC1236=TRUE,IF(COUNTIF(MSPara_SourceStreamCategory,V1236)=0,"",INDEX(MSPara_CalcFactorsMatrix,MATCH(V1236,MSPara_SourceStreamCategory,0),MATCH(AM1236&amp;"_"&amp;2,MSPara_CalcFactors,0))),"")</f>
        <v/>
      </c>
      <c r="AO1236" s="556" t="str">
        <f>IF(AC1236=TRUE,IF(COUNTIF(MSPara_SourceStreamCategory,V1236)=0,"",INDEX(MSPara_CalcFactorsMatrix,MATCH(V1236,MSPara_SourceStreamCategory,0),MATCH(AM1236&amp;"_"&amp;1,MSPara_CalcFactors,0))),"")</f>
        <v/>
      </c>
      <c r="AP1236" s="548" t="b">
        <f>AND(AND(AH1236&lt;&gt;"",AJ1236&lt;&gt;""),AJ1236=AH1236)</f>
        <v>0</v>
      </c>
      <c r="AQ1236" s="557" t="str">
        <f>IF(AND(AA1236&lt;&gt;"",AP1236=TRUE),IF(OR(INDEX(AN1236:AO1236,3-AA1236)=EUconst_NA,INDEX(AN1236:AO1236,3-AA1236)=0),"",INDEX(AN1236:AO1236,3-AA1236)),"")</f>
        <v/>
      </c>
      <c r="AR1236" s="548">
        <f>IF(AC1236=TRUE,IF(COUNT(K1236:L1236)=0,0,IF(L1236="",K1236,L1236)),0)</f>
        <v>0</v>
      </c>
      <c r="AS1236" s="544" t="b">
        <f>AND(AC1236=TRUE,OR(AND(F1236&lt;&gt;"",NOT(ISNUMBER(AA1236))),L1236&lt;&gt;"",F1236="",AQ1236=""))</f>
        <v>0</v>
      </c>
      <c r="AT1236" s="544" t="b">
        <f t="shared" si="303"/>
        <v>0</v>
      </c>
      <c r="AU1236" s="30"/>
      <c r="AV1236" s="558" t="b">
        <f t="shared" si="304"/>
        <v>0</v>
      </c>
      <c r="AW1236" s="559" t="b">
        <f t="shared" si="305"/>
        <v>0</v>
      </c>
      <c r="AX1236" s="30"/>
      <c r="AY1236" s="544" t="b">
        <f t="shared" si="306"/>
        <v>0</v>
      </c>
      <c r="AZ1236" s="30"/>
      <c r="BA1236" s="30"/>
      <c r="BB1236" s="538" t="s">
        <v>589</v>
      </c>
      <c r="BC1236" s="537" t="str">
        <f>IF(K1223=BC1233,AR1233*IF(AJ1235=EUconst_tCO2pTJ,(AR1236/1000),1)*AR1235*AR1237*AR1240,"")</f>
        <v/>
      </c>
      <c r="BD1236" s="515" t="str">
        <f>IF(K1223=BD1233,AR1233*AR1235*AR1238*AR1240,"")</f>
        <v/>
      </c>
      <c r="BE1236" s="514" t="str">
        <f>IF(K1223=BE1233,3.664*AR1233*AR1239*AR1240,"")</f>
        <v/>
      </c>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544" t="b">
        <f>OR(BZ1233,Y1236=EUconst_NA)</f>
        <v>1</v>
      </c>
    </row>
    <row r="1237" spans="1:78" s="140" customFormat="1" ht="12.75" customHeight="1" thickBot="1" x14ac:dyDescent="0.25">
      <c r="A1237" s="777"/>
      <c r="B1237" s="1248"/>
      <c r="C1237" s="783" t="s">
        <v>197</v>
      </c>
      <c r="D1237" s="503" t="str">
        <f>Translations!$B$638</f>
        <v>Oksidacijos koef.:</v>
      </c>
      <c r="E1237" s="504"/>
      <c r="F1237" s="539"/>
      <c r="G1237" s="1603" t="str">
        <f t="shared" si="301"/>
        <v/>
      </c>
      <c r="H1237" s="1604"/>
      <c r="I1237" s="1113" t="str">
        <f>IF(OR(AC1237=FALSE,Y1237=EUconst_NA),"","-")</f>
        <v/>
      </c>
      <c r="J1237" s="560"/>
      <c r="K1237" s="561" t="str">
        <f t="shared" si="302"/>
        <v/>
      </c>
      <c r="L1237" s="694"/>
      <c r="M1237" s="700" t="str">
        <f>IF(AND(E1224&lt;&gt;"",OR(F1237="",COUNT(K1237:L1237)=0),Y1237&lt;&gt;EUconst_NA,T1224&lt;&gt;TRUE),EUconst_ERR_Incomplete,IF(COUNTIF(AX1237:AZ1237,TRUE)&gt;0,EUconst_ERR_Inconsistent,""))</f>
        <v/>
      </c>
      <c r="O1237" s="1305"/>
      <c r="P1237" s="33"/>
      <c r="Q1237" s="33"/>
      <c r="R1237" s="33"/>
      <c r="S1237" s="30"/>
      <c r="T1237" s="543" t="str">
        <f>EUconst_CNTR_OxidationFactor&amp;E1224</f>
        <v>OxF_</v>
      </c>
      <c r="U1237" s="488"/>
      <c r="V1237" s="544" t="str">
        <f t="shared" si="307"/>
        <v/>
      </c>
      <c r="W1237" s="30"/>
      <c r="X1237" s="488"/>
      <c r="Y1237" s="545" t="str">
        <f>IF(OR(T1224=TRUE,E1224=""),"",INDEX(EUwideConstants!$N:$N,MATCH(T1237,EUwideConstants!$Q:$Q,0)))</f>
        <v/>
      </c>
      <c r="Z1237" s="546" t="str">
        <f>IF(ISBLANK(F1237),"",IF(F1237=EUconst_NA,"",INDEX(EUwideConstants!$H:$M,MATCH(T1237,EUwideConstants!$Q:$Q,0),MATCH(F1237,CNTR_TierList,0))))</f>
        <v/>
      </c>
      <c r="AA1237" s="525" t="str">
        <f>IF(F1237=1,1,"")</f>
        <v/>
      </c>
      <c r="AB1237" s="30"/>
      <c r="AC1237" s="548" t="b">
        <f>AND(AC1233,Y1237&lt;&gt;EUconst_NA)</f>
        <v>0</v>
      </c>
      <c r="AD1237" s="30"/>
      <c r="AE1237" s="563"/>
      <c r="AG1237" s="564"/>
      <c r="AH1237" s="553"/>
      <c r="AI1237" s="565"/>
      <c r="AJ1237" s="553"/>
      <c r="AK1237" s="566"/>
      <c r="AL1237" s="333"/>
      <c r="AM1237" s="549" t="str">
        <f>EUconst_CNTR_OxidationFactor&amp;EUconst_Value</f>
        <v>OxF_Vertė</v>
      </c>
      <c r="AN1237" s="567"/>
      <c r="AO1237" s="525">
        <v>1</v>
      </c>
      <c r="AP1237" s="553"/>
      <c r="AQ1237" s="568" t="str">
        <f>IF(AA1237="","",AO1237)</f>
        <v/>
      </c>
      <c r="AR1237" s="548">
        <f>IF(AC1237=TRUE,IF(COUNT(K1237:L1237)=0,0,IF(L1237="",K1237,L1237)),1)</f>
        <v>1</v>
      </c>
      <c r="AS1237" s="544" t="b">
        <f>AND(AC1237=TRUE,OR(ISNUMBER(L1237),NOT(ISNUMBER(AA1237))))</f>
        <v>0</v>
      </c>
      <c r="AT1237" s="544" t="b">
        <f t="shared" si="303"/>
        <v>0</v>
      </c>
      <c r="AU1237" s="30"/>
      <c r="AV1237" s="558" t="b">
        <f t="shared" si="304"/>
        <v>0</v>
      </c>
      <c r="AW1237" s="559" t="b">
        <f t="shared" si="305"/>
        <v>0</v>
      </c>
      <c r="AX1237" s="30"/>
      <c r="AY1237" s="585" t="b">
        <f t="shared" si="306"/>
        <v>0</v>
      </c>
      <c r="AZ1237" s="522" t="b">
        <f>AR1237&gt;100%</f>
        <v>0</v>
      </c>
      <c r="BA1237" s="30"/>
      <c r="BB1237" s="538" t="s">
        <v>287</v>
      </c>
      <c r="BC1237" s="537" t="str">
        <f>IF(K1223=BC1233,AR1233*IF(AJ1235=EUconst_tCO2pTJ,(AR1236/1000),1)*AR1235*AR1237*(1-AR1240),"")</f>
        <v/>
      </c>
      <c r="BD1237" s="515" t="str">
        <f>IF(K1223=BD1233,AR1233*AR1235*AR1238*(1-AR1240),"")</f>
        <v/>
      </c>
      <c r="BE1237" s="514" t="str">
        <f>IF(K1223=BE1233,3.664*AR1233*AR1239*(1-AR1240),"")</f>
        <v/>
      </c>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544" t="b">
        <f>OR(BZ1233,Y1237=EUconst_NA)</f>
        <v>1</v>
      </c>
    </row>
    <row r="1238" spans="1:78" s="140" customFormat="1" ht="12.75" customHeight="1" thickBot="1" x14ac:dyDescent="0.25">
      <c r="A1238" s="777"/>
      <c r="B1238" s="1248"/>
      <c r="C1238" s="783" t="s">
        <v>198</v>
      </c>
      <c r="D1238" s="503" t="str">
        <f>Translations!$B$639</f>
        <v>Konversijos koef.:</v>
      </c>
      <c r="E1238" s="504"/>
      <c r="F1238" s="539"/>
      <c r="G1238" s="1603" t="str">
        <f t="shared" si="301"/>
        <v/>
      </c>
      <c r="H1238" s="1604"/>
      <c r="I1238" s="1113" t="str">
        <f>IF(OR(AC1238=FALSE,Y1238=EUconst_NA),"","-")</f>
        <v/>
      </c>
      <c r="J1238" s="560"/>
      <c r="K1238" s="561" t="str">
        <f t="shared" si="302"/>
        <v/>
      </c>
      <c r="L1238" s="694"/>
      <c r="M1238" s="700" t="str">
        <f>IF(AND(E1224&lt;&gt;"",OR(F1238="",COUNT(K1238:L1238)=0),Y1238&lt;&gt;EUconst_NA,T1224&lt;&gt;TRUE),EUconst_ERR_Incomplete,IF(COUNTIF(AX1238:AZ1238,TRUE)&gt;0,EUconst_ERR_Inconsistent,""))</f>
        <v/>
      </c>
      <c r="O1238" s="1305"/>
      <c r="P1238" s="33"/>
      <c r="Q1238" s="33"/>
      <c r="R1238" s="33"/>
      <c r="S1238" s="30"/>
      <c r="T1238" s="543" t="str">
        <f>EUconst_CNTR_ConversionFactor&amp;E1224</f>
        <v>ConvF_</v>
      </c>
      <c r="U1238" s="488"/>
      <c r="V1238" s="544" t="str">
        <f t="shared" si="307"/>
        <v/>
      </c>
      <c r="W1238" s="30"/>
      <c r="X1238" s="488"/>
      <c r="Y1238" s="545" t="str">
        <f>IF(OR(T1224=TRUE,E1224=""),"",INDEX(EUwideConstants!$N:$N,MATCH(T1238,EUwideConstants!$Q:$Q,0)))</f>
        <v/>
      </c>
      <c r="Z1238" s="546" t="str">
        <f>IF(ISBLANK(F1238),"",IF(F1238=EUconst_NA,"",INDEX(EUwideConstants!$H:$M,MATCH(T1238,EUwideConstants!$Q:$Q,0),MATCH(F1238,CNTR_TierList,0))))</f>
        <v/>
      </c>
      <c r="AA1238" s="573" t="str">
        <f>IF(F1238=1,1,"")</f>
        <v/>
      </c>
      <c r="AB1238" s="30"/>
      <c r="AC1238" s="548" t="b">
        <f>AND(AC1233,Y1238&lt;&gt;EUconst_NA)</f>
        <v>0</v>
      </c>
      <c r="AD1238" s="30"/>
      <c r="AE1238" s="563"/>
      <c r="AG1238" s="564"/>
      <c r="AH1238" s="574"/>
      <c r="AI1238" s="565"/>
      <c r="AJ1238" s="574"/>
      <c r="AK1238" s="566"/>
      <c r="AL1238" s="333"/>
      <c r="AM1238" s="549" t="str">
        <f>EUconst_CNTR_ConversionFactor&amp;EUconst_Value</f>
        <v>ConvF_Vertė</v>
      </c>
      <c r="AN1238" s="575"/>
      <c r="AO1238" s="573">
        <v>1</v>
      </c>
      <c r="AP1238" s="574"/>
      <c r="AQ1238" s="576" t="str">
        <f>IF(AA1238="","",AO1238)</f>
        <v/>
      </c>
      <c r="AR1238" s="548">
        <f>IF(AC1238=TRUE,IF(COUNT(K1238:L1238)=0,0,IF(L1238="",K1238,L1238)),1)</f>
        <v>1</v>
      </c>
      <c r="AS1238" s="544" t="b">
        <f>AND(AC1238=TRUE,OR(ISNUMBER(L1238),NOT(ISNUMBER(AA1238))))</f>
        <v>0</v>
      </c>
      <c r="AT1238" s="544" t="b">
        <f t="shared" si="303"/>
        <v>0</v>
      </c>
      <c r="AU1238" s="30"/>
      <c r="AV1238" s="558" t="b">
        <f t="shared" si="304"/>
        <v>0</v>
      </c>
      <c r="AW1238" s="559" t="b">
        <f t="shared" si="305"/>
        <v>0</v>
      </c>
      <c r="AX1238" s="30"/>
      <c r="AY1238" s="585" t="b">
        <f t="shared" si="306"/>
        <v>0</v>
      </c>
      <c r="AZ1238" s="571" t="b">
        <f>AR1238&gt;100%</f>
        <v>0</v>
      </c>
      <c r="BA1238" s="30"/>
      <c r="BB1238" s="569" t="s">
        <v>481</v>
      </c>
      <c r="BC1238" s="570">
        <f>AR1233*AR1236/1000*(1-AR1240)</f>
        <v>0</v>
      </c>
      <c r="BD1238" s="571">
        <f>BC1238</f>
        <v>0</v>
      </c>
      <c r="BE1238" s="572">
        <f>BC1238</f>
        <v>0</v>
      </c>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544" t="b">
        <f>OR(BZ1233,Y1238=EUconst_NA)</f>
        <v>1</v>
      </c>
    </row>
    <row r="1239" spans="1:78" s="140" customFormat="1" ht="12.75" customHeight="1" thickBot="1" x14ac:dyDescent="0.25">
      <c r="A1239" s="777"/>
      <c r="B1239" s="1248"/>
      <c r="C1239" s="783" t="s">
        <v>324</v>
      </c>
      <c r="D1239" s="503" t="str">
        <f>Translations!$B$640</f>
        <v>Anglies kiekis (C):</v>
      </c>
      <c r="E1239" s="504"/>
      <c r="F1239" s="539"/>
      <c r="G1239" s="1603" t="str">
        <f t="shared" si="301"/>
        <v/>
      </c>
      <c r="H1239" s="1604"/>
      <c r="I1239" s="1113" t="str">
        <f>AJ1239</f>
        <v/>
      </c>
      <c r="J1239" s="577"/>
      <c r="K1239" s="578" t="str">
        <f t="shared" si="302"/>
        <v/>
      </c>
      <c r="L1239" s="579"/>
      <c r="M1239" s="700" t="str">
        <f>IF(AND(E1224&lt;&gt;"",OR(F1239="",COUNT(K1239:L1239)=0),Y1239&lt;&gt;EUconst_NA,T1224&lt;&gt;TRUE),EUconst_ERR_Incomplete,IF(COUNTIF(AX1239:AZ1239,TRUE)&gt;0,EUconst_ERR_Inconsistent,""))</f>
        <v/>
      </c>
      <c r="O1239" s="1305"/>
      <c r="P1239" s="33"/>
      <c r="Q1239" s="33"/>
      <c r="R1239" s="33"/>
      <c r="S1239" s="30"/>
      <c r="T1239" s="543" t="str">
        <f>EUconst_CNTR_CarbonContent&amp;E1224</f>
        <v>CarbC_</v>
      </c>
      <c r="U1239" s="488"/>
      <c r="V1239" s="544" t="str">
        <f t="shared" si="307"/>
        <v/>
      </c>
      <c r="W1239" s="30"/>
      <c r="X1239" s="488"/>
      <c r="Y1239" s="545" t="str">
        <f>IF(OR(T1224=TRUE,E1224=""),"",INDEX(EUwideConstants!$N:$N,MATCH(T1239,EUwideConstants!$Q:$Q,0)))</f>
        <v/>
      </c>
      <c r="Z1239" s="546" t="str">
        <f>IF(ISBLANK(F1239),"",IF(F1239=EUconst_NA,"",INDEX(EUwideConstants!$H:$M,MATCH(T1239,EUwideConstants!$Q:$Q,0),MATCH(F1239,CNTR_TierList,0))))</f>
        <v/>
      </c>
      <c r="AA1239" s="580" t="str">
        <f>IF(COUNTIF(EUconst_DefaultValues,Z1239)&gt;0,MATCH(Z1239,EUconst_DefaultValues,0),"")</f>
        <v/>
      </c>
      <c r="AB1239" s="30"/>
      <c r="AC1239" s="548" t="b">
        <f>AND(AC1233,Y1239&lt;&gt;EUconst_NA)</f>
        <v>0</v>
      </c>
      <c r="AD1239" s="30"/>
      <c r="AE1239" s="549" t="str">
        <f>EUconst_CNTR_CarbonContent&amp;EUconst_Unit</f>
        <v>CarbC_Vienetas</v>
      </c>
      <c r="AF1239" s="550" t="str">
        <f>IF(AC1239=TRUE, IF(COUNTIF(MSPara_SourceStreamCategory,V1239)=0,"",INDEX(MSPara_CalcFactorsMatrix,MATCH(V1239,MSPara_SourceStreamCategory,0),MATCH(AE1239&amp;"_"&amp;2,MSPara_CalcFactors,0))),"")</f>
        <v/>
      </c>
      <c r="AG1239" s="551" t="str">
        <f>IF(AC1239=TRUE, IF(COUNTIF(MSPara_SourceStreamCategory,V1239)=0,"",INDEX(MSPara_CalcFactorsMatrix,MATCH(V1239,MSPara_SourceStreamCategory,0),MATCH(AE1239&amp;"_"&amp;1,MSPara_CalcFactors,0))),"")</f>
        <v/>
      </c>
      <c r="AH1239" s="581" t="str">
        <f>IF(AA1239="","",INDEX(AF1239:AG1239,3-AA1239))</f>
        <v/>
      </c>
      <c r="AI1239" s="565"/>
      <c r="AJ1239" s="582" t="str">
        <f>IF(AC1239=TRUE,IF(AJ1233="","",IF(AJ1233=EUconst_kNm3,EUconst_tCpkNm3,EUconst_tCpt)),"")</f>
        <v/>
      </c>
      <c r="AK1239" s="566"/>
      <c r="AL1239" s="333"/>
      <c r="AM1239" s="549" t="str">
        <f>EUconst_CNTR_CarbonContent&amp;EUconst_Value</f>
        <v>CarbC_Vertė</v>
      </c>
      <c r="AN1239" s="555" t="str">
        <f>IF(AC1239=TRUE,IF(COUNTIF(MSPara_SourceStreamCategory,V1239)=0,"",INDEX(MSPara_CalcFactorsMatrix,MATCH(V1239,MSPara_SourceStreamCategory,0),MATCH(AM1239&amp;"_"&amp;2,MSPara_CalcFactors,0))),"")</f>
        <v/>
      </c>
      <c r="AO1239" s="583" t="str">
        <f>IF(AC1239=TRUE,IF(COUNTIF(MSPara_SourceStreamCategory,V1239)=0,"",INDEX(MSPara_CalcFactorsMatrix,MATCH(V1239,MSPara_SourceStreamCategory,0),MATCH(AM1239&amp;"_"&amp;1,MSPara_CalcFactors,0))),"")</f>
        <v/>
      </c>
      <c r="AP1239" s="548" t="b">
        <f>AND(AND(AH1239&lt;&gt;"",AJ1239&lt;&gt;""),AJ1239=AH1239)</f>
        <v>0</v>
      </c>
      <c r="AQ1239" s="584" t="str">
        <f>IF(AND(AA1239&lt;&gt;"",AP1239=TRUE),IF(OR(INDEX(AN1239:AO1239,3-AA1239)=EUconst_NA,INDEX(AN1239:AO1239,3-AA1239)=0),"",INDEX(AN1239:AO1239,3-AA1239)),"")</f>
        <v/>
      </c>
      <c r="AR1239" s="548">
        <f>IF(AC1239=TRUE,IF(COUNT(K1239:L1239)=0,0,IF(L1239="",K1239,L1239)),0)</f>
        <v>0</v>
      </c>
      <c r="AS1239" s="544" t="b">
        <f>AND(AC1239=TRUE,OR(AND(F1239&lt;&gt;"",NOT(ISNUMBER(AA1239))),L1239&lt;&gt;"",F1239="",AQ1239=""))</f>
        <v>0</v>
      </c>
      <c r="AT1239" s="544" t="b">
        <f t="shared" si="303"/>
        <v>0</v>
      </c>
      <c r="AU1239" s="30"/>
      <c r="AV1239" s="558" t="b">
        <f t="shared" si="304"/>
        <v>0</v>
      </c>
      <c r="AW1239" s="559" t="b">
        <f t="shared" si="305"/>
        <v>0</v>
      </c>
      <c r="AX1239" s="537" t="b">
        <f>OR(AND(AJ1233=EUconst_kNm3,AJ1239=EUconst_tCpt),AND(AJ1233=EUconst_t,AJ1239=EUconst_tCpkNm3))</f>
        <v>0</v>
      </c>
      <c r="AY1239" s="544" t="b">
        <f t="shared" si="306"/>
        <v>0</v>
      </c>
      <c r="AZ1239" s="30"/>
      <c r="BA1239" s="30"/>
      <c r="BB1239" s="569" t="s">
        <v>482</v>
      </c>
      <c r="BC1239" s="570">
        <f>AR1233*AR1236/1000*AR1240</f>
        <v>0</v>
      </c>
      <c r="BD1239" s="571">
        <f>BC1239</f>
        <v>0</v>
      </c>
      <c r="BE1239" s="572">
        <f>BC1239</f>
        <v>0</v>
      </c>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544" t="b">
        <f>OR(BZ1233,Y1239=EUconst_NA)</f>
        <v>1</v>
      </c>
    </row>
    <row r="1240" spans="1:78" s="140" customFormat="1" ht="12.75" customHeight="1" x14ac:dyDescent="0.2">
      <c r="A1240" s="777"/>
      <c r="B1240" s="1248"/>
      <c r="C1240" s="753" t="s">
        <v>325</v>
      </c>
      <c r="D1240" s="503" t="str">
        <f>Translations!$B$641</f>
        <v>Biomasės dalis (BioC):</v>
      </c>
      <c r="E1240" s="504"/>
      <c r="F1240" s="539"/>
      <c r="G1240" s="1603" t="str">
        <f t="shared" si="301"/>
        <v/>
      </c>
      <c r="H1240" s="1604"/>
      <c r="I1240" s="1113" t="str">
        <f>IF(OR(AC1240=FALSE,Y1240=EUconst_NA),"","-")</f>
        <v/>
      </c>
      <c r="J1240" s="560"/>
      <c r="K1240" s="561" t="str">
        <f t="shared" si="302"/>
        <v/>
      </c>
      <c r="L1240" s="694"/>
      <c r="M1240" s="700" t="str">
        <f>IF(AND(E1224&lt;&gt;"",OR(F1240="",COUNT(K1240:L1240)=0),Y1240&lt;&gt;EUconst_NA,T1224&lt;&gt;TRUE),EUconst_ERR_Incomplete,IF(COUNTIF(AX1240:AZ1240,TRUE)&gt;0,EUconst_ERR_Inconsistent,""))</f>
        <v/>
      </c>
      <c r="O1240" s="1305"/>
      <c r="P1240" s="635"/>
      <c r="Q1240" s="635"/>
      <c r="R1240" s="635"/>
      <c r="S1240" s="30"/>
      <c r="T1240" s="543" t="str">
        <f>EUconst_CNTR_BiomassContent&amp;E1224</f>
        <v>BioC_</v>
      </c>
      <c r="U1240" s="488"/>
      <c r="V1240" s="585" t="str">
        <f t="shared" si="307"/>
        <v/>
      </c>
      <c r="W1240" s="522" t="str">
        <f>IF(COUNTIF(MSPara_SourceStreamCategory,V1240)=0,"",INDEX(MSPara_IsFossil,MATCH(V1240,MSPara_SourceStreamCategory,0)))</f>
        <v/>
      </c>
      <c r="X1240" s="488"/>
      <c r="Y1240" s="545" t="str">
        <f>IF(OR(T1224=TRUE,E1224=""),"",IF(OR(W1240=TRUE,F1240=EUconst_NA),EUconst_NA,INDEX(EUwideConstants!$N:$N,MATCH(T1240,EUwideConstants!$Q:$Q,0))))</f>
        <v/>
      </c>
      <c r="Z1240" s="546" t="str">
        <f>IF(ISBLANK(F1240),"",IF(F1240=EUconst_NA,"",INDEX(EUwideConstants!$H:$M,MATCH(T1240,EUwideConstants!$Q:$Q,0),MATCH(F1240,CNTR_TierList,0))))</f>
        <v/>
      </c>
      <c r="AA1240" s="586" t="str">
        <f>IF(F1240=1,1,"")</f>
        <v/>
      </c>
      <c r="AB1240" s="30"/>
      <c r="AC1240" s="548" t="b">
        <f>AND(AC1233,Y1240&lt;&gt;EUconst_NA)</f>
        <v>0</v>
      </c>
      <c r="AD1240" s="30"/>
      <c r="AE1240" s="563"/>
      <c r="AG1240" s="564"/>
      <c r="AH1240" s="553"/>
      <c r="AI1240" s="565"/>
      <c r="AJ1240" s="553"/>
      <c r="AK1240" s="566"/>
      <c r="AL1240" s="333"/>
      <c r="AM1240" s="549" t="str">
        <f>EUconst_CNTR_BiomassContent&amp;EUconst_Value</f>
        <v>BioC_Vertė</v>
      </c>
      <c r="AO1240" s="587" t="str">
        <f>IF(AC1240=TRUE,IF(COUNTIF(MSPara_SourceStreamCategory,V1240)=0,"",INDEX(MSPara_CalcFactorsMatrix,MATCH(V1240,MSPara_SourceStreamCategory,0),MATCH(AM1240&amp;"_"&amp;2,MSPara_CalcFactors,0))),"")</f>
        <v/>
      </c>
      <c r="AP1240" s="553"/>
      <c r="AQ1240" s="568" t="str">
        <f>IF(OR(AA1240="",AO1240=EUconst_NA),"",AO1240)</f>
        <v/>
      </c>
      <c r="AR1240" s="548">
        <f>IF(AC1240=TRUE,IF(COUNT(K1240:L1240)=0,0,IF(L1240="",K1240,L1240)),0)</f>
        <v>0</v>
      </c>
      <c r="AS1240" s="544" t="b">
        <f>AND(AC1240=TRUE,OR(AND(F1240&lt;&gt;"",NOT(ISNUMBER(AA1240))),L1240&lt;&gt;"",F1240="",AQ1240=""))</f>
        <v>0</v>
      </c>
      <c r="AT1240" s="544" t="b">
        <f t="shared" si="303"/>
        <v>0</v>
      </c>
      <c r="AU1240" s="30"/>
      <c r="AV1240" s="558" t="b">
        <f t="shared" si="304"/>
        <v>0</v>
      </c>
      <c r="AW1240" s="559" t="b">
        <f t="shared" si="305"/>
        <v>0</v>
      </c>
      <c r="AX1240" s="30"/>
      <c r="AY1240" s="585" t="b">
        <f t="shared" si="306"/>
        <v>0</v>
      </c>
      <c r="AZ1240" s="522" t="b">
        <f>OR(AR1240&gt;100%,(AR1240+AR1241)&gt;100%)</f>
        <v>0</v>
      </c>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544" t="b">
        <f>OR(BZ1233,Y1240=EUconst_NA)</f>
        <v>1</v>
      </c>
    </row>
    <row r="1241" spans="1:78" s="140" customFormat="1" ht="12.75" customHeight="1" thickBot="1" x14ac:dyDescent="0.25">
      <c r="A1241" s="777"/>
      <c r="B1241" s="1248"/>
      <c r="C1241" s="753" t="s">
        <v>448</v>
      </c>
      <c r="D1241" s="503" t="str">
        <f>Translations!$B$647</f>
        <v>Netvarios BioC dalis:</v>
      </c>
      <c r="E1241" s="504"/>
      <c r="F1241" s="588"/>
      <c r="G1241" s="1603" t="str">
        <f t="shared" si="301"/>
        <v/>
      </c>
      <c r="H1241" s="1604"/>
      <c r="I1241" s="1114" t="str">
        <f>IF(OR(AC1241=FALSE,Y1241=EUconst_NA),"","-")</f>
        <v/>
      </c>
      <c r="J1241" s="560"/>
      <c r="K1241" s="589" t="str">
        <f t="shared" si="302"/>
        <v/>
      </c>
      <c r="L1241" s="1100"/>
      <c r="M1241" s="700" t="str">
        <f>IF(AND(E1224&lt;&gt;"",OR(F1241="",COUNT(K1241:L1241)=0),Y1241&lt;&gt;EUconst_NA,T1224&lt;&gt;TRUE),EUconst_ERR_Incomplete,IF(COUNTIF(AX1241:AZ1241,TRUE)&gt;0,EUconst_ERR_Inconsistent,""))</f>
        <v/>
      </c>
      <c r="O1241" s="1305"/>
      <c r="P1241" s="635"/>
      <c r="Q1241" s="635"/>
      <c r="R1241" s="635"/>
      <c r="S1241" s="30"/>
      <c r="T1241" s="590" t="str">
        <f>EUconst_CNTR_BiomassContent&amp;E1224</f>
        <v>BioC_</v>
      </c>
      <c r="U1241" s="488"/>
      <c r="V1241" s="570" t="str">
        <f t="shared" si="307"/>
        <v/>
      </c>
      <c r="W1241" s="571" t="str">
        <f>IF(COUNTIF(MSPara_SourceStreamCategory,V1241)=0,"",INDEX(MSPara_IsFossil,MATCH(V1241,MSPara_SourceStreamCategory,0)))</f>
        <v/>
      </c>
      <c r="X1241" s="488"/>
      <c r="Y1241" s="591" t="str">
        <f>IF(OR(T1224=TRUE,E1224=""),"",IF(OR(W1241=TRUE,F1241=EUconst_NA),EUconst_NA,INDEX(EUwideConstants!$N:$N,MATCH(T1241,EUwideConstants!$Q:$Q,0))))</f>
        <v/>
      </c>
      <c r="Z1241" s="592" t="str">
        <f>IF(ISBLANK(F1241),"",IF(F1241=EUconst_NA,"",INDEX(EUwideConstants!$H:$M,MATCH(T1241,EUwideConstants!$Q:$Q,0),MATCH(F1241,CNTR_TierList,0))))</f>
        <v/>
      </c>
      <c r="AA1241" s="593" t="str">
        <f>IF(F1241=1,1,"")</f>
        <v/>
      </c>
      <c r="AB1241" s="30"/>
      <c r="AC1241" s="594" t="b">
        <f>AND(AC1233,Y1241&lt;&gt;EUconst_NA)</f>
        <v>0</v>
      </c>
      <c r="AD1241" s="30"/>
      <c r="AE1241" s="595"/>
      <c r="AF1241" s="596"/>
      <c r="AG1241" s="597"/>
      <c r="AH1241" s="598"/>
      <c r="AI1241" s="598"/>
      <c r="AJ1241" s="598"/>
      <c r="AK1241" s="599"/>
      <c r="AL1241" s="333"/>
      <c r="AM1241" s="600" t="str">
        <f>EUconst_CNTR_BiomassContent&amp;EUconst_Value</f>
        <v>BioC_Vertė</v>
      </c>
      <c r="AN1241" s="596"/>
      <c r="AO1241" s="601" t="str">
        <f>IF(AC1241=TRUE,IF(COUNTIF(MSPara_SourceStreamCategory,V1241)=0,"",INDEX(MSPara_CalcFactorsMatrix,MATCH(V1241,MSPara_SourceStreamCategory,0),MATCH(AM1241&amp;"_"&amp;2,MSPara_CalcFactors,0))),"")</f>
        <v/>
      </c>
      <c r="AP1241" s="598"/>
      <c r="AQ1241" s="602" t="str">
        <f>IF(OR(AA1241="",AO1241=EUconst_NA),"",AO1241)</f>
        <v/>
      </c>
      <c r="AR1241" s="594">
        <f>IF(AC1241=TRUE,IF(COUNT(K1241:L1241)=0,0,IF(L1241="",K1241,L1241)),0)</f>
        <v>0</v>
      </c>
      <c r="AS1241" s="603" t="b">
        <f>AND(AC1241=TRUE,OR(AND(F1241&lt;&gt;"",NOT(ISNUMBER(AA1241))),L1241&lt;&gt;"",F1241="",AQ1241=""))</f>
        <v>0</v>
      </c>
      <c r="AT1241" s="603" t="b">
        <f t="shared" si="303"/>
        <v>0</v>
      </c>
      <c r="AU1241" s="30"/>
      <c r="AV1241" s="604" t="b">
        <f t="shared" si="304"/>
        <v>0</v>
      </c>
      <c r="AW1241" s="605" t="b">
        <f t="shared" si="305"/>
        <v>0</v>
      </c>
      <c r="AX1241" s="30"/>
      <c r="AY1241" s="570" t="b">
        <f t="shared" si="306"/>
        <v>0</v>
      </c>
      <c r="AZ1241" s="571" t="b">
        <f>OR(AR1240&gt;100%,(AR1240+AR1241)&gt;100%)</f>
        <v>0</v>
      </c>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571" t="b">
        <f>OR(BZ1233,Y1241=EUconst_NA)</f>
        <v>1</v>
      </c>
    </row>
    <row r="1242" spans="1:78" s="140" customFormat="1" ht="5.0999999999999996" customHeight="1" x14ac:dyDescent="0.2">
      <c r="A1242" s="777"/>
      <c r="B1242" s="1248"/>
      <c r="C1242" s="164"/>
      <c r="D1242" s="178"/>
      <c r="O1242" s="1305"/>
      <c r="P1242" s="33"/>
      <c r="Q1242" s="33"/>
      <c r="R1242" s="33"/>
      <c r="S1242" s="172"/>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row>
    <row r="1243" spans="1:78" s="140" customFormat="1" ht="12.75" customHeight="1" x14ac:dyDescent="0.2">
      <c r="A1243" s="777"/>
      <c r="B1243" s="1248"/>
      <c r="C1243" s="164"/>
      <c r="D1243" s="1629" t="str">
        <f>Translations!$B$674</f>
        <v>Pakopos galioja nuo:</v>
      </c>
      <c r="E1243" s="1629"/>
      <c r="F1243" s="1630"/>
      <c r="G1243" s="1014"/>
      <c r="H1243" s="606" t="str">
        <f>Translations!$B$675</f>
        <v>iki:</v>
      </c>
      <c r="I1243" s="1014"/>
      <c r="J1243" s="1620" t="str">
        <f>Translations!$B$676</f>
        <v>Atliekų katalogo numeris (jeigu taikytina):</v>
      </c>
      <c r="K1243" s="1621"/>
      <c r="L1243" s="1621"/>
      <c r="M1243" s="1622"/>
      <c r="N1243" s="1232"/>
      <c r="O1243" s="1305"/>
      <c r="P1243" s="33"/>
      <c r="Q1243" s="33"/>
      <c r="R1243" s="33"/>
      <c r="S1243" s="1233"/>
      <c r="T1243" s="483"/>
      <c r="U1243" s="483"/>
      <c r="V1243" s="48" t="b">
        <f>IF(V1233="",FALSE,INDEX(CNTR_IsWaste,MATCH(V1233,MSParameters!$A$218:$A$376,0)))</f>
        <v>0</v>
      </c>
      <c r="W1243" s="1233" t="s">
        <v>1689</v>
      </c>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2" t="b">
        <f>BZ1233</f>
        <v>1</v>
      </c>
    </row>
    <row r="1244" spans="1:78" s="140" customFormat="1" ht="5.0999999999999996" customHeight="1" x14ac:dyDescent="0.2">
      <c r="A1244" s="777"/>
      <c r="B1244" s="1248"/>
      <c r="C1244" s="164"/>
      <c r="D1244" s="606"/>
      <c r="E1244" s="486"/>
      <c r="F1244" s="486"/>
      <c r="G1244" s="486"/>
      <c r="H1244" s="486"/>
      <c r="I1244" s="486"/>
      <c r="J1244" s="486"/>
      <c r="K1244" s="486"/>
      <c r="L1244" s="486"/>
      <c r="M1244" s="486"/>
      <c r="N1244" s="486"/>
      <c r="O1244" s="1305"/>
      <c r="P1244" s="33"/>
      <c r="Q1244" s="33"/>
      <c r="R1244" s="33"/>
      <c r="S1244" s="172"/>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row>
    <row r="1245" spans="1:78" s="140" customFormat="1" ht="12.75" customHeight="1" x14ac:dyDescent="0.2">
      <c r="A1245" s="777"/>
      <c r="B1245" s="1248"/>
      <c r="C1245" s="164"/>
      <c r="D1245" s="486"/>
      <c r="E1245" s="486"/>
      <c r="F1245" s="486"/>
      <c r="G1245" s="486"/>
      <c r="H1245" s="486"/>
      <c r="I1245" s="486"/>
      <c r="J1245" s="486"/>
      <c r="K1245" s="486"/>
      <c r="L1245" s="486"/>
      <c r="M1245" s="606" t="str">
        <f>Translations!$B$677</f>
        <v>Stebėsenos plane šiam sukėlikliui suteiktas identifikatorius:</v>
      </c>
      <c r="N1245" s="705"/>
      <c r="O1245" s="1305"/>
      <c r="P1245" s="33"/>
      <c r="Q1245" s="33"/>
      <c r="R1245" s="33"/>
      <c r="S1245" s="172"/>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2" t="b">
        <f>BZ1243</f>
        <v>1</v>
      </c>
    </row>
    <row r="1246" spans="1:78" s="140" customFormat="1" ht="5.0999999999999996" customHeight="1" x14ac:dyDescent="0.2">
      <c r="A1246" s="784"/>
      <c r="B1246" s="1316"/>
      <c r="D1246" s="178"/>
      <c r="O1246" s="1317"/>
      <c r="P1246" s="488"/>
      <c r="Q1246" s="488"/>
      <c r="R1246" s="488"/>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row>
    <row r="1247" spans="1:78" s="140" customFormat="1" x14ac:dyDescent="0.2">
      <c r="A1247" s="784"/>
      <c r="B1247" s="1316"/>
      <c r="D1247" s="1618" t="str">
        <f>Translations!$B$160</f>
        <v>Pastabos:</v>
      </c>
      <c r="E1247" s="1619"/>
      <c r="F1247" s="1605"/>
      <c r="G1247" s="1606"/>
      <c r="H1247" s="1606"/>
      <c r="I1247" s="1606"/>
      <c r="J1247" s="1606"/>
      <c r="K1247" s="1606"/>
      <c r="L1247" s="1606"/>
      <c r="M1247" s="1606"/>
      <c r="N1247" s="1607"/>
      <c r="O1247" s="1317"/>
      <c r="P1247" s="488"/>
      <c r="Q1247" s="488"/>
      <c r="R1247" s="488"/>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2" t="b">
        <f>BZ1243</f>
        <v>1</v>
      </c>
    </row>
    <row r="1248" spans="1:78" s="28" customFormat="1" ht="12.75" customHeight="1" thickBot="1" x14ac:dyDescent="0.25">
      <c r="A1248" s="777"/>
      <c r="B1248" s="1312"/>
      <c r="C1248" s="490"/>
      <c r="D1248" s="491"/>
      <c r="E1248" s="492"/>
      <c r="F1248" s="490"/>
      <c r="G1248" s="493"/>
      <c r="H1248" s="493"/>
      <c r="I1248" s="493"/>
      <c r="J1248" s="493"/>
      <c r="K1248" s="493"/>
      <c r="L1248" s="493"/>
      <c r="M1248" s="493"/>
      <c r="N1248" s="493"/>
      <c r="O1248" s="1313"/>
      <c r="P1248" s="485"/>
      <c r="Q1248" s="485"/>
      <c r="R1248" s="485"/>
      <c r="S1248" s="58"/>
      <c r="T1248" s="58"/>
      <c r="U1248" s="489"/>
      <c r="V1248" s="58"/>
      <c r="W1248" s="58"/>
      <c r="X1248" s="489"/>
      <c r="Y1248" s="58"/>
      <c r="Z1248" s="58"/>
      <c r="AA1248" s="58"/>
      <c r="AB1248" s="58"/>
      <c r="AC1248" s="58"/>
      <c r="AD1248" s="58"/>
      <c r="AE1248" s="58"/>
      <c r="AF1248" s="58"/>
      <c r="AG1248" s="58"/>
      <c r="AH1248" s="58"/>
      <c r="AI1248" s="58"/>
      <c r="AJ1248" s="58"/>
      <c r="AK1248" s="58"/>
      <c r="AL1248" s="58"/>
      <c r="AM1248" s="58"/>
      <c r="AN1248" s="58"/>
      <c r="AO1248" s="58"/>
      <c r="AP1248" s="58"/>
      <c r="AQ1248" s="58"/>
      <c r="AR1248" s="58"/>
      <c r="AS1248" s="58"/>
      <c r="AT1248" s="58"/>
      <c r="AU1248" s="58"/>
      <c r="AV1248" s="58"/>
      <c r="AW1248" s="58"/>
      <c r="AX1248" s="58"/>
      <c r="AY1248" s="58"/>
      <c r="AZ1248" s="58"/>
      <c r="BA1248" s="58"/>
      <c r="BB1248" s="58"/>
      <c r="BC1248" s="58"/>
      <c r="BD1248" s="58"/>
      <c r="BE1248" s="58"/>
      <c r="BF1248" s="58"/>
      <c r="BG1248" s="58"/>
      <c r="BH1248" s="58"/>
      <c r="BI1248" s="30"/>
      <c r="BJ1248" s="30"/>
      <c r="BK1248" s="30"/>
      <c r="BL1248" s="58"/>
      <c r="BM1248" s="58"/>
      <c r="BN1248" s="58"/>
      <c r="BO1248" s="58"/>
      <c r="BP1248" s="58"/>
      <c r="BQ1248" s="58"/>
      <c r="BR1248" s="58"/>
      <c r="BS1248" s="58"/>
      <c r="BT1248" s="58"/>
      <c r="BU1248" s="58"/>
      <c r="BV1248" s="58"/>
      <c r="BW1248" s="58"/>
      <c r="BX1248" s="58"/>
      <c r="BY1248" s="58"/>
      <c r="BZ1248" s="58"/>
    </row>
    <row r="1249" spans="1:78" s="28" customFormat="1" ht="12.75" customHeight="1" thickBot="1" x14ac:dyDescent="0.25">
      <c r="A1249" s="782"/>
      <c r="B1249" s="1312"/>
      <c r="C1249" s="486"/>
      <c r="D1249" s="178"/>
      <c r="E1249" s="487"/>
      <c r="F1249" s="486"/>
      <c r="G1249" s="478"/>
      <c r="H1249" s="478"/>
      <c r="I1249" s="478"/>
      <c r="J1249" s="478"/>
      <c r="K1249" s="486"/>
      <c r="L1249" s="478"/>
      <c r="M1249" s="478"/>
      <c r="N1249" s="478"/>
      <c r="O1249" s="1313"/>
      <c r="P1249" s="485"/>
      <c r="Q1249" s="485"/>
      <c r="R1249" s="485"/>
      <c r="S1249" s="23"/>
      <c r="T1249" s="27" t="str">
        <f>IF(ISBLANK(E1250),"",MATCH(E1250,CNTR_SourceStreamNames,0))</f>
        <v/>
      </c>
      <c r="U1249" s="609" t="str">
        <f>IF(ISBLANK(E1250),"",INDEX(B_InstallationDescription!$D$71:$D$145,MATCH(E1250,CNTR_SourceStreamNames,0)))</f>
        <v/>
      </c>
      <c r="V1249" s="76"/>
      <c r="W1249" s="56"/>
      <c r="X1249" s="56"/>
      <c r="Y1249" s="56"/>
      <c r="Z1249" s="58"/>
      <c r="AA1249" s="58"/>
      <c r="AB1249" s="58"/>
      <c r="AC1249" s="58"/>
      <c r="AD1249" s="58"/>
      <c r="AE1249" s="58"/>
      <c r="AF1249" s="58"/>
      <c r="AG1249" s="58"/>
      <c r="AH1249" s="58"/>
      <c r="AI1249" s="58"/>
      <c r="AJ1249" s="58"/>
      <c r="AK1249" s="482"/>
      <c r="AL1249" s="58"/>
      <c r="AM1249" s="58"/>
      <c r="AN1249" s="58"/>
      <c r="AO1249" s="58"/>
      <c r="AP1249" s="58"/>
      <c r="AQ1249" s="58"/>
      <c r="AR1249" s="58"/>
      <c r="AS1249" s="58"/>
      <c r="AT1249" s="58"/>
      <c r="AU1249" s="58"/>
      <c r="AV1249" s="58"/>
      <c r="AW1249" s="58"/>
      <c r="AX1249" s="58"/>
      <c r="AY1249" s="58"/>
      <c r="AZ1249" s="58"/>
      <c r="BA1249" s="58"/>
      <c r="BB1249" s="58"/>
      <c r="BC1249" s="58"/>
      <c r="BD1249" s="58"/>
      <c r="BE1249" s="58"/>
      <c r="BF1249" s="58"/>
      <c r="BG1249" s="58"/>
      <c r="BH1249" s="56"/>
      <c r="BI1249" s="56"/>
      <c r="BJ1249" s="56"/>
      <c r="BK1249" s="56"/>
      <c r="BL1249" s="56"/>
      <c r="BM1249" s="56"/>
      <c r="BN1249" s="56"/>
      <c r="BO1249" s="56"/>
      <c r="BP1249" s="56"/>
      <c r="BQ1249" s="56"/>
      <c r="BR1249" s="56"/>
      <c r="BS1249" s="56"/>
      <c r="BT1249" s="56"/>
      <c r="BU1249" s="56"/>
      <c r="BV1249" s="56"/>
      <c r="BW1249" s="56"/>
      <c r="BX1249" s="56"/>
      <c r="BY1249" s="56"/>
      <c r="BZ1249" s="484" t="s">
        <v>259</v>
      </c>
    </row>
    <row r="1250" spans="1:78" s="140" customFormat="1" ht="15" customHeight="1" thickBot="1" x14ac:dyDescent="0.25">
      <c r="A1250" s="1302" t="str">
        <f>IF(E1250="","","PRINT")</f>
        <v/>
      </c>
      <c r="B1250" s="1248"/>
      <c r="C1250" s="608">
        <f>C1223+1</f>
        <v>45</v>
      </c>
      <c r="D1250" s="164"/>
      <c r="E1250" s="1610"/>
      <c r="F1250" s="1611"/>
      <c r="G1250" s="1611"/>
      <c r="H1250" s="1611"/>
      <c r="I1250" s="1611"/>
      <c r="J1250" s="1612"/>
      <c r="K1250" s="1623" t="str">
        <f>IF(E1251="","",INDEX(EUwideConstants!$F$353:$F$394,MATCH(E1251,EUConst_TierActivityListNames,0)))</f>
        <v/>
      </c>
      <c r="L1250" s="1624"/>
      <c r="M1250" s="494" t="str">
        <f>Translations!$B$665</f>
        <v>CO2, iškastinio kuro kilmės:</v>
      </c>
      <c r="N1250" s="1012" t="str">
        <f>IF(OR(K1250="",T1251=TRUE),"",INDEX(BC1264:BE1264,MATCH(K1250,BC1260:BE1260,0)))</f>
        <v/>
      </c>
      <c r="O1250" s="1314" t="s">
        <v>257</v>
      </c>
      <c r="P1250" s="1303" t="str">
        <f>IF(AND(E1250&lt;&gt;"",COUNTIF(P1251:$P$2089,"PRINT")=0),"PRINT","")</f>
        <v/>
      </c>
      <c r="Q1250" s="343" t="str">
        <f>EUconst_SumCO2 &amp; "_" &amp; K1250</f>
        <v>SUM_CO2_</v>
      </c>
      <c r="R1250" s="485"/>
      <c r="S1250" s="23"/>
      <c r="T1250" s="500" t="s">
        <v>387</v>
      </c>
      <c r="U1250" s="23"/>
      <c r="V1250" s="76"/>
      <c r="W1250" s="56"/>
      <c r="X1250" s="58"/>
      <c r="Y1250" s="58"/>
      <c r="Z1250" s="58"/>
      <c r="AA1250" s="58"/>
      <c r="AB1250" s="58"/>
      <c r="AC1250" s="58"/>
      <c r="AD1250" s="58"/>
      <c r="AE1250" s="58"/>
      <c r="AF1250" s="58"/>
      <c r="AG1250" s="58"/>
      <c r="AH1250" s="58"/>
      <c r="AI1250" s="333"/>
      <c r="AJ1250" s="333"/>
      <c r="AK1250" s="333"/>
      <c r="AL1250" s="333"/>
      <c r="AM1250" s="333"/>
      <c r="AN1250" s="333"/>
      <c r="AO1250" s="333"/>
      <c r="AP1250" s="333"/>
      <c r="AQ1250" s="333"/>
      <c r="AR1250" s="333"/>
      <c r="AS1250" s="333"/>
      <c r="AT1250" s="333"/>
      <c r="AU1250" s="333"/>
      <c r="AV1250" s="333"/>
      <c r="AW1250" s="333"/>
      <c r="AX1250" s="333"/>
      <c r="AY1250" s="333"/>
      <c r="AZ1250" s="333"/>
      <c r="BA1250" s="333"/>
      <c r="BB1250" s="333"/>
      <c r="BC1250" s="333"/>
      <c r="BD1250" s="333"/>
      <c r="BE1250" s="333"/>
      <c r="BF1250" s="333"/>
      <c r="BG1250" s="333"/>
      <c r="BH1250" s="834">
        <f>AR1260</f>
        <v>0</v>
      </c>
      <c r="BI1250" s="834" t="str">
        <f>AJ1260</f>
        <v/>
      </c>
      <c r="BJ1250" s="834">
        <f>AR1262</f>
        <v>0</v>
      </c>
      <c r="BK1250" s="834" t="str">
        <f>AJ1262</f>
        <v/>
      </c>
      <c r="BL1250" s="834">
        <f>AR1263</f>
        <v>0</v>
      </c>
      <c r="BM1250" s="834" t="str">
        <f>AJ1263</f>
        <v/>
      </c>
      <c r="BN1250" s="834">
        <f>AR1264</f>
        <v>1</v>
      </c>
      <c r="BO1250" s="834">
        <f>AR1265</f>
        <v>1</v>
      </c>
      <c r="BP1250" s="834">
        <f>AR1266</f>
        <v>0</v>
      </c>
      <c r="BQ1250" s="834" t="str">
        <f>AJ1266</f>
        <v/>
      </c>
      <c r="BR1250" s="834">
        <f>AR1267</f>
        <v>0</v>
      </c>
      <c r="BS1250" s="834">
        <f>AR1268</f>
        <v>0</v>
      </c>
      <c r="BT1250" s="834" t="str">
        <f>N1250</f>
        <v/>
      </c>
      <c r="BU1250" s="834" t="str">
        <f>N1251</f>
        <v/>
      </c>
      <c r="BV1250" s="834" t="str">
        <f>R1253</f>
        <v/>
      </c>
      <c r="BW1250" s="834" t="str">
        <f>R1259</f>
        <v/>
      </c>
      <c r="BX1250" s="834" t="str">
        <f>R1260</f>
        <v/>
      </c>
      <c r="BY1250" s="56"/>
      <c r="BZ1250" s="610" t="b">
        <f>CNTR_CalcRelevant=EUconst_NotRelevant</f>
        <v>0</v>
      </c>
    </row>
    <row r="1251" spans="1:78" s="140" customFormat="1" ht="15" customHeight="1" thickBot="1" x14ac:dyDescent="0.25">
      <c r="A1251" s="777"/>
      <c r="B1251" s="1248"/>
      <c r="C1251" s="164"/>
      <c r="D1251" s="164"/>
      <c r="E1251" s="1625" t="str">
        <f>IF(ISBLANK(E1250),"",IF(INDEX(B_InstallationDescription!$E$71:$E$145,MATCH(U1249,B_InstallationDescription!$D$71:$D$145,0))&gt;0,INDEX(B_InstallationDescription!$E$71:$E$145,MATCH(U1249,B_InstallationDescription!$D$71:$D$145,0)),""))</f>
        <v/>
      </c>
      <c r="F1251" s="1626"/>
      <c r="G1251" s="1626"/>
      <c r="H1251" s="1626"/>
      <c r="I1251" s="1626"/>
      <c r="J1251" s="1627"/>
      <c r="M1251" s="337" t="str">
        <f>Translations!$B$666</f>
        <v>CO2, biomasės kilmės.:</v>
      </c>
      <c r="N1251" s="1013" t="str">
        <f>IF(OR(K1250="",T1251=TRUE),"",INDEX(BC1263:BE1263,MATCH(K1250,BC1260:BE1260,0)))</f>
        <v/>
      </c>
      <c r="O1251" s="1315" t="s">
        <v>257</v>
      </c>
      <c r="P1251" s="485"/>
      <c r="Q1251" s="343" t="str">
        <f>EUconst_SumBioCO2 &amp; "_" &amp; K1250</f>
        <v>SUM_bioCO2_</v>
      </c>
      <c r="R1251" s="485"/>
      <c r="S1251" s="23"/>
      <c r="T1251" s="48" t="str">
        <f>IF(E1251="","",MATCH(E1251,EUConst_TierActivityListNames,0)&gt;40)</f>
        <v/>
      </c>
      <c r="U1251" s="23"/>
      <c r="V1251" s="76"/>
      <c r="W1251" s="56"/>
      <c r="X1251" s="58"/>
      <c r="Y1251" s="27" t="s">
        <v>91</v>
      </c>
      <c r="Z1251" s="30"/>
      <c r="AA1251" s="30"/>
      <c r="AB1251" s="30"/>
      <c r="AC1251" s="30"/>
      <c r="AD1251" s="30"/>
      <c r="AE1251" s="27" t="s">
        <v>297</v>
      </c>
      <c r="AF1251" s="58"/>
      <c r="AG1251" s="495"/>
      <c r="AH1251" s="30"/>
      <c r="AI1251" s="30"/>
      <c r="AJ1251" s="495"/>
      <c r="AK1251" s="495"/>
      <c r="AL1251" s="333"/>
      <c r="AM1251" s="27" t="s">
        <v>303</v>
      </c>
      <c r="AN1251" s="496"/>
      <c r="AO1251" s="496"/>
      <c r="AP1251" s="30"/>
      <c r="AQ1251" s="30"/>
      <c r="AR1251" s="30"/>
      <c r="AS1251" s="30"/>
      <c r="AT1251" s="30"/>
      <c r="AU1251" s="30"/>
      <c r="AV1251" s="27" t="s">
        <v>310</v>
      </c>
      <c r="AW1251" s="30"/>
      <c r="AX1251" s="483"/>
      <c r="AY1251" s="30"/>
      <c r="AZ1251" s="30"/>
      <c r="BA1251" s="30"/>
      <c r="BB1251" s="27" t="s">
        <v>217</v>
      </c>
      <c r="BC1251" s="30"/>
      <c r="BD1251" s="30"/>
      <c r="BE1251" s="30"/>
      <c r="BF1251" s="30"/>
      <c r="BG1251" s="27" t="s">
        <v>486</v>
      </c>
      <c r="BH1251" s="833" t="s">
        <v>552</v>
      </c>
      <c r="BI1251" s="833" t="s">
        <v>487</v>
      </c>
      <c r="BJ1251" s="833" t="s">
        <v>211</v>
      </c>
      <c r="BK1251" s="833" t="s">
        <v>488</v>
      </c>
      <c r="BL1251" s="833" t="s">
        <v>68</v>
      </c>
      <c r="BM1251" s="833" t="s">
        <v>489</v>
      </c>
      <c r="BN1251" s="833" t="s">
        <v>490</v>
      </c>
      <c r="BO1251" s="833" t="s">
        <v>491</v>
      </c>
      <c r="BP1251" s="833" t="s">
        <v>214</v>
      </c>
      <c r="BQ1251" s="833" t="s">
        <v>492</v>
      </c>
      <c r="BR1251" s="833" t="s">
        <v>493</v>
      </c>
      <c r="BS1251" s="833" t="s">
        <v>494</v>
      </c>
      <c r="BT1251" s="833" t="s">
        <v>287</v>
      </c>
      <c r="BU1251" s="833" t="s">
        <v>495</v>
      </c>
      <c r="BV1251" s="833" t="s">
        <v>498</v>
      </c>
      <c r="BW1251" s="833" t="s">
        <v>496</v>
      </c>
      <c r="BX1251" s="833" t="s">
        <v>497</v>
      </c>
      <c r="BY1251" s="30"/>
      <c r="BZ1251" s="30"/>
    </row>
    <row r="1252" spans="1:78" s="140" customFormat="1" ht="5.0999999999999996" customHeight="1" thickBot="1" x14ac:dyDescent="0.25">
      <c r="A1252" s="777"/>
      <c r="B1252" s="1248"/>
      <c r="C1252" s="164"/>
      <c r="D1252" s="164"/>
      <c r="E1252" s="164"/>
      <c r="F1252" s="164"/>
      <c r="G1252" s="164"/>
      <c r="M1252" s="141"/>
      <c r="N1252" s="141"/>
      <c r="O1252" s="1305"/>
      <c r="P1252" s="33"/>
      <c r="Q1252" s="33"/>
      <c r="R1252" s="33"/>
      <c r="S1252" s="23"/>
      <c r="T1252" s="23"/>
      <c r="U1252" s="23"/>
      <c r="V1252" s="76"/>
      <c r="W1252" s="30"/>
      <c r="X1252" s="30"/>
      <c r="Y1252" s="485"/>
      <c r="Z1252" s="30"/>
      <c r="AA1252" s="30"/>
      <c r="AB1252" s="30"/>
      <c r="AC1252" s="30"/>
      <c r="AD1252" s="30"/>
      <c r="AE1252" s="30"/>
      <c r="AF1252" s="58"/>
      <c r="AG1252" s="30"/>
      <c r="AH1252" s="30"/>
      <c r="AI1252" s="30"/>
      <c r="AJ1252" s="495"/>
      <c r="AK1252" s="495"/>
      <c r="AL1252" s="333"/>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row>
    <row r="1253" spans="1:78" s="140" customFormat="1" ht="12.75" customHeight="1" thickBot="1" x14ac:dyDescent="0.25">
      <c r="A1253" s="777"/>
      <c r="B1253" s="1248"/>
      <c r="C1253" s="164"/>
      <c r="D1253" s="164"/>
      <c r="E1253" s="1628" t="str">
        <f>IF(E1250="","",IF(T1251=TRUE,HYPERLINK("#JUMP_14",EUconst_MsgGoOnPFC),HYPERLINK("#JUMP_E_8",EUconst_FurtherGuidancePoint1)))</f>
        <v/>
      </c>
      <c r="F1253" s="1628"/>
      <c r="G1253" s="1628"/>
      <c r="H1253" s="1628"/>
      <c r="I1253" s="1628"/>
      <c r="J1253" s="1628"/>
      <c r="K1253" s="1628"/>
      <c r="L1253" s="1628"/>
      <c r="M1253" s="1628"/>
      <c r="N1253" s="141"/>
      <c r="O1253" s="1305"/>
      <c r="P1253" s="33"/>
      <c r="Q1253" s="343" t="str">
        <f>EUconst_SumNonSustBioCO2 &amp; "_" &amp; K1250</f>
        <v>SUM_bioNonSustCO2_</v>
      </c>
      <c r="R1253" s="698" t="str">
        <f>IF(OR(K1250="",T1251=TRUE),"",ROUND(INDEX(BC1262:BE1262,MATCH(K1250,BC1260:BE1260,0)),0))</f>
        <v/>
      </c>
      <c r="S1253" s="23"/>
      <c r="T1253" s="23"/>
      <c r="U1253" s="23"/>
      <c r="V1253" s="30"/>
      <c r="W1253" s="30"/>
      <c r="X1253" s="30"/>
      <c r="Y1253" s="58"/>
      <c r="Z1253" s="30"/>
      <c r="AA1253" s="30"/>
      <c r="AB1253" s="30"/>
      <c r="AC1253" s="30"/>
      <c r="AD1253" s="30"/>
      <c r="AE1253" s="30"/>
      <c r="AF1253" s="58"/>
      <c r="AG1253" s="30"/>
      <c r="AH1253" s="30"/>
      <c r="AI1253" s="30"/>
      <c r="AJ1253" s="495"/>
      <c r="AK1253" s="495"/>
      <c r="AL1253" s="333"/>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row>
    <row r="1254" spans="1:78" s="140" customFormat="1" ht="5.0999999999999996" customHeight="1" thickBot="1" x14ac:dyDescent="0.25">
      <c r="A1254" s="777"/>
      <c r="B1254" s="1248"/>
      <c r="C1254" s="164"/>
      <c r="D1254" s="164"/>
      <c r="E1254" s="164"/>
      <c r="F1254" s="164"/>
      <c r="G1254" s="164"/>
      <c r="M1254" s="141"/>
      <c r="N1254" s="141"/>
      <c r="O1254" s="1305"/>
      <c r="P1254" s="23"/>
      <c r="Q1254" s="23"/>
      <c r="R1254" s="23"/>
      <c r="S1254" s="23"/>
      <c r="T1254" s="23"/>
      <c r="U1254" s="23"/>
      <c r="V1254" s="30"/>
      <c r="W1254" s="30"/>
      <c r="X1254" s="30"/>
      <c r="Y1254" s="485"/>
      <c r="Z1254" s="30"/>
      <c r="AA1254" s="30"/>
      <c r="AB1254" s="30"/>
      <c r="AC1254" s="30"/>
      <c r="AD1254" s="30"/>
      <c r="AE1254" s="30"/>
      <c r="AF1254" s="58"/>
      <c r="AG1254" s="30"/>
      <c r="AH1254" s="30"/>
      <c r="AI1254" s="30"/>
      <c r="AJ1254" s="495"/>
      <c r="AK1254" s="495"/>
      <c r="AL1254" s="333"/>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row>
    <row r="1255" spans="1:78" s="140" customFormat="1" ht="12.75" customHeight="1" thickBot="1" x14ac:dyDescent="0.25">
      <c r="A1255" s="777"/>
      <c r="B1255" s="1248"/>
      <c r="C1255" s="783" t="s">
        <v>4</v>
      </c>
      <c r="D1255" s="503" t="str">
        <f>Translations!$B$622</f>
        <v>VD:</v>
      </c>
      <c r="E1255" s="1631" t="str">
        <f>Translations!$B$667</f>
        <v>Ar veiklos duomenys gaunami sudedant išmatuotus kiekius (t. y. ne atliekant nuolatinius matavimus)?</v>
      </c>
      <c r="F1255" s="1631"/>
      <c r="G1255" s="1631"/>
      <c r="H1255" s="1631"/>
      <c r="I1255" s="1631"/>
      <c r="J1255" s="1631"/>
      <c r="K1255" s="1631"/>
      <c r="L1255" s="1122"/>
      <c r="M1255" s="498"/>
      <c r="O1255" s="1305"/>
      <c r="P1255" s="23"/>
      <c r="Q1255" s="23"/>
      <c r="R1255" s="23"/>
      <c r="S1255" s="23"/>
      <c r="T1255" s="23"/>
      <c r="U1255" s="23"/>
      <c r="V1255" s="30"/>
      <c r="W1255" s="30"/>
      <c r="X1255" s="30"/>
      <c r="Y1255" s="485"/>
      <c r="Z1255" s="30"/>
      <c r="AA1255" s="30"/>
      <c r="AB1255" s="30"/>
      <c r="AC1255" s="1115" t="b">
        <f>AND(E1250&lt;&gt;"",T1251&lt;&gt;TRUE)</f>
        <v>0</v>
      </c>
      <c r="AD1255" s="30"/>
      <c r="AE1255" s="30"/>
      <c r="AF1255" s="58"/>
      <c r="AG1255" s="30"/>
      <c r="AH1255" s="30"/>
      <c r="AI1255" s="30"/>
      <c r="AJ1255" s="495"/>
      <c r="AK1255" s="495"/>
      <c r="AL1255" s="333"/>
      <c r="AM1255" s="30"/>
      <c r="AN1255" s="30"/>
      <c r="AO1255" s="30"/>
      <c r="AP1255" s="30"/>
      <c r="AQ1255" s="30"/>
      <c r="AR1255" s="30"/>
      <c r="AS1255" s="30"/>
      <c r="AT1255" s="1115" t="b">
        <f>MSPara_BatchReportingMandatory&lt;&gt;TRUE</f>
        <v>0</v>
      </c>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1115" t="b">
        <f>OR(CNTR_CalcRelevant=EUconst_NotRelevant,AND(COUNTA(CNTR_ListRelevantSections)&gt;0,OR(T1251=TRUE,E1250="")))</f>
        <v>1</v>
      </c>
    </row>
    <row r="1256" spans="1:78" s="140" customFormat="1" ht="5.0999999999999996" customHeight="1" thickBot="1" x14ac:dyDescent="0.25">
      <c r="A1256" s="777"/>
      <c r="B1256" s="1248"/>
      <c r="C1256" s="164"/>
      <c r="D1256" s="164"/>
      <c r="E1256" s="164"/>
      <c r="F1256" s="164"/>
      <c r="G1256" s="164"/>
      <c r="H1256" s="486"/>
      <c r="I1256" s="486"/>
      <c r="J1256" s="486"/>
      <c r="K1256" s="486"/>
      <c r="L1256" s="486"/>
      <c r="M1256" s="498"/>
      <c r="O1256" s="1305"/>
      <c r="P1256" s="23"/>
      <c r="Q1256" s="23"/>
      <c r="R1256" s="23"/>
      <c r="S1256" s="23"/>
      <c r="T1256" s="23"/>
      <c r="U1256" s="23"/>
      <c r="V1256" s="30"/>
      <c r="W1256" s="30"/>
      <c r="X1256" s="30"/>
      <c r="Y1256" s="485"/>
      <c r="Z1256" s="30"/>
      <c r="AA1256" s="30"/>
      <c r="AB1256" s="30"/>
      <c r="AC1256" s="483"/>
      <c r="AD1256" s="30"/>
      <c r="AE1256" s="30"/>
      <c r="AF1256" s="58"/>
      <c r="AG1256" s="30"/>
      <c r="AH1256" s="30"/>
      <c r="AI1256" s="30"/>
      <c r="AJ1256" s="495"/>
      <c r="AK1256" s="495"/>
      <c r="AL1256" s="333"/>
      <c r="AM1256" s="30"/>
      <c r="AN1256" s="30"/>
      <c r="AO1256" s="30"/>
      <c r="AP1256" s="30"/>
      <c r="AQ1256" s="30"/>
      <c r="AR1256" s="30"/>
      <c r="AS1256" s="30"/>
      <c r="AT1256" s="483"/>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483"/>
    </row>
    <row r="1257" spans="1:78" s="140" customFormat="1" ht="12.75" customHeight="1" thickBot="1" x14ac:dyDescent="0.25">
      <c r="A1257" s="777"/>
      <c r="B1257" s="1248"/>
      <c r="C1257" s="783" t="s">
        <v>5</v>
      </c>
      <c r="D1257" s="503" t="str">
        <f>Translations!$B$622</f>
        <v>VD:</v>
      </c>
      <c r="E1257" s="1105" t="str">
        <f>Translations!$B$668</f>
        <v>Pradinis kiekis:</v>
      </c>
      <c r="F1257" s="1123"/>
      <c r="G1257" s="1106" t="str">
        <f>Translations!$B$669</f>
        <v>Galutinis kiekis:</v>
      </c>
      <c r="H1257" s="1123"/>
      <c r="I1257" s="1106" t="str">
        <f>Translations!$B$670</f>
        <v>Įsigytas kiekis:</v>
      </c>
      <c r="J1257" s="1123"/>
      <c r="K1257" s="1106" t="str">
        <f>Translations!$B$671</f>
        <v>Perduotas kiekis:</v>
      </c>
      <c r="L1257" s="1123"/>
      <c r="M1257" s="1107" t="str">
        <f>IF(AND(L1255=TRUE,COUNT(F1257,H1257,J1257,L1257)&lt;4),EUconst_ERR_Incomplete,"")</f>
        <v/>
      </c>
      <c r="O1257" s="1305"/>
      <c r="P1257" s="23"/>
      <c r="Q1257" s="23"/>
      <c r="R1257" s="23"/>
      <c r="S1257" s="23"/>
      <c r="T1257" s="23"/>
      <c r="U1257" s="23"/>
      <c r="V1257" s="30"/>
      <c r="W1257" s="30"/>
      <c r="X1257" s="30"/>
      <c r="Y1257" s="485"/>
      <c r="Z1257" s="30"/>
      <c r="AA1257" s="30"/>
      <c r="AB1257" s="30"/>
      <c r="AC1257" s="1115" t="b">
        <f>AC1255</f>
        <v>0</v>
      </c>
      <c r="AD1257" s="30"/>
      <c r="AE1257" s="30"/>
      <c r="AF1257" s="58"/>
      <c r="AG1257" s="30"/>
      <c r="AH1257" s="30"/>
      <c r="AI1257" s="30"/>
      <c r="AJ1257" s="495"/>
      <c r="AK1257" s="495"/>
      <c r="AL1257" s="333"/>
      <c r="AM1257" s="30"/>
      <c r="AN1257" s="30"/>
      <c r="AO1257" s="30"/>
      <c r="AP1257" s="30"/>
      <c r="AQ1257" s="30"/>
      <c r="AR1257" s="30"/>
      <c r="AS1257" s="30"/>
      <c r="AT1257" s="1115" t="b">
        <f>AND(AT1255=TRUE,L1255="")</f>
        <v>0</v>
      </c>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1115" t="b">
        <f>OR(BZ1255,AND(NOT(ISBLANK(L1255)),L1255=FALSE))</f>
        <v>1</v>
      </c>
    </row>
    <row r="1258" spans="1:78" s="140" customFormat="1" ht="5.0999999999999996" customHeight="1" thickBot="1" x14ac:dyDescent="0.25">
      <c r="A1258" s="777"/>
      <c r="B1258" s="1248"/>
      <c r="C1258" s="164"/>
      <c r="D1258" s="164"/>
      <c r="E1258" s="164"/>
      <c r="F1258" s="164"/>
      <c r="G1258" s="164"/>
      <c r="M1258" s="141"/>
      <c r="N1258" s="141"/>
      <c r="O1258" s="1305"/>
      <c r="P1258" s="23"/>
      <c r="Q1258" s="23"/>
      <c r="R1258" s="23"/>
      <c r="S1258" s="23"/>
      <c r="T1258" s="23"/>
      <c r="U1258" s="23"/>
      <c r="V1258" s="30"/>
      <c r="W1258" s="30"/>
      <c r="X1258" s="30"/>
      <c r="Y1258" s="485"/>
      <c r="Z1258" s="30"/>
      <c r="AA1258" s="30"/>
      <c r="AB1258" s="30"/>
      <c r="AC1258" s="30"/>
      <c r="AD1258" s="30"/>
      <c r="AE1258" s="30"/>
      <c r="AF1258" s="58"/>
      <c r="AG1258" s="30"/>
      <c r="AH1258" s="30"/>
      <c r="AI1258" s="30"/>
      <c r="AJ1258" s="495"/>
      <c r="AK1258" s="495"/>
      <c r="AL1258" s="333"/>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row>
    <row r="1259" spans="1:78" s="140" customFormat="1" ht="12.75" customHeight="1" thickBot="1" x14ac:dyDescent="0.25">
      <c r="A1259" s="777"/>
      <c r="B1259" s="1248"/>
      <c r="C1259" s="164"/>
      <c r="D1259" s="164"/>
      <c r="E1259" s="164"/>
      <c r="F1259" s="497" t="str">
        <f>Translations!$B$333</f>
        <v>Pakopa</v>
      </c>
      <c r="G1259" s="1613" t="str">
        <f>Translations!$B$672</f>
        <v>pakopos aprašas</v>
      </c>
      <c r="H1259" s="1613"/>
      <c r="I1259" s="1608" t="str">
        <f>Translations!$B$158</f>
        <v>Vienetas</v>
      </c>
      <c r="J1259" s="1608"/>
      <c r="K1259" s="1608" t="str">
        <f>Translations!$B$673</f>
        <v>Vertė</v>
      </c>
      <c r="L1259" s="1608"/>
      <c r="M1259" s="498" t="str">
        <f>Translations!$B$610</f>
        <v>klaida</v>
      </c>
      <c r="O1259" s="1305"/>
      <c r="P1259" s="499"/>
      <c r="Q1259" s="343" t="str">
        <f>EUconst_SumEnergyIN &amp; "_" &amp; K1250</f>
        <v>SUM_EnergyIN_</v>
      </c>
      <c r="R1259" s="390" t="str">
        <f>IF(OR(K1250="",T1251)=TRUE,"",INDEX(BC1265:BE1265,MATCH(K1250,BC1260:BE1260,0)))</f>
        <v/>
      </c>
      <c r="S1259" s="30"/>
      <c r="T1259" s="480"/>
      <c r="U1259" s="30"/>
      <c r="V1259" s="500" t="s">
        <v>298</v>
      </c>
      <c r="W1259" s="30"/>
      <c r="X1259" s="30"/>
      <c r="Y1259" s="485" t="s">
        <v>560</v>
      </c>
      <c r="Z1259" s="485" t="s">
        <v>313</v>
      </c>
      <c r="AA1259" s="30"/>
      <c r="AB1259" s="30"/>
      <c r="AC1259" s="496" t="s">
        <v>304</v>
      </c>
      <c r="AD1259" s="30"/>
      <c r="AE1259" s="30"/>
      <c r="AF1259" s="483" t="s">
        <v>300</v>
      </c>
      <c r="AG1259" s="483" t="s">
        <v>301</v>
      </c>
      <c r="AH1259" s="485" t="s">
        <v>299</v>
      </c>
      <c r="AI1259" s="495" t="s">
        <v>302</v>
      </c>
      <c r="AJ1259" s="495" t="s">
        <v>561</v>
      </c>
      <c r="AK1259" s="501" t="s">
        <v>306</v>
      </c>
      <c r="AL1259" s="333"/>
      <c r="AM1259" s="30"/>
      <c r="AN1259" s="483" t="s">
        <v>300</v>
      </c>
      <c r="AO1259" s="483" t="s">
        <v>301</v>
      </c>
      <c r="AP1259" s="502" t="s">
        <v>305</v>
      </c>
      <c r="AQ1259" s="495" t="s">
        <v>563</v>
      </c>
      <c r="AR1259" s="495" t="s">
        <v>562</v>
      </c>
      <c r="AS1259" s="501" t="s">
        <v>599</v>
      </c>
      <c r="AT1259" s="501" t="s">
        <v>599</v>
      </c>
      <c r="AU1259" s="30"/>
      <c r="AV1259" s="483"/>
      <c r="AW1259" s="483"/>
      <c r="AX1259" s="483" t="s">
        <v>316</v>
      </c>
      <c r="AY1259" s="483"/>
      <c r="AZ1259" s="483"/>
      <c r="BA1259" s="483"/>
      <c r="BB1259" s="483"/>
      <c r="BC1259" s="483"/>
      <c r="BD1259" s="483"/>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484" t="s">
        <v>259</v>
      </c>
    </row>
    <row r="1260" spans="1:78" s="140" customFormat="1" ht="12.75" customHeight="1" thickBot="1" x14ac:dyDescent="0.25">
      <c r="A1260" s="777"/>
      <c r="B1260" s="1248"/>
      <c r="C1260" s="753" t="s">
        <v>194</v>
      </c>
      <c r="D1260" s="503" t="str">
        <f>Translations!$B$622</f>
        <v>VD:</v>
      </c>
      <c r="E1260" s="504"/>
      <c r="F1260" s="393"/>
      <c r="G1260" s="1603" t="str">
        <f>IF(OR(ISBLANK(F1260),F1260=EUconst_NoTier),"",IF(Z1260=0,EUconst_NA,IF(ISERROR(Z1260),"",Z1260)))</f>
        <v/>
      </c>
      <c r="H1260" s="1604"/>
      <c r="I1260" s="1108" t="str">
        <f>IF(J1260&lt;&gt;"","",AI1260)</f>
        <v/>
      </c>
      <c r="J1260" s="1109"/>
      <c r="K1260" s="1116" t="str">
        <f>IF(L1260="",AQ1260,"")</f>
        <v/>
      </c>
      <c r="L1260" s="1199"/>
      <c r="M1260" s="700" t="str">
        <f>IF(AND(E1251&lt;&gt;"",OR(F1260="",COUNT(K1260:L1260)=0),Y1260&lt;&gt;EUconst_NA,T1251&lt;&gt;TRUE),EUconst_ERR_Incomplete,IF(COUNTIF(AX1260:AZ1260,TRUE)&gt;0,EUconst_ERR_Inconsistent,""))</f>
        <v/>
      </c>
      <c r="O1260" s="1305"/>
      <c r="P1260" s="635"/>
      <c r="Q1260" s="343" t="str">
        <f>EUconst_SumBioEnergyIN &amp; "_" &amp; K1250</f>
        <v>SUM_BioEnergyIN_</v>
      </c>
      <c r="R1260" s="390" t="str">
        <f>IF(OR(K1250="",T1251)=TRUE,"",INDEX(BC1266:BE1266,MATCH(K1250,BC1260:BE1260,0)))</f>
        <v/>
      </c>
      <c r="S1260" s="30"/>
      <c r="T1260" s="505" t="str">
        <f>EUconst_CNTR_ActivityData&amp;E1251</f>
        <v>ActivityData_</v>
      </c>
      <c r="U1260" s="488"/>
      <c r="V1260" s="505" t="str">
        <f>IF(E1250="","",INDEX(B_InstallationDescription!$I$71:$I$145,MATCH(U1249,B_InstallationDescription!$D$71:$D$145,0)))</f>
        <v/>
      </c>
      <c r="W1260" s="495" t="s">
        <v>533</v>
      </c>
      <c r="X1260" s="488"/>
      <c r="Y1260" s="506" t="str">
        <f>IF(OR(T1251=TRUE,E1251=""),"",INDEX(EUwideConstants!$N:$N,MATCH(T1260,EUwideConstants!$Q:$Q,0)))</f>
        <v/>
      </c>
      <c r="Z1260" s="507" t="str">
        <f>IF(ISBLANK(F1260),"",IF(F1260=EUconst_NA,"",INDEX(EUwideConstants!$H:$M,MATCH(T1260,EUwideConstants!$Q:$Q,0),MATCH(F1260,CNTR_TierList,0))))</f>
        <v/>
      </c>
      <c r="AA1260" s="508" t="s">
        <v>299</v>
      </c>
      <c r="AB1260" s="495"/>
      <c r="AC1260" s="509" t="b">
        <f>AC1255</f>
        <v>0</v>
      </c>
      <c r="AD1260" s="30"/>
      <c r="AE1260" s="510" t="str">
        <f>EUconst_CNTR_ActivityData&amp;EUconst_Unit</f>
        <v>ActivityData_Vienetas</v>
      </c>
      <c r="AF1260" s="511" t="str">
        <f>IF(AC1260=TRUE, IF(COUNTIF(MSPara_SourceStreamCategory,V1260)=0,"",INDEX(MSPara_CalcFactorsMatrix,MATCH(V1260,MSPara_SourceStreamCategory,0),MATCH(AE1260&amp;"_"&amp;2,MSPara_CalcFactors,0))),"")</f>
        <v/>
      </c>
      <c r="AG1260" s="512" t="str">
        <f>IF(AC1260=TRUE, IF(COUNTIF(MSPara_SourceStreamCategory,V1260)=0,"",INDEX(MSPara_CalcFactorsMatrix,MATCH(V1260,MSPara_SourceStreamCategory,0),MATCH(AE1260&amp;"_"&amp;1,MSPara_CalcFactors,0))),"")</f>
        <v/>
      </c>
      <c r="AH1260" s="509" t="str">
        <f>IF(OR(AF1260="",AF1260=EUconst_NA),IF(OR(AG1260=EUconst_NA,AG1260=""),"",AG1260),AF1260)</f>
        <v/>
      </c>
      <c r="AI1260" s="506" t="str">
        <f>IF(AC1260=TRUE,IF(AH1260="",EUconst_t,AH1260),"")</f>
        <v/>
      </c>
      <c r="AJ1260" s="513" t="str">
        <f>IF(J1260="",AI1260,J1260)</f>
        <v/>
      </c>
      <c r="AK1260" s="514" t="b">
        <f>IF(K1250=EUconst_Fuel,J1260&lt;&gt;"",FALSE)</f>
        <v>0</v>
      </c>
      <c r="AL1260" s="333"/>
      <c r="AM1260" s="505" t="str">
        <f>EUconst_CNTR_ActivityData&amp;EUconst_Value</f>
        <v>ActivityData_Vertė</v>
      </c>
      <c r="AN1260" s="496"/>
      <c r="AO1260" s="496"/>
      <c r="AP1260" s="509" t="b">
        <f>AND(AND(AH1260&lt;&gt;"",AJ1260&lt;&gt;""),AJ1260=AH1260)</f>
        <v>0</v>
      </c>
      <c r="AQ1260" s="610" t="str">
        <f>IF(L1255=TRUE,SUM(F1257)-SUM(H1257)+SUM(J1257)-SUM(L1257),"")</f>
        <v/>
      </c>
      <c r="AR1260" s="509">
        <f>IF(Y1260=EUconst_NA,0,IF(COUNT(K1260:L1260)=0,0,IF(L1260="",K1260,L1260)))</f>
        <v>0</v>
      </c>
      <c r="AS1260" s="1115" t="b">
        <f>AND(AC1260=TRUE,OR(L1260&lt;&gt;"",AQ1260=""))</f>
        <v>0</v>
      </c>
      <c r="AT1260" s="1115" t="b">
        <f>AND(AC1260=TRUE,NOT(AS1260))</f>
        <v>0</v>
      </c>
      <c r="AU1260" s="30"/>
      <c r="AV1260" s="483" t="s">
        <v>309</v>
      </c>
      <c r="AW1260" s="483" t="s">
        <v>314</v>
      </c>
      <c r="AX1260" s="515"/>
      <c r="AY1260" s="30" t="s">
        <v>536</v>
      </c>
      <c r="AZ1260" s="30"/>
      <c r="BA1260" s="30"/>
      <c r="BB1260" s="495"/>
      <c r="BC1260" s="484" t="str">
        <f>EUconst_Fuel</f>
        <v>Degimas</v>
      </c>
      <c r="BD1260" s="484" t="str">
        <f>EUconst_ProcessCarbonate</f>
        <v>Proceso metu išsiskiriančios ŠESD</v>
      </c>
      <c r="BE1260" s="484" t="str">
        <f>EUconst_MassBalance</f>
        <v>Masės balansas</v>
      </c>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515" t="b">
        <f>BZ1255</f>
        <v>1</v>
      </c>
    </row>
    <row r="1261" spans="1:78" s="140" customFormat="1" ht="5.0999999999999996" customHeight="1" thickBot="1" x14ac:dyDescent="0.25">
      <c r="A1261" s="777"/>
      <c r="B1261" s="1248"/>
      <c r="C1261" s="783"/>
      <c r="D1261" s="298"/>
      <c r="F1261" s="141"/>
      <c r="G1261" s="141"/>
      <c r="H1261" s="141" t="s">
        <v>233</v>
      </c>
      <c r="I1261" s="516"/>
      <c r="J1261" s="516"/>
      <c r="K1261" s="141"/>
      <c r="L1261" s="141"/>
      <c r="M1261" s="701"/>
      <c r="O1261" s="1305"/>
      <c r="P1261" s="33"/>
      <c r="Q1261" s="33"/>
      <c r="R1261" s="33"/>
      <c r="S1261" s="30"/>
      <c r="T1261" s="153"/>
      <c r="U1261" s="488"/>
      <c r="V1261" s="30"/>
      <c r="W1261" s="30"/>
      <c r="X1261" s="488"/>
      <c r="Y1261" s="517"/>
      <c r="Z1261" s="30"/>
      <c r="AA1261" s="30"/>
      <c r="AB1261" s="30"/>
      <c r="AC1261" s="30"/>
      <c r="AD1261" s="30"/>
      <c r="AE1261" s="30"/>
      <c r="AF1261" s="30"/>
      <c r="AG1261" s="30"/>
      <c r="AH1261" s="30"/>
      <c r="AI1261" s="30"/>
      <c r="AJ1261" s="30"/>
      <c r="AK1261" s="30"/>
      <c r="AL1261" s="333"/>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484"/>
    </row>
    <row r="1262" spans="1:78" s="140" customFormat="1" ht="12.75" customHeight="1" thickBot="1" x14ac:dyDescent="0.25">
      <c r="A1262" s="777"/>
      <c r="B1262" s="1248"/>
      <c r="C1262" s="783" t="s">
        <v>195</v>
      </c>
      <c r="D1262" s="503" t="str">
        <f>Translations!$B$634</f>
        <v>(prelim.) ITF:</v>
      </c>
      <c r="E1262" s="504"/>
      <c r="F1262" s="518"/>
      <c r="G1262" s="1603" t="str">
        <f t="shared" ref="G1262:G1268" si="308">IF(OR(ISBLANK(F1262),F1262=EUconst_NoTier),"",IF(Z1262=0,EUconst_NotApplicable,IF(ISERROR(Z1262),"",Z1262)))</f>
        <v/>
      </c>
      <c r="H1262" s="1609"/>
      <c r="I1262" s="1110" t="str">
        <f>IF(J1262&lt;&gt;"","",AI1262)</f>
        <v/>
      </c>
      <c r="J1262" s="1111"/>
      <c r="K1262" s="519" t="str">
        <f t="shared" ref="K1262:K1268" si="309">IF(L1262="",AQ1262,"")</f>
        <v/>
      </c>
      <c r="L1262" s="520"/>
      <c r="M1262" s="700" t="str">
        <f>IF(AND(E1251&lt;&gt;"",OR(F1262="",COUNT(K1262:L1262)=0),Y1262&lt;&gt;EUconst_NA,T1251&lt;&gt;TRUE),EUconst_ERR_Incomplete,IF(COUNTIF(AX1262:AZ1262,TRUE)&gt;0,EUconst_ERR_Inconsistent,""))</f>
        <v/>
      </c>
      <c r="N1262" s="486"/>
      <c r="O1262" s="1305"/>
      <c r="P1262" s="33"/>
      <c r="Q1262" s="33"/>
      <c r="R1262" s="33"/>
      <c r="S1262" s="30"/>
      <c r="T1262" s="521" t="str">
        <f>EUconst_CNTR_EF&amp;E1251</f>
        <v>EF_</v>
      </c>
      <c r="U1262" s="488"/>
      <c r="V1262" s="522" t="str">
        <f>V1260</f>
        <v/>
      </c>
      <c r="W1262" s="30"/>
      <c r="X1262" s="488"/>
      <c r="Y1262" s="523" t="str">
        <f>IF(OR(T1251=TRUE,E1251=""),"",IF(F1262=EUconst_NA,EUconst_NA,INDEX(EUwideConstants!$N:$N,MATCH(T1262,EUwideConstants!$Q:$Q,0))))</f>
        <v/>
      </c>
      <c r="Z1262" s="524" t="str">
        <f>IF(ISBLANK(F1262),"",IF(F1262=EUconst_NA,"",INDEX(EUwideConstants!$H:$M,MATCH(T1262,EUwideConstants!$Q:$Q,0),MATCH(F1262,CNTR_TierList,0))))</f>
        <v/>
      </c>
      <c r="AA1262" s="525" t="str">
        <f>IF(COUNTIF(EUconst_DefaultValues,Z1262)&gt;0,MATCH(Z1262,EUconst_DefaultValues,0),"")</f>
        <v/>
      </c>
      <c r="AB1262" s="30"/>
      <c r="AC1262" s="526" t="b">
        <f>AND(AC1260,Y1262&lt;&gt;EUconst_NA)</f>
        <v>0</v>
      </c>
      <c r="AD1262" s="30"/>
      <c r="AE1262" s="510" t="str">
        <f>EUconst_CNTR_EF&amp;EUconst_Unit</f>
        <v>EF_Vienetas</v>
      </c>
      <c r="AF1262" s="527" t="str">
        <f>IF(AC1262=TRUE, IF(COUNTIF(MSPara_SourceStreamCategory,V1262)=0,"",INDEX(MSPara_CalcFactorsMatrix,MATCH(V1262,MSPara_SourceStreamCategory,0),MATCH(AE1262&amp;"_"&amp;2,MSPara_CalcFactors,0))),"")</f>
        <v/>
      </c>
      <c r="AG1262" s="528" t="str">
        <f>IF(AC1262=TRUE, IF(COUNTIF(MSPara_SourceStreamCategory,V1262)=0,"",INDEX(MSPara_CalcFactorsMatrix,MATCH(V1262,MSPara_SourceStreamCategory,0),MATCH(AE1262&amp;"_"&amp;1,MSPara_CalcFactors,0))),"")</f>
        <v/>
      </c>
      <c r="AH1262" s="529" t="str">
        <f>IF(AA1262="","",INDEX(AF1262:AG1262,3-AA1262))</f>
        <v/>
      </c>
      <c r="AI1262" s="530" t="str">
        <f>IF(AC1262=TRUE,IF(OR(AH1262="",AH1262=EUconst_NA),IF(K1250=EUconst_Fuel,EUconst_tCO2pTJ,EUconst_tCO2pt),AH1262),"")</f>
        <v/>
      </c>
      <c r="AJ1262" s="526" t="str">
        <f>IF(J1262="",AI1262,J1262)</f>
        <v/>
      </c>
      <c r="AK1262" s="531" t="b">
        <f>IF(K1250=EUconst_Fuel,J1262&lt;&gt;"",FALSE)</f>
        <v>0</v>
      </c>
      <c r="AL1262" s="333"/>
      <c r="AM1262" s="510" t="str">
        <f>EUconst_CNTR_EF&amp;EUconst_Value</f>
        <v>EF_Vertė</v>
      </c>
      <c r="AN1262" s="532" t="str">
        <f>IF(AC1262=TRUE,IF(COUNTIF(MSPara_SourceStreamCategory,V1262)=0,"",INDEX(MSPara_CalcFactorsMatrix,MATCH(V1262,MSPara_SourceStreamCategory,0),MATCH(AM1262&amp;"_"&amp;2,MSPara_CalcFactors,0))),"")</f>
        <v/>
      </c>
      <c r="AO1262" s="533" t="str">
        <f>IF(AC1262=TRUE,IF(COUNTIF(MSPara_SourceStreamCategory,V1262)=0,"",INDEX(MSPara_CalcFactorsMatrix,MATCH(V1262,MSPara_SourceStreamCategory,0),MATCH(AM1262&amp;"_"&amp;1,MSPara_CalcFactors,0))),"")</f>
        <v/>
      </c>
      <c r="AP1262" s="526" t="b">
        <f>AND(AND(AH1262&lt;&gt;"",AJ1262&lt;&gt;""),AJ1262=AH1262)</f>
        <v>0</v>
      </c>
      <c r="AQ1262" s="534" t="str">
        <f>IF(AND(AA1262&lt;&gt;"",AP1262=TRUE),IF(OR(INDEX(AN1262:AO1262,3-AA1262)=EUconst_NA,INDEX(AN1262:AO1262,3-AA1262)=0),"",INDEX(AN1262:AO1262,3-AA1262)),"")</f>
        <v/>
      </c>
      <c r="AR1262" s="526">
        <f>IF(AC1262=TRUE,IF(COUNT(K1262:L1262)=0,0,IF(L1262="",K1262,L1262)),0)</f>
        <v>0</v>
      </c>
      <c r="AS1262" s="522" t="b">
        <f>AND(AC1262=TRUE,OR(AND(F1262&lt;&gt;"",NOT(ISNUMBER(AA1262))),L1262&lt;&gt;"",F1262="",AQ1262=""))</f>
        <v>0</v>
      </c>
      <c r="AT1262" s="522" t="b">
        <f t="shared" ref="AT1262:AT1268" si="310">AND(AC1262=TRUE,NOT(AS1262))</f>
        <v>0</v>
      </c>
      <c r="AU1262" s="30"/>
      <c r="AV1262" s="535" t="b">
        <f t="shared" ref="AV1262:AV1268" si="311">AND(ISNUMBER(AA1262),AQ1262="")</f>
        <v>0</v>
      </c>
      <c r="AW1262" s="536" t="b">
        <f t="shared" ref="AW1262:AW1268" si="312">AND(ISNUMBER(AA1262),AQ1262&lt;&gt;AR1262)</f>
        <v>0</v>
      </c>
      <c r="AX1262" s="537" t="b">
        <f>OR(AND(AJ1260=EUconst_kNm3,AJ1262=EUconst_tCO2pt),AND(AJ1260=EUconst_t,AJ1262=EUconst_tCO2pkNm3))</f>
        <v>0</v>
      </c>
      <c r="AY1262" s="522" t="b">
        <f t="shared" ref="AY1262:AY1268" si="313">AND(L1262&lt;&gt;"",Y1262=EUconst_NA)</f>
        <v>0</v>
      </c>
      <c r="AZ1262" s="30"/>
      <c r="BA1262" s="30"/>
      <c r="BB1262" s="538" t="s">
        <v>588</v>
      </c>
      <c r="BC1262" s="537" t="str">
        <f>IF(K1250=BC1260,AR1260*IF(AJ1262=EUconst_tCO2pTJ,(AR1263/1000),1)*AR1262*AR1264*AR1268,"")</f>
        <v/>
      </c>
      <c r="BD1262" s="515" t="str">
        <f>IF(K1250=BD1260,AR1260*AR1262*AR1265*AR1268,"")</f>
        <v/>
      </c>
      <c r="BE1262" s="514" t="str">
        <f>IF(K1250=BE1260,3.664*AR1260*AR1266*AR1268,"")</f>
        <v/>
      </c>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522" t="b">
        <f>OR(BZ1260,Y1262=EUconst_NA)</f>
        <v>1</v>
      </c>
    </row>
    <row r="1263" spans="1:78" s="140" customFormat="1" ht="12.75" customHeight="1" thickBot="1" x14ac:dyDescent="0.25">
      <c r="A1263" s="777"/>
      <c r="B1263" s="1248"/>
      <c r="C1263" s="783" t="s">
        <v>196</v>
      </c>
      <c r="D1263" s="503" t="str">
        <f>Translations!$B$636</f>
        <v>GŠV:</v>
      </c>
      <c r="E1263" s="504"/>
      <c r="F1263" s="539"/>
      <c r="G1263" s="1603" t="str">
        <f t="shared" si="308"/>
        <v/>
      </c>
      <c r="H1263" s="1604"/>
      <c r="I1263" s="1112" t="str">
        <f>AJ1263</f>
        <v/>
      </c>
      <c r="J1263" s="540"/>
      <c r="K1263" s="541" t="str">
        <f t="shared" si="309"/>
        <v/>
      </c>
      <c r="L1263" s="542"/>
      <c r="M1263" s="700" t="str">
        <f>IF(AND(E1251&lt;&gt;"",OR(F1263="",COUNT(K1263:L1263)=0),Y1263&lt;&gt;EUconst_NA,T1251&lt;&gt;TRUE),EUconst_ERR_Incomplete,IF(COUNTIF(AX1263:AZ1263,TRUE)&gt;0,EUconst_ERR_Inconsistent,""))</f>
        <v/>
      </c>
      <c r="O1263" s="1305"/>
      <c r="P1263" s="33"/>
      <c r="Q1263" s="33"/>
      <c r="R1263" s="33"/>
      <c r="S1263" s="30"/>
      <c r="T1263" s="543" t="str">
        <f>EUconst_CNTR_NCV&amp;E1251</f>
        <v>NCV_</v>
      </c>
      <c r="U1263" s="488"/>
      <c r="V1263" s="544" t="str">
        <f t="shared" ref="V1263:V1268" si="314">V1262</f>
        <v/>
      </c>
      <c r="W1263" s="30"/>
      <c r="X1263" s="488"/>
      <c r="Y1263" s="545" t="str">
        <f>IF(OR(T1251=TRUE,E1251=""),"",IF(F1263=EUconst_NA,EUconst_NA,INDEX(EUwideConstants!$N:$N,MATCH(T1263,EUwideConstants!$Q:$Q,0))))</f>
        <v/>
      </c>
      <c r="Z1263" s="546" t="str">
        <f>IF(ISBLANK(F1263),"",IF(F1263=EUconst_NA,"",INDEX(EUwideConstants!$H:$M,MATCH(T1263,EUwideConstants!$Q:$Q,0),MATCH(F1263,CNTR_TierList,0))))</f>
        <v/>
      </c>
      <c r="AA1263" s="547" t="str">
        <f>IF(COUNTIF(EUconst_DefaultValues,Z1263)&gt;0,MATCH(Z1263,EUconst_DefaultValues,0),"")</f>
        <v/>
      </c>
      <c r="AB1263" s="30"/>
      <c r="AC1263" s="548" t="b">
        <f>AND(AC1260,Y1263&lt;&gt;EUconst_NA)</f>
        <v>0</v>
      </c>
      <c r="AD1263" s="30"/>
      <c r="AE1263" s="549" t="str">
        <f>EUconst_CNTR_NCV&amp;EUconst_Unit</f>
        <v>NCV_Vienetas</v>
      </c>
      <c r="AF1263" s="550" t="str">
        <f>IF(AC1263=TRUE, IF(COUNTIF(MSPara_SourceStreamCategory,V1263)=0,"",INDEX(MSPara_CalcFactorsMatrix,MATCH(V1263,MSPara_SourceStreamCategory,0),MATCH(AE1263&amp;"_"&amp;2,MSPara_CalcFactors,0))),"")</f>
        <v/>
      </c>
      <c r="AG1263" s="551" t="str">
        <f>IF(AC1263=TRUE, IF(COUNTIF(MSPara_SourceStreamCategory,V1263)=0,"",INDEX(MSPara_CalcFactorsMatrix,MATCH(V1263,MSPara_SourceStreamCategory,0),MATCH(AE1263&amp;"_"&amp;1,MSPara_CalcFactors,0))),"")</f>
        <v/>
      </c>
      <c r="AH1263" s="552" t="str">
        <f>IF(AA1263="","",INDEX(AF1263:AG1263,3-AA1263))</f>
        <v/>
      </c>
      <c r="AI1263" s="553"/>
      <c r="AJ1263" s="548" t="str">
        <f>IF(AC1263=TRUE,IF(AJ1260="","",IF(AJ1260=EUconst_kNm3,EUconst_GJpkNm3,EUconst_GJpt)),"")</f>
        <v/>
      </c>
      <c r="AK1263" s="554"/>
      <c r="AL1263" s="333"/>
      <c r="AM1263" s="549" t="str">
        <f>EUconst_CNTR_NCV&amp;EUconst_Value</f>
        <v>NCV_Vertė</v>
      </c>
      <c r="AN1263" s="555" t="str">
        <f>IF(AC1263=TRUE,IF(COUNTIF(MSPara_SourceStreamCategory,V1263)=0,"",INDEX(MSPara_CalcFactorsMatrix,MATCH(V1263,MSPara_SourceStreamCategory,0),MATCH(AM1263&amp;"_"&amp;2,MSPara_CalcFactors,0))),"")</f>
        <v/>
      </c>
      <c r="AO1263" s="556" t="str">
        <f>IF(AC1263=TRUE,IF(COUNTIF(MSPara_SourceStreamCategory,V1263)=0,"",INDEX(MSPara_CalcFactorsMatrix,MATCH(V1263,MSPara_SourceStreamCategory,0),MATCH(AM1263&amp;"_"&amp;1,MSPara_CalcFactors,0))),"")</f>
        <v/>
      </c>
      <c r="AP1263" s="548" t="b">
        <f>AND(AND(AH1263&lt;&gt;"",AJ1263&lt;&gt;""),AJ1263=AH1263)</f>
        <v>0</v>
      </c>
      <c r="AQ1263" s="557" t="str">
        <f>IF(AND(AA1263&lt;&gt;"",AP1263=TRUE),IF(OR(INDEX(AN1263:AO1263,3-AA1263)=EUconst_NA,INDEX(AN1263:AO1263,3-AA1263)=0),"",INDEX(AN1263:AO1263,3-AA1263)),"")</f>
        <v/>
      </c>
      <c r="AR1263" s="548">
        <f>IF(AC1263=TRUE,IF(COUNT(K1263:L1263)=0,0,IF(L1263="",K1263,L1263)),0)</f>
        <v>0</v>
      </c>
      <c r="AS1263" s="544" t="b">
        <f>AND(AC1263=TRUE,OR(AND(F1263&lt;&gt;"",NOT(ISNUMBER(AA1263))),L1263&lt;&gt;"",F1263="",AQ1263=""))</f>
        <v>0</v>
      </c>
      <c r="AT1263" s="544" t="b">
        <f t="shared" si="310"/>
        <v>0</v>
      </c>
      <c r="AU1263" s="30"/>
      <c r="AV1263" s="558" t="b">
        <f t="shared" si="311"/>
        <v>0</v>
      </c>
      <c r="AW1263" s="559" t="b">
        <f t="shared" si="312"/>
        <v>0</v>
      </c>
      <c r="AX1263" s="30"/>
      <c r="AY1263" s="544" t="b">
        <f t="shared" si="313"/>
        <v>0</v>
      </c>
      <c r="AZ1263" s="30"/>
      <c r="BA1263" s="30"/>
      <c r="BB1263" s="538" t="s">
        <v>589</v>
      </c>
      <c r="BC1263" s="537" t="str">
        <f>IF(K1250=BC1260,AR1260*IF(AJ1262=EUconst_tCO2pTJ,(AR1263/1000),1)*AR1262*AR1264*AR1267,"")</f>
        <v/>
      </c>
      <c r="BD1263" s="515" t="str">
        <f>IF(K1250=BD1260,AR1260*AR1262*AR1265*AR1267,"")</f>
        <v/>
      </c>
      <c r="BE1263" s="514" t="str">
        <f>IF(K1250=BE1260,3.664*AR1260*AR1266*AR1267,"")</f>
        <v/>
      </c>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544" t="b">
        <f>OR(BZ1260,Y1263=EUconst_NA)</f>
        <v>1</v>
      </c>
    </row>
    <row r="1264" spans="1:78" s="140" customFormat="1" ht="12.75" customHeight="1" thickBot="1" x14ac:dyDescent="0.25">
      <c r="A1264" s="777"/>
      <c r="B1264" s="1248"/>
      <c r="C1264" s="783" t="s">
        <v>197</v>
      </c>
      <c r="D1264" s="503" t="str">
        <f>Translations!$B$638</f>
        <v>Oksidacijos koef.:</v>
      </c>
      <c r="E1264" s="504"/>
      <c r="F1264" s="539"/>
      <c r="G1264" s="1603" t="str">
        <f t="shared" si="308"/>
        <v/>
      </c>
      <c r="H1264" s="1604"/>
      <c r="I1264" s="1113" t="str">
        <f>IF(OR(AC1264=FALSE,Y1264=EUconst_NA),"","-")</f>
        <v/>
      </c>
      <c r="J1264" s="560"/>
      <c r="K1264" s="561" t="str">
        <f t="shared" si="309"/>
        <v/>
      </c>
      <c r="L1264" s="694"/>
      <c r="M1264" s="700" t="str">
        <f>IF(AND(E1251&lt;&gt;"",OR(F1264="",COUNT(K1264:L1264)=0),Y1264&lt;&gt;EUconst_NA,T1251&lt;&gt;TRUE),EUconst_ERR_Incomplete,IF(COUNTIF(AX1264:AZ1264,TRUE)&gt;0,EUconst_ERR_Inconsistent,""))</f>
        <v/>
      </c>
      <c r="O1264" s="1305"/>
      <c r="P1264" s="33"/>
      <c r="Q1264" s="33"/>
      <c r="R1264" s="33"/>
      <c r="S1264" s="30"/>
      <c r="T1264" s="543" t="str">
        <f>EUconst_CNTR_OxidationFactor&amp;E1251</f>
        <v>OxF_</v>
      </c>
      <c r="U1264" s="488"/>
      <c r="V1264" s="544" t="str">
        <f t="shared" si="314"/>
        <v/>
      </c>
      <c r="W1264" s="30"/>
      <c r="X1264" s="488"/>
      <c r="Y1264" s="545" t="str">
        <f>IF(OR(T1251=TRUE,E1251=""),"",INDEX(EUwideConstants!$N:$N,MATCH(T1264,EUwideConstants!$Q:$Q,0)))</f>
        <v/>
      </c>
      <c r="Z1264" s="546" t="str">
        <f>IF(ISBLANK(F1264),"",IF(F1264=EUconst_NA,"",INDEX(EUwideConstants!$H:$M,MATCH(T1264,EUwideConstants!$Q:$Q,0),MATCH(F1264,CNTR_TierList,0))))</f>
        <v/>
      </c>
      <c r="AA1264" s="525" t="str">
        <f>IF(F1264=1,1,"")</f>
        <v/>
      </c>
      <c r="AB1264" s="30"/>
      <c r="AC1264" s="548" t="b">
        <f>AND(AC1260,Y1264&lt;&gt;EUconst_NA)</f>
        <v>0</v>
      </c>
      <c r="AD1264" s="30"/>
      <c r="AE1264" s="563"/>
      <c r="AG1264" s="564"/>
      <c r="AH1264" s="553"/>
      <c r="AI1264" s="565"/>
      <c r="AJ1264" s="553"/>
      <c r="AK1264" s="566"/>
      <c r="AL1264" s="333"/>
      <c r="AM1264" s="549" t="str">
        <f>EUconst_CNTR_OxidationFactor&amp;EUconst_Value</f>
        <v>OxF_Vertė</v>
      </c>
      <c r="AN1264" s="567"/>
      <c r="AO1264" s="525">
        <v>1</v>
      </c>
      <c r="AP1264" s="553"/>
      <c r="AQ1264" s="568" t="str">
        <f>IF(AA1264="","",AO1264)</f>
        <v/>
      </c>
      <c r="AR1264" s="548">
        <f>IF(AC1264=TRUE,IF(COUNT(K1264:L1264)=0,0,IF(L1264="",K1264,L1264)),1)</f>
        <v>1</v>
      </c>
      <c r="AS1264" s="544" t="b">
        <f>AND(AC1264=TRUE,OR(ISNUMBER(L1264),NOT(ISNUMBER(AA1264))))</f>
        <v>0</v>
      </c>
      <c r="AT1264" s="544" t="b">
        <f t="shared" si="310"/>
        <v>0</v>
      </c>
      <c r="AU1264" s="30"/>
      <c r="AV1264" s="558" t="b">
        <f t="shared" si="311"/>
        <v>0</v>
      </c>
      <c r="AW1264" s="559" t="b">
        <f t="shared" si="312"/>
        <v>0</v>
      </c>
      <c r="AX1264" s="30"/>
      <c r="AY1264" s="585" t="b">
        <f t="shared" si="313"/>
        <v>0</v>
      </c>
      <c r="AZ1264" s="522" t="b">
        <f>AR1264&gt;100%</f>
        <v>0</v>
      </c>
      <c r="BA1264" s="30"/>
      <c r="BB1264" s="538" t="s">
        <v>287</v>
      </c>
      <c r="BC1264" s="537" t="str">
        <f>IF(K1250=BC1260,AR1260*IF(AJ1262=EUconst_tCO2pTJ,(AR1263/1000),1)*AR1262*AR1264*(1-AR1267),"")</f>
        <v/>
      </c>
      <c r="BD1264" s="515" t="str">
        <f>IF(K1250=BD1260,AR1260*AR1262*AR1265*(1-AR1267),"")</f>
        <v/>
      </c>
      <c r="BE1264" s="514" t="str">
        <f>IF(K1250=BE1260,3.664*AR1260*AR1266*(1-AR1267),"")</f>
        <v/>
      </c>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544" t="b">
        <f>OR(BZ1260,Y1264=EUconst_NA)</f>
        <v>1</v>
      </c>
    </row>
    <row r="1265" spans="1:78" s="140" customFormat="1" ht="12.75" customHeight="1" thickBot="1" x14ac:dyDescent="0.25">
      <c r="A1265" s="777"/>
      <c r="B1265" s="1248"/>
      <c r="C1265" s="783" t="s">
        <v>198</v>
      </c>
      <c r="D1265" s="503" t="str">
        <f>Translations!$B$639</f>
        <v>Konversijos koef.:</v>
      </c>
      <c r="E1265" s="504"/>
      <c r="F1265" s="539"/>
      <c r="G1265" s="1603" t="str">
        <f t="shared" si="308"/>
        <v/>
      </c>
      <c r="H1265" s="1604"/>
      <c r="I1265" s="1113" t="str">
        <f>IF(OR(AC1265=FALSE,Y1265=EUconst_NA),"","-")</f>
        <v/>
      </c>
      <c r="J1265" s="560"/>
      <c r="K1265" s="561" t="str">
        <f t="shared" si="309"/>
        <v/>
      </c>
      <c r="L1265" s="694"/>
      <c r="M1265" s="700" t="str">
        <f>IF(AND(E1251&lt;&gt;"",OR(F1265="",COUNT(K1265:L1265)=0),Y1265&lt;&gt;EUconst_NA,T1251&lt;&gt;TRUE),EUconst_ERR_Incomplete,IF(COUNTIF(AX1265:AZ1265,TRUE)&gt;0,EUconst_ERR_Inconsistent,""))</f>
        <v/>
      </c>
      <c r="O1265" s="1305"/>
      <c r="P1265" s="33"/>
      <c r="Q1265" s="33"/>
      <c r="R1265" s="33"/>
      <c r="S1265" s="30"/>
      <c r="T1265" s="543" t="str">
        <f>EUconst_CNTR_ConversionFactor&amp;E1251</f>
        <v>ConvF_</v>
      </c>
      <c r="U1265" s="488"/>
      <c r="V1265" s="544" t="str">
        <f t="shared" si="314"/>
        <v/>
      </c>
      <c r="W1265" s="30"/>
      <c r="X1265" s="488"/>
      <c r="Y1265" s="545" t="str">
        <f>IF(OR(T1251=TRUE,E1251=""),"",INDEX(EUwideConstants!$N:$N,MATCH(T1265,EUwideConstants!$Q:$Q,0)))</f>
        <v/>
      </c>
      <c r="Z1265" s="546" t="str">
        <f>IF(ISBLANK(F1265),"",IF(F1265=EUconst_NA,"",INDEX(EUwideConstants!$H:$M,MATCH(T1265,EUwideConstants!$Q:$Q,0),MATCH(F1265,CNTR_TierList,0))))</f>
        <v/>
      </c>
      <c r="AA1265" s="573" t="str">
        <f>IF(F1265=1,1,"")</f>
        <v/>
      </c>
      <c r="AB1265" s="30"/>
      <c r="AC1265" s="548" t="b">
        <f>AND(AC1260,Y1265&lt;&gt;EUconst_NA)</f>
        <v>0</v>
      </c>
      <c r="AD1265" s="30"/>
      <c r="AE1265" s="563"/>
      <c r="AG1265" s="564"/>
      <c r="AH1265" s="574"/>
      <c r="AI1265" s="565"/>
      <c r="AJ1265" s="574"/>
      <c r="AK1265" s="566"/>
      <c r="AL1265" s="333"/>
      <c r="AM1265" s="549" t="str">
        <f>EUconst_CNTR_ConversionFactor&amp;EUconst_Value</f>
        <v>ConvF_Vertė</v>
      </c>
      <c r="AN1265" s="575"/>
      <c r="AO1265" s="573">
        <v>1</v>
      </c>
      <c r="AP1265" s="574"/>
      <c r="AQ1265" s="576" t="str">
        <f>IF(AA1265="","",AO1265)</f>
        <v/>
      </c>
      <c r="AR1265" s="548">
        <f>IF(AC1265=TRUE,IF(COUNT(K1265:L1265)=0,0,IF(L1265="",K1265,L1265)),1)</f>
        <v>1</v>
      </c>
      <c r="AS1265" s="544" t="b">
        <f>AND(AC1265=TRUE,OR(ISNUMBER(L1265),NOT(ISNUMBER(AA1265))))</f>
        <v>0</v>
      </c>
      <c r="AT1265" s="544" t="b">
        <f t="shared" si="310"/>
        <v>0</v>
      </c>
      <c r="AU1265" s="30"/>
      <c r="AV1265" s="558" t="b">
        <f t="shared" si="311"/>
        <v>0</v>
      </c>
      <c r="AW1265" s="559" t="b">
        <f t="shared" si="312"/>
        <v>0</v>
      </c>
      <c r="AX1265" s="30"/>
      <c r="AY1265" s="585" t="b">
        <f t="shared" si="313"/>
        <v>0</v>
      </c>
      <c r="AZ1265" s="571" t="b">
        <f>AR1265&gt;100%</f>
        <v>0</v>
      </c>
      <c r="BA1265" s="30"/>
      <c r="BB1265" s="569" t="s">
        <v>481</v>
      </c>
      <c r="BC1265" s="570">
        <f>AR1260*AR1263/1000*(1-AR1267)</f>
        <v>0</v>
      </c>
      <c r="BD1265" s="571">
        <f>BC1265</f>
        <v>0</v>
      </c>
      <c r="BE1265" s="572">
        <f>BC1265</f>
        <v>0</v>
      </c>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544" t="b">
        <f>OR(BZ1260,Y1265=EUconst_NA)</f>
        <v>1</v>
      </c>
    </row>
    <row r="1266" spans="1:78" s="140" customFormat="1" ht="12.75" customHeight="1" thickBot="1" x14ac:dyDescent="0.25">
      <c r="A1266" s="777"/>
      <c r="B1266" s="1248"/>
      <c r="C1266" s="783" t="s">
        <v>324</v>
      </c>
      <c r="D1266" s="503" t="str">
        <f>Translations!$B$640</f>
        <v>Anglies kiekis (C):</v>
      </c>
      <c r="E1266" s="504"/>
      <c r="F1266" s="539"/>
      <c r="G1266" s="1603" t="str">
        <f t="shared" si="308"/>
        <v/>
      </c>
      <c r="H1266" s="1604"/>
      <c r="I1266" s="1113" t="str">
        <f>AJ1266</f>
        <v/>
      </c>
      <c r="J1266" s="577"/>
      <c r="K1266" s="578" t="str">
        <f t="shared" si="309"/>
        <v/>
      </c>
      <c r="L1266" s="579"/>
      <c r="M1266" s="700" t="str">
        <f>IF(AND(E1251&lt;&gt;"",OR(F1266="",COUNT(K1266:L1266)=0),Y1266&lt;&gt;EUconst_NA,T1251&lt;&gt;TRUE),EUconst_ERR_Incomplete,IF(COUNTIF(AX1266:AZ1266,TRUE)&gt;0,EUconst_ERR_Inconsistent,""))</f>
        <v/>
      </c>
      <c r="O1266" s="1305"/>
      <c r="P1266" s="33"/>
      <c r="Q1266" s="33"/>
      <c r="R1266" s="33"/>
      <c r="S1266" s="30"/>
      <c r="T1266" s="543" t="str">
        <f>EUconst_CNTR_CarbonContent&amp;E1251</f>
        <v>CarbC_</v>
      </c>
      <c r="U1266" s="488"/>
      <c r="V1266" s="544" t="str">
        <f t="shared" si="314"/>
        <v/>
      </c>
      <c r="W1266" s="30"/>
      <c r="X1266" s="488"/>
      <c r="Y1266" s="545" t="str">
        <f>IF(OR(T1251=TRUE,E1251=""),"",INDEX(EUwideConstants!$N:$N,MATCH(T1266,EUwideConstants!$Q:$Q,0)))</f>
        <v/>
      </c>
      <c r="Z1266" s="546" t="str">
        <f>IF(ISBLANK(F1266),"",IF(F1266=EUconst_NA,"",INDEX(EUwideConstants!$H:$M,MATCH(T1266,EUwideConstants!$Q:$Q,0),MATCH(F1266,CNTR_TierList,0))))</f>
        <v/>
      </c>
      <c r="AA1266" s="580" t="str">
        <f>IF(COUNTIF(EUconst_DefaultValues,Z1266)&gt;0,MATCH(Z1266,EUconst_DefaultValues,0),"")</f>
        <v/>
      </c>
      <c r="AB1266" s="30"/>
      <c r="AC1266" s="548" t="b">
        <f>AND(AC1260,Y1266&lt;&gt;EUconst_NA)</f>
        <v>0</v>
      </c>
      <c r="AD1266" s="30"/>
      <c r="AE1266" s="549" t="str">
        <f>EUconst_CNTR_CarbonContent&amp;EUconst_Unit</f>
        <v>CarbC_Vienetas</v>
      </c>
      <c r="AF1266" s="550" t="str">
        <f>IF(AC1266=TRUE, IF(COUNTIF(MSPara_SourceStreamCategory,V1266)=0,"",INDEX(MSPara_CalcFactorsMatrix,MATCH(V1266,MSPara_SourceStreamCategory,0),MATCH(AE1266&amp;"_"&amp;2,MSPara_CalcFactors,0))),"")</f>
        <v/>
      </c>
      <c r="AG1266" s="551" t="str">
        <f>IF(AC1266=TRUE, IF(COUNTIF(MSPara_SourceStreamCategory,V1266)=0,"",INDEX(MSPara_CalcFactorsMatrix,MATCH(V1266,MSPara_SourceStreamCategory,0),MATCH(AE1266&amp;"_"&amp;1,MSPara_CalcFactors,0))),"")</f>
        <v/>
      </c>
      <c r="AH1266" s="581" t="str">
        <f>IF(AA1266="","",INDEX(AF1266:AG1266,3-AA1266))</f>
        <v/>
      </c>
      <c r="AI1266" s="565"/>
      <c r="AJ1266" s="582" t="str">
        <f>IF(AC1266=TRUE,IF(AJ1260="","",IF(AJ1260=EUconst_kNm3,EUconst_tCpkNm3,EUconst_tCpt)),"")</f>
        <v/>
      </c>
      <c r="AK1266" s="566"/>
      <c r="AL1266" s="333"/>
      <c r="AM1266" s="549" t="str">
        <f>EUconst_CNTR_CarbonContent&amp;EUconst_Value</f>
        <v>CarbC_Vertė</v>
      </c>
      <c r="AN1266" s="555" t="str">
        <f>IF(AC1266=TRUE,IF(COUNTIF(MSPara_SourceStreamCategory,V1266)=0,"",INDEX(MSPara_CalcFactorsMatrix,MATCH(V1266,MSPara_SourceStreamCategory,0),MATCH(AM1266&amp;"_"&amp;2,MSPara_CalcFactors,0))),"")</f>
        <v/>
      </c>
      <c r="AO1266" s="583" t="str">
        <f>IF(AC1266=TRUE,IF(COUNTIF(MSPara_SourceStreamCategory,V1266)=0,"",INDEX(MSPara_CalcFactorsMatrix,MATCH(V1266,MSPara_SourceStreamCategory,0),MATCH(AM1266&amp;"_"&amp;1,MSPara_CalcFactors,0))),"")</f>
        <v/>
      </c>
      <c r="AP1266" s="548" t="b">
        <f>AND(AND(AH1266&lt;&gt;"",AJ1266&lt;&gt;""),AJ1266=AH1266)</f>
        <v>0</v>
      </c>
      <c r="AQ1266" s="584" t="str">
        <f>IF(AND(AA1266&lt;&gt;"",AP1266=TRUE),IF(OR(INDEX(AN1266:AO1266,3-AA1266)=EUconst_NA,INDEX(AN1266:AO1266,3-AA1266)=0),"",INDEX(AN1266:AO1266,3-AA1266)),"")</f>
        <v/>
      </c>
      <c r="AR1266" s="548">
        <f>IF(AC1266=TRUE,IF(COUNT(K1266:L1266)=0,0,IF(L1266="",K1266,L1266)),0)</f>
        <v>0</v>
      </c>
      <c r="AS1266" s="544" t="b">
        <f>AND(AC1266=TRUE,OR(AND(F1266&lt;&gt;"",NOT(ISNUMBER(AA1266))),L1266&lt;&gt;"",F1266="",AQ1266=""))</f>
        <v>0</v>
      </c>
      <c r="AT1266" s="544" t="b">
        <f t="shared" si="310"/>
        <v>0</v>
      </c>
      <c r="AU1266" s="30"/>
      <c r="AV1266" s="558" t="b">
        <f t="shared" si="311"/>
        <v>0</v>
      </c>
      <c r="AW1266" s="559" t="b">
        <f t="shared" si="312"/>
        <v>0</v>
      </c>
      <c r="AX1266" s="537" t="b">
        <f>OR(AND(AJ1260=EUconst_kNm3,AJ1266=EUconst_tCpt),AND(AJ1260=EUconst_t,AJ1266=EUconst_tCpkNm3))</f>
        <v>0</v>
      </c>
      <c r="AY1266" s="544" t="b">
        <f t="shared" si="313"/>
        <v>0</v>
      </c>
      <c r="AZ1266" s="30"/>
      <c r="BA1266" s="30"/>
      <c r="BB1266" s="569" t="s">
        <v>482</v>
      </c>
      <c r="BC1266" s="570">
        <f>AR1260*AR1263/1000*AR1267</f>
        <v>0</v>
      </c>
      <c r="BD1266" s="571">
        <f>BC1266</f>
        <v>0</v>
      </c>
      <c r="BE1266" s="572">
        <f>BC1266</f>
        <v>0</v>
      </c>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544" t="b">
        <f>OR(BZ1260,Y1266=EUconst_NA)</f>
        <v>1</v>
      </c>
    </row>
    <row r="1267" spans="1:78" s="140" customFormat="1" ht="12.75" customHeight="1" x14ac:dyDescent="0.2">
      <c r="A1267" s="777"/>
      <c r="B1267" s="1248"/>
      <c r="C1267" s="753" t="s">
        <v>325</v>
      </c>
      <c r="D1267" s="503" t="str">
        <f>Translations!$B$641</f>
        <v>Biomasės dalis (BioC):</v>
      </c>
      <c r="E1267" s="504"/>
      <c r="F1267" s="539"/>
      <c r="G1267" s="1603" t="str">
        <f t="shared" si="308"/>
        <v/>
      </c>
      <c r="H1267" s="1604"/>
      <c r="I1267" s="1113" t="str">
        <f>IF(OR(AC1267=FALSE,Y1267=EUconst_NA),"","-")</f>
        <v/>
      </c>
      <c r="J1267" s="560"/>
      <c r="K1267" s="561" t="str">
        <f t="shared" si="309"/>
        <v/>
      </c>
      <c r="L1267" s="694"/>
      <c r="M1267" s="700" t="str">
        <f>IF(AND(E1251&lt;&gt;"",OR(F1267="",COUNT(K1267:L1267)=0),Y1267&lt;&gt;EUconst_NA,T1251&lt;&gt;TRUE),EUconst_ERR_Incomplete,IF(COUNTIF(AX1267:AZ1267,TRUE)&gt;0,EUconst_ERR_Inconsistent,""))</f>
        <v/>
      </c>
      <c r="O1267" s="1305"/>
      <c r="P1267" s="635"/>
      <c r="Q1267" s="635"/>
      <c r="R1267" s="635"/>
      <c r="S1267" s="30"/>
      <c r="T1267" s="543" t="str">
        <f>EUconst_CNTR_BiomassContent&amp;E1251</f>
        <v>BioC_</v>
      </c>
      <c r="U1267" s="488"/>
      <c r="V1267" s="585" t="str">
        <f t="shared" si="314"/>
        <v/>
      </c>
      <c r="W1267" s="522" t="str">
        <f>IF(COUNTIF(MSPara_SourceStreamCategory,V1267)=0,"",INDEX(MSPara_IsFossil,MATCH(V1267,MSPara_SourceStreamCategory,0)))</f>
        <v/>
      </c>
      <c r="X1267" s="488"/>
      <c r="Y1267" s="545" t="str">
        <f>IF(OR(T1251=TRUE,E1251=""),"",IF(OR(W1267=TRUE,F1267=EUconst_NA),EUconst_NA,INDEX(EUwideConstants!$N:$N,MATCH(T1267,EUwideConstants!$Q:$Q,0))))</f>
        <v/>
      </c>
      <c r="Z1267" s="546" t="str">
        <f>IF(ISBLANK(F1267),"",IF(F1267=EUconst_NA,"",INDEX(EUwideConstants!$H:$M,MATCH(T1267,EUwideConstants!$Q:$Q,0),MATCH(F1267,CNTR_TierList,0))))</f>
        <v/>
      </c>
      <c r="AA1267" s="586" t="str">
        <f>IF(F1267=1,1,"")</f>
        <v/>
      </c>
      <c r="AB1267" s="30"/>
      <c r="AC1267" s="548" t="b">
        <f>AND(AC1260,Y1267&lt;&gt;EUconst_NA)</f>
        <v>0</v>
      </c>
      <c r="AD1267" s="30"/>
      <c r="AE1267" s="563"/>
      <c r="AG1267" s="564"/>
      <c r="AH1267" s="553"/>
      <c r="AI1267" s="565"/>
      <c r="AJ1267" s="553"/>
      <c r="AK1267" s="566"/>
      <c r="AL1267" s="333"/>
      <c r="AM1267" s="549" t="str">
        <f>EUconst_CNTR_BiomassContent&amp;EUconst_Value</f>
        <v>BioC_Vertė</v>
      </c>
      <c r="AO1267" s="587" t="str">
        <f>IF(AC1267=TRUE,IF(COUNTIF(MSPara_SourceStreamCategory,V1267)=0,"",INDEX(MSPara_CalcFactorsMatrix,MATCH(V1267,MSPara_SourceStreamCategory,0),MATCH(AM1267&amp;"_"&amp;2,MSPara_CalcFactors,0))),"")</f>
        <v/>
      </c>
      <c r="AP1267" s="553"/>
      <c r="AQ1267" s="568" t="str">
        <f>IF(OR(AA1267="",AO1267=EUconst_NA),"",AO1267)</f>
        <v/>
      </c>
      <c r="AR1267" s="548">
        <f>IF(AC1267=TRUE,IF(COUNT(K1267:L1267)=0,0,IF(L1267="",K1267,L1267)),0)</f>
        <v>0</v>
      </c>
      <c r="AS1267" s="544" t="b">
        <f>AND(AC1267=TRUE,OR(AND(F1267&lt;&gt;"",NOT(ISNUMBER(AA1267))),L1267&lt;&gt;"",F1267="",AQ1267=""))</f>
        <v>0</v>
      </c>
      <c r="AT1267" s="544" t="b">
        <f t="shared" si="310"/>
        <v>0</v>
      </c>
      <c r="AU1267" s="30"/>
      <c r="AV1267" s="558" t="b">
        <f t="shared" si="311"/>
        <v>0</v>
      </c>
      <c r="AW1267" s="559" t="b">
        <f t="shared" si="312"/>
        <v>0</v>
      </c>
      <c r="AX1267" s="30"/>
      <c r="AY1267" s="585" t="b">
        <f t="shared" si="313"/>
        <v>0</v>
      </c>
      <c r="AZ1267" s="522" t="b">
        <f>OR(AR1267&gt;100%,(AR1267+AR1268)&gt;100%)</f>
        <v>0</v>
      </c>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544" t="b">
        <f>OR(BZ1260,Y1267=EUconst_NA)</f>
        <v>1</v>
      </c>
    </row>
    <row r="1268" spans="1:78" s="140" customFormat="1" ht="12.75" customHeight="1" thickBot="1" x14ac:dyDescent="0.25">
      <c r="A1268" s="777"/>
      <c r="B1268" s="1248"/>
      <c r="C1268" s="753" t="s">
        <v>448</v>
      </c>
      <c r="D1268" s="503" t="str">
        <f>Translations!$B$647</f>
        <v>Netvarios BioC dalis:</v>
      </c>
      <c r="E1268" s="504"/>
      <c r="F1268" s="588"/>
      <c r="G1268" s="1603" t="str">
        <f t="shared" si="308"/>
        <v/>
      </c>
      <c r="H1268" s="1604"/>
      <c r="I1268" s="1114" t="str">
        <f>IF(OR(AC1268=FALSE,Y1268=EUconst_NA),"","-")</f>
        <v/>
      </c>
      <c r="J1268" s="560"/>
      <c r="K1268" s="589" t="str">
        <f t="shared" si="309"/>
        <v/>
      </c>
      <c r="L1268" s="1100"/>
      <c r="M1268" s="700" t="str">
        <f>IF(AND(E1251&lt;&gt;"",OR(F1268="",COUNT(K1268:L1268)=0),Y1268&lt;&gt;EUconst_NA,T1251&lt;&gt;TRUE),EUconst_ERR_Incomplete,IF(COUNTIF(AX1268:AZ1268,TRUE)&gt;0,EUconst_ERR_Inconsistent,""))</f>
        <v/>
      </c>
      <c r="O1268" s="1305"/>
      <c r="P1268" s="635"/>
      <c r="Q1268" s="635"/>
      <c r="R1268" s="635"/>
      <c r="S1268" s="30"/>
      <c r="T1268" s="590" t="str">
        <f>EUconst_CNTR_BiomassContent&amp;E1251</f>
        <v>BioC_</v>
      </c>
      <c r="U1268" s="488"/>
      <c r="V1268" s="570" t="str">
        <f t="shared" si="314"/>
        <v/>
      </c>
      <c r="W1268" s="571" t="str">
        <f>IF(COUNTIF(MSPara_SourceStreamCategory,V1268)=0,"",INDEX(MSPara_IsFossil,MATCH(V1268,MSPara_SourceStreamCategory,0)))</f>
        <v/>
      </c>
      <c r="X1268" s="488"/>
      <c r="Y1268" s="591" t="str">
        <f>IF(OR(T1251=TRUE,E1251=""),"",IF(OR(W1268=TRUE,F1268=EUconst_NA),EUconst_NA,INDEX(EUwideConstants!$N:$N,MATCH(T1268,EUwideConstants!$Q:$Q,0))))</f>
        <v/>
      </c>
      <c r="Z1268" s="592" t="str">
        <f>IF(ISBLANK(F1268),"",IF(F1268=EUconst_NA,"",INDEX(EUwideConstants!$H:$M,MATCH(T1268,EUwideConstants!$Q:$Q,0),MATCH(F1268,CNTR_TierList,0))))</f>
        <v/>
      </c>
      <c r="AA1268" s="593" t="str">
        <f>IF(F1268=1,1,"")</f>
        <v/>
      </c>
      <c r="AB1268" s="30"/>
      <c r="AC1268" s="594" t="b">
        <f>AND(AC1260,Y1268&lt;&gt;EUconst_NA)</f>
        <v>0</v>
      </c>
      <c r="AD1268" s="30"/>
      <c r="AE1268" s="595"/>
      <c r="AF1268" s="596"/>
      <c r="AG1268" s="597"/>
      <c r="AH1268" s="598"/>
      <c r="AI1268" s="598"/>
      <c r="AJ1268" s="598"/>
      <c r="AK1268" s="599"/>
      <c r="AL1268" s="333"/>
      <c r="AM1268" s="600" t="str">
        <f>EUconst_CNTR_BiomassContent&amp;EUconst_Value</f>
        <v>BioC_Vertė</v>
      </c>
      <c r="AN1268" s="596"/>
      <c r="AO1268" s="601" t="str">
        <f>IF(AC1268=TRUE,IF(COUNTIF(MSPara_SourceStreamCategory,V1268)=0,"",INDEX(MSPara_CalcFactorsMatrix,MATCH(V1268,MSPara_SourceStreamCategory,0),MATCH(AM1268&amp;"_"&amp;2,MSPara_CalcFactors,0))),"")</f>
        <v/>
      </c>
      <c r="AP1268" s="598"/>
      <c r="AQ1268" s="602" t="str">
        <f>IF(OR(AA1268="",AO1268=EUconst_NA),"",AO1268)</f>
        <v/>
      </c>
      <c r="AR1268" s="594">
        <f>IF(AC1268=TRUE,IF(COUNT(K1268:L1268)=0,0,IF(L1268="",K1268,L1268)),0)</f>
        <v>0</v>
      </c>
      <c r="AS1268" s="603" t="b">
        <f>AND(AC1268=TRUE,OR(AND(F1268&lt;&gt;"",NOT(ISNUMBER(AA1268))),L1268&lt;&gt;"",F1268="",AQ1268=""))</f>
        <v>0</v>
      </c>
      <c r="AT1268" s="603" t="b">
        <f t="shared" si="310"/>
        <v>0</v>
      </c>
      <c r="AU1268" s="30"/>
      <c r="AV1268" s="604" t="b">
        <f t="shared" si="311"/>
        <v>0</v>
      </c>
      <c r="AW1268" s="605" t="b">
        <f t="shared" si="312"/>
        <v>0</v>
      </c>
      <c r="AX1268" s="30"/>
      <c r="AY1268" s="570" t="b">
        <f t="shared" si="313"/>
        <v>0</v>
      </c>
      <c r="AZ1268" s="571" t="b">
        <f>OR(AR1267&gt;100%,(AR1267+AR1268)&gt;100%)</f>
        <v>0</v>
      </c>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571" t="b">
        <f>OR(BZ1260,Y1268=EUconst_NA)</f>
        <v>1</v>
      </c>
    </row>
    <row r="1269" spans="1:78" s="140" customFormat="1" ht="5.0999999999999996" customHeight="1" x14ac:dyDescent="0.2">
      <c r="A1269" s="777"/>
      <c r="B1269" s="1248"/>
      <c r="C1269" s="164"/>
      <c r="D1269" s="178"/>
      <c r="O1269" s="1305"/>
      <c r="P1269" s="33"/>
      <c r="Q1269" s="33"/>
      <c r="R1269" s="33"/>
      <c r="S1269" s="172"/>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row>
    <row r="1270" spans="1:78" s="140" customFormat="1" ht="12.75" customHeight="1" x14ac:dyDescent="0.2">
      <c r="A1270" s="777"/>
      <c r="B1270" s="1248"/>
      <c r="C1270" s="164"/>
      <c r="D1270" s="1629" t="str">
        <f>Translations!$B$674</f>
        <v>Pakopos galioja nuo:</v>
      </c>
      <c r="E1270" s="1629"/>
      <c r="F1270" s="1630"/>
      <c r="G1270" s="1014"/>
      <c r="H1270" s="606" t="str">
        <f>Translations!$B$675</f>
        <v>iki:</v>
      </c>
      <c r="I1270" s="1014"/>
      <c r="J1270" s="1620" t="str">
        <f>Translations!$B$676</f>
        <v>Atliekų katalogo numeris (jeigu taikytina):</v>
      </c>
      <c r="K1270" s="1621"/>
      <c r="L1270" s="1621"/>
      <c r="M1270" s="1622"/>
      <c r="N1270" s="1232"/>
      <c r="O1270" s="1305"/>
      <c r="P1270" s="33"/>
      <c r="Q1270" s="33"/>
      <c r="R1270" s="33"/>
      <c r="S1270" s="1233"/>
      <c r="T1270" s="483"/>
      <c r="U1270" s="483"/>
      <c r="V1270" s="48" t="b">
        <f>IF(V1260="",FALSE,INDEX(CNTR_IsWaste,MATCH(V1260,MSParameters!$A$218:$A$376,0)))</f>
        <v>0</v>
      </c>
      <c r="W1270" s="1233" t="s">
        <v>1689</v>
      </c>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2" t="b">
        <f>BZ1260</f>
        <v>1</v>
      </c>
    </row>
    <row r="1271" spans="1:78" s="140" customFormat="1" ht="5.0999999999999996" customHeight="1" x14ac:dyDescent="0.2">
      <c r="A1271" s="777"/>
      <c r="B1271" s="1248"/>
      <c r="C1271" s="164"/>
      <c r="D1271" s="606"/>
      <c r="E1271" s="486"/>
      <c r="F1271" s="486"/>
      <c r="G1271" s="486"/>
      <c r="H1271" s="486"/>
      <c r="I1271" s="486"/>
      <c r="J1271" s="486"/>
      <c r="K1271" s="486"/>
      <c r="L1271" s="486"/>
      <c r="M1271" s="486"/>
      <c r="N1271" s="486"/>
      <c r="O1271" s="1305"/>
      <c r="P1271" s="33"/>
      <c r="Q1271" s="33"/>
      <c r="R1271" s="33"/>
      <c r="S1271" s="172"/>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row>
    <row r="1272" spans="1:78" s="140" customFormat="1" ht="12.75" customHeight="1" x14ac:dyDescent="0.2">
      <c r="A1272" s="777"/>
      <c r="B1272" s="1248"/>
      <c r="C1272" s="164"/>
      <c r="D1272" s="486"/>
      <c r="E1272" s="486"/>
      <c r="F1272" s="486"/>
      <c r="G1272" s="486"/>
      <c r="H1272" s="486"/>
      <c r="I1272" s="486"/>
      <c r="J1272" s="486"/>
      <c r="K1272" s="486"/>
      <c r="L1272" s="486"/>
      <c r="M1272" s="606" t="str">
        <f>Translations!$B$677</f>
        <v>Stebėsenos plane šiam sukėlikliui suteiktas identifikatorius:</v>
      </c>
      <c r="N1272" s="705"/>
      <c r="O1272" s="1305"/>
      <c r="P1272" s="33"/>
      <c r="Q1272" s="33"/>
      <c r="R1272" s="33"/>
      <c r="S1272" s="172"/>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2" t="b">
        <f>BZ1270</f>
        <v>1</v>
      </c>
    </row>
    <row r="1273" spans="1:78" s="140" customFormat="1" ht="5.0999999999999996" customHeight="1" x14ac:dyDescent="0.2">
      <c r="A1273" s="784"/>
      <c r="B1273" s="1316"/>
      <c r="D1273" s="178"/>
      <c r="O1273" s="1317"/>
      <c r="P1273" s="488"/>
      <c r="Q1273" s="488"/>
      <c r="R1273" s="488"/>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row>
    <row r="1274" spans="1:78" s="140" customFormat="1" x14ac:dyDescent="0.2">
      <c r="A1274" s="784"/>
      <c r="B1274" s="1316"/>
      <c r="D1274" s="1618" t="str">
        <f>Translations!$B$160</f>
        <v>Pastabos:</v>
      </c>
      <c r="E1274" s="1619"/>
      <c r="F1274" s="1605"/>
      <c r="G1274" s="1606"/>
      <c r="H1274" s="1606"/>
      <c r="I1274" s="1606"/>
      <c r="J1274" s="1606"/>
      <c r="K1274" s="1606"/>
      <c r="L1274" s="1606"/>
      <c r="M1274" s="1606"/>
      <c r="N1274" s="1607"/>
      <c r="O1274" s="1317"/>
      <c r="P1274" s="488"/>
      <c r="Q1274" s="488"/>
      <c r="R1274" s="488"/>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2" t="b">
        <f>BZ1270</f>
        <v>1</v>
      </c>
    </row>
    <row r="1275" spans="1:78" s="28" customFormat="1" ht="12.75" customHeight="1" thickBot="1" x14ac:dyDescent="0.25">
      <c r="A1275" s="777"/>
      <c r="B1275" s="1312"/>
      <c r="C1275" s="490"/>
      <c r="D1275" s="491"/>
      <c r="E1275" s="492"/>
      <c r="F1275" s="490"/>
      <c r="G1275" s="493"/>
      <c r="H1275" s="493"/>
      <c r="I1275" s="493"/>
      <c r="J1275" s="493"/>
      <c r="K1275" s="493"/>
      <c r="L1275" s="493"/>
      <c r="M1275" s="493"/>
      <c r="N1275" s="493"/>
      <c r="O1275" s="1313"/>
      <c r="P1275" s="485"/>
      <c r="Q1275" s="485"/>
      <c r="R1275" s="485"/>
      <c r="S1275" s="58"/>
      <c r="T1275" s="58"/>
      <c r="U1275" s="489"/>
      <c r="V1275" s="58"/>
      <c r="W1275" s="58"/>
      <c r="X1275" s="489"/>
      <c r="Y1275" s="58"/>
      <c r="Z1275" s="58"/>
      <c r="AA1275" s="58"/>
      <c r="AB1275" s="58"/>
      <c r="AC1275" s="58"/>
      <c r="AD1275" s="58"/>
      <c r="AE1275" s="58"/>
      <c r="AF1275" s="58"/>
      <c r="AG1275" s="58"/>
      <c r="AH1275" s="58"/>
      <c r="AI1275" s="58"/>
      <c r="AJ1275" s="58"/>
      <c r="AK1275" s="58"/>
      <c r="AL1275" s="58"/>
      <c r="AM1275" s="58"/>
      <c r="AN1275" s="58"/>
      <c r="AO1275" s="58"/>
      <c r="AP1275" s="58"/>
      <c r="AQ1275" s="58"/>
      <c r="AR1275" s="58"/>
      <c r="AS1275" s="58"/>
      <c r="AT1275" s="58"/>
      <c r="AU1275" s="58"/>
      <c r="AV1275" s="58"/>
      <c r="AW1275" s="58"/>
      <c r="AX1275" s="58"/>
      <c r="AY1275" s="58"/>
      <c r="AZ1275" s="58"/>
      <c r="BA1275" s="58"/>
      <c r="BB1275" s="58"/>
      <c r="BC1275" s="58"/>
      <c r="BD1275" s="58"/>
      <c r="BE1275" s="58"/>
      <c r="BF1275" s="58"/>
      <c r="BG1275" s="58"/>
      <c r="BH1275" s="58"/>
      <c r="BI1275" s="30"/>
      <c r="BJ1275" s="30"/>
      <c r="BK1275" s="30"/>
      <c r="BL1275" s="58"/>
      <c r="BM1275" s="58"/>
      <c r="BN1275" s="58"/>
      <c r="BO1275" s="58"/>
      <c r="BP1275" s="58"/>
      <c r="BQ1275" s="58"/>
      <c r="BR1275" s="58"/>
      <c r="BS1275" s="58"/>
      <c r="BT1275" s="58"/>
      <c r="BU1275" s="58"/>
      <c r="BV1275" s="58"/>
      <c r="BW1275" s="58"/>
      <c r="BX1275" s="58"/>
      <c r="BY1275" s="58"/>
      <c r="BZ1275" s="58"/>
    </row>
    <row r="1276" spans="1:78" s="28" customFormat="1" ht="12.75" customHeight="1" thickBot="1" x14ac:dyDescent="0.25">
      <c r="A1276" s="782"/>
      <c r="B1276" s="1312"/>
      <c r="C1276" s="486"/>
      <c r="D1276" s="178"/>
      <c r="E1276" s="487"/>
      <c r="F1276" s="486"/>
      <c r="G1276" s="478"/>
      <c r="H1276" s="478"/>
      <c r="I1276" s="478"/>
      <c r="J1276" s="478"/>
      <c r="K1276" s="486"/>
      <c r="L1276" s="478"/>
      <c r="M1276" s="478"/>
      <c r="N1276" s="478"/>
      <c r="O1276" s="1313"/>
      <c r="P1276" s="485"/>
      <c r="Q1276" s="485"/>
      <c r="R1276" s="485"/>
      <c r="S1276" s="23"/>
      <c r="T1276" s="27" t="str">
        <f>IF(ISBLANK(E1277),"",MATCH(E1277,CNTR_SourceStreamNames,0))</f>
        <v/>
      </c>
      <c r="U1276" s="609" t="str">
        <f>IF(ISBLANK(E1277),"",INDEX(B_InstallationDescription!$D$71:$D$145,MATCH(E1277,CNTR_SourceStreamNames,0)))</f>
        <v/>
      </c>
      <c r="V1276" s="76"/>
      <c r="W1276" s="56"/>
      <c r="X1276" s="56"/>
      <c r="Y1276" s="56"/>
      <c r="Z1276" s="58"/>
      <c r="AA1276" s="58"/>
      <c r="AB1276" s="58"/>
      <c r="AC1276" s="58"/>
      <c r="AD1276" s="58"/>
      <c r="AE1276" s="58"/>
      <c r="AF1276" s="58"/>
      <c r="AG1276" s="58"/>
      <c r="AH1276" s="58"/>
      <c r="AI1276" s="58"/>
      <c r="AJ1276" s="58"/>
      <c r="AK1276" s="482"/>
      <c r="AL1276" s="58"/>
      <c r="AM1276" s="58"/>
      <c r="AN1276" s="58"/>
      <c r="AO1276" s="58"/>
      <c r="AP1276" s="58"/>
      <c r="AQ1276" s="58"/>
      <c r="AR1276" s="58"/>
      <c r="AS1276" s="58"/>
      <c r="AT1276" s="58"/>
      <c r="AU1276" s="58"/>
      <c r="AV1276" s="58"/>
      <c r="AW1276" s="58"/>
      <c r="AX1276" s="58"/>
      <c r="AY1276" s="58"/>
      <c r="AZ1276" s="58"/>
      <c r="BA1276" s="58"/>
      <c r="BB1276" s="58"/>
      <c r="BC1276" s="58"/>
      <c r="BD1276" s="58"/>
      <c r="BE1276" s="58"/>
      <c r="BF1276" s="58"/>
      <c r="BG1276" s="58"/>
      <c r="BH1276" s="56"/>
      <c r="BI1276" s="56"/>
      <c r="BJ1276" s="56"/>
      <c r="BK1276" s="56"/>
      <c r="BL1276" s="56"/>
      <c r="BM1276" s="56"/>
      <c r="BN1276" s="56"/>
      <c r="BO1276" s="56"/>
      <c r="BP1276" s="56"/>
      <c r="BQ1276" s="56"/>
      <c r="BR1276" s="56"/>
      <c r="BS1276" s="56"/>
      <c r="BT1276" s="56"/>
      <c r="BU1276" s="56"/>
      <c r="BV1276" s="56"/>
      <c r="BW1276" s="56"/>
      <c r="BX1276" s="56"/>
      <c r="BY1276" s="56"/>
      <c r="BZ1276" s="484" t="s">
        <v>259</v>
      </c>
    </row>
    <row r="1277" spans="1:78" s="140" customFormat="1" ht="15" customHeight="1" thickBot="1" x14ac:dyDescent="0.25">
      <c r="A1277" s="1302" t="str">
        <f>IF(E1277="","","PRINT")</f>
        <v/>
      </c>
      <c r="B1277" s="1248"/>
      <c r="C1277" s="608">
        <f>C1250+1</f>
        <v>46</v>
      </c>
      <c r="D1277" s="164"/>
      <c r="E1277" s="1610"/>
      <c r="F1277" s="1611"/>
      <c r="G1277" s="1611"/>
      <c r="H1277" s="1611"/>
      <c r="I1277" s="1611"/>
      <c r="J1277" s="1612"/>
      <c r="K1277" s="1623" t="str">
        <f>IF(E1278="","",INDEX(EUwideConstants!$F$353:$F$394,MATCH(E1278,EUConst_TierActivityListNames,0)))</f>
        <v/>
      </c>
      <c r="L1277" s="1624"/>
      <c r="M1277" s="494" t="str">
        <f>Translations!$B$665</f>
        <v>CO2, iškastinio kuro kilmės:</v>
      </c>
      <c r="N1277" s="1012" t="str">
        <f>IF(OR(K1277="",T1278=TRUE),"",INDEX(BC1291:BE1291,MATCH(K1277,BC1287:BE1287,0)))</f>
        <v/>
      </c>
      <c r="O1277" s="1314" t="s">
        <v>257</v>
      </c>
      <c r="P1277" s="1303" t="str">
        <f>IF(AND(E1277&lt;&gt;"",COUNTIF(P1278:$P$2089,"PRINT")=0),"PRINT","")</f>
        <v/>
      </c>
      <c r="Q1277" s="343" t="str">
        <f>EUconst_SumCO2 &amp; "_" &amp; K1277</f>
        <v>SUM_CO2_</v>
      </c>
      <c r="R1277" s="485"/>
      <c r="S1277" s="23"/>
      <c r="T1277" s="500" t="s">
        <v>387</v>
      </c>
      <c r="U1277" s="23"/>
      <c r="V1277" s="76"/>
      <c r="W1277" s="56"/>
      <c r="X1277" s="58"/>
      <c r="Y1277" s="58"/>
      <c r="Z1277" s="58"/>
      <c r="AA1277" s="58"/>
      <c r="AB1277" s="58"/>
      <c r="AC1277" s="58"/>
      <c r="AD1277" s="58"/>
      <c r="AE1277" s="58"/>
      <c r="AF1277" s="58"/>
      <c r="AG1277" s="58"/>
      <c r="AH1277" s="58"/>
      <c r="AI1277" s="333"/>
      <c r="AJ1277" s="333"/>
      <c r="AK1277" s="333"/>
      <c r="AL1277" s="333"/>
      <c r="AM1277" s="333"/>
      <c r="AN1277" s="333"/>
      <c r="AO1277" s="333"/>
      <c r="AP1277" s="333"/>
      <c r="AQ1277" s="333"/>
      <c r="AR1277" s="333"/>
      <c r="AS1277" s="333"/>
      <c r="AT1277" s="333"/>
      <c r="AU1277" s="333"/>
      <c r="AV1277" s="333"/>
      <c r="AW1277" s="333"/>
      <c r="AX1277" s="333"/>
      <c r="AY1277" s="333"/>
      <c r="AZ1277" s="333"/>
      <c r="BA1277" s="333"/>
      <c r="BB1277" s="333"/>
      <c r="BC1277" s="333"/>
      <c r="BD1277" s="333"/>
      <c r="BE1277" s="333"/>
      <c r="BF1277" s="333"/>
      <c r="BG1277" s="333"/>
      <c r="BH1277" s="834">
        <f>AR1287</f>
        <v>0</v>
      </c>
      <c r="BI1277" s="834" t="str">
        <f>AJ1287</f>
        <v/>
      </c>
      <c r="BJ1277" s="834">
        <f>AR1289</f>
        <v>0</v>
      </c>
      <c r="BK1277" s="834" t="str">
        <f>AJ1289</f>
        <v/>
      </c>
      <c r="BL1277" s="834">
        <f>AR1290</f>
        <v>0</v>
      </c>
      <c r="BM1277" s="834" t="str">
        <f>AJ1290</f>
        <v/>
      </c>
      <c r="BN1277" s="834">
        <f>AR1291</f>
        <v>1</v>
      </c>
      <c r="BO1277" s="834">
        <f>AR1292</f>
        <v>1</v>
      </c>
      <c r="BP1277" s="834">
        <f>AR1293</f>
        <v>0</v>
      </c>
      <c r="BQ1277" s="834" t="str">
        <f>AJ1293</f>
        <v/>
      </c>
      <c r="BR1277" s="834">
        <f>AR1294</f>
        <v>0</v>
      </c>
      <c r="BS1277" s="834">
        <f>AR1295</f>
        <v>0</v>
      </c>
      <c r="BT1277" s="834" t="str">
        <f>N1277</f>
        <v/>
      </c>
      <c r="BU1277" s="834" t="str">
        <f>N1278</f>
        <v/>
      </c>
      <c r="BV1277" s="834" t="str">
        <f>R1280</f>
        <v/>
      </c>
      <c r="BW1277" s="834" t="str">
        <f>R1286</f>
        <v/>
      </c>
      <c r="BX1277" s="834" t="str">
        <f>R1287</f>
        <v/>
      </c>
      <c r="BY1277" s="56"/>
      <c r="BZ1277" s="610" t="b">
        <f>CNTR_CalcRelevant=EUconst_NotRelevant</f>
        <v>0</v>
      </c>
    </row>
    <row r="1278" spans="1:78" s="140" customFormat="1" ht="15" customHeight="1" thickBot="1" x14ac:dyDescent="0.25">
      <c r="A1278" s="777"/>
      <c r="B1278" s="1248"/>
      <c r="C1278" s="164"/>
      <c r="D1278" s="164"/>
      <c r="E1278" s="1625" t="str">
        <f>IF(ISBLANK(E1277),"",IF(INDEX(B_InstallationDescription!$E$71:$E$145,MATCH(U1276,B_InstallationDescription!$D$71:$D$145,0))&gt;0,INDEX(B_InstallationDescription!$E$71:$E$145,MATCH(U1276,B_InstallationDescription!$D$71:$D$145,0)),""))</f>
        <v/>
      </c>
      <c r="F1278" s="1626"/>
      <c r="G1278" s="1626"/>
      <c r="H1278" s="1626"/>
      <c r="I1278" s="1626"/>
      <c r="J1278" s="1627"/>
      <c r="M1278" s="337" t="str">
        <f>Translations!$B$666</f>
        <v>CO2, biomasės kilmės.:</v>
      </c>
      <c r="N1278" s="1013" t="str">
        <f>IF(OR(K1277="",T1278=TRUE),"",INDEX(BC1290:BE1290,MATCH(K1277,BC1287:BE1287,0)))</f>
        <v/>
      </c>
      <c r="O1278" s="1315" t="s">
        <v>257</v>
      </c>
      <c r="P1278" s="485"/>
      <c r="Q1278" s="343" t="str">
        <f>EUconst_SumBioCO2 &amp; "_" &amp; K1277</f>
        <v>SUM_bioCO2_</v>
      </c>
      <c r="R1278" s="485"/>
      <c r="S1278" s="23"/>
      <c r="T1278" s="48" t="str">
        <f>IF(E1278="","",MATCH(E1278,EUConst_TierActivityListNames,0)&gt;40)</f>
        <v/>
      </c>
      <c r="U1278" s="23"/>
      <c r="V1278" s="76"/>
      <c r="W1278" s="56"/>
      <c r="X1278" s="58"/>
      <c r="Y1278" s="27" t="s">
        <v>91</v>
      </c>
      <c r="Z1278" s="30"/>
      <c r="AA1278" s="30"/>
      <c r="AB1278" s="30"/>
      <c r="AC1278" s="30"/>
      <c r="AD1278" s="30"/>
      <c r="AE1278" s="27" t="s">
        <v>297</v>
      </c>
      <c r="AF1278" s="58"/>
      <c r="AG1278" s="495"/>
      <c r="AH1278" s="30"/>
      <c r="AI1278" s="30"/>
      <c r="AJ1278" s="495"/>
      <c r="AK1278" s="495"/>
      <c r="AL1278" s="333"/>
      <c r="AM1278" s="27" t="s">
        <v>303</v>
      </c>
      <c r="AN1278" s="496"/>
      <c r="AO1278" s="496"/>
      <c r="AP1278" s="30"/>
      <c r="AQ1278" s="30"/>
      <c r="AR1278" s="30"/>
      <c r="AS1278" s="30"/>
      <c r="AT1278" s="30"/>
      <c r="AU1278" s="30"/>
      <c r="AV1278" s="27" t="s">
        <v>310</v>
      </c>
      <c r="AW1278" s="30"/>
      <c r="AX1278" s="483"/>
      <c r="AY1278" s="30"/>
      <c r="AZ1278" s="30"/>
      <c r="BA1278" s="30"/>
      <c r="BB1278" s="27" t="s">
        <v>217</v>
      </c>
      <c r="BC1278" s="30"/>
      <c r="BD1278" s="30"/>
      <c r="BE1278" s="30"/>
      <c r="BF1278" s="30"/>
      <c r="BG1278" s="27" t="s">
        <v>486</v>
      </c>
      <c r="BH1278" s="833" t="s">
        <v>552</v>
      </c>
      <c r="BI1278" s="833" t="s">
        <v>487</v>
      </c>
      <c r="BJ1278" s="833" t="s">
        <v>211</v>
      </c>
      <c r="BK1278" s="833" t="s">
        <v>488</v>
      </c>
      <c r="BL1278" s="833" t="s">
        <v>68</v>
      </c>
      <c r="BM1278" s="833" t="s">
        <v>489</v>
      </c>
      <c r="BN1278" s="833" t="s">
        <v>490</v>
      </c>
      <c r="BO1278" s="833" t="s">
        <v>491</v>
      </c>
      <c r="BP1278" s="833" t="s">
        <v>214</v>
      </c>
      <c r="BQ1278" s="833" t="s">
        <v>492</v>
      </c>
      <c r="BR1278" s="833" t="s">
        <v>493</v>
      </c>
      <c r="BS1278" s="833" t="s">
        <v>494</v>
      </c>
      <c r="BT1278" s="833" t="s">
        <v>287</v>
      </c>
      <c r="BU1278" s="833" t="s">
        <v>495</v>
      </c>
      <c r="BV1278" s="833" t="s">
        <v>498</v>
      </c>
      <c r="BW1278" s="833" t="s">
        <v>496</v>
      </c>
      <c r="BX1278" s="833" t="s">
        <v>497</v>
      </c>
      <c r="BY1278" s="30"/>
      <c r="BZ1278" s="30"/>
    </row>
    <row r="1279" spans="1:78" s="140" customFormat="1" ht="5.0999999999999996" customHeight="1" thickBot="1" x14ac:dyDescent="0.25">
      <c r="A1279" s="777"/>
      <c r="B1279" s="1248"/>
      <c r="C1279" s="164"/>
      <c r="D1279" s="164"/>
      <c r="E1279" s="164"/>
      <c r="F1279" s="164"/>
      <c r="G1279" s="164"/>
      <c r="M1279" s="141"/>
      <c r="N1279" s="141"/>
      <c r="O1279" s="1305"/>
      <c r="P1279" s="33"/>
      <c r="Q1279" s="33"/>
      <c r="R1279" s="33"/>
      <c r="S1279" s="23"/>
      <c r="T1279" s="23"/>
      <c r="U1279" s="23"/>
      <c r="V1279" s="76"/>
      <c r="W1279" s="30"/>
      <c r="X1279" s="30"/>
      <c r="Y1279" s="485"/>
      <c r="Z1279" s="30"/>
      <c r="AA1279" s="30"/>
      <c r="AB1279" s="30"/>
      <c r="AC1279" s="30"/>
      <c r="AD1279" s="30"/>
      <c r="AE1279" s="30"/>
      <c r="AF1279" s="58"/>
      <c r="AG1279" s="30"/>
      <c r="AH1279" s="30"/>
      <c r="AI1279" s="30"/>
      <c r="AJ1279" s="495"/>
      <c r="AK1279" s="495"/>
      <c r="AL1279" s="333"/>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row>
    <row r="1280" spans="1:78" s="140" customFormat="1" ht="12.75" customHeight="1" thickBot="1" x14ac:dyDescent="0.25">
      <c r="A1280" s="777"/>
      <c r="B1280" s="1248"/>
      <c r="C1280" s="164"/>
      <c r="D1280" s="164"/>
      <c r="E1280" s="1628" t="str">
        <f>IF(E1277="","",IF(T1278=TRUE,HYPERLINK("#JUMP_14",EUconst_MsgGoOnPFC),HYPERLINK("#JUMP_E_8",EUconst_FurtherGuidancePoint1)))</f>
        <v/>
      </c>
      <c r="F1280" s="1628"/>
      <c r="G1280" s="1628"/>
      <c r="H1280" s="1628"/>
      <c r="I1280" s="1628"/>
      <c r="J1280" s="1628"/>
      <c r="K1280" s="1628"/>
      <c r="L1280" s="1628"/>
      <c r="M1280" s="1628"/>
      <c r="N1280" s="141"/>
      <c r="O1280" s="1305"/>
      <c r="P1280" s="33"/>
      <c r="Q1280" s="343" t="str">
        <f>EUconst_SumNonSustBioCO2 &amp; "_" &amp; K1277</f>
        <v>SUM_bioNonSustCO2_</v>
      </c>
      <c r="R1280" s="698" t="str">
        <f>IF(OR(K1277="",T1278=TRUE),"",ROUND(INDEX(BC1289:BE1289,MATCH(K1277,BC1287:BE1287,0)),0))</f>
        <v/>
      </c>
      <c r="S1280" s="23"/>
      <c r="T1280" s="23"/>
      <c r="U1280" s="23"/>
      <c r="V1280" s="30"/>
      <c r="W1280" s="30"/>
      <c r="X1280" s="30"/>
      <c r="Y1280" s="58"/>
      <c r="Z1280" s="30"/>
      <c r="AA1280" s="30"/>
      <c r="AB1280" s="30"/>
      <c r="AC1280" s="30"/>
      <c r="AD1280" s="30"/>
      <c r="AE1280" s="30"/>
      <c r="AF1280" s="58"/>
      <c r="AG1280" s="30"/>
      <c r="AH1280" s="30"/>
      <c r="AI1280" s="30"/>
      <c r="AJ1280" s="495"/>
      <c r="AK1280" s="495"/>
      <c r="AL1280" s="333"/>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row>
    <row r="1281" spans="1:78" s="140" customFormat="1" ht="5.0999999999999996" customHeight="1" thickBot="1" x14ac:dyDescent="0.25">
      <c r="A1281" s="777"/>
      <c r="B1281" s="1248"/>
      <c r="C1281" s="164"/>
      <c r="D1281" s="164"/>
      <c r="E1281" s="164"/>
      <c r="F1281" s="164"/>
      <c r="G1281" s="164"/>
      <c r="M1281" s="141"/>
      <c r="N1281" s="141"/>
      <c r="O1281" s="1305"/>
      <c r="P1281" s="23"/>
      <c r="Q1281" s="23"/>
      <c r="R1281" s="23"/>
      <c r="S1281" s="23"/>
      <c r="T1281" s="23"/>
      <c r="U1281" s="23"/>
      <c r="V1281" s="30"/>
      <c r="W1281" s="30"/>
      <c r="X1281" s="30"/>
      <c r="Y1281" s="485"/>
      <c r="Z1281" s="30"/>
      <c r="AA1281" s="30"/>
      <c r="AB1281" s="30"/>
      <c r="AC1281" s="30"/>
      <c r="AD1281" s="30"/>
      <c r="AE1281" s="30"/>
      <c r="AF1281" s="58"/>
      <c r="AG1281" s="30"/>
      <c r="AH1281" s="30"/>
      <c r="AI1281" s="30"/>
      <c r="AJ1281" s="495"/>
      <c r="AK1281" s="495"/>
      <c r="AL1281" s="333"/>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row>
    <row r="1282" spans="1:78" s="140" customFormat="1" ht="12.75" customHeight="1" thickBot="1" x14ac:dyDescent="0.25">
      <c r="A1282" s="777"/>
      <c r="B1282" s="1248"/>
      <c r="C1282" s="783" t="s">
        <v>4</v>
      </c>
      <c r="D1282" s="503" t="str">
        <f>Translations!$B$622</f>
        <v>VD:</v>
      </c>
      <c r="E1282" s="1631" t="str">
        <f>Translations!$B$667</f>
        <v>Ar veiklos duomenys gaunami sudedant išmatuotus kiekius (t. y. ne atliekant nuolatinius matavimus)?</v>
      </c>
      <c r="F1282" s="1631"/>
      <c r="G1282" s="1631"/>
      <c r="H1282" s="1631"/>
      <c r="I1282" s="1631"/>
      <c r="J1282" s="1631"/>
      <c r="K1282" s="1631"/>
      <c r="L1282" s="1122"/>
      <c r="M1282" s="498"/>
      <c r="O1282" s="1305"/>
      <c r="P1282" s="23"/>
      <c r="Q1282" s="23"/>
      <c r="R1282" s="23"/>
      <c r="S1282" s="23"/>
      <c r="T1282" s="23"/>
      <c r="U1282" s="23"/>
      <c r="V1282" s="30"/>
      <c r="W1282" s="30"/>
      <c r="X1282" s="30"/>
      <c r="Y1282" s="485"/>
      <c r="Z1282" s="30"/>
      <c r="AA1282" s="30"/>
      <c r="AB1282" s="30"/>
      <c r="AC1282" s="1115" t="b">
        <f>AND(E1277&lt;&gt;"",T1278&lt;&gt;TRUE)</f>
        <v>0</v>
      </c>
      <c r="AD1282" s="30"/>
      <c r="AE1282" s="30"/>
      <c r="AF1282" s="58"/>
      <c r="AG1282" s="30"/>
      <c r="AH1282" s="30"/>
      <c r="AI1282" s="30"/>
      <c r="AJ1282" s="495"/>
      <c r="AK1282" s="495"/>
      <c r="AL1282" s="333"/>
      <c r="AM1282" s="30"/>
      <c r="AN1282" s="30"/>
      <c r="AO1282" s="30"/>
      <c r="AP1282" s="30"/>
      <c r="AQ1282" s="30"/>
      <c r="AR1282" s="30"/>
      <c r="AS1282" s="30"/>
      <c r="AT1282" s="1115" t="b">
        <f>MSPara_BatchReportingMandatory&lt;&gt;TRUE</f>
        <v>0</v>
      </c>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1115" t="b">
        <f>OR(CNTR_CalcRelevant=EUconst_NotRelevant,AND(COUNTA(CNTR_ListRelevantSections)&gt;0,OR(T1278=TRUE,E1277="")))</f>
        <v>1</v>
      </c>
    </row>
    <row r="1283" spans="1:78" s="140" customFormat="1" ht="5.0999999999999996" customHeight="1" thickBot="1" x14ac:dyDescent="0.25">
      <c r="A1283" s="777"/>
      <c r="B1283" s="1248"/>
      <c r="C1283" s="164"/>
      <c r="D1283" s="164"/>
      <c r="E1283" s="164"/>
      <c r="F1283" s="164"/>
      <c r="G1283" s="164"/>
      <c r="H1283" s="486"/>
      <c r="I1283" s="486"/>
      <c r="J1283" s="486"/>
      <c r="K1283" s="486"/>
      <c r="L1283" s="486"/>
      <c r="M1283" s="498"/>
      <c r="O1283" s="1305"/>
      <c r="P1283" s="23"/>
      <c r="Q1283" s="23"/>
      <c r="R1283" s="23"/>
      <c r="S1283" s="23"/>
      <c r="T1283" s="23"/>
      <c r="U1283" s="23"/>
      <c r="V1283" s="30"/>
      <c r="W1283" s="30"/>
      <c r="X1283" s="30"/>
      <c r="Y1283" s="485"/>
      <c r="Z1283" s="30"/>
      <c r="AA1283" s="30"/>
      <c r="AB1283" s="30"/>
      <c r="AC1283" s="483"/>
      <c r="AD1283" s="30"/>
      <c r="AE1283" s="30"/>
      <c r="AF1283" s="58"/>
      <c r="AG1283" s="30"/>
      <c r="AH1283" s="30"/>
      <c r="AI1283" s="30"/>
      <c r="AJ1283" s="495"/>
      <c r="AK1283" s="495"/>
      <c r="AL1283" s="333"/>
      <c r="AM1283" s="30"/>
      <c r="AN1283" s="30"/>
      <c r="AO1283" s="30"/>
      <c r="AP1283" s="30"/>
      <c r="AQ1283" s="30"/>
      <c r="AR1283" s="30"/>
      <c r="AS1283" s="30"/>
      <c r="AT1283" s="483"/>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483"/>
    </row>
    <row r="1284" spans="1:78" s="140" customFormat="1" ht="12.75" customHeight="1" thickBot="1" x14ac:dyDescent="0.25">
      <c r="A1284" s="777"/>
      <c r="B1284" s="1248"/>
      <c r="C1284" s="783" t="s">
        <v>5</v>
      </c>
      <c r="D1284" s="503" t="str">
        <f>Translations!$B$622</f>
        <v>VD:</v>
      </c>
      <c r="E1284" s="1105" t="str">
        <f>Translations!$B$668</f>
        <v>Pradinis kiekis:</v>
      </c>
      <c r="F1284" s="1123"/>
      <c r="G1284" s="1106" t="str">
        <f>Translations!$B$669</f>
        <v>Galutinis kiekis:</v>
      </c>
      <c r="H1284" s="1123"/>
      <c r="I1284" s="1106" t="str">
        <f>Translations!$B$670</f>
        <v>Įsigytas kiekis:</v>
      </c>
      <c r="J1284" s="1123"/>
      <c r="K1284" s="1106" t="str">
        <f>Translations!$B$671</f>
        <v>Perduotas kiekis:</v>
      </c>
      <c r="L1284" s="1123"/>
      <c r="M1284" s="1107" t="str">
        <f>IF(AND(L1282=TRUE,COUNT(F1284,H1284,J1284,L1284)&lt;4),EUconst_ERR_Incomplete,"")</f>
        <v/>
      </c>
      <c r="O1284" s="1305"/>
      <c r="P1284" s="23"/>
      <c r="Q1284" s="23"/>
      <c r="R1284" s="23"/>
      <c r="S1284" s="23"/>
      <c r="T1284" s="23"/>
      <c r="U1284" s="23"/>
      <c r="V1284" s="30"/>
      <c r="W1284" s="30"/>
      <c r="X1284" s="30"/>
      <c r="Y1284" s="485"/>
      <c r="Z1284" s="30"/>
      <c r="AA1284" s="30"/>
      <c r="AB1284" s="30"/>
      <c r="AC1284" s="1115" t="b">
        <f>AC1282</f>
        <v>0</v>
      </c>
      <c r="AD1284" s="30"/>
      <c r="AE1284" s="30"/>
      <c r="AF1284" s="58"/>
      <c r="AG1284" s="30"/>
      <c r="AH1284" s="30"/>
      <c r="AI1284" s="30"/>
      <c r="AJ1284" s="495"/>
      <c r="AK1284" s="495"/>
      <c r="AL1284" s="333"/>
      <c r="AM1284" s="30"/>
      <c r="AN1284" s="30"/>
      <c r="AO1284" s="30"/>
      <c r="AP1284" s="30"/>
      <c r="AQ1284" s="30"/>
      <c r="AR1284" s="30"/>
      <c r="AS1284" s="30"/>
      <c r="AT1284" s="1115" t="b">
        <f>AND(AT1282=TRUE,L1282="")</f>
        <v>0</v>
      </c>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1115" t="b">
        <f>OR(BZ1282,AND(NOT(ISBLANK(L1282)),L1282=FALSE))</f>
        <v>1</v>
      </c>
    </row>
    <row r="1285" spans="1:78" s="140" customFormat="1" ht="5.0999999999999996" customHeight="1" thickBot="1" x14ac:dyDescent="0.25">
      <c r="A1285" s="777"/>
      <c r="B1285" s="1248"/>
      <c r="C1285" s="164"/>
      <c r="D1285" s="164"/>
      <c r="E1285" s="164"/>
      <c r="F1285" s="164"/>
      <c r="G1285" s="164"/>
      <c r="M1285" s="141"/>
      <c r="N1285" s="141"/>
      <c r="O1285" s="1305"/>
      <c r="P1285" s="23"/>
      <c r="Q1285" s="23"/>
      <c r="R1285" s="23"/>
      <c r="S1285" s="23"/>
      <c r="T1285" s="23"/>
      <c r="U1285" s="23"/>
      <c r="V1285" s="30"/>
      <c r="W1285" s="30"/>
      <c r="X1285" s="30"/>
      <c r="Y1285" s="485"/>
      <c r="Z1285" s="30"/>
      <c r="AA1285" s="30"/>
      <c r="AB1285" s="30"/>
      <c r="AC1285" s="30"/>
      <c r="AD1285" s="30"/>
      <c r="AE1285" s="30"/>
      <c r="AF1285" s="58"/>
      <c r="AG1285" s="30"/>
      <c r="AH1285" s="30"/>
      <c r="AI1285" s="30"/>
      <c r="AJ1285" s="495"/>
      <c r="AK1285" s="495"/>
      <c r="AL1285" s="333"/>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row>
    <row r="1286" spans="1:78" s="140" customFormat="1" ht="12.75" customHeight="1" thickBot="1" x14ac:dyDescent="0.25">
      <c r="A1286" s="777"/>
      <c r="B1286" s="1248"/>
      <c r="C1286" s="164"/>
      <c r="D1286" s="164"/>
      <c r="E1286" s="164"/>
      <c r="F1286" s="497" t="str">
        <f>Translations!$B$333</f>
        <v>Pakopa</v>
      </c>
      <c r="G1286" s="1613" t="str">
        <f>Translations!$B$672</f>
        <v>pakopos aprašas</v>
      </c>
      <c r="H1286" s="1613"/>
      <c r="I1286" s="1608" t="str">
        <f>Translations!$B$158</f>
        <v>Vienetas</v>
      </c>
      <c r="J1286" s="1608"/>
      <c r="K1286" s="1608" t="str">
        <f>Translations!$B$673</f>
        <v>Vertė</v>
      </c>
      <c r="L1286" s="1608"/>
      <c r="M1286" s="498" t="str">
        <f>Translations!$B$610</f>
        <v>klaida</v>
      </c>
      <c r="O1286" s="1305"/>
      <c r="P1286" s="499"/>
      <c r="Q1286" s="343" t="str">
        <f>EUconst_SumEnergyIN &amp; "_" &amp; K1277</f>
        <v>SUM_EnergyIN_</v>
      </c>
      <c r="R1286" s="390" t="str">
        <f>IF(OR(K1277="",T1278)=TRUE,"",INDEX(BC1292:BE1292,MATCH(K1277,BC1287:BE1287,0)))</f>
        <v/>
      </c>
      <c r="S1286" s="30"/>
      <c r="T1286" s="480"/>
      <c r="U1286" s="30"/>
      <c r="V1286" s="500" t="s">
        <v>298</v>
      </c>
      <c r="W1286" s="30"/>
      <c r="X1286" s="30"/>
      <c r="Y1286" s="485" t="s">
        <v>560</v>
      </c>
      <c r="Z1286" s="485" t="s">
        <v>313</v>
      </c>
      <c r="AA1286" s="30"/>
      <c r="AB1286" s="30"/>
      <c r="AC1286" s="496" t="s">
        <v>304</v>
      </c>
      <c r="AD1286" s="30"/>
      <c r="AE1286" s="30"/>
      <c r="AF1286" s="483" t="s">
        <v>300</v>
      </c>
      <c r="AG1286" s="483" t="s">
        <v>301</v>
      </c>
      <c r="AH1286" s="485" t="s">
        <v>299</v>
      </c>
      <c r="AI1286" s="495" t="s">
        <v>302</v>
      </c>
      <c r="AJ1286" s="495" t="s">
        <v>561</v>
      </c>
      <c r="AK1286" s="501" t="s">
        <v>306</v>
      </c>
      <c r="AL1286" s="333"/>
      <c r="AM1286" s="30"/>
      <c r="AN1286" s="483" t="s">
        <v>300</v>
      </c>
      <c r="AO1286" s="483" t="s">
        <v>301</v>
      </c>
      <c r="AP1286" s="502" t="s">
        <v>305</v>
      </c>
      <c r="AQ1286" s="495" t="s">
        <v>563</v>
      </c>
      <c r="AR1286" s="495" t="s">
        <v>562</v>
      </c>
      <c r="AS1286" s="501" t="s">
        <v>599</v>
      </c>
      <c r="AT1286" s="501" t="s">
        <v>599</v>
      </c>
      <c r="AU1286" s="30"/>
      <c r="AV1286" s="483"/>
      <c r="AW1286" s="483"/>
      <c r="AX1286" s="483" t="s">
        <v>316</v>
      </c>
      <c r="AY1286" s="483"/>
      <c r="AZ1286" s="483"/>
      <c r="BA1286" s="483"/>
      <c r="BB1286" s="483"/>
      <c r="BC1286" s="483"/>
      <c r="BD1286" s="483"/>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484" t="s">
        <v>259</v>
      </c>
    </row>
    <row r="1287" spans="1:78" s="140" customFormat="1" ht="12.75" customHeight="1" thickBot="1" x14ac:dyDescent="0.25">
      <c r="A1287" s="777"/>
      <c r="B1287" s="1248"/>
      <c r="C1287" s="753" t="s">
        <v>194</v>
      </c>
      <c r="D1287" s="503" t="str">
        <f>Translations!$B$622</f>
        <v>VD:</v>
      </c>
      <c r="E1287" s="504"/>
      <c r="F1287" s="393"/>
      <c r="G1287" s="1603" t="str">
        <f>IF(OR(ISBLANK(F1287),F1287=EUconst_NoTier),"",IF(Z1287=0,EUconst_NA,IF(ISERROR(Z1287),"",Z1287)))</f>
        <v/>
      </c>
      <c r="H1287" s="1604"/>
      <c r="I1287" s="1108" t="str">
        <f>IF(J1287&lt;&gt;"","",AI1287)</f>
        <v/>
      </c>
      <c r="J1287" s="1109"/>
      <c r="K1287" s="1116" t="str">
        <f>IF(L1287="",AQ1287,"")</f>
        <v/>
      </c>
      <c r="L1287" s="1199"/>
      <c r="M1287" s="700" t="str">
        <f>IF(AND(E1278&lt;&gt;"",OR(F1287="",COUNT(K1287:L1287)=0),Y1287&lt;&gt;EUconst_NA,T1278&lt;&gt;TRUE),EUconst_ERR_Incomplete,IF(COUNTIF(AX1287:AZ1287,TRUE)&gt;0,EUconst_ERR_Inconsistent,""))</f>
        <v/>
      </c>
      <c r="O1287" s="1305"/>
      <c r="P1287" s="635"/>
      <c r="Q1287" s="343" t="str">
        <f>EUconst_SumBioEnergyIN &amp; "_" &amp; K1277</f>
        <v>SUM_BioEnergyIN_</v>
      </c>
      <c r="R1287" s="390" t="str">
        <f>IF(OR(K1277="",T1278)=TRUE,"",INDEX(BC1293:BE1293,MATCH(K1277,BC1287:BE1287,0)))</f>
        <v/>
      </c>
      <c r="S1287" s="30"/>
      <c r="T1287" s="505" t="str">
        <f>EUconst_CNTR_ActivityData&amp;E1278</f>
        <v>ActivityData_</v>
      </c>
      <c r="U1287" s="488"/>
      <c r="V1287" s="505" t="str">
        <f>IF(E1277="","",INDEX(B_InstallationDescription!$I$71:$I$145,MATCH(U1276,B_InstallationDescription!$D$71:$D$145,0)))</f>
        <v/>
      </c>
      <c r="W1287" s="495" t="s">
        <v>533</v>
      </c>
      <c r="X1287" s="488"/>
      <c r="Y1287" s="506" t="str">
        <f>IF(OR(T1278=TRUE,E1278=""),"",INDEX(EUwideConstants!$N:$N,MATCH(T1287,EUwideConstants!$Q:$Q,0)))</f>
        <v/>
      </c>
      <c r="Z1287" s="507" t="str">
        <f>IF(ISBLANK(F1287),"",IF(F1287=EUconst_NA,"",INDEX(EUwideConstants!$H:$M,MATCH(T1287,EUwideConstants!$Q:$Q,0),MATCH(F1287,CNTR_TierList,0))))</f>
        <v/>
      </c>
      <c r="AA1287" s="508" t="s">
        <v>299</v>
      </c>
      <c r="AB1287" s="495"/>
      <c r="AC1287" s="509" t="b">
        <f>AC1282</f>
        <v>0</v>
      </c>
      <c r="AD1287" s="30"/>
      <c r="AE1287" s="510" t="str">
        <f>EUconst_CNTR_ActivityData&amp;EUconst_Unit</f>
        <v>ActivityData_Vienetas</v>
      </c>
      <c r="AF1287" s="511" t="str">
        <f>IF(AC1287=TRUE, IF(COUNTIF(MSPara_SourceStreamCategory,V1287)=0,"",INDEX(MSPara_CalcFactorsMatrix,MATCH(V1287,MSPara_SourceStreamCategory,0),MATCH(AE1287&amp;"_"&amp;2,MSPara_CalcFactors,0))),"")</f>
        <v/>
      </c>
      <c r="AG1287" s="512" t="str">
        <f>IF(AC1287=TRUE, IF(COUNTIF(MSPara_SourceStreamCategory,V1287)=0,"",INDEX(MSPara_CalcFactorsMatrix,MATCH(V1287,MSPara_SourceStreamCategory,0),MATCH(AE1287&amp;"_"&amp;1,MSPara_CalcFactors,0))),"")</f>
        <v/>
      </c>
      <c r="AH1287" s="509" t="str">
        <f>IF(OR(AF1287="",AF1287=EUconst_NA),IF(OR(AG1287=EUconst_NA,AG1287=""),"",AG1287),AF1287)</f>
        <v/>
      </c>
      <c r="AI1287" s="506" t="str">
        <f>IF(AC1287=TRUE,IF(AH1287="",EUconst_t,AH1287),"")</f>
        <v/>
      </c>
      <c r="AJ1287" s="513" t="str">
        <f>IF(J1287="",AI1287,J1287)</f>
        <v/>
      </c>
      <c r="AK1287" s="514" t="b">
        <f>IF(K1277=EUconst_Fuel,J1287&lt;&gt;"",FALSE)</f>
        <v>0</v>
      </c>
      <c r="AL1287" s="333"/>
      <c r="AM1287" s="505" t="str">
        <f>EUconst_CNTR_ActivityData&amp;EUconst_Value</f>
        <v>ActivityData_Vertė</v>
      </c>
      <c r="AN1287" s="496"/>
      <c r="AO1287" s="496"/>
      <c r="AP1287" s="509" t="b">
        <f>AND(AND(AH1287&lt;&gt;"",AJ1287&lt;&gt;""),AJ1287=AH1287)</f>
        <v>0</v>
      </c>
      <c r="AQ1287" s="610" t="str">
        <f>IF(L1282=TRUE,SUM(F1284)-SUM(H1284)+SUM(J1284)-SUM(L1284),"")</f>
        <v/>
      </c>
      <c r="AR1287" s="509">
        <f>IF(Y1287=EUconst_NA,0,IF(COUNT(K1287:L1287)=0,0,IF(L1287="",K1287,L1287)))</f>
        <v>0</v>
      </c>
      <c r="AS1287" s="1115" t="b">
        <f>AND(AC1287=TRUE,OR(L1287&lt;&gt;"",AQ1287=""))</f>
        <v>0</v>
      </c>
      <c r="AT1287" s="1115" t="b">
        <f>AND(AC1287=TRUE,NOT(AS1287))</f>
        <v>0</v>
      </c>
      <c r="AU1287" s="30"/>
      <c r="AV1287" s="483" t="s">
        <v>309</v>
      </c>
      <c r="AW1287" s="483" t="s">
        <v>314</v>
      </c>
      <c r="AX1287" s="515"/>
      <c r="AY1287" s="30" t="s">
        <v>536</v>
      </c>
      <c r="AZ1287" s="30"/>
      <c r="BA1287" s="30"/>
      <c r="BB1287" s="495"/>
      <c r="BC1287" s="484" t="str">
        <f>EUconst_Fuel</f>
        <v>Degimas</v>
      </c>
      <c r="BD1287" s="484" t="str">
        <f>EUconst_ProcessCarbonate</f>
        <v>Proceso metu išsiskiriančios ŠESD</v>
      </c>
      <c r="BE1287" s="484" t="str">
        <f>EUconst_MassBalance</f>
        <v>Masės balansas</v>
      </c>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515" t="b">
        <f>BZ1282</f>
        <v>1</v>
      </c>
    </row>
    <row r="1288" spans="1:78" s="140" customFormat="1" ht="5.0999999999999996" customHeight="1" thickBot="1" x14ac:dyDescent="0.25">
      <c r="A1288" s="777"/>
      <c r="B1288" s="1248"/>
      <c r="C1288" s="783"/>
      <c r="D1288" s="298"/>
      <c r="F1288" s="141"/>
      <c r="G1288" s="141"/>
      <c r="H1288" s="141" t="s">
        <v>233</v>
      </c>
      <c r="I1288" s="516"/>
      <c r="J1288" s="516"/>
      <c r="K1288" s="141"/>
      <c r="L1288" s="141"/>
      <c r="M1288" s="701"/>
      <c r="O1288" s="1305"/>
      <c r="P1288" s="33"/>
      <c r="Q1288" s="33"/>
      <c r="R1288" s="33"/>
      <c r="S1288" s="30"/>
      <c r="T1288" s="153"/>
      <c r="U1288" s="488"/>
      <c r="V1288" s="30"/>
      <c r="W1288" s="30"/>
      <c r="X1288" s="488"/>
      <c r="Y1288" s="517"/>
      <c r="Z1288" s="30"/>
      <c r="AA1288" s="30"/>
      <c r="AB1288" s="30"/>
      <c r="AC1288" s="30"/>
      <c r="AD1288" s="30"/>
      <c r="AE1288" s="30"/>
      <c r="AF1288" s="30"/>
      <c r="AG1288" s="30"/>
      <c r="AH1288" s="30"/>
      <c r="AI1288" s="30"/>
      <c r="AJ1288" s="30"/>
      <c r="AK1288" s="30"/>
      <c r="AL1288" s="333"/>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484"/>
    </row>
    <row r="1289" spans="1:78" s="140" customFormat="1" ht="12.75" customHeight="1" thickBot="1" x14ac:dyDescent="0.25">
      <c r="A1289" s="777"/>
      <c r="B1289" s="1248"/>
      <c r="C1289" s="783" t="s">
        <v>195</v>
      </c>
      <c r="D1289" s="503" t="str">
        <f>Translations!$B$634</f>
        <v>(prelim.) ITF:</v>
      </c>
      <c r="E1289" s="504"/>
      <c r="F1289" s="518"/>
      <c r="G1289" s="1603" t="str">
        <f t="shared" ref="G1289:G1295" si="315">IF(OR(ISBLANK(F1289),F1289=EUconst_NoTier),"",IF(Z1289=0,EUconst_NotApplicable,IF(ISERROR(Z1289),"",Z1289)))</f>
        <v/>
      </c>
      <c r="H1289" s="1609"/>
      <c r="I1289" s="1110" t="str">
        <f>IF(J1289&lt;&gt;"","",AI1289)</f>
        <v/>
      </c>
      <c r="J1289" s="1111"/>
      <c r="K1289" s="519" t="str">
        <f t="shared" ref="K1289:K1295" si="316">IF(L1289="",AQ1289,"")</f>
        <v/>
      </c>
      <c r="L1289" s="520"/>
      <c r="M1289" s="700" t="str">
        <f>IF(AND(E1278&lt;&gt;"",OR(F1289="",COUNT(K1289:L1289)=0),Y1289&lt;&gt;EUconst_NA,T1278&lt;&gt;TRUE),EUconst_ERR_Incomplete,IF(COUNTIF(AX1289:AZ1289,TRUE)&gt;0,EUconst_ERR_Inconsistent,""))</f>
        <v/>
      </c>
      <c r="N1289" s="486"/>
      <c r="O1289" s="1305"/>
      <c r="P1289" s="33"/>
      <c r="Q1289" s="33"/>
      <c r="R1289" s="33"/>
      <c r="S1289" s="30"/>
      <c r="T1289" s="521" t="str">
        <f>EUconst_CNTR_EF&amp;E1278</f>
        <v>EF_</v>
      </c>
      <c r="U1289" s="488"/>
      <c r="V1289" s="522" t="str">
        <f>V1287</f>
        <v/>
      </c>
      <c r="W1289" s="30"/>
      <c r="X1289" s="488"/>
      <c r="Y1289" s="523" t="str">
        <f>IF(OR(T1278=TRUE,E1278=""),"",IF(F1289=EUconst_NA,EUconst_NA,INDEX(EUwideConstants!$N:$N,MATCH(T1289,EUwideConstants!$Q:$Q,0))))</f>
        <v/>
      </c>
      <c r="Z1289" s="524" t="str">
        <f>IF(ISBLANK(F1289),"",IF(F1289=EUconst_NA,"",INDEX(EUwideConstants!$H:$M,MATCH(T1289,EUwideConstants!$Q:$Q,0),MATCH(F1289,CNTR_TierList,0))))</f>
        <v/>
      </c>
      <c r="AA1289" s="525" t="str">
        <f>IF(COUNTIF(EUconst_DefaultValues,Z1289)&gt;0,MATCH(Z1289,EUconst_DefaultValues,0),"")</f>
        <v/>
      </c>
      <c r="AB1289" s="30"/>
      <c r="AC1289" s="526" t="b">
        <f>AND(AC1287,Y1289&lt;&gt;EUconst_NA)</f>
        <v>0</v>
      </c>
      <c r="AD1289" s="30"/>
      <c r="AE1289" s="510" t="str">
        <f>EUconst_CNTR_EF&amp;EUconst_Unit</f>
        <v>EF_Vienetas</v>
      </c>
      <c r="AF1289" s="527" t="str">
        <f>IF(AC1289=TRUE, IF(COUNTIF(MSPara_SourceStreamCategory,V1289)=0,"",INDEX(MSPara_CalcFactorsMatrix,MATCH(V1289,MSPara_SourceStreamCategory,0),MATCH(AE1289&amp;"_"&amp;2,MSPara_CalcFactors,0))),"")</f>
        <v/>
      </c>
      <c r="AG1289" s="528" t="str">
        <f>IF(AC1289=TRUE, IF(COUNTIF(MSPara_SourceStreamCategory,V1289)=0,"",INDEX(MSPara_CalcFactorsMatrix,MATCH(V1289,MSPara_SourceStreamCategory,0),MATCH(AE1289&amp;"_"&amp;1,MSPara_CalcFactors,0))),"")</f>
        <v/>
      </c>
      <c r="AH1289" s="529" t="str">
        <f>IF(AA1289="","",INDEX(AF1289:AG1289,3-AA1289))</f>
        <v/>
      </c>
      <c r="AI1289" s="530" t="str">
        <f>IF(AC1289=TRUE,IF(OR(AH1289="",AH1289=EUconst_NA),IF(K1277=EUconst_Fuel,EUconst_tCO2pTJ,EUconst_tCO2pt),AH1289),"")</f>
        <v/>
      </c>
      <c r="AJ1289" s="526" t="str">
        <f>IF(J1289="",AI1289,J1289)</f>
        <v/>
      </c>
      <c r="AK1289" s="531" t="b">
        <f>IF(K1277=EUconst_Fuel,J1289&lt;&gt;"",FALSE)</f>
        <v>0</v>
      </c>
      <c r="AL1289" s="333"/>
      <c r="AM1289" s="510" t="str">
        <f>EUconst_CNTR_EF&amp;EUconst_Value</f>
        <v>EF_Vertė</v>
      </c>
      <c r="AN1289" s="532" t="str">
        <f>IF(AC1289=TRUE,IF(COUNTIF(MSPara_SourceStreamCategory,V1289)=0,"",INDEX(MSPara_CalcFactorsMatrix,MATCH(V1289,MSPara_SourceStreamCategory,0),MATCH(AM1289&amp;"_"&amp;2,MSPara_CalcFactors,0))),"")</f>
        <v/>
      </c>
      <c r="AO1289" s="533" t="str">
        <f>IF(AC1289=TRUE,IF(COUNTIF(MSPara_SourceStreamCategory,V1289)=0,"",INDEX(MSPara_CalcFactorsMatrix,MATCH(V1289,MSPara_SourceStreamCategory,0),MATCH(AM1289&amp;"_"&amp;1,MSPara_CalcFactors,0))),"")</f>
        <v/>
      </c>
      <c r="AP1289" s="526" t="b">
        <f>AND(AND(AH1289&lt;&gt;"",AJ1289&lt;&gt;""),AJ1289=AH1289)</f>
        <v>0</v>
      </c>
      <c r="AQ1289" s="534" t="str">
        <f>IF(AND(AA1289&lt;&gt;"",AP1289=TRUE),IF(OR(INDEX(AN1289:AO1289,3-AA1289)=EUconst_NA,INDEX(AN1289:AO1289,3-AA1289)=0),"",INDEX(AN1289:AO1289,3-AA1289)),"")</f>
        <v/>
      </c>
      <c r="AR1289" s="526">
        <f>IF(AC1289=TRUE,IF(COUNT(K1289:L1289)=0,0,IF(L1289="",K1289,L1289)),0)</f>
        <v>0</v>
      </c>
      <c r="AS1289" s="522" t="b">
        <f>AND(AC1289=TRUE,OR(AND(F1289&lt;&gt;"",NOT(ISNUMBER(AA1289))),L1289&lt;&gt;"",F1289="",AQ1289=""))</f>
        <v>0</v>
      </c>
      <c r="AT1289" s="522" t="b">
        <f t="shared" ref="AT1289:AT1295" si="317">AND(AC1289=TRUE,NOT(AS1289))</f>
        <v>0</v>
      </c>
      <c r="AU1289" s="30"/>
      <c r="AV1289" s="535" t="b">
        <f t="shared" ref="AV1289:AV1295" si="318">AND(ISNUMBER(AA1289),AQ1289="")</f>
        <v>0</v>
      </c>
      <c r="AW1289" s="536" t="b">
        <f t="shared" ref="AW1289:AW1295" si="319">AND(ISNUMBER(AA1289),AQ1289&lt;&gt;AR1289)</f>
        <v>0</v>
      </c>
      <c r="AX1289" s="537" t="b">
        <f>OR(AND(AJ1287=EUconst_kNm3,AJ1289=EUconst_tCO2pt),AND(AJ1287=EUconst_t,AJ1289=EUconst_tCO2pkNm3))</f>
        <v>0</v>
      </c>
      <c r="AY1289" s="522" t="b">
        <f t="shared" ref="AY1289:AY1295" si="320">AND(L1289&lt;&gt;"",Y1289=EUconst_NA)</f>
        <v>0</v>
      </c>
      <c r="AZ1289" s="30"/>
      <c r="BA1289" s="30"/>
      <c r="BB1289" s="538" t="s">
        <v>588</v>
      </c>
      <c r="BC1289" s="537" t="str">
        <f>IF(K1277=BC1287,AR1287*IF(AJ1289=EUconst_tCO2pTJ,(AR1290/1000),1)*AR1289*AR1291*AR1295,"")</f>
        <v/>
      </c>
      <c r="BD1289" s="515" t="str">
        <f>IF(K1277=BD1287,AR1287*AR1289*AR1292*AR1295,"")</f>
        <v/>
      </c>
      <c r="BE1289" s="514" t="str">
        <f>IF(K1277=BE1287,3.664*AR1287*AR1293*AR1295,"")</f>
        <v/>
      </c>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522" t="b">
        <f>OR(BZ1287,Y1289=EUconst_NA)</f>
        <v>1</v>
      </c>
    </row>
    <row r="1290" spans="1:78" s="140" customFormat="1" ht="12.75" customHeight="1" thickBot="1" x14ac:dyDescent="0.25">
      <c r="A1290" s="777"/>
      <c r="B1290" s="1248"/>
      <c r="C1290" s="783" t="s">
        <v>196</v>
      </c>
      <c r="D1290" s="503" t="str">
        <f>Translations!$B$636</f>
        <v>GŠV:</v>
      </c>
      <c r="E1290" s="504"/>
      <c r="F1290" s="539"/>
      <c r="G1290" s="1603" t="str">
        <f t="shared" si="315"/>
        <v/>
      </c>
      <c r="H1290" s="1604"/>
      <c r="I1290" s="1112" t="str">
        <f>AJ1290</f>
        <v/>
      </c>
      <c r="J1290" s="540"/>
      <c r="K1290" s="541" t="str">
        <f t="shared" si="316"/>
        <v/>
      </c>
      <c r="L1290" s="542"/>
      <c r="M1290" s="700" t="str">
        <f>IF(AND(E1278&lt;&gt;"",OR(F1290="",COUNT(K1290:L1290)=0),Y1290&lt;&gt;EUconst_NA,T1278&lt;&gt;TRUE),EUconst_ERR_Incomplete,IF(COUNTIF(AX1290:AZ1290,TRUE)&gt;0,EUconst_ERR_Inconsistent,""))</f>
        <v/>
      </c>
      <c r="O1290" s="1305"/>
      <c r="P1290" s="33"/>
      <c r="Q1290" s="33"/>
      <c r="R1290" s="33"/>
      <c r="S1290" s="30"/>
      <c r="T1290" s="543" t="str">
        <f>EUconst_CNTR_NCV&amp;E1278</f>
        <v>NCV_</v>
      </c>
      <c r="U1290" s="488"/>
      <c r="V1290" s="544" t="str">
        <f t="shared" ref="V1290:V1295" si="321">V1289</f>
        <v/>
      </c>
      <c r="W1290" s="30"/>
      <c r="X1290" s="488"/>
      <c r="Y1290" s="545" t="str">
        <f>IF(OR(T1278=TRUE,E1278=""),"",IF(F1290=EUconst_NA,EUconst_NA,INDEX(EUwideConstants!$N:$N,MATCH(T1290,EUwideConstants!$Q:$Q,0))))</f>
        <v/>
      </c>
      <c r="Z1290" s="546" t="str">
        <f>IF(ISBLANK(F1290),"",IF(F1290=EUconst_NA,"",INDEX(EUwideConstants!$H:$M,MATCH(T1290,EUwideConstants!$Q:$Q,0),MATCH(F1290,CNTR_TierList,0))))</f>
        <v/>
      </c>
      <c r="AA1290" s="547" t="str">
        <f>IF(COUNTIF(EUconst_DefaultValues,Z1290)&gt;0,MATCH(Z1290,EUconst_DefaultValues,0),"")</f>
        <v/>
      </c>
      <c r="AB1290" s="30"/>
      <c r="AC1290" s="548" t="b">
        <f>AND(AC1287,Y1290&lt;&gt;EUconst_NA)</f>
        <v>0</v>
      </c>
      <c r="AD1290" s="30"/>
      <c r="AE1290" s="549" t="str">
        <f>EUconst_CNTR_NCV&amp;EUconst_Unit</f>
        <v>NCV_Vienetas</v>
      </c>
      <c r="AF1290" s="550" t="str">
        <f>IF(AC1290=TRUE, IF(COUNTIF(MSPara_SourceStreamCategory,V1290)=0,"",INDEX(MSPara_CalcFactorsMatrix,MATCH(V1290,MSPara_SourceStreamCategory,0),MATCH(AE1290&amp;"_"&amp;2,MSPara_CalcFactors,0))),"")</f>
        <v/>
      </c>
      <c r="AG1290" s="551" t="str">
        <f>IF(AC1290=TRUE, IF(COUNTIF(MSPara_SourceStreamCategory,V1290)=0,"",INDEX(MSPara_CalcFactorsMatrix,MATCH(V1290,MSPara_SourceStreamCategory,0),MATCH(AE1290&amp;"_"&amp;1,MSPara_CalcFactors,0))),"")</f>
        <v/>
      </c>
      <c r="AH1290" s="552" t="str">
        <f>IF(AA1290="","",INDEX(AF1290:AG1290,3-AA1290))</f>
        <v/>
      </c>
      <c r="AI1290" s="553"/>
      <c r="AJ1290" s="548" t="str">
        <f>IF(AC1290=TRUE,IF(AJ1287="","",IF(AJ1287=EUconst_kNm3,EUconst_GJpkNm3,EUconst_GJpt)),"")</f>
        <v/>
      </c>
      <c r="AK1290" s="554"/>
      <c r="AL1290" s="333"/>
      <c r="AM1290" s="549" t="str">
        <f>EUconst_CNTR_NCV&amp;EUconst_Value</f>
        <v>NCV_Vertė</v>
      </c>
      <c r="AN1290" s="555" t="str">
        <f>IF(AC1290=TRUE,IF(COUNTIF(MSPara_SourceStreamCategory,V1290)=0,"",INDEX(MSPara_CalcFactorsMatrix,MATCH(V1290,MSPara_SourceStreamCategory,0),MATCH(AM1290&amp;"_"&amp;2,MSPara_CalcFactors,0))),"")</f>
        <v/>
      </c>
      <c r="AO1290" s="556" t="str">
        <f>IF(AC1290=TRUE,IF(COUNTIF(MSPara_SourceStreamCategory,V1290)=0,"",INDEX(MSPara_CalcFactorsMatrix,MATCH(V1290,MSPara_SourceStreamCategory,0),MATCH(AM1290&amp;"_"&amp;1,MSPara_CalcFactors,0))),"")</f>
        <v/>
      </c>
      <c r="AP1290" s="548" t="b">
        <f>AND(AND(AH1290&lt;&gt;"",AJ1290&lt;&gt;""),AJ1290=AH1290)</f>
        <v>0</v>
      </c>
      <c r="AQ1290" s="557" t="str">
        <f>IF(AND(AA1290&lt;&gt;"",AP1290=TRUE),IF(OR(INDEX(AN1290:AO1290,3-AA1290)=EUconst_NA,INDEX(AN1290:AO1290,3-AA1290)=0),"",INDEX(AN1290:AO1290,3-AA1290)),"")</f>
        <v/>
      </c>
      <c r="AR1290" s="548">
        <f>IF(AC1290=TRUE,IF(COUNT(K1290:L1290)=0,0,IF(L1290="",K1290,L1290)),0)</f>
        <v>0</v>
      </c>
      <c r="AS1290" s="544" t="b">
        <f>AND(AC1290=TRUE,OR(AND(F1290&lt;&gt;"",NOT(ISNUMBER(AA1290))),L1290&lt;&gt;"",F1290="",AQ1290=""))</f>
        <v>0</v>
      </c>
      <c r="AT1290" s="544" t="b">
        <f t="shared" si="317"/>
        <v>0</v>
      </c>
      <c r="AU1290" s="30"/>
      <c r="AV1290" s="558" t="b">
        <f t="shared" si="318"/>
        <v>0</v>
      </c>
      <c r="AW1290" s="559" t="b">
        <f t="shared" si="319"/>
        <v>0</v>
      </c>
      <c r="AX1290" s="30"/>
      <c r="AY1290" s="544" t="b">
        <f t="shared" si="320"/>
        <v>0</v>
      </c>
      <c r="AZ1290" s="30"/>
      <c r="BA1290" s="30"/>
      <c r="BB1290" s="538" t="s">
        <v>589</v>
      </c>
      <c r="BC1290" s="537" t="str">
        <f>IF(K1277=BC1287,AR1287*IF(AJ1289=EUconst_tCO2pTJ,(AR1290/1000),1)*AR1289*AR1291*AR1294,"")</f>
        <v/>
      </c>
      <c r="BD1290" s="515" t="str">
        <f>IF(K1277=BD1287,AR1287*AR1289*AR1292*AR1294,"")</f>
        <v/>
      </c>
      <c r="BE1290" s="514" t="str">
        <f>IF(K1277=BE1287,3.664*AR1287*AR1293*AR1294,"")</f>
        <v/>
      </c>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544" t="b">
        <f>OR(BZ1287,Y1290=EUconst_NA)</f>
        <v>1</v>
      </c>
    </row>
    <row r="1291" spans="1:78" s="140" customFormat="1" ht="12.75" customHeight="1" thickBot="1" x14ac:dyDescent="0.25">
      <c r="A1291" s="777"/>
      <c r="B1291" s="1248"/>
      <c r="C1291" s="783" t="s">
        <v>197</v>
      </c>
      <c r="D1291" s="503" t="str">
        <f>Translations!$B$638</f>
        <v>Oksidacijos koef.:</v>
      </c>
      <c r="E1291" s="504"/>
      <c r="F1291" s="539"/>
      <c r="G1291" s="1603" t="str">
        <f t="shared" si="315"/>
        <v/>
      </c>
      <c r="H1291" s="1604"/>
      <c r="I1291" s="1113" t="str">
        <f>IF(OR(AC1291=FALSE,Y1291=EUconst_NA),"","-")</f>
        <v/>
      </c>
      <c r="J1291" s="560"/>
      <c r="K1291" s="561" t="str">
        <f t="shared" si="316"/>
        <v/>
      </c>
      <c r="L1291" s="694"/>
      <c r="M1291" s="700" t="str">
        <f>IF(AND(E1278&lt;&gt;"",OR(F1291="",COUNT(K1291:L1291)=0),Y1291&lt;&gt;EUconst_NA,T1278&lt;&gt;TRUE),EUconst_ERR_Incomplete,IF(COUNTIF(AX1291:AZ1291,TRUE)&gt;0,EUconst_ERR_Inconsistent,""))</f>
        <v/>
      </c>
      <c r="O1291" s="1305"/>
      <c r="P1291" s="33"/>
      <c r="Q1291" s="33"/>
      <c r="R1291" s="33"/>
      <c r="S1291" s="30"/>
      <c r="T1291" s="543" t="str">
        <f>EUconst_CNTR_OxidationFactor&amp;E1278</f>
        <v>OxF_</v>
      </c>
      <c r="U1291" s="488"/>
      <c r="V1291" s="544" t="str">
        <f t="shared" si="321"/>
        <v/>
      </c>
      <c r="W1291" s="30"/>
      <c r="X1291" s="488"/>
      <c r="Y1291" s="545" t="str">
        <f>IF(OR(T1278=TRUE,E1278=""),"",INDEX(EUwideConstants!$N:$N,MATCH(T1291,EUwideConstants!$Q:$Q,0)))</f>
        <v/>
      </c>
      <c r="Z1291" s="546" t="str">
        <f>IF(ISBLANK(F1291),"",IF(F1291=EUconst_NA,"",INDEX(EUwideConstants!$H:$M,MATCH(T1291,EUwideConstants!$Q:$Q,0),MATCH(F1291,CNTR_TierList,0))))</f>
        <v/>
      </c>
      <c r="AA1291" s="525" t="str">
        <f>IF(F1291=1,1,"")</f>
        <v/>
      </c>
      <c r="AB1291" s="30"/>
      <c r="AC1291" s="548" t="b">
        <f>AND(AC1287,Y1291&lt;&gt;EUconst_NA)</f>
        <v>0</v>
      </c>
      <c r="AD1291" s="30"/>
      <c r="AE1291" s="563"/>
      <c r="AG1291" s="564"/>
      <c r="AH1291" s="553"/>
      <c r="AI1291" s="565"/>
      <c r="AJ1291" s="553"/>
      <c r="AK1291" s="566"/>
      <c r="AL1291" s="333"/>
      <c r="AM1291" s="549" t="str">
        <f>EUconst_CNTR_OxidationFactor&amp;EUconst_Value</f>
        <v>OxF_Vertė</v>
      </c>
      <c r="AN1291" s="567"/>
      <c r="AO1291" s="525">
        <v>1</v>
      </c>
      <c r="AP1291" s="553"/>
      <c r="AQ1291" s="568" t="str">
        <f>IF(AA1291="","",AO1291)</f>
        <v/>
      </c>
      <c r="AR1291" s="548">
        <f>IF(AC1291=TRUE,IF(COUNT(K1291:L1291)=0,0,IF(L1291="",K1291,L1291)),1)</f>
        <v>1</v>
      </c>
      <c r="AS1291" s="544" t="b">
        <f>AND(AC1291=TRUE,OR(ISNUMBER(L1291),NOT(ISNUMBER(AA1291))))</f>
        <v>0</v>
      </c>
      <c r="AT1291" s="544" t="b">
        <f t="shared" si="317"/>
        <v>0</v>
      </c>
      <c r="AU1291" s="30"/>
      <c r="AV1291" s="558" t="b">
        <f t="shared" si="318"/>
        <v>0</v>
      </c>
      <c r="AW1291" s="559" t="b">
        <f t="shared" si="319"/>
        <v>0</v>
      </c>
      <c r="AX1291" s="30"/>
      <c r="AY1291" s="585" t="b">
        <f t="shared" si="320"/>
        <v>0</v>
      </c>
      <c r="AZ1291" s="522" t="b">
        <f>AR1291&gt;100%</f>
        <v>0</v>
      </c>
      <c r="BA1291" s="30"/>
      <c r="BB1291" s="538" t="s">
        <v>287</v>
      </c>
      <c r="BC1291" s="537" t="str">
        <f>IF(K1277=BC1287,AR1287*IF(AJ1289=EUconst_tCO2pTJ,(AR1290/1000),1)*AR1289*AR1291*(1-AR1294),"")</f>
        <v/>
      </c>
      <c r="BD1291" s="515" t="str">
        <f>IF(K1277=BD1287,AR1287*AR1289*AR1292*(1-AR1294),"")</f>
        <v/>
      </c>
      <c r="BE1291" s="514" t="str">
        <f>IF(K1277=BE1287,3.664*AR1287*AR1293*(1-AR1294),"")</f>
        <v/>
      </c>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544" t="b">
        <f>OR(BZ1287,Y1291=EUconst_NA)</f>
        <v>1</v>
      </c>
    </row>
    <row r="1292" spans="1:78" s="140" customFormat="1" ht="12.75" customHeight="1" thickBot="1" x14ac:dyDescent="0.25">
      <c r="A1292" s="777"/>
      <c r="B1292" s="1248"/>
      <c r="C1292" s="783" t="s">
        <v>198</v>
      </c>
      <c r="D1292" s="503" t="str">
        <f>Translations!$B$639</f>
        <v>Konversijos koef.:</v>
      </c>
      <c r="E1292" s="504"/>
      <c r="F1292" s="539"/>
      <c r="G1292" s="1603" t="str">
        <f t="shared" si="315"/>
        <v/>
      </c>
      <c r="H1292" s="1604"/>
      <c r="I1292" s="1113" t="str">
        <f>IF(OR(AC1292=FALSE,Y1292=EUconst_NA),"","-")</f>
        <v/>
      </c>
      <c r="J1292" s="560"/>
      <c r="K1292" s="561" t="str">
        <f t="shared" si="316"/>
        <v/>
      </c>
      <c r="L1292" s="694"/>
      <c r="M1292" s="700" t="str">
        <f>IF(AND(E1278&lt;&gt;"",OR(F1292="",COUNT(K1292:L1292)=0),Y1292&lt;&gt;EUconst_NA,T1278&lt;&gt;TRUE),EUconst_ERR_Incomplete,IF(COUNTIF(AX1292:AZ1292,TRUE)&gt;0,EUconst_ERR_Inconsistent,""))</f>
        <v/>
      </c>
      <c r="O1292" s="1305"/>
      <c r="P1292" s="33"/>
      <c r="Q1292" s="33"/>
      <c r="R1292" s="33"/>
      <c r="S1292" s="30"/>
      <c r="T1292" s="543" t="str">
        <f>EUconst_CNTR_ConversionFactor&amp;E1278</f>
        <v>ConvF_</v>
      </c>
      <c r="U1292" s="488"/>
      <c r="V1292" s="544" t="str">
        <f t="shared" si="321"/>
        <v/>
      </c>
      <c r="W1292" s="30"/>
      <c r="X1292" s="488"/>
      <c r="Y1292" s="545" t="str">
        <f>IF(OR(T1278=TRUE,E1278=""),"",INDEX(EUwideConstants!$N:$N,MATCH(T1292,EUwideConstants!$Q:$Q,0)))</f>
        <v/>
      </c>
      <c r="Z1292" s="546" t="str">
        <f>IF(ISBLANK(F1292),"",IF(F1292=EUconst_NA,"",INDEX(EUwideConstants!$H:$M,MATCH(T1292,EUwideConstants!$Q:$Q,0),MATCH(F1292,CNTR_TierList,0))))</f>
        <v/>
      </c>
      <c r="AA1292" s="573" t="str">
        <f>IF(F1292=1,1,"")</f>
        <v/>
      </c>
      <c r="AB1292" s="30"/>
      <c r="AC1292" s="548" t="b">
        <f>AND(AC1287,Y1292&lt;&gt;EUconst_NA)</f>
        <v>0</v>
      </c>
      <c r="AD1292" s="30"/>
      <c r="AE1292" s="563"/>
      <c r="AG1292" s="564"/>
      <c r="AH1292" s="574"/>
      <c r="AI1292" s="565"/>
      <c r="AJ1292" s="574"/>
      <c r="AK1292" s="566"/>
      <c r="AL1292" s="333"/>
      <c r="AM1292" s="549" t="str">
        <f>EUconst_CNTR_ConversionFactor&amp;EUconst_Value</f>
        <v>ConvF_Vertė</v>
      </c>
      <c r="AN1292" s="575"/>
      <c r="AO1292" s="573">
        <v>1</v>
      </c>
      <c r="AP1292" s="574"/>
      <c r="AQ1292" s="576" t="str">
        <f>IF(AA1292="","",AO1292)</f>
        <v/>
      </c>
      <c r="AR1292" s="548">
        <f>IF(AC1292=TRUE,IF(COUNT(K1292:L1292)=0,0,IF(L1292="",K1292,L1292)),1)</f>
        <v>1</v>
      </c>
      <c r="AS1292" s="544" t="b">
        <f>AND(AC1292=TRUE,OR(ISNUMBER(L1292),NOT(ISNUMBER(AA1292))))</f>
        <v>0</v>
      </c>
      <c r="AT1292" s="544" t="b">
        <f t="shared" si="317"/>
        <v>0</v>
      </c>
      <c r="AU1292" s="30"/>
      <c r="AV1292" s="558" t="b">
        <f t="shared" si="318"/>
        <v>0</v>
      </c>
      <c r="AW1292" s="559" t="b">
        <f t="shared" si="319"/>
        <v>0</v>
      </c>
      <c r="AX1292" s="30"/>
      <c r="AY1292" s="585" t="b">
        <f t="shared" si="320"/>
        <v>0</v>
      </c>
      <c r="AZ1292" s="571" t="b">
        <f>AR1292&gt;100%</f>
        <v>0</v>
      </c>
      <c r="BA1292" s="30"/>
      <c r="BB1292" s="569" t="s">
        <v>481</v>
      </c>
      <c r="BC1292" s="570">
        <f>AR1287*AR1290/1000*(1-AR1294)</f>
        <v>0</v>
      </c>
      <c r="BD1292" s="571">
        <f>BC1292</f>
        <v>0</v>
      </c>
      <c r="BE1292" s="572">
        <f>BC1292</f>
        <v>0</v>
      </c>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544" t="b">
        <f>OR(BZ1287,Y1292=EUconst_NA)</f>
        <v>1</v>
      </c>
    </row>
    <row r="1293" spans="1:78" s="140" customFormat="1" ht="12.75" customHeight="1" thickBot="1" x14ac:dyDescent="0.25">
      <c r="A1293" s="777"/>
      <c r="B1293" s="1248"/>
      <c r="C1293" s="783" t="s">
        <v>324</v>
      </c>
      <c r="D1293" s="503" t="str">
        <f>Translations!$B$640</f>
        <v>Anglies kiekis (C):</v>
      </c>
      <c r="E1293" s="504"/>
      <c r="F1293" s="539"/>
      <c r="G1293" s="1603" t="str">
        <f t="shared" si="315"/>
        <v/>
      </c>
      <c r="H1293" s="1604"/>
      <c r="I1293" s="1113" t="str">
        <f>AJ1293</f>
        <v/>
      </c>
      <c r="J1293" s="577"/>
      <c r="K1293" s="578" t="str">
        <f t="shared" si="316"/>
        <v/>
      </c>
      <c r="L1293" s="579"/>
      <c r="M1293" s="700" t="str">
        <f>IF(AND(E1278&lt;&gt;"",OR(F1293="",COUNT(K1293:L1293)=0),Y1293&lt;&gt;EUconst_NA,T1278&lt;&gt;TRUE),EUconst_ERR_Incomplete,IF(COUNTIF(AX1293:AZ1293,TRUE)&gt;0,EUconst_ERR_Inconsistent,""))</f>
        <v/>
      </c>
      <c r="O1293" s="1305"/>
      <c r="P1293" s="33"/>
      <c r="Q1293" s="33"/>
      <c r="R1293" s="33"/>
      <c r="S1293" s="30"/>
      <c r="T1293" s="543" t="str">
        <f>EUconst_CNTR_CarbonContent&amp;E1278</f>
        <v>CarbC_</v>
      </c>
      <c r="U1293" s="488"/>
      <c r="V1293" s="544" t="str">
        <f t="shared" si="321"/>
        <v/>
      </c>
      <c r="W1293" s="30"/>
      <c r="X1293" s="488"/>
      <c r="Y1293" s="545" t="str">
        <f>IF(OR(T1278=TRUE,E1278=""),"",INDEX(EUwideConstants!$N:$N,MATCH(T1293,EUwideConstants!$Q:$Q,0)))</f>
        <v/>
      </c>
      <c r="Z1293" s="546" t="str">
        <f>IF(ISBLANK(F1293),"",IF(F1293=EUconst_NA,"",INDEX(EUwideConstants!$H:$M,MATCH(T1293,EUwideConstants!$Q:$Q,0),MATCH(F1293,CNTR_TierList,0))))</f>
        <v/>
      </c>
      <c r="AA1293" s="580" t="str">
        <f>IF(COUNTIF(EUconst_DefaultValues,Z1293)&gt;0,MATCH(Z1293,EUconst_DefaultValues,0),"")</f>
        <v/>
      </c>
      <c r="AB1293" s="30"/>
      <c r="AC1293" s="548" t="b">
        <f>AND(AC1287,Y1293&lt;&gt;EUconst_NA)</f>
        <v>0</v>
      </c>
      <c r="AD1293" s="30"/>
      <c r="AE1293" s="549" t="str">
        <f>EUconst_CNTR_CarbonContent&amp;EUconst_Unit</f>
        <v>CarbC_Vienetas</v>
      </c>
      <c r="AF1293" s="550" t="str">
        <f>IF(AC1293=TRUE, IF(COUNTIF(MSPara_SourceStreamCategory,V1293)=0,"",INDEX(MSPara_CalcFactorsMatrix,MATCH(V1293,MSPara_SourceStreamCategory,0),MATCH(AE1293&amp;"_"&amp;2,MSPara_CalcFactors,0))),"")</f>
        <v/>
      </c>
      <c r="AG1293" s="551" t="str">
        <f>IF(AC1293=TRUE, IF(COUNTIF(MSPara_SourceStreamCategory,V1293)=0,"",INDEX(MSPara_CalcFactorsMatrix,MATCH(V1293,MSPara_SourceStreamCategory,0),MATCH(AE1293&amp;"_"&amp;1,MSPara_CalcFactors,0))),"")</f>
        <v/>
      </c>
      <c r="AH1293" s="581" t="str">
        <f>IF(AA1293="","",INDEX(AF1293:AG1293,3-AA1293))</f>
        <v/>
      </c>
      <c r="AI1293" s="565"/>
      <c r="AJ1293" s="582" t="str">
        <f>IF(AC1293=TRUE,IF(AJ1287="","",IF(AJ1287=EUconst_kNm3,EUconst_tCpkNm3,EUconst_tCpt)),"")</f>
        <v/>
      </c>
      <c r="AK1293" s="566"/>
      <c r="AL1293" s="333"/>
      <c r="AM1293" s="549" t="str">
        <f>EUconst_CNTR_CarbonContent&amp;EUconst_Value</f>
        <v>CarbC_Vertė</v>
      </c>
      <c r="AN1293" s="555" t="str">
        <f>IF(AC1293=TRUE,IF(COUNTIF(MSPara_SourceStreamCategory,V1293)=0,"",INDEX(MSPara_CalcFactorsMatrix,MATCH(V1293,MSPara_SourceStreamCategory,0),MATCH(AM1293&amp;"_"&amp;2,MSPara_CalcFactors,0))),"")</f>
        <v/>
      </c>
      <c r="AO1293" s="583" t="str">
        <f>IF(AC1293=TRUE,IF(COUNTIF(MSPara_SourceStreamCategory,V1293)=0,"",INDEX(MSPara_CalcFactorsMatrix,MATCH(V1293,MSPara_SourceStreamCategory,0),MATCH(AM1293&amp;"_"&amp;1,MSPara_CalcFactors,0))),"")</f>
        <v/>
      </c>
      <c r="AP1293" s="548" t="b">
        <f>AND(AND(AH1293&lt;&gt;"",AJ1293&lt;&gt;""),AJ1293=AH1293)</f>
        <v>0</v>
      </c>
      <c r="AQ1293" s="584" t="str">
        <f>IF(AND(AA1293&lt;&gt;"",AP1293=TRUE),IF(OR(INDEX(AN1293:AO1293,3-AA1293)=EUconst_NA,INDEX(AN1293:AO1293,3-AA1293)=0),"",INDEX(AN1293:AO1293,3-AA1293)),"")</f>
        <v/>
      </c>
      <c r="AR1293" s="548">
        <f>IF(AC1293=TRUE,IF(COUNT(K1293:L1293)=0,0,IF(L1293="",K1293,L1293)),0)</f>
        <v>0</v>
      </c>
      <c r="AS1293" s="544" t="b">
        <f>AND(AC1293=TRUE,OR(AND(F1293&lt;&gt;"",NOT(ISNUMBER(AA1293))),L1293&lt;&gt;"",F1293="",AQ1293=""))</f>
        <v>0</v>
      </c>
      <c r="AT1293" s="544" t="b">
        <f t="shared" si="317"/>
        <v>0</v>
      </c>
      <c r="AU1293" s="30"/>
      <c r="AV1293" s="558" t="b">
        <f t="shared" si="318"/>
        <v>0</v>
      </c>
      <c r="AW1293" s="559" t="b">
        <f t="shared" si="319"/>
        <v>0</v>
      </c>
      <c r="AX1293" s="537" t="b">
        <f>OR(AND(AJ1287=EUconst_kNm3,AJ1293=EUconst_tCpt),AND(AJ1287=EUconst_t,AJ1293=EUconst_tCpkNm3))</f>
        <v>0</v>
      </c>
      <c r="AY1293" s="544" t="b">
        <f t="shared" si="320"/>
        <v>0</v>
      </c>
      <c r="AZ1293" s="30"/>
      <c r="BA1293" s="30"/>
      <c r="BB1293" s="569" t="s">
        <v>482</v>
      </c>
      <c r="BC1293" s="570">
        <f>AR1287*AR1290/1000*AR1294</f>
        <v>0</v>
      </c>
      <c r="BD1293" s="571">
        <f>BC1293</f>
        <v>0</v>
      </c>
      <c r="BE1293" s="572">
        <f>BC1293</f>
        <v>0</v>
      </c>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544" t="b">
        <f>OR(BZ1287,Y1293=EUconst_NA)</f>
        <v>1</v>
      </c>
    </row>
    <row r="1294" spans="1:78" s="140" customFormat="1" ht="12.75" customHeight="1" x14ac:dyDescent="0.2">
      <c r="A1294" s="777"/>
      <c r="B1294" s="1248"/>
      <c r="C1294" s="753" t="s">
        <v>325</v>
      </c>
      <c r="D1294" s="503" t="str">
        <f>Translations!$B$641</f>
        <v>Biomasės dalis (BioC):</v>
      </c>
      <c r="E1294" s="504"/>
      <c r="F1294" s="539"/>
      <c r="G1294" s="1603" t="str">
        <f t="shared" si="315"/>
        <v/>
      </c>
      <c r="H1294" s="1604"/>
      <c r="I1294" s="1113" t="str">
        <f>IF(OR(AC1294=FALSE,Y1294=EUconst_NA),"","-")</f>
        <v/>
      </c>
      <c r="J1294" s="560"/>
      <c r="K1294" s="561" t="str">
        <f t="shared" si="316"/>
        <v/>
      </c>
      <c r="L1294" s="694"/>
      <c r="M1294" s="700" t="str">
        <f>IF(AND(E1278&lt;&gt;"",OR(F1294="",COUNT(K1294:L1294)=0),Y1294&lt;&gt;EUconst_NA,T1278&lt;&gt;TRUE),EUconst_ERR_Incomplete,IF(COUNTIF(AX1294:AZ1294,TRUE)&gt;0,EUconst_ERR_Inconsistent,""))</f>
        <v/>
      </c>
      <c r="O1294" s="1305"/>
      <c r="P1294" s="635"/>
      <c r="Q1294" s="635"/>
      <c r="R1294" s="635"/>
      <c r="S1294" s="30"/>
      <c r="T1294" s="543" t="str">
        <f>EUconst_CNTR_BiomassContent&amp;E1278</f>
        <v>BioC_</v>
      </c>
      <c r="U1294" s="488"/>
      <c r="V1294" s="585" t="str">
        <f t="shared" si="321"/>
        <v/>
      </c>
      <c r="W1294" s="522" t="str">
        <f>IF(COUNTIF(MSPara_SourceStreamCategory,V1294)=0,"",INDEX(MSPara_IsFossil,MATCH(V1294,MSPara_SourceStreamCategory,0)))</f>
        <v/>
      </c>
      <c r="X1294" s="488"/>
      <c r="Y1294" s="545" t="str">
        <f>IF(OR(T1278=TRUE,E1278=""),"",IF(OR(W1294=TRUE,F1294=EUconst_NA),EUconst_NA,INDEX(EUwideConstants!$N:$N,MATCH(T1294,EUwideConstants!$Q:$Q,0))))</f>
        <v/>
      </c>
      <c r="Z1294" s="546" t="str">
        <f>IF(ISBLANK(F1294),"",IF(F1294=EUconst_NA,"",INDEX(EUwideConstants!$H:$M,MATCH(T1294,EUwideConstants!$Q:$Q,0),MATCH(F1294,CNTR_TierList,0))))</f>
        <v/>
      </c>
      <c r="AA1294" s="586" t="str">
        <f>IF(F1294=1,1,"")</f>
        <v/>
      </c>
      <c r="AB1294" s="30"/>
      <c r="AC1294" s="548" t="b">
        <f>AND(AC1287,Y1294&lt;&gt;EUconst_NA)</f>
        <v>0</v>
      </c>
      <c r="AD1294" s="30"/>
      <c r="AE1294" s="563"/>
      <c r="AG1294" s="564"/>
      <c r="AH1294" s="553"/>
      <c r="AI1294" s="565"/>
      <c r="AJ1294" s="553"/>
      <c r="AK1294" s="566"/>
      <c r="AL1294" s="333"/>
      <c r="AM1294" s="549" t="str">
        <f>EUconst_CNTR_BiomassContent&amp;EUconst_Value</f>
        <v>BioC_Vertė</v>
      </c>
      <c r="AO1294" s="587" t="str">
        <f>IF(AC1294=TRUE,IF(COUNTIF(MSPara_SourceStreamCategory,V1294)=0,"",INDEX(MSPara_CalcFactorsMatrix,MATCH(V1294,MSPara_SourceStreamCategory,0),MATCH(AM1294&amp;"_"&amp;2,MSPara_CalcFactors,0))),"")</f>
        <v/>
      </c>
      <c r="AP1294" s="553"/>
      <c r="AQ1294" s="568" t="str">
        <f>IF(OR(AA1294="",AO1294=EUconst_NA),"",AO1294)</f>
        <v/>
      </c>
      <c r="AR1294" s="548">
        <f>IF(AC1294=TRUE,IF(COUNT(K1294:L1294)=0,0,IF(L1294="",K1294,L1294)),0)</f>
        <v>0</v>
      </c>
      <c r="AS1294" s="544" t="b">
        <f>AND(AC1294=TRUE,OR(AND(F1294&lt;&gt;"",NOT(ISNUMBER(AA1294))),L1294&lt;&gt;"",F1294="",AQ1294=""))</f>
        <v>0</v>
      </c>
      <c r="AT1294" s="544" t="b">
        <f t="shared" si="317"/>
        <v>0</v>
      </c>
      <c r="AU1294" s="30"/>
      <c r="AV1294" s="558" t="b">
        <f t="shared" si="318"/>
        <v>0</v>
      </c>
      <c r="AW1294" s="559" t="b">
        <f t="shared" si="319"/>
        <v>0</v>
      </c>
      <c r="AX1294" s="30"/>
      <c r="AY1294" s="585" t="b">
        <f t="shared" si="320"/>
        <v>0</v>
      </c>
      <c r="AZ1294" s="522" t="b">
        <f>OR(AR1294&gt;100%,(AR1294+AR1295)&gt;100%)</f>
        <v>0</v>
      </c>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544" t="b">
        <f>OR(BZ1287,Y1294=EUconst_NA)</f>
        <v>1</v>
      </c>
    </row>
    <row r="1295" spans="1:78" s="140" customFormat="1" ht="12.75" customHeight="1" thickBot="1" x14ac:dyDescent="0.25">
      <c r="A1295" s="777"/>
      <c r="B1295" s="1248"/>
      <c r="C1295" s="753" t="s">
        <v>448</v>
      </c>
      <c r="D1295" s="503" t="str">
        <f>Translations!$B$647</f>
        <v>Netvarios BioC dalis:</v>
      </c>
      <c r="E1295" s="504"/>
      <c r="F1295" s="588"/>
      <c r="G1295" s="1603" t="str">
        <f t="shared" si="315"/>
        <v/>
      </c>
      <c r="H1295" s="1604"/>
      <c r="I1295" s="1114" t="str">
        <f>IF(OR(AC1295=FALSE,Y1295=EUconst_NA),"","-")</f>
        <v/>
      </c>
      <c r="J1295" s="560"/>
      <c r="K1295" s="589" t="str">
        <f t="shared" si="316"/>
        <v/>
      </c>
      <c r="L1295" s="1100"/>
      <c r="M1295" s="700" t="str">
        <f>IF(AND(E1278&lt;&gt;"",OR(F1295="",COUNT(K1295:L1295)=0),Y1295&lt;&gt;EUconst_NA,T1278&lt;&gt;TRUE),EUconst_ERR_Incomplete,IF(COUNTIF(AX1295:AZ1295,TRUE)&gt;0,EUconst_ERR_Inconsistent,""))</f>
        <v/>
      </c>
      <c r="O1295" s="1305"/>
      <c r="P1295" s="635"/>
      <c r="Q1295" s="635"/>
      <c r="R1295" s="635"/>
      <c r="S1295" s="30"/>
      <c r="T1295" s="590" t="str">
        <f>EUconst_CNTR_BiomassContent&amp;E1278</f>
        <v>BioC_</v>
      </c>
      <c r="U1295" s="488"/>
      <c r="V1295" s="570" t="str">
        <f t="shared" si="321"/>
        <v/>
      </c>
      <c r="W1295" s="571" t="str">
        <f>IF(COUNTIF(MSPara_SourceStreamCategory,V1295)=0,"",INDEX(MSPara_IsFossil,MATCH(V1295,MSPara_SourceStreamCategory,0)))</f>
        <v/>
      </c>
      <c r="X1295" s="488"/>
      <c r="Y1295" s="591" t="str">
        <f>IF(OR(T1278=TRUE,E1278=""),"",IF(OR(W1295=TRUE,F1295=EUconst_NA),EUconst_NA,INDEX(EUwideConstants!$N:$N,MATCH(T1295,EUwideConstants!$Q:$Q,0))))</f>
        <v/>
      </c>
      <c r="Z1295" s="592" t="str">
        <f>IF(ISBLANK(F1295),"",IF(F1295=EUconst_NA,"",INDEX(EUwideConstants!$H:$M,MATCH(T1295,EUwideConstants!$Q:$Q,0),MATCH(F1295,CNTR_TierList,0))))</f>
        <v/>
      </c>
      <c r="AA1295" s="593" t="str">
        <f>IF(F1295=1,1,"")</f>
        <v/>
      </c>
      <c r="AB1295" s="30"/>
      <c r="AC1295" s="594" t="b">
        <f>AND(AC1287,Y1295&lt;&gt;EUconst_NA)</f>
        <v>0</v>
      </c>
      <c r="AD1295" s="30"/>
      <c r="AE1295" s="595"/>
      <c r="AF1295" s="596"/>
      <c r="AG1295" s="597"/>
      <c r="AH1295" s="598"/>
      <c r="AI1295" s="598"/>
      <c r="AJ1295" s="598"/>
      <c r="AK1295" s="599"/>
      <c r="AL1295" s="333"/>
      <c r="AM1295" s="600" t="str">
        <f>EUconst_CNTR_BiomassContent&amp;EUconst_Value</f>
        <v>BioC_Vertė</v>
      </c>
      <c r="AN1295" s="596"/>
      <c r="AO1295" s="601" t="str">
        <f>IF(AC1295=TRUE,IF(COUNTIF(MSPara_SourceStreamCategory,V1295)=0,"",INDEX(MSPara_CalcFactorsMatrix,MATCH(V1295,MSPara_SourceStreamCategory,0),MATCH(AM1295&amp;"_"&amp;2,MSPara_CalcFactors,0))),"")</f>
        <v/>
      </c>
      <c r="AP1295" s="598"/>
      <c r="AQ1295" s="602" t="str">
        <f>IF(OR(AA1295="",AO1295=EUconst_NA),"",AO1295)</f>
        <v/>
      </c>
      <c r="AR1295" s="594">
        <f>IF(AC1295=TRUE,IF(COUNT(K1295:L1295)=0,0,IF(L1295="",K1295,L1295)),0)</f>
        <v>0</v>
      </c>
      <c r="AS1295" s="603" t="b">
        <f>AND(AC1295=TRUE,OR(AND(F1295&lt;&gt;"",NOT(ISNUMBER(AA1295))),L1295&lt;&gt;"",F1295="",AQ1295=""))</f>
        <v>0</v>
      </c>
      <c r="AT1295" s="603" t="b">
        <f t="shared" si="317"/>
        <v>0</v>
      </c>
      <c r="AU1295" s="30"/>
      <c r="AV1295" s="604" t="b">
        <f t="shared" si="318"/>
        <v>0</v>
      </c>
      <c r="AW1295" s="605" t="b">
        <f t="shared" si="319"/>
        <v>0</v>
      </c>
      <c r="AX1295" s="30"/>
      <c r="AY1295" s="570" t="b">
        <f t="shared" si="320"/>
        <v>0</v>
      </c>
      <c r="AZ1295" s="571" t="b">
        <f>OR(AR1294&gt;100%,(AR1294+AR1295)&gt;100%)</f>
        <v>0</v>
      </c>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571" t="b">
        <f>OR(BZ1287,Y1295=EUconst_NA)</f>
        <v>1</v>
      </c>
    </row>
    <row r="1296" spans="1:78" s="140" customFormat="1" ht="5.0999999999999996" customHeight="1" x14ac:dyDescent="0.2">
      <c r="A1296" s="777"/>
      <c r="B1296" s="1248"/>
      <c r="C1296" s="164"/>
      <c r="D1296" s="178"/>
      <c r="O1296" s="1305"/>
      <c r="P1296" s="33"/>
      <c r="Q1296" s="33"/>
      <c r="R1296" s="33"/>
      <c r="S1296" s="172"/>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row>
    <row r="1297" spans="1:78" s="140" customFormat="1" ht="12.75" customHeight="1" x14ac:dyDescent="0.2">
      <c r="A1297" s="777"/>
      <c r="B1297" s="1248"/>
      <c r="C1297" s="164"/>
      <c r="D1297" s="1629" t="str">
        <f>Translations!$B$674</f>
        <v>Pakopos galioja nuo:</v>
      </c>
      <c r="E1297" s="1629"/>
      <c r="F1297" s="1630"/>
      <c r="G1297" s="1014"/>
      <c r="H1297" s="606" t="str">
        <f>Translations!$B$675</f>
        <v>iki:</v>
      </c>
      <c r="I1297" s="1014"/>
      <c r="J1297" s="1620" t="str">
        <f>Translations!$B$676</f>
        <v>Atliekų katalogo numeris (jeigu taikytina):</v>
      </c>
      <c r="K1297" s="1621"/>
      <c r="L1297" s="1621"/>
      <c r="M1297" s="1622"/>
      <c r="N1297" s="1232"/>
      <c r="O1297" s="1305"/>
      <c r="P1297" s="33"/>
      <c r="Q1297" s="33"/>
      <c r="R1297" s="33"/>
      <c r="S1297" s="1233"/>
      <c r="T1297" s="483"/>
      <c r="U1297" s="483"/>
      <c r="V1297" s="48" t="b">
        <f>IF(V1287="",FALSE,INDEX(CNTR_IsWaste,MATCH(V1287,MSParameters!$A$218:$A$376,0)))</f>
        <v>0</v>
      </c>
      <c r="W1297" s="1233" t="s">
        <v>1689</v>
      </c>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2" t="b">
        <f>BZ1287</f>
        <v>1</v>
      </c>
    </row>
    <row r="1298" spans="1:78" s="140" customFormat="1" ht="5.0999999999999996" customHeight="1" x14ac:dyDescent="0.2">
      <c r="A1298" s="777"/>
      <c r="B1298" s="1248"/>
      <c r="C1298" s="164"/>
      <c r="D1298" s="606"/>
      <c r="E1298" s="486"/>
      <c r="F1298" s="486"/>
      <c r="G1298" s="486"/>
      <c r="H1298" s="486"/>
      <c r="I1298" s="486"/>
      <c r="J1298" s="486"/>
      <c r="K1298" s="486"/>
      <c r="L1298" s="486"/>
      <c r="M1298" s="486"/>
      <c r="N1298" s="486"/>
      <c r="O1298" s="1305"/>
      <c r="P1298" s="33"/>
      <c r="Q1298" s="33"/>
      <c r="R1298" s="33"/>
      <c r="S1298" s="172"/>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row>
    <row r="1299" spans="1:78" s="140" customFormat="1" ht="12.75" customHeight="1" x14ac:dyDescent="0.2">
      <c r="A1299" s="777"/>
      <c r="B1299" s="1248"/>
      <c r="C1299" s="164"/>
      <c r="D1299" s="486"/>
      <c r="E1299" s="486"/>
      <c r="F1299" s="486"/>
      <c r="G1299" s="486"/>
      <c r="H1299" s="486"/>
      <c r="I1299" s="486"/>
      <c r="J1299" s="486"/>
      <c r="K1299" s="486"/>
      <c r="L1299" s="486"/>
      <c r="M1299" s="606" t="str">
        <f>Translations!$B$677</f>
        <v>Stebėsenos plane šiam sukėlikliui suteiktas identifikatorius:</v>
      </c>
      <c r="N1299" s="705"/>
      <c r="O1299" s="1305"/>
      <c r="P1299" s="33"/>
      <c r="Q1299" s="33"/>
      <c r="R1299" s="33"/>
      <c r="S1299" s="172"/>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2" t="b">
        <f>BZ1297</f>
        <v>1</v>
      </c>
    </row>
    <row r="1300" spans="1:78" s="140" customFormat="1" ht="5.0999999999999996" customHeight="1" x14ac:dyDescent="0.2">
      <c r="A1300" s="784"/>
      <c r="B1300" s="1316"/>
      <c r="D1300" s="178"/>
      <c r="O1300" s="1317"/>
      <c r="P1300" s="488"/>
      <c r="Q1300" s="488"/>
      <c r="R1300" s="488"/>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row>
    <row r="1301" spans="1:78" s="140" customFormat="1" x14ac:dyDescent="0.2">
      <c r="A1301" s="784"/>
      <c r="B1301" s="1316"/>
      <c r="D1301" s="1618" t="str">
        <f>Translations!$B$160</f>
        <v>Pastabos:</v>
      </c>
      <c r="E1301" s="1619"/>
      <c r="F1301" s="1605"/>
      <c r="G1301" s="1606"/>
      <c r="H1301" s="1606"/>
      <c r="I1301" s="1606"/>
      <c r="J1301" s="1606"/>
      <c r="K1301" s="1606"/>
      <c r="L1301" s="1606"/>
      <c r="M1301" s="1606"/>
      <c r="N1301" s="1607"/>
      <c r="O1301" s="1317"/>
      <c r="P1301" s="488"/>
      <c r="Q1301" s="488"/>
      <c r="R1301" s="488"/>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2" t="b">
        <f>BZ1297</f>
        <v>1</v>
      </c>
    </row>
    <row r="1302" spans="1:78" s="28" customFormat="1" ht="12.75" customHeight="1" thickBot="1" x14ac:dyDescent="0.25">
      <c r="A1302" s="777"/>
      <c r="B1302" s="1312"/>
      <c r="C1302" s="490"/>
      <c r="D1302" s="491"/>
      <c r="E1302" s="492"/>
      <c r="F1302" s="490"/>
      <c r="G1302" s="493"/>
      <c r="H1302" s="493"/>
      <c r="I1302" s="493"/>
      <c r="J1302" s="493"/>
      <c r="K1302" s="493"/>
      <c r="L1302" s="493"/>
      <c r="M1302" s="493"/>
      <c r="N1302" s="493"/>
      <c r="O1302" s="1313"/>
      <c r="P1302" s="485"/>
      <c r="Q1302" s="485"/>
      <c r="R1302" s="485"/>
      <c r="S1302" s="58"/>
      <c r="T1302" s="58"/>
      <c r="U1302" s="489"/>
      <c r="V1302" s="58"/>
      <c r="W1302" s="58"/>
      <c r="X1302" s="489"/>
      <c r="Y1302" s="58"/>
      <c r="Z1302" s="58"/>
      <c r="AA1302" s="58"/>
      <c r="AB1302" s="58"/>
      <c r="AC1302" s="58"/>
      <c r="AD1302" s="58"/>
      <c r="AE1302" s="58"/>
      <c r="AF1302" s="58"/>
      <c r="AG1302" s="58"/>
      <c r="AH1302" s="58"/>
      <c r="AI1302" s="58"/>
      <c r="AJ1302" s="58"/>
      <c r="AK1302" s="58"/>
      <c r="AL1302" s="58"/>
      <c r="AM1302" s="58"/>
      <c r="AN1302" s="58"/>
      <c r="AO1302" s="58"/>
      <c r="AP1302" s="58"/>
      <c r="AQ1302" s="58"/>
      <c r="AR1302" s="58"/>
      <c r="AS1302" s="58"/>
      <c r="AT1302" s="58"/>
      <c r="AU1302" s="58"/>
      <c r="AV1302" s="58"/>
      <c r="AW1302" s="58"/>
      <c r="AX1302" s="58"/>
      <c r="AY1302" s="58"/>
      <c r="AZ1302" s="58"/>
      <c r="BA1302" s="58"/>
      <c r="BB1302" s="58"/>
      <c r="BC1302" s="58"/>
      <c r="BD1302" s="58"/>
      <c r="BE1302" s="58"/>
      <c r="BF1302" s="58"/>
      <c r="BG1302" s="58"/>
      <c r="BH1302" s="58"/>
      <c r="BI1302" s="30"/>
      <c r="BJ1302" s="30"/>
      <c r="BK1302" s="30"/>
      <c r="BL1302" s="58"/>
      <c r="BM1302" s="58"/>
      <c r="BN1302" s="58"/>
      <c r="BO1302" s="58"/>
      <c r="BP1302" s="58"/>
      <c r="BQ1302" s="58"/>
      <c r="BR1302" s="58"/>
      <c r="BS1302" s="58"/>
      <c r="BT1302" s="58"/>
      <c r="BU1302" s="58"/>
      <c r="BV1302" s="58"/>
      <c r="BW1302" s="58"/>
      <c r="BX1302" s="58"/>
      <c r="BY1302" s="58"/>
      <c r="BZ1302" s="58"/>
    </row>
    <row r="1303" spans="1:78" s="28" customFormat="1" ht="12.75" customHeight="1" thickBot="1" x14ac:dyDescent="0.25">
      <c r="A1303" s="782"/>
      <c r="B1303" s="1312"/>
      <c r="C1303" s="486"/>
      <c r="D1303" s="178"/>
      <c r="E1303" s="487"/>
      <c r="F1303" s="486"/>
      <c r="G1303" s="478"/>
      <c r="H1303" s="478"/>
      <c r="I1303" s="478"/>
      <c r="J1303" s="478"/>
      <c r="K1303" s="486"/>
      <c r="L1303" s="478"/>
      <c r="M1303" s="478"/>
      <c r="N1303" s="478"/>
      <c r="O1303" s="1313"/>
      <c r="P1303" s="485"/>
      <c r="Q1303" s="485"/>
      <c r="R1303" s="485"/>
      <c r="S1303" s="23"/>
      <c r="T1303" s="27" t="str">
        <f>IF(ISBLANK(E1304),"",MATCH(E1304,CNTR_SourceStreamNames,0))</f>
        <v/>
      </c>
      <c r="U1303" s="609" t="str">
        <f>IF(ISBLANK(E1304),"",INDEX(B_InstallationDescription!$D$71:$D$145,MATCH(E1304,CNTR_SourceStreamNames,0)))</f>
        <v/>
      </c>
      <c r="V1303" s="76"/>
      <c r="W1303" s="56"/>
      <c r="X1303" s="56"/>
      <c r="Y1303" s="56"/>
      <c r="Z1303" s="58"/>
      <c r="AA1303" s="58"/>
      <c r="AB1303" s="58"/>
      <c r="AC1303" s="58"/>
      <c r="AD1303" s="58"/>
      <c r="AE1303" s="58"/>
      <c r="AF1303" s="58"/>
      <c r="AG1303" s="58"/>
      <c r="AH1303" s="58"/>
      <c r="AI1303" s="58"/>
      <c r="AJ1303" s="58"/>
      <c r="AK1303" s="482"/>
      <c r="AL1303" s="58"/>
      <c r="AM1303" s="58"/>
      <c r="AN1303" s="58"/>
      <c r="AO1303" s="58"/>
      <c r="AP1303" s="58"/>
      <c r="AQ1303" s="58"/>
      <c r="AR1303" s="58"/>
      <c r="AS1303" s="58"/>
      <c r="AT1303" s="58"/>
      <c r="AU1303" s="58"/>
      <c r="AV1303" s="58"/>
      <c r="AW1303" s="58"/>
      <c r="AX1303" s="58"/>
      <c r="AY1303" s="58"/>
      <c r="AZ1303" s="58"/>
      <c r="BA1303" s="58"/>
      <c r="BB1303" s="58"/>
      <c r="BC1303" s="58"/>
      <c r="BD1303" s="58"/>
      <c r="BE1303" s="58"/>
      <c r="BF1303" s="58"/>
      <c r="BG1303" s="58"/>
      <c r="BH1303" s="56"/>
      <c r="BI1303" s="56"/>
      <c r="BJ1303" s="56"/>
      <c r="BK1303" s="56"/>
      <c r="BL1303" s="56"/>
      <c r="BM1303" s="56"/>
      <c r="BN1303" s="56"/>
      <c r="BO1303" s="56"/>
      <c r="BP1303" s="56"/>
      <c r="BQ1303" s="56"/>
      <c r="BR1303" s="56"/>
      <c r="BS1303" s="56"/>
      <c r="BT1303" s="56"/>
      <c r="BU1303" s="56"/>
      <c r="BV1303" s="56"/>
      <c r="BW1303" s="56"/>
      <c r="BX1303" s="56"/>
      <c r="BY1303" s="56"/>
      <c r="BZ1303" s="484" t="s">
        <v>259</v>
      </c>
    </row>
    <row r="1304" spans="1:78" s="140" customFormat="1" ht="15" customHeight="1" thickBot="1" x14ac:dyDescent="0.25">
      <c r="A1304" s="1302" t="str">
        <f>IF(E1304="","","PRINT")</f>
        <v/>
      </c>
      <c r="B1304" s="1248"/>
      <c r="C1304" s="608">
        <f>C1277+1</f>
        <v>47</v>
      </c>
      <c r="D1304" s="164"/>
      <c r="E1304" s="1610"/>
      <c r="F1304" s="1611"/>
      <c r="G1304" s="1611"/>
      <c r="H1304" s="1611"/>
      <c r="I1304" s="1611"/>
      <c r="J1304" s="1612"/>
      <c r="K1304" s="1623" t="str">
        <f>IF(E1305="","",INDEX(EUwideConstants!$F$353:$F$394,MATCH(E1305,EUConst_TierActivityListNames,0)))</f>
        <v/>
      </c>
      <c r="L1304" s="1624"/>
      <c r="M1304" s="494" t="str">
        <f>Translations!$B$665</f>
        <v>CO2, iškastinio kuro kilmės:</v>
      </c>
      <c r="N1304" s="1012" t="str">
        <f>IF(OR(K1304="",T1305=TRUE),"",INDEX(BC1318:BE1318,MATCH(K1304,BC1314:BE1314,0)))</f>
        <v/>
      </c>
      <c r="O1304" s="1314" t="s">
        <v>257</v>
      </c>
      <c r="P1304" s="1303" t="str">
        <f>IF(AND(E1304&lt;&gt;"",COUNTIF(P1305:$P$2089,"PRINT")=0),"PRINT","")</f>
        <v/>
      </c>
      <c r="Q1304" s="343" t="str">
        <f>EUconst_SumCO2 &amp; "_" &amp; K1304</f>
        <v>SUM_CO2_</v>
      </c>
      <c r="R1304" s="485"/>
      <c r="S1304" s="23"/>
      <c r="T1304" s="500" t="s">
        <v>387</v>
      </c>
      <c r="U1304" s="23"/>
      <c r="V1304" s="76"/>
      <c r="W1304" s="56"/>
      <c r="X1304" s="58"/>
      <c r="Y1304" s="58"/>
      <c r="Z1304" s="58"/>
      <c r="AA1304" s="58"/>
      <c r="AB1304" s="58"/>
      <c r="AC1304" s="58"/>
      <c r="AD1304" s="58"/>
      <c r="AE1304" s="58"/>
      <c r="AF1304" s="58"/>
      <c r="AG1304" s="58"/>
      <c r="AH1304" s="58"/>
      <c r="AI1304" s="333"/>
      <c r="AJ1304" s="333"/>
      <c r="AK1304" s="333"/>
      <c r="AL1304" s="333"/>
      <c r="AM1304" s="333"/>
      <c r="AN1304" s="333"/>
      <c r="AO1304" s="333"/>
      <c r="AP1304" s="333"/>
      <c r="AQ1304" s="333"/>
      <c r="AR1304" s="333"/>
      <c r="AS1304" s="333"/>
      <c r="AT1304" s="333"/>
      <c r="AU1304" s="333"/>
      <c r="AV1304" s="333"/>
      <c r="AW1304" s="333"/>
      <c r="AX1304" s="333"/>
      <c r="AY1304" s="333"/>
      <c r="AZ1304" s="333"/>
      <c r="BA1304" s="333"/>
      <c r="BB1304" s="333"/>
      <c r="BC1304" s="333"/>
      <c r="BD1304" s="333"/>
      <c r="BE1304" s="333"/>
      <c r="BF1304" s="333"/>
      <c r="BG1304" s="333"/>
      <c r="BH1304" s="834">
        <f>AR1314</f>
        <v>0</v>
      </c>
      <c r="BI1304" s="834" t="str">
        <f>AJ1314</f>
        <v/>
      </c>
      <c r="BJ1304" s="834">
        <f>AR1316</f>
        <v>0</v>
      </c>
      <c r="BK1304" s="834" t="str">
        <f>AJ1316</f>
        <v/>
      </c>
      <c r="BL1304" s="834">
        <f>AR1317</f>
        <v>0</v>
      </c>
      <c r="BM1304" s="834" t="str">
        <f>AJ1317</f>
        <v/>
      </c>
      <c r="BN1304" s="834">
        <f>AR1318</f>
        <v>1</v>
      </c>
      <c r="BO1304" s="834">
        <f>AR1319</f>
        <v>1</v>
      </c>
      <c r="BP1304" s="834">
        <f>AR1320</f>
        <v>0</v>
      </c>
      <c r="BQ1304" s="834" t="str">
        <f>AJ1320</f>
        <v/>
      </c>
      <c r="BR1304" s="834">
        <f>AR1321</f>
        <v>0</v>
      </c>
      <c r="BS1304" s="834">
        <f>AR1322</f>
        <v>0</v>
      </c>
      <c r="BT1304" s="834" t="str">
        <f>N1304</f>
        <v/>
      </c>
      <c r="BU1304" s="834" t="str">
        <f>N1305</f>
        <v/>
      </c>
      <c r="BV1304" s="834" t="str">
        <f>R1307</f>
        <v/>
      </c>
      <c r="BW1304" s="834" t="str">
        <f>R1313</f>
        <v/>
      </c>
      <c r="BX1304" s="834" t="str">
        <f>R1314</f>
        <v/>
      </c>
      <c r="BY1304" s="56"/>
      <c r="BZ1304" s="610" t="b">
        <f>CNTR_CalcRelevant=EUconst_NotRelevant</f>
        <v>0</v>
      </c>
    </row>
    <row r="1305" spans="1:78" s="140" customFormat="1" ht="15" customHeight="1" thickBot="1" x14ac:dyDescent="0.25">
      <c r="A1305" s="777"/>
      <c r="B1305" s="1248"/>
      <c r="C1305" s="164"/>
      <c r="D1305" s="164"/>
      <c r="E1305" s="1625" t="str">
        <f>IF(ISBLANK(E1304),"",IF(INDEX(B_InstallationDescription!$E$71:$E$145,MATCH(U1303,B_InstallationDescription!$D$71:$D$145,0))&gt;0,INDEX(B_InstallationDescription!$E$71:$E$145,MATCH(U1303,B_InstallationDescription!$D$71:$D$145,0)),""))</f>
        <v/>
      </c>
      <c r="F1305" s="1626"/>
      <c r="G1305" s="1626"/>
      <c r="H1305" s="1626"/>
      <c r="I1305" s="1626"/>
      <c r="J1305" s="1627"/>
      <c r="M1305" s="337" t="str">
        <f>Translations!$B$666</f>
        <v>CO2, biomasės kilmės.:</v>
      </c>
      <c r="N1305" s="1013" t="str">
        <f>IF(OR(K1304="",T1305=TRUE),"",INDEX(BC1317:BE1317,MATCH(K1304,BC1314:BE1314,0)))</f>
        <v/>
      </c>
      <c r="O1305" s="1315" t="s">
        <v>257</v>
      </c>
      <c r="P1305" s="485"/>
      <c r="Q1305" s="343" t="str">
        <f>EUconst_SumBioCO2 &amp; "_" &amp; K1304</f>
        <v>SUM_bioCO2_</v>
      </c>
      <c r="R1305" s="485"/>
      <c r="S1305" s="23"/>
      <c r="T1305" s="48" t="str">
        <f>IF(E1305="","",MATCH(E1305,EUConst_TierActivityListNames,0)&gt;40)</f>
        <v/>
      </c>
      <c r="U1305" s="23"/>
      <c r="V1305" s="76"/>
      <c r="W1305" s="56"/>
      <c r="X1305" s="58"/>
      <c r="Y1305" s="27" t="s">
        <v>91</v>
      </c>
      <c r="Z1305" s="30"/>
      <c r="AA1305" s="30"/>
      <c r="AB1305" s="30"/>
      <c r="AC1305" s="30"/>
      <c r="AD1305" s="30"/>
      <c r="AE1305" s="27" t="s">
        <v>297</v>
      </c>
      <c r="AF1305" s="58"/>
      <c r="AG1305" s="495"/>
      <c r="AH1305" s="30"/>
      <c r="AI1305" s="30"/>
      <c r="AJ1305" s="495"/>
      <c r="AK1305" s="495"/>
      <c r="AL1305" s="333"/>
      <c r="AM1305" s="27" t="s">
        <v>303</v>
      </c>
      <c r="AN1305" s="496"/>
      <c r="AO1305" s="496"/>
      <c r="AP1305" s="30"/>
      <c r="AQ1305" s="30"/>
      <c r="AR1305" s="30"/>
      <c r="AS1305" s="30"/>
      <c r="AT1305" s="30"/>
      <c r="AU1305" s="30"/>
      <c r="AV1305" s="27" t="s">
        <v>310</v>
      </c>
      <c r="AW1305" s="30"/>
      <c r="AX1305" s="483"/>
      <c r="AY1305" s="30"/>
      <c r="AZ1305" s="30"/>
      <c r="BA1305" s="30"/>
      <c r="BB1305" s="27" t="s">
        <v>217</v>
      </c>
      <c r="BC1305" s="30"/>
      <c r="BD1305" s="30"/>
      <c r="BE1305" s="30"/>
      <c r="BF1305" s="30"/>
      <c r="BG1305" s="27" t="s">
        <v>486</v>
      </c>
      <c r="BH1305" s="833" t="s">
        <v>552</v>
      </c>
      <c r="BI1305" s="833" t="s">
        <v>487</v>
      </c>
      <c r="BJ1305" s="833" t="s">
        <v>211</v>
      </c>
      <c r="BK1305" s="833" t="s">
        <v>488</v>
      </c>
      <c r="BL1305" s="833" t="s">
        <v>68</v>
      </c>
      <c r="BM1305" s="833" t="s">
        <v>489</v>
      </c>
      <c r="BN1305" s="833" t="s">
        <v>490</v>
      </c>
      <c r="BO1305" s="833" t="s">
        <v>491</v>
      </c>
      <c r="BP1305" s="833" t="s">
        <v>214</v>
      </c>
      <c r="BQ1305" s="833" t="s">
        <v>492</v>
      </c>
      <c r="BR1305" s="833" t="s">
        <v>493</v>
      </c>
      <c r="BS1305" s="833" t="s">
        <v>494</v>
      </c>
      <c r="BT1305" s="833" t="s">
        <v>287</v>
      </c>
      <c r="BU1305" s="833" t="s">
        <v>495</v>
      </c>
      <c r="BV1305" s="833" t="s">
        <v>498</v>
      </c>
      <c r="BW1305" s="833" t="s">
        <v>496</v>
      </c>
      <c r="BX1305" s="833" t="s">
        <v>497</v>
      </c>
      <c r="BY1305" s="30"/>
      <c r="BZ1305" s="30"/>
    </row>
    <row r="1306" spans="1:78" s="140" customFormat="1" ht="5.0999999999999996" customHeight="1" thickBot="1" x14ac:dyDescent="0.25">
      <c r="A1306" s="777"/>
      <c r="B1306" s="1248"/>
      <c r="C1306" s="164"/>
      <c r="D1306" s="164"/>
      <c r="E1306" s="164"/>
      <c r="F1306" s="164"/>
      <c r="G1306" s="164"/>
      <c r="M1306" s="141"/>
      <c r="N1306" s="141"/>
      <c r="O1306" s="1305"/>
      <c r="P1306" s="33"/>
      <c r="Q1306" s="33"/>
      <c r="R1306" s="33"/>
      <c r="S1306" s="23"/>
      <c r="T1306" s="23"/>
      <c r="U1306" s="23"/>
      <c r="V1306" s="76"/>
      <c r="W1306" s="30"/>
      <c r="X1306" s="30"/>
      <c r="Y1306" s="485"/>
      <c r="Z1306" s="30"/>
      <c r="AA1306" s="30"/>
      <c r="AB1306" s="30"/>
      <c r="AC1306" s="30"/>
      <c r="AD1306" s="30"/>
      <c r="AE1306" s="30"/>
      <c r="AF1306" s="58"/>
      <c r="AG1306" s="30"/>
      <c r="AH1306" s="30"/>
      <c r="AI1306" s="30"/>
      <c r="AJ1306" s="495"/>
      <c r="AK1306" s="495"/>
      <c r="AL1306" s="333"/>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row>
    <row r="1307" spans="1:78" s="140" customFormat="1" ht="12.75" customHeight="1" thickBot="1" x14ac:dyDescent="0.25">
      <c r="A1307" s="777"/>
      <c r="B1307" s="1248"/>
      <c r="C1307" s="164"/>
      <c r="D1307" s="164"/>
      <c r="E1307" s="1628" t="str">
        <f>IF(E1304="","",IF(T1305=TRUE,HYPERLINK("#JUMP_14",EUconst_MsgGoOnPFC),HYPERLINK("#JUMP_E_8",EUconst_FurtherGuidancePoint1)))</f>
        <v/>
      </c>
      <c r="F1307" s="1628"/>
      <c r="G1307" s="1628"/>
      <c r="H1307" s="1628"/>
      <c r="I1307" s="1628"/>
      <c r="J1307" s="1628"/>
      <c r="K1307" s="1628"/>
      <c r="L1307" s="1628"/>
      <c r="M1307" s="1628"/>
      <c r="N1307" s="141"/>
      <c r="O1307" s="1305"/>
      <c r="P1307" s="33"/>
      <c r="Q1307" s="343" t="str">
        <f>EUconst_SumNonSustBioCO2 &amp; "_" &amp; K1304</f>
        <v>SUM_bioNonSustCO2_</v>
      </c>
      <c r="R1307" s="698" t="str">
        <f>IF(OR(K1304="",T1305=TRUE),"",ROUND(INDEX(BC1316:BE1316,MATCH(K1304,BC1314:BE1314,0)),0))</f>
        <v/>
      </c>
      <c r="S1307" s="23"/>
      <c r="T1307" s="23"/>
      <c r="U1307" s="23"/>
      <c r="V1307" s="30"/>
      <c r="W1307" s="30"/>
      <c r="X1307" s="30"/>
      <c r="Y1307" s="58"/>
      <c r="Z1307" s="30"/>
      <c r="AA1307" s="30"/>
      <c r="AB1307" s="30"/>
      <c r="AC1307" s="30"/>
      <c r="AD1307" s="30"/>
      <c r="AE1307" s="30"/>
      <c r="AF1307" s="58"/>
      <c r="AG1307" s="30"/>
      <c r="AH1307" s="30"/>
      <c r="AI1307" s="30"/>
      <c r="AJ1307" s="495"/>
      <c r="AK1307" s="495"/>
      <c r="AL1307" s="333"/>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row>
    <row r="1308" spans="1:78" s="140" customFormat="1" ht="5.0999999999999996" customHeight="1" thickBot="1" x14ac:dyDescent="0.25">
      <c r="A1308" s="777"/>
      <c r="B1308" s="1248"/>
      <c r="C1308" s="164"/>
      <c r="D1308" s="164"/>
      <c r="E1308" s="164"/>
      <c r="F1308" s="164"/>
      <c r="G1308" s="164"/>
      <c r="M1308" s="141"/>
      <c r="N1308" s="141"/>
      <c r="O1308" s="1305"/>
      <c r="P1308" s="23"/>
      <c r="Q1308" s="23"/>
      <c r="R1308" s="23"/>
      <c r="S1308" s="23"/>
      <c r="T1308" s="23"/>
      <c r="U1308" s="23"/>
      <c r="V1308" s="30"/>
      <c r="W1308" s="30"/>
      <c r="X1308" s="30"/>
      <c r="Y1308" s="485"/>
      <c r="Z1308" s="30"/>
      <c r="AA1308" s="30"/>
      <c r="AB1308" s="30"/>
      <c r="AC1308" s="30"/>
      <c r="AD1308" s="30"/>
      <c r="AE1308" s="30"/>
      <c r="AF1308" s="58"/>
      <c r="AG1308" s="30"/>
      <c r="AH1308" s="30"/>
      <c r="AI1308" s="30"/>
      <c r="AJ1308" s="495"/>
      <c r="AK1308" s="495"/>
      <c r="AL1308" s="333"/>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row>
    <row r="1309" spans="1:78" s="140" customFormat="1" ht="12.75" customHeight="1" thickBot="1" x14ac:dyDescent="0.25">
      <c r="A1309" s="777"/>
      <c r="B1309" s="1248"/>
      <c r="C1309" s="783" t="s">
        <v>4</v>
      </c>
      <c r="D1309" s="503" t="str">
        <f>Translations!$B$622</f>
        <v>VD:</v>
      </c>
      <c r="E1309" s="1631" t="str">
        <f>Translations!$B$667</f>
        <v>Ar veiklos duomenys gaunami sudedant išmatuotus kiekius (t. y. ne atliekant nuolatinius matavimus)?</v>
      </c>
      <c r="F1309" s="1631"/>
      <c r="G1309" s="1631"/>
      <c r="H1309" s="1631"/>
      <c r="I1309" s="1631"/>
      <c r="J1309" s="1631"/>
      <c r="K1309" s="1631"/>
      <c r="L1309" s="1122"/>
      <c r="M1309" s="498"/>
      <c r="O1309" s="1305"/>
      <c r="P1309" s="23"/>
      <c r="Q1309" s="23"/>
      <c r="R1309" s="23"/>
      <c r="S1309" s="23"/>
      <c r="T1309" s="23"/>
      <c r="U1309" s="23"/>
      <c r="V1309" s="30"/>
      <c r="W1309" s="30"/>
      <c r="X1309" s="30"/>
      <c r="Y1309" s="485"/>
      <c r="Z1309" s="30"/>
      <c r="AA1309" s="30"/>
      <c r="AB1309" s="30"/>
      <c r="AC1309" s="1115" t="b">
        <f>AND(E1304&lt;&gt;"",T1305&lt;&gt;TRUE)</f>
        <v>0</v>
      </c>
      <c r="AD1309" s="30"/>
      <c r="AE1309" s="30"/>
      <c r="AF1309" s="58"/>
      <c r="AG1309" s="30"/>
      <c r="AH1309" s="30"/>
      <c r="AI1309" s="30"/>
      <c r="AJ1309" s="495"/>
      <c r="AK1309" s="495"/>
      <c r="AL1309" s="333"/>
      <c r="AM1309" s="30"/>
      <c r="AN1309" s="30"/>
      <c r="AO1309" s="30"/>
      <c r="AP1309" s="30"/>
      <c r="AQ1309" s="30"/>
      <c r="AR1309" s="30"/>
      <c r="AS1309" s="30"/>
      <c r="AT1309" s="1115" t="b">
        <f>MSPara_BatchReportingMandatory&lt;&gt;TRUE</f>
        <v>0</v>
      </c>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1115" t="b">
        <f>OR(CNTR_CalcRelevant=EUconst_NotRelevant,AND(COUNTA(CNTR_ListRelevantSections)&gt;0,OR(T1305=TRUE,E1304="")))</f>
        <v>1</v>
      </c>
    </row>
    <row r="1310" spans="1:78" s="140" customFormat="1" ht="5.0999999999999996" customHeight="1" thickBot="1" x14ac:dyDescent="0.25">
      <c r="A1310" s="777"/>
      <c r="B1310" s="1248"/>
      <c r="C1310" s="164"/>
      <c r="D1310" s="164"/>
      <c r="E1310" s="164"/>
      <c r="F1310" s="164"/>
      <c r="G1310" s="164"/>
      <c r="H1310" s="486"/>
      <c r="I1310" s="486"/>
      <c r="J1310" s="486"/>
      <c r="K1310" s="486"/>
      <c r="L1310" s="486"/>
      <c r="M1310" s="498"/>
      <c r="O1310" s="1305"/>
      <c r="P1310" s="23"/>
      <c r="Q1310" s="23"/>
      <c r="R1310" s="23"/>
      <c r="S1310" s="23"/>
      <c r="T1310" s="23"/>
      <c r="U1310" s="23"/>
      <c r="V1310" s="30"/>
      <c r="W1310" s="30"/>
      <c r="X1310" s="30"/>
      <c r="Y1310" s="485"/>
      <c r="Z1310" s="30"/>
      <c r="AA1310" s="30"/>
      <c r="AB1310" s="30"/>
      <c r="AC1310" s="483"/>
      <c r="AD1310" s="30"/>
      <c r="AE1310" s="30"/>
      <c r="AF1310" s="58"/>
      <c r="AG1310" s="30"/>
      <c r="AH1310" s="30"/>
      <c r="AI1310" s="30"/>
      <c r="AJ1310" s="495"/>
      <c r="AK1310" s="495"/>
      <c r="AL1310" s="333"/>
      <c r="AM1310" s="30"/>
      <c r="AN1310" s="30"/>
      <c r="AO1310" s="30"/>
      <c r="AP1310" s="30"/>
      <c r="AQ1310" s="30"/>
      <c r="AR1310" s="30"/>
      <c r="AS1310" s="30"/>
      <c r="AT1310" s="483"/>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483"/>
    </row>
    <row r="1311" spans="1:78" s="140" customFormat="1" ht="12.75" customHeight="1" thickBot="1" x14ac:dyDescent="0.25">
      <c r="A1311" s="777"/>
      <c r="B1311" s="1248"/>
      <c r="C1311" s="783" t="s">
        <v>5</v>
      </c>
      <c r="D1311" s="503" t="str">
        <f>Translations!$B$622</f>
        <v>VD:</v>
      </c>
      <c r="E1311" s="1105" t="str">
        <f>Translations!$B$668</f>
        <v>Pradinis kiekis:</v>
      </c>
      <c r="F1311" s="1123"/>
      <c r="G1311" s="1106" t="str">
        <f>Translations!$B$669</f>
        <v>Galutinis kiekis:</v>
      </c>
      <c r="H1311" s="1123"/>
      <c r="I1311" s="1106" t="str">
        <f>Translations!$B$670</f>
        <v>Įsigytas kiekis:</v>
      </c>
      <c r="J1311" s="1123"/>
      <c r="K1311" s="1106" t="str">
        <f>Translations!$B$671</f>
        <v>Perduotas kiekis:</v>
      </c>
      <c r="L1311" s="1123"/>
      <c r="M1311" s="1107" t="str">
        <f>IF(AND(L1309=TRUE,COUNT(F1311,H1311,J1311,L1311)&lt;4),EUconst_ERR_Incomplete,"")</f>
        <v/>
      </c>
      <c r="O1311" s="1305"/>
      <c r="P1311" s="23"/>
      <c r="Q1311" s="23"/>
      <c r="R1311" s="23"/>
      <c r="S1311" s="23"/>
      <c r="T1311" s="23"/>
      <c r="U1311" s="23"/>
      <c r="V1311" s="30"/>
      <c r="W1311" s="30"/>
      <c r="X1311" s="30"/>
      <c r="Y1311" s="485"/>
      <c r="Z1311" s="30"/>
      <c r="AA1311" s="30"/>
      <c r="AB1311" s="30"/>
      <c r="AC1311" s="1115" t="b">
        <f>AC1309</f>
        <v>0</v>
      </c>
      <c r="AD1311" s="30"/>
      <c r="AE1311" s="30"/>
      <c r="AF1311" s="58"/>
      <c r="AG1311" s="30"/>
      <c r="AH1311" s="30"/>
      <c r="AI1311" s="30"/>
      <c r="AJ1311" s="495"/>
      <c r="AK1311" s="495"/>
      <c r="AL1311" s="333"/>
      <c r="AM1311" s="30"/>
      <c r="AN1311" s="30"/>
      <c r="AO1311" s="30"/>
      <c r="AP1311" s="30"/>
      <c r="AQ1311" s="30"/>
      <c r="AR1311" s="30"/>
      <c r="AS1311" s="30"/>
      <c r="AT1311" s="1115" t="b">
        <f>AND(AT1309=TRUE,L1309="")</f>
        <v>0</v>
      </c>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1115" t="b">
        <f>OR(BZ1309,AND(NOT(ISBLANK(L1309)),L1309=FALSE))</f>
        <v>1</v>
      </c>
    </row>
    <row r="1312" spans="1:78" s="140" customFormat="1" ht="5.0999999999999996" customHeight="1" thickBot="1" x14ac:dyDescent="0.25">
      <c r="A1312" s="777"/>
      <c r="B1312" s="1248"/>
      <c r="C1312" s="164"/>
      <c r="D1312" s="164"/>
      <c r="E1312" s="164"/>
      <c r="F1312" s="164"/>
      <c r="G1312" s="164"/>
      <c r="M1312" s="141"/>
      <c r="N1312" s="141"/>
      <c r="O1312" s="1305"/>
      <c r="P1312" s="23"/>
      <c r="Q1312" s="23"/>
      <c r="R1312" s="23"/>
      <c r="S1312" s="23"/>
      <c r="T1312" s="23"/>
      <c r="U1312" s="23"/>
      <c r="V1312" s="30"/>
      <c r="W1312" s="30"/>
      <c r="X1312" s="30"/>
      <c r="Y1312" s="485"/>
      <c r="Z1312" s="30"/>
      <c r="AA1312" s="30"/>
      <c r="AB1312" s="30"/>
      <c r="AC1312" s="30"/>
      <c r="AD1312" s="30"/>
      <c r="AE1312" s="30"/>
      <c r="AF1312" s="58"/>
      <c r="AG1312" s="30"/>
      <c r="AH1312" s="30"/>
      <c r="AI1312" s="30"/>
      <c r="AJ1312" s="495"/>
      <c r="AK1312" s="495"/>
      <c r="AL1312" s="333"/>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row>
    <row r="1313" spans="1:78" s="140" customFormat="1" ht="12.75" customHeight="1" thickBot="1" x14ac:dyDescent="0.25">
      <c r="A1313" s="777"/>
      <c r="B1313" s="1248"/>
      <c r="C1313" s="164"/>
      <c r="D1313" s="164"/>
      <c r="E1313" s="164"/>
      <c r="F1313" s="497" t="str">
        <f>Translations!$B$333</f>
        <v>Pakopa</v>
      </c>
      <c r="G1313" s="1613" t="str">
        <f>Translations!$B$672</f>
        <v>pakopos aprašas</v>
      </c>
      <c r="H1313" s="1613"/>
      <c r="I1313" s="1608" t="str">
        <f>Translations!$B$158</f>
        <v>Vienetas</v>
      </c>
      <c r="J1313" s="1608"/>
      <c r="K1313" s="1608" t="str">
        <f>Translations!$B$673</f>
        <v>Vertė</v>
      </c>
      <c r="L1313" s="1608"/>
      <c r="M1313" s="498" t="str">
        <f>Translations!$B$610</f>
        <v>klaida</v>
      </c>
      <c r="O1313" s="1305"/>
      <c r="P1313" s="499"/>
      <c r="Q1313" s="343" t="str">
        <f>EUconst_SumEnergyIN &amp; "_" &amp; K1304</f>
        <v>SUM_EnergyIN_</v>
      </c>
      <c r="R1313" s="390" t="str">
        <f>IF(OR(K1304="",T1305)=TRUE,"",INDEX(BC1319:BE1319,MATCH(K1304,BC1314:BE1314,0)))</f>
        <v/>
      </c>
      <c r="S1313" s="30"/>
      <c r="T1313" s="480"/>
      <c r="U1313" s="30"/>
      <c r="V1313" s="500" t="s">
        <v>298</v>
      </c>
      <c r="W1313" s="30"/>
      <c r="X1313" s="30"/>
      <c r="Y1313" s="485" t="s">
        <v>560</v>
      </c>
      <c r="Z1313" s="485" t="s">
        <v>313</v>
      </c>
      <c r="AA1313" s="30"/>
      <c r="AB1313" s="30"/>
      <c r="AC1313" s="496" t="s">
        <v>304</v>
      </c>
      <c r="AD1313" s="30"/>
      <c r="AE1313" s="30"/>
      <c r="AF1313" s="483" t="s">
        <v>300</v>
      </c>
      <c r="AG1313" s="483" t="s">
        <v>301</v>
      </c>
      <c r="AH1313" s="485" t="s">
        <v>299</v>
      </c>
      <c r="AI1313" s="495" t="s">
        <v>302</v>
      </c>
      <c r="AJ1313" s="495" t="s">
        <v>561</v>
      </c>
      <c r="AK1313" s="501" t="s">
        <v>306</v>
      </c>
      <c r="AL1313" s="333"/>
      <c r="AM1313" s="30"/>
      <c r="AN1313" s="483" t="s">
        <v>300</v>
      </c>
      <c r="AO1313" s="483" t="s">
        <v>301</v>
      </c>
      <c r="AP1313" s="502" t="s">
        <v>305</v>
      </c>
      <c r="AQ1313" s="495" t="s">
        <v>563</v>
      </c>
      <c r="AR1313" s="495" t="s">
        <v>562</v>
      </c>
      <c r="AS1313" s="501" t="s">
        <v>599</v>
      </c>
      <c r="AT1313" s="501" t="s">
        <v>599</v>
      </c>
      <c r="AU1313" s="30"/>
      <c r="AV1313" s="483"/>
      <c r="AW1313" s="483"/>
      <c r="AX1313" s="483" t="s">
        <v>316</v>
      </c>
      <c r="AY1313" s="483"/>
      <c r="AZ1313" s="483"/>
      <c r="BA1313" s="483"/>
      <c r="BB1313" s="483"/>
      <c r="BC1313" s="483"/>
      <c r="BD1313" s="483"/>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484" t="s">
        <v>259</v>
      </c>
    </row>
    <row r="1314" spans="1:78" s="140" customFormat="1" ht="12.75" customHeight="1" thickBot="1" x14ac:dyDescent="0.25">
      <c r="A1314" s="777"/>
      <c r="B1314" s="1248"/>
      <c r="C1314" s="753" t="s">
        <v>194</v>
      </c>
      <c r="D1314" s="503" t="str">
        <f>Translations!$B$622</f>
        <v>VD:</v>
      </c>
      <c r="E1314" s="504"/>
      <c r="F1314" s="393"/>
      <c r="G1314" s="1603" t="str">
        <f>IF(OR(ISBLANK(F1314),F1314=EUconst_NoTier),"",IF(Z1314=0,EUconst_NA,IF(ISERROR(Z1314),"",Z1314)))</f>
        <v/>
      </c>
      <c r="H1314" s="1604"/>
      <c r="I1314" s="1108" t="str">
        <f>IF(J1314&lt;&gt;"","",AI1314)</f>
        <v/>
      </c>
      <c r="J1314" s="1109"/>
      <c r="K1314" s="1116" t="str">
        <f>IF(L1314="",AQ1314,"")</f>
        <v/>
      </c>
      <c r="L1314" s="1199"/>
      <c r="M1314" s="700" t="str">
        <f>IF(AND(E1305&lt;&gt;"",OR(F1314="",COUNT(K1314:L1314)=0),Y1314&lt;&gt;EUconst_NA,T1305&lt;&gt;TRUE),EUconst_ERR_Incomplete,IF(COUNTIF(AX1314:AZ1314,TRUE)&gt;0,EUconst_ERR_Inconsistent,""))</f>
        <v/>
      </c>
      <c r="O1314" s="1305"/>
      <c r="P1314" s="635"/>
      <c r="Q1314" s="343" t="str">
        <f>EUconst_SumBioEnergyIN &amp; "_" &amp; K1304</f>
        <v>SUM_BioEnergyIN_</v>
      </c>
      <c r="R1314" s="390" t="str">
        <f>IF(OR(K1304="",T1305)=TRUE,"",INDEX(BC1320:BE1320,MATCH(K1304,BC1314:BE1314,0)))</f>
        <v/>
      </c>
      <c r="S1314" s="30"/>
      <c r="T1314" s="505" t="str">
        <f>EUconst_CNTR_ActivityData&amp;E1305</f>
        <v>ActivityData_</v>
      </c>
      <c r="U1314" s="488"/>
      <c r="V1314" s="505" t="str">
        <f>IF(E1304="","",INDEX(B_InstallationDescription!$I$71:$I$145,MATCH(U1303,B_InstallationDescription!$D$71:$D$145,0)))</f>
        <v/>
      </c>
      <c r="W1314" s="495" t="s">
        <v>533</v>
      </c>
      <c r="X1314" s="488"/>
      <c r="Y1314" s="506" t="str">
        <f>IF(OR(T1305=TRUE,E1305=""),"",INDEX(EUwideConstants!$N:$N,MATCH(T1314,EUwideConstants!$Q:$Q,0)))</f>
        <v/>
      </c>
      <c r="Z1314" s="507" t="str">
        <f>IF(ISBLANK(F1314),"",IF(F1314=EUconst_NA,"",INDEX(EUwideConstants!$H:$M,MATCH(T1314,EUwideConstants!$Q:$Q,0),MATCH(F1314,CNTR_TierList,0))))</f>
        <v/>
      </c>
      <c r="AA1314" s="508" t="s">
        <v>299</v>
      </c>
      <c r="AB1314" s="495"/>
      <c r="AC1314" s="509" t="b">
        <f>AC1309</f>
        <v>0</v>
      </c>
      <c r="AD1314" s="30"/>
      <c r="AE1314" s="510" t="str">
        <f>EUconst_CNTR_ActivityData&amp;EUconst_Unit</f>
        <v>ActivityData_Vienetas</v>
      </c>
      <c r="AF1314" s="511" t="str">
        <f>IF(AC1314=TRUE, IF(COUNTIF(MSPara_SourceStreamCategory,V1314)=0,"",INDEX(MSPara_CalcFactorsMatrix,MATCH(V1314,MSPara_SourceStreamCategory,0),MATCH(AE1314&amp;"_"&amp;2,MSPara_CalcFactors,0))),"")</f>
        <v/>
      </c>
      <c r="AG1314" s="512" t="str">
        <f>IF(AC1314=TRUE, IF(COUNTIF(MSPara_SourceStreamCategory,V1314)=0,"",INDEX(MSPara_CalcFactorsMatrix,MATCH(V1314,MSPara_SourceStreamCategory,0),MATCH(AE1314&amp;"_"&amp;1,MSPara_CalcFactors,0))),"")</f>
        <v/>
      </c>
      <c r="AH1314" s="509" t="str">
        <f>IF(OR(AF1314="",AF1314=EUconst_NA),IF(OR(AG1314=EUconst_NA,AG1314=""),"",AG1314),AF1314)</f>
        <v/>
      </c>
      <c r="AI1314" s="506" t="str">
        <f>IF(AC1314=TRUE,IF(AH1314="",EUconst_t,AH1314),"")</f>
        <v/>
      </c>
      <c r="AJ1314" s="513" t="str">
        <f>IF(J1314="",AI1314,J1314)</f>
        <v/>
      </c>
      <c r="AK1314" s="514" t="b">
        <f>IF(K1304=EUconst_Fuel,J1314&lt;&gt;"",FALSE)</f>
        <v>0</v>
      </c>
      <c r="AL1314" s="333"/>
      <c r="AM1314" s="505" t="str">
        <f>EUconst_CNTR_ActivityData&amp;EUconst_Value</f>
        <v>ActivityData_Vertė</v>
      </c>
      <c r="AN1314" s="496"/>
      <c r="AO1314" s="496"/>
      <c r="AP1314" s="509" t="b">
        <f>AND(AND(AH1314&lt;&gt;"",AJ1314&lt;&gt;""),AJ1314=AH1314)</f>
        <v>0</v>
      </c>
      <c r="AQ1314" s="610" t="str">
        <f>IF(L1309=TRUE,SUM(F1311)-SUM(H1311)+SUM(J1311)-SUM(L1311),"")</f>
        <v/>
      </c>
      <c r="AR1314" s="509">
        <f>IF(Y1314=EUconst_NA,0,IF(COUNT(K1314:L1314)=0,0,IF(L1314="",K1314,L1314)))</f>
        <v>0</v>
      </c>
      <c r="AS1314" s="1115" t="b">
        <f>AND(AC1314=TRUE,OR(L1314&lt;&gt;"",AQ1314=""))</f>
        <v>0</v>
      </c>
      <c r="AT1314" s="1115" t="b">
        <f>AND(AC1314=TRUE,NOT(AS1314))</f>
        <v>0</v>
      </c>
      <c r="AU1314" s="30"/>
      <c r="AV1314" s="483" t="s">
        <v>309</v>
      </c>
      <c r="AW1314" s="483" t="s">
        <v>314</v>
      </c>
      <c r="AX1314" s="515"/>
      <c r="AY1314" s="30" t="s">
        <v>536</v>
      </c>
      <c r="AZ1314" s="30"/>
      <c r="BA1314" s="30"/>
      <c r="BB1314" s="495"/>
      <c r="BC1314" s="484" t="str">
        <f>EUconst_Fuel</f>
        <v>Degimas</v>
      </c>
      <c r="BD1314" s="484" t="str">
        <f>EUconst_ProcessCarbonate</f>
        <v>Proceso metu išsiskiriančios ŠESD</v>
      </c>
      <c r="BE1314" s="484" t="str">
        <f>EUconst_MassBalance</f>
        <v>Masės balansas</v>
      </c>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515" t="b">
        <f>BZ1309</f>
        <v>1</v>
      </c>
    </row>
    <row r="1315" spans="1:78" s="140" customFormat="1" ht="5.0999999999999996" customHeight="1" thickBot="1" x14ac:dyDescent="0.25">
      <c r="A1315" s="777"/>
      <c r="B1315" s="1248"/>
      <c r="C1315" s="783"/>
      <c r="D1315" s="298"/>
      <c r="F1315" s="141"/>
      <c r="G1315" s="141"/>
      <c r="H1315" s="141" t="s">
        <v>233</v>
      </c>
      <c r="I1315" s="516"/>
      <c r="J1315" s="516"/>
      <c r="K1315" s="141"/>
      <c r="L1315" s="141"/>
      <c r="M1315" s="701"/>
      <c r="O1315" s="1305"/>
      <c r="P1315" s="33"/>
      <c r="Q1315" s="33"/>
      <c r="R1315" s="33"/>
      <c r="S1315" s="30"/>
      <c r="T1315" s="153"/>
      <c r="U1315" s="488"/>
      <c r="V1315" s="30"/>
      <c r="W1315" s="30"/>
      <c r="X1315" s="488"/>
      <c r="Y1315" s="517"/>
      <c r="Z1315" s="30"/>
      <c r="AA1315" s="30"/>
      <c r="AB1315" s="30"/>
      <c r="AC1315" s="30"/>
      <c r="AD1315" s="30"/>
      <c r="AE1315" s="30"/>
      <c r="AF1315" s="30"/>
      <c r="AG1315" s="30"/>
      <c r="AH1315" s="30"/>
      <c r="AI1315" s="30"/>
      <c r="AJ1315" s="30"/>
      <c r="AK1315" s="30"/>
      <c r="AL1315" s="333"/>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484"/>
    </row>
    <row r="1316" spans="1:78" s="140" customFormat="1" ht="12.75" customHeight="1" thickBot="1" x14ac:dyDescent="0.25">
      <c r="A1316" s="777"/>
      <c r="B1316" s="1248"/>
      <c r="C1316" s="783" t="s">
        <v>195</v>
      </c>
      <c r="D1316" s="503" t="str">
        <f>Translations!$B$634</f>
        <v>(prelim.) ITF:</v>
      </c>
      <c r="E1316" s="504"/>
      <c r="F1316" s="518"/>
      <c r="G1316" s="1603" t="str">
        <f t="shared" ref="G1316:G1322" si="322">IF(OR(ISBLANK(F1316),F1316=EUconst_NoTier),"",IF(Z1316=0,EUconst_NotApplicable,IF(ISERROR(Z1316),"",Z1316)))</f>
        <v/>
      </c>
      <c r="H1316" s="1609"/>
      <c r="I1316" s="1110" t="str">
        <f>IF(J1316&lt;&gt;"","",AI1316)</f>
        <v/>
      </c>
      <c r="J1316" s="1111"/>
      <c r="K1316" s="519" t="str">
        <f t="shared" ref="K1316:K1322" si="323">IF(L1316="",AQ1316,"")</f>
        <v/>
      </c>
      <c r="L1316" s="520"/>
      <c r="M1316" s="700" t="str">
        <f>IF(AND(E1305&lt;&gt;"",OR(F1316="",COUNT(K1316:L1316)=0),Y1316&lt;&gt;EUconst_NA,T1305&lt;&gt;TRUE),EUconst_ERR_Incomplete,IF(COUNTIF(AX1316:AZ1316,TRUE)&gt;0,EUconst_ERR_Inconsistent,""))</f>
        <v/>
      </c>
      <c r="N1316" s="486"/>
      <c r="O1316" s="1305"/>
      <c r="P1316" s="33"/>
      <c r="Q1316" s="33"/>
      <c r="R1316" s="33"/>
      <c r="S1316" s="30"/>
      <c r="T1316" s="521" t="str">
        <f>EUconst_CNTR_EF&amp;E1305</f>
        <v>EF_</v>
      </c>
      <c r="U1316" s="488"/>
      <c r="V1316" s="522" t="str">
        <f>V1314</f>
        <v/>
      </c>
      <c r="W1316" s="30"/>
      <c r="X1316" s="488"/>
      <c r="Y1316" s="523" t="str">
        <f>IF(OR(T1305=TRUE,E1305=""),"",IF(F1316=EUconst_NA,EUconst_NA,INDEX(EUwideConstants!$N:$N,MATCH(T1316,EUwideConstants!$Q:$Q,0))))</f>
        <v/>
      </c>
      <c r="Z1316" s="524" t="str">
        <f>IF(ISBLANK(F1316),"",IF(F1316=EUconst_NA,"",INDEX(EUwideConstants!$H:$M,MATCH(T1316,EUwideConstants!$Q:$Q,0),MATCH(F1316,CNTR_TierList,0))))</f>
        <v/>
      </c>
      <c r="AA1316" s="525" t="str">
        <f>IF(COUNTIF(EUconst_DefaultValues,Z1316)&gt;0,MATCH(Z1316,EUconst_DefaultValues,0),"")</f>
        <v/>
      </c>
      <c r="AB1316" s="30"/>
      <c r="AC1316" s="526" t="b">
        <f>AND(AC1314,Y1316&lt;&gt;EUconst_NA)</f>
        <v>0</v>
      </c>
      <c r="AD1316" s="30"/>
      <c r="AE1316" s="510" t="str">
        <f>EUconst_CNTR_EF&amp;EUconst_Unit</f>
        <v>EF_Vienetas</v>
      </c>
      <c r="AF1316" s="527" t="str">
        <f>IF(AC1316=TRUE, IF(COUNTIF(MSPara_SourceStreamCategory,V1316)=0,"",INDEX(MSPara_CalcFactorsMatrix,MATCH(V1316,MSPara_SourceStreamCategory,0),MATCH(AE1316&amp;"_"&amp;2,MSPara_CalcFactors,0))),"")</f>
        <v/>
      </c>
      <c r="AG1316" s="528" t="str">
        <f>IF(AC1316=TRUE, IF(COUNTIF(MSPara_SourceStreamCategory,V1316)=0,"",INDEX(MSPara_CalcFactorsMatrix,MATCH(V1316,MSPara_SourceStreamCategory,0),MATCH(AE1316&amp;"_"&amp;1,MSPara_CalcFactors,0))),"")</f>
        <v/>
      </c>
      <c r="AH1316" s="529" t="str">
        <f>IF(AA1316="","",INDEX(AF1316:AG1316,3-AA1316))</f>
        <v/>
      </c>
      <c r="AI1316" s="530" t="str">
        <f>IF(AC1316=TRUE,IF(OR(AH1316="",AH1316=EUconst_NA),IF(K1304=EUconst_Fuel,EUconst_tCO2pTJ,EUconst_tCO2pt),AH1316),"")</f>
        <v/>
      </c>
      <c r="AJ1316" s="526" t="str">
        <f>IF(J1316="",AI1316,J1316)</f>
        <v/>
      </c>
      <c r="AK1316" s="531" t="b">
        <f>IF(K1304=EUconst_Fuel,J1316&lt;&gt;"",FALSE)</f>
        <v>0</v>
      </c>
      <c r="AL1316" s="333"/>
      <c r="AM1316" s="510" t="str">
        <f>EUconst_CNTR_EF&amp;EUconst_Value</f>
        <v>EF_Vertė</v>
      </c>
      <c r="AN1316" s="532" t="str">
        <f>IF(AC1316=TRUE,IF(COUNTIF(MSPara_SourceStreamCategory,V1316)=0,"",INDEX(MSPara_CalcFactorsMatrix,MATCH(V1316,MSPara_SourceStreamCategory,0),MATCH(AM1316&amp;"_"&amp;2,MSPara_CalcFactors,0))),"")</f>
        <v/>
      </c>
      <c r="AO1316" s="533" t="str">
        <f>IF(AC1316=TRUE,IF(COUNTIF(MSPara_SourceStreamCategory,V1316)=0,"",INDEX(MSPara_CalcFactorsMatrix,MATCH(V1316,MSPara_SourceStreamCategory,0),MATCH(AM1316&amp;"_"&amp;1,MSPara_CalcFactors,0))),"")</f>
        <v/>
      </c>
      <c r="AP1316" s="526" t="b">
        <f>AND(AND(AH1316&lt;&gt;"",AJ1316&lt;&gt;""),AJ1316=AH1316)</f>
        <v>0</v>
      </c>
      <c r="AQ1316" s="534" t="str">
        <f>IF(AND(AA1316&lt;&gt;"",AP1316=TRUE),IF(OR(INDEX(AN1316:AO1316,3-AA1316)=EUconst_NA,INDEX(AN1316:AO1316,3-AA1316)=0),"",INDEX(AN1316:AO1316,3-AA1316)),"")</f>
        <v/>
      </c>
      <c r="AR1316" s="526">
        <f>IF(AC1316=TRUE,IF(COUNT(K1316:L1316)=0,0,IF(L1316="",K1316,L1316)),0)</f>
        <v>0</v>
      </c>
      <c r="AS1316" s="522" t="b">
        <f>AND(AC1316=TRUE,OR(AND(F1316&lt;&gt;"",NOT(ISNUMBER(AA1316))),L1316&lt;&gt;"",F1316="",AQ1316=""))</f>
        <v>0</v>
      </c>
      <c r="AT1316" s="522" t="b">
        <f t="shared" ref="AT1316:AT1322" si="324">AND(AC1316=TRUE,NOT(AS1316))</f>
        <v>0</v>
      </c>
      <c r="AU1316" s="30"/>
      <c r="AV1316" s="535" t="b">
        <f t="shared" ref="AV1316:AV1322" si="325">AND(ISNUMBER(AA1316),AQ1316="")</f>
        <v>0</v>
      </c>
      <c r="AW1316" s="536" t="b">
        <f t="shared" ref="AW1316:AW1322" si="326">AND(ISNUMBER(AA1316),AQ1316&lt;&gt;AR1316)</f>
        <v>0</v>
      </c>
      <c r="AX1316" s="537" t="b">
        <f>OR(AND(AJ1314=EUconst_kNm3,AJ1316=EUconst_tCO2pt),AND(AJ1314=EUconst_t,AJ1316=EUconst_tCO2pkNm3))</f>
        <v>0</v>
      </c>
      <c r="AY1316" s="522" t="b">
        <f t="shared" ref="AY1316:AY1322" si="327">AND(L1316&lt;&gt;"",Y1316=EUconst_NA)</f>
        <v>0</v>
      </c>
      <c r="AZ1316" s="30"/>
      <c r="BA1316" s="30"/>
      <c r="BB1316" s="538" t="s">
        <v>588</v>
      </c>
      <c r="BC1316" s="537" t="str">
        <f>IF(K1304=BC1314,AR1314*IF(AJ1316=EUconst_tCO2pTJ,(AR1317/1000),1)*AR1316*AR1318*AR1322,"")</f>
        <v/>
      </c>
      <c r="BD1316" s="515" t="str">
        <f>IF(K1304=BD1314,AR1314*AR1316*AR1319*AR1322,"")</f>
        <v/>
      </c>
      <c r="BE1316" s="514" t="str">
        <f>IF(K1304=BE1314,3.664*AR1314*AR1320*AR1322,"")</f>
        <v/>
      </c>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522" t="b">
        <f>OR(BZ1314,Y1316=EUconst_NA)</f>
        <v>1</v>
      </c>
    </row>
    <row r="1317" spans="1:78" s="140" customFormat="1" ht="12.75" customHeight="1" thickBot="1" x14ac:dyDescent="0.25">
      <c r="A1317" s="777"/>
      <c r="B1317" s="1248"/>
      <c r="C1317" s="783" t="s">
        <v>196</v>
      </c>
      <c r="D1317" s="503" t="str">
        <f>Translations!$B$636</f>
        <v>GŠV:</v>
      </c>
      <c r="E1317" s="504"/>
      <c r="F1317" s="539"/>
      <c r="G1317" s="1603" t="str">
        <f t="shared" si="322"/>
        <v/>
      </c>
      <c r="H1317" s="1604"/>
      <c r="I1317" s="1112" t="str">
        <f>AJ1317</f>
        <v/>
      </c>
      <c r="J1317" s="540"/>
      <c r="K1317" s="541" t="str">
        <f t="shared" si="323"/>
        <v/>
      </c>
      <c r="L1317" s="542"/>
      <c r="M1317" s="700" t="str">
        <f>IF(AND(E1305&lt;&gt;"",OR(F1317="",COUNT(K1317:L1317)=0),Y1317&lt;&gt;EUconst_NA,T1305&lt;&gt;TRUE),EUconst_ERR_Incomplete,IF(COUNTIF(AX1317:AZ1317,TRUE)&gt;0,EUconst_ERR_Inconsistent,""))</f>
        <v/>
      </c>
      <c r="O1317" s="1305"/>
      <c r="P1317" s="33"/>
      <c r="Q1317" s="33"/>
      <c r="R1317" s="33"/>
      <c r="S1317" s="30"/>
      <c r="T1317" s="543" t="str">
        <f>EUconst_CNTR_NCV&amp;E1305</f>
        <v>NCV_</v>
      </c>
      <c r="U1317" s="488"/>
      <c r="V1317" s="544" t="str">
        <f t="shared" ref="V1317:V1322" si="328">V1316</f>
        <v/>
      </c>
      <c r="W1317" s="30"/>
      <c r="X1317" s="488"/>
      <c r="Y1317" s="545" t="str">
        <f>IF(OR(T1305=TRUE,E1305=""),"",IF(F1317=EUconst_NA,EUconst_NA,INDEX(EUwideConstants!$N:$N,MATCH(T1317,EUwideConstants!$Q:$Q,0))))</f>
        <v/>
      </c>
      <c r="Z1317" s="546" t="str">
        <f>IF(ISBLANK(F1317),"",IF(F1317=EUconst_NA,"",INDEX(EUwideConstants!$H:$M,MATCH(T1317,EUwideConstants!$Q:$Q,0),MATCH(F1317,CNTR_TierList,0))))</f>
        <v/>
      </c>
      <c r="AA1317" s="547" t="str">
        <f>IF(COUNTIF(EUconst_DefaultValues,Z1317)&gt;0,MATCH(Z1317,EUconst_DefaultValues,0),"")</f>
        <v/>
      </c>
      <c r="AB1317" s="30"/>
      <c r="AC1317" s="548" t="b">
        <f>AND(AC1314,Y1317&lt;&gt;EUconst_NA)</f>
        <v>0</v>
      </c>
      <c r="AD1317" s="30"/>
      <c r="AE1317" s="549" t="str">
        <f>EUconst_CNTR_NCV&amp;EUconst_Unit</f>
        <v>NCV_Vienetas</v>
      </c>
      <c r="AF1317" s="550" t="str">
        <f>IF(AC1317=TRUE, IF(COUNTIF(MSPara_SourceStreamCategory,V1317)=0,"",INDEX(MSPara_CalcFactorsMatrix,MATCH(V1317,MSPara_SourceStreamCategory,0),MATCH(AE1317&amp;"_"&amp;2,MSPara_CalcFactors,0))),"")</f>
        <v/>
      </c>
      <c r="AG1317" s="551" t="str">
        <f>IF(AC1317=TRUE, IF(COUNTIF(MSPara_SourceStreamCategory,V1317)=0,"",INDEX(MSPara_CalcFactorsMatrix,MATCH(V1317,MSPara_SourceStreamCategory,0),MATCH(AE1317&amp;"_"&amp;1,MSPara_CalcFactors,0))),"")</f>
        <v/>
      </c>
      <c r="AH1317" s="552" t="str">
        <f>IF(AA1317="","",INDEX(AF1317:AG1317,3-AA1317))</f>
        <v/>
      </c>
      <c r="AI1317" s="553"/>
      <c r="AJ1317" s="548" t="str">
        <f>IF(AC1317=TRUE,IF(AJ1314="","",IF(AJ1314=EUconst_kNm3,EUconst_GJpkNm3,EUconst_GJpt)),"")</f>
        <v/>
      </c>
      <c r="AK1317" s="554"/>
      <c r="AL1317" s="333"/>
      <c r="AM1317" s="549" t="str">
        <f>EUconst_CNTR_NCV&amp;EUconst_Value</f>
        <v>NCV_Vertė</v>
      </c>
      <c r="AN1317" s="555" t="str">
        <f>IF(AC1317=TRUE,IF(COUNTIF(MSPara_SourceStreamCategory,V1317)=0,"",INDEX(MSPara_CalcFactorsMatrix,MATCH(V1317,MSPara_SourceStreamCategory,0),MATCH(AM1317&amp;"_"&amp;2,MSPara_CalcFactors,0))),"")</f>
        <v/>
      </c>
      <c r="AO1317" s="556" t="str">
        <f>IF(AC1317=TRUE,IF(COUNTIF(MSPara_SourceStreamCategory,V1317)=0,"",INDEX(MSPara_CalcFactorsMatrix,MATCH(V1317,MSPara_SourceStreamCategory,0),MATCH(AM1317&amp;"_"&amp;1,MSPara_CalcFactors,0))),"")</f>
        <v/>
      </c>
      <c r="AP1317" s="548" t="b">
        <f>AND(AND(AH1317&lt;&gt;"",AJ1317&lt;&gt;""),AJ1317=AH1317)</f>
        <v>0</v>
      </c>
      <c r="AQ1317" s="557" t="str">
        <f>IF(AND(AA1317&lt;&gt;"",AP1317=TRUE),IF(OR(INDEX(AN1317:AO1317,3-AA1317)=EUconst_NA,INDEX(AN1317:AO1317,3-AA1317)=0),"",INDEX(AN1317:AO1317,3-AA1317)),"")</f>
        <v/>
      </c>
      <c r="AR1317" s="548">
        <f>IF(AC1317=TRUE,IF(COUNT(K1317:L1317)=0,0,IF(L1317="",K1317,L1317)),0)</f>
        <v>0</v>
      </c>
      <c r="AS1317" s="544" t="b">
        <f>AND(AC1317=TRUE,OR(AND(F1317&lt;&gt;"",NOT(ISNUMBER(AA1317))),L1317&lt;&gt;"",F1317="",AQ1317=""))</f>
        <v>0</v>
      </c>
      <c r="AT1317" s="544" t="b">
        <f t="shared" si="324"/>
        <v>0</v>
      </c>
      <c r="AU1317" s="30"/>
      <c r="AV1317" s="558" t="b">
        <f t="shared" si="325"/>
        <v>0</v>
      </c>
      <c r="AW1317" s="559" t="b">
        <f t="shared" si="326"/>
        <v>0</v>
      </c>
      <c r="AX1317" s="30"/>
      <c r="AY1317" s="544" t="b">
        <f t="shared" si="327"/>
        <v>0</v>
      </c>
      <c r="AZ1317" s="30"/>
      <c r="BA1317" s="30"/>
      <c r="BB1317" s="538" t="s">
        <v>589</v>
      </c>
      <c r="BC1317" s="537" t="str">
        <f>IF(K1304=BC1314,AR1314*IF(AJ1316=EUconst_tCO2pTJ,(AR1317/1000),1)*AR1316*AR1318*AR1321,"")</f>
        <v/>
      </c>
      <c r="BD1317" s="515" t="str">
        <f>IF(K1304=BD1314,AR1314*AR1316*AR1319*AR1321,"")</f>
        <v/>
      </c>
      <c r="BE1317" s="514" t="str">
        <f>IF(K1304=BE1314,3.664*AR1314*AR1320*AR1321,"")</f>
        <v/>
      </c>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544" t="b">
        <f>OR(BZ1314,Y1317=EUconst_NA)</f>
        <v>1</v>
      </c>
    </row>
    <row r="1318" spans="1:78" s="140" customFormat="1" ht="12.75" customHeight="1" thickBot="1" x14ac:dyDescent="0.25">
      <c r="A1318" s="777"/>
      <c r="B1318" s="1248"/>
      <c r="C1318" s="783" t="s">
        <v>197</v>
      </c>
      <c r="D1318" s="503" t="str">
        <f>Translations!$B$638</f>
        <v>Oksidacijos koef.:</v>
      </c>
      <c r="E1318" s="504"/>
      <c r="F1318" s="539"/>
      <c r="G1318" s="1603" t="str">
        <f t="shared" si="322"/>
        <v/>
      </c>
      <c r="H1318" s="1604"/>
      <c r="I1318" s="1113" t="str">
        <f>IF(OR(AC1318=FALSE,Y1318=EUconst_NA),"","-")</f>
        <v/>
      </c>
      <c r="J1318" s="560"/>
      <c r="K1318" s="561" t="str">
        <f t="shared" si="323"/>
        <v/>
      </c>
      <c r="L1318" s="694"/>
      <c r="M1318" s="700" t="str">
        <f>IF(AND(E1305&lt;&gt;"",OR(F1318="",COUNT(K1318:L1318)=0),Y1318&lt;&gt;EUconst_NA,T1305&lt;&gt;TRUE),EUconst_ERR_Incomplete,IF(COUNTIF(AX1318:AZ1318,TRUE)&gt;0,EUconst_ERR_Inconsistent,""))</f>
        <v/>
      </c>
      <c r="O1318" s="1305"/>
      <c r="P1318" s="33"/>
      <c r="Q1318" s="33"/>
      <c r="R1318" s="33"/>
      <c r="S1318" s="30"/>
      <c r="T1318" s="543" t="str">
        <f>EUconst_CNTR_OxidationFactor&amp;E1305</f>
        <v>OxF_</v>
      </c>
      <c r="U1318" s="488"/>
      <c r="V1318" s="544" t="str">
        <f t="shared" si="328"/>
        <v/>
      </c>
      <c r="W1318" s="30"/>
      <c r="X1318" s="488"/>
      <c r="Y1318" s="545" t="str">
        <f>IF(OR(T1305=TRUE,E1305=""),"",INDEX(EUwideConstants!$N:$N,MATCH(T1318,EUwideConstants!$Q:$Q,0)))</f>
        <v/>
      </c>
      <c r="Z1318" s="546" t="str">
        <f>IF(ISBLANK(F1318),"",IF(F1318=EUconst_NA,"",INDEX(EUwideConstants!$H:$M,MATCH(T1318,EUwideConstants!$Q:$Q,0),MATCH(F1318,CNTR_TierList,0))))</f>
        <v/>
      </c>
      <c r="AA1318" s="525" t="str">
        <f>IF(F1318=1,1,"")</f>
        <v/>
      </c>
      <c r="AB1318" s="30"/>
      <c r="AC1318" s="548" t="b">
        <f>AND(AC1314,Y1318&lt;&gt;EUconst_NA)</f>
        <v>0</v>
      </c>
      <c r="AD1318" s="30"/>
      <c r="AE1318" s="563"/>
      <c r="AG1318" s="564"/>
      <c r="AH1318" s="553"/>
      <c r="AI1318" s="565"/>
      <c r="AJ1318" s="553"/>
      <c r="AK1318" s="566"/>
      <c r="AL1318" s="333"/>
      <c r="AM1318" s="549" t="str">
        <f>EUconst_CNTR_OxidationFactor&amp;EUconst_Value</f>
        <v>OxF_Vertė</v>
      </c>
      <c r="AN1318" s="567"/>
      <c r="AO1318" s="525">
        <v>1</v>
      </c>
      <c r="AP1318" s="553"/>
      <c r="AQ1318" s="568" t="str">
        <f>IF(AA1318="","",AO1318)</f>
        <v/>
      </c>
      <c r="AR1318" s="548">
        <f>IF(AC1318=TRUE,IF(COUNT(K1318:L1318)=0,0,IF(L1318="",K1318,L1318)),1)</f>
        <v>1</v>
      </c>
      <c r="AS1318" s="544" t="b">
        <f>AND(AC1318=TRUE,OR(ISNUMBER(L1318),NOT(ISNUMBER(AA1318))))</f>
        <v>0</v>
      </c>
      <c r="AT1318" s="544" t="b">
        <f t="shared" si="324"/>
        <v>0</v>
      </c>
      <c r="AU1318" s="30"/>
      <c r="AV1318" s="558" t="b">
        <f t="shared" si="325"/>
        <v>0</v>
      </c>
      <c r="AW1318" s="559" t="b">
        <f t="shared" si="326"/>
        <v>0</v>
      </c>
      <c r="AX1318" s="30"/>
      <c r="AY1318" s="585" t="b">
        <f t="shared" si="327"/>
        <v>0</v>
      </c>
      <c r="AZ1318" s="522" t="b">
        <f>AR1318&gt;100%</f>
        <v>0</v>
      </c>
      <c r="BA1318" s="30"/>
      <c r="BB1318" s="538" t="s">
        <v>287</v>
      </c>
      <c r="BC1318" s="537" t="str">
        <f>IF(K1304=BC1314,AR1314*IF(AJ1316=EUconst_tCO2pTJ,(AR1317/1000),1)*AR1316*AR1318*(1-AR1321),"")</f>
        <v/>
      </c>
      <c r="BD1318" s="515" t="str">
        <f>IF(K1304=BD1314,AR1314*AR1316*AR1319*(1-AR1321),"")</f>
        <v/>
      </c>
      <c r="BE1318" s="514" t="str">
        <f>IF(K1304=BE1314,3.664*AR1314*AR1320*(1-AR1321),"")</f>
        <v/>
      </c>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544" t="b">
        <f>OR(BZ1314,Y1318=EUconst_NA)</f>
        <v>1</v>
      </c>
    </row>
    <row r="1319" spans="1:78" s="140" customFormat="1" ht="12.75" customHeight="1" thickBot="1" x14ac:dyDescent="0.25">
      <c r="A1319" s="777"/>
      <c r="B1319" s="1248"/>
      <c r="C1319" s="783" t="s">
        <v>198</v>
      </c>
      <c r="D1319" s="503" t="str">
        <f>Translations!$B$639</f>
        <v>Konversijos koef.:</v>
      </c>
      <c r="E1319" s="504"/>
      <c r="F1319" s="539"/>
      <c r="G1319" s="1603" t="str">
        <f t="shared" si="322"/>
        <v/>
      </c>
      <c r="H1319" s="1604"/>
      <c r="I1319" s="1113" t="str">
        <f>IF(OR(AC1319=FALSE,Y1319=EUconst_NA),"","-")</f>
        <v/>
      </c>
      <c r="J1319" s="560"/>
      <c r="K1319" s="561" t="str">
        <f t="shared" si="323"/>
        <v/>
      </c>
      <c r="L1319" s="694"/>
      <c r="M1319" s="700" t="str">
        <f>IF(AND(E1305&lt;&gt;"",OR(F1319="",COUNT(K1319:L1319)=0),Y1319&lt;&gt;EUconst_NA,T1305&lt;&gt;TRUE),EUconst_ERR_Incomplete,IF(COUNTIF(AX1319:AZ1319,TRUE)&gt;0,EUconst_ERR_Inconsistent,""))</f>
        <v/>
      </c>
      <c r="O1319" s="1305"/>
      <c r="P1319" s="33"/>
      <c r="Q1319" s="33"/>
      <c r="R1319" s="33"/>
      <c r="S1319" s="30"/>
      <c r="T1319" s="543" t="str">
        <f>EUconst_CNTR_ConversionFactor&amp;E1305</f>
        <v>ConvF_</v>
      </c>
      <c r="U1319" s="488"/>
      <c r="V1319" s="544" t="str">
        <f t="shared" si="328"/>
        <v/>
      </c>
      <c r="W1319" s="30"/>
      <c r="X1319" s="488"/>
      <c r="Y1319" s="545" t="str">
        <f>IF(OR(T1305=TRUE,E1305=""),"",INDEX(EUwideConstants!$N:$N,MATCH(T1319,EUwideConstants!$Q:$Q,0)))</f>
        <v/>
      </c>
      <c r="Z1319" s="546" t="str">
        <f>IF(ISBLANK(F1319),"",IF(F1319=EUconst_NA,"",INDEX(EUwideConstants!$H:$M,MATCH(T1319,EUwideConstants!$Q:$Q,0),MATCH(F1319,CNTR_TierList,0))))</f>
        <v/>
      </c>
      <c r="AA1319" s="573" t="str">
        <f>IF(F1319=1,1,"")</f>
        <v/>
      </c>
      <c r="AB1319" s="30"/>
      <c r="AC1319" s="548" t="b">
        <f>AND(AC1314,Y1319&lt;&gt;EUconst_NA)</f>
        <v>0</v>
      </c>
      <c r="AD1319" s="30"/>
      <c r="AE1319" s="563"/>
      <c r="AG1319" s="564"/>
      <c r="AH1319" s="574"/>
      <c r="AI1319" s="565"/>
      <c r="AJ1319" s="574"/>
      <c r="AK1319" s="566"/>
      <c r="AL1319" s="333"/>
      <c r="AM1319" s="549" t="str">
        <f>EUconst_CNTR_ConversionFactor&amp;EUconst_Value</f>
        <v>ConvF_Vertė</v>
      </c>
      <c r="AN1319" s="575"/>
      <c r="AO1319" s="573">
        <v>1</v>
      </c>
      <c r="AP1319" s="574"/>
      <c r="AQ1319" s="576" t="str">
        <f>IF(AA1319="","",AO1319)</f>
        <v/>
      </c>
      <c r="AR1319" s="548">
        <f>IF(AC1319=TRUE,IF(COUNT(K1319:L1319)=0,0,IF(L1319="",K1319,L1319)),1)</f>
        <v>1</v>
      </c>
      <c r="AS1319" s="544" t="b">
        <f>AND(AC1319=TRUE,OR(ISNUMBER(L1319),NOT(ISNUMBER(AA1319))))</f>
        <v>0</v>
      </c>
      <c r="AT1319" s="544" t="b">
        <f t="shared" si="324"/>
        <v>0</v>
      </c>
      <c r="AU1319" s="30"/>
      <c r="AV1319" s="558" t="b">
        <f t="shared" si="325"/>
        <v>0</v>
      </c>
      <c r="AW1319" s="559" t="b">
        <f t="shared" si="326"/>
        <v>0</v>
      </c>
      <c r="AX1319" s="30"/>
      <c r="AY1319" s="585" t="b">
        <f t="shared" si="327"/>
        <v>0</v>
      </c>
      <c r="AZ1319" s="571" t="b">
        <f>AR1319&gt;100%</f>
        <v>0</v>
      </c>
      <c r="BA1319" s="30"/>
      <c r="BB1319" s="569" t="s">
        <v>481</v>
      </c>
      <c r="BC1319" s="570">
        <f>AR1314*AR1317/1000*(1-AR1321)</f>
        <v>0</v>
      </c>
      <c r="BD1319" s="571">
        <f>BC1319</f>
        <v>0</v>
      </c>
      <c r="BE1319" s="572">
        <f>BC1319</f>
        <v>0</v>
      </c>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544" t="b">
        <f>OR(BZ1314,Y1319=EUconst_NA)</f>
        <v>1</v>
      </c>
    </row>
    <row r="1320" spans="1:78" s="140" customFormat="1" ht="12.75" customHeight="1" thickBot="1" x14ac:dyDescent="0.25">
      <c r="A1320" s="777"/>
      <c r="B1320" s="1248"/>
      <c r="C1320" s="783" t="s">
        <v>324</v>
      </c>
      <c r="D1320" s="503" t="str">
        <f>Translations!$B$640</f>
        <v>Anglies kiekis (C):</v>
      </c>
      <c r="E1320" s="504"/>
      <c r="F1320" s="539"/>
      <c r="G1320" s="1603" t="str">
        <f t="shared" si="322"/>
        <v/>
      </c>
      <c r="H1320" s="1604"/>
      <c r="I1320" s="1113" t="str">
        <f>AJ1320</f>
        <v/>
      </c>
      <c r="J1320" s="577"/>
      <c r="K1320" s="578" t="str">
        <f t="shared" si="323"/>
        <v/>
      </c>
      <c r="L1320" s="579"/>
      <c r="M1320" s="700" t="str">
        <f>IF(AND(E1305&lt;&gt;"",OR(F1320="",COUNT(K1320:L1320)=0),Y1320&lt;&gt;EUconst_NA,T1305&lt;&gt;TRUE),EUconst_ERR_Incomplete,IF(COUNTIF(AX1320:AZ1320,TRUE)&gt;0,EUconst_ERR_Inconsistent,""))</f>
        <v/>
      </c>
      <c r="O1320" s="1305"/>
      <c r="P1320" s="33"/>
      <c r="Q1320" s="33"/>
      <c r="R1320" s="33"/>
      <c r="S1320" s="30"/>
      <c r="T1320" s="543" t="str">
        <f>EUconst_CNTR_CarbonContent&amp;E1305</f>
        <v>CarbC_</v>
      </c>
      <c r="U1320" s="488"/>
      <c r="V1320" s="544" t="str">
        <f t="shared" si="328"/>
        <v/>
      </c>
      <c r="W1320" s="30"/>
      <c r="X1320" s="488"/>
      <c r="Y1320" s="545" t="str">
        <f>IF(OR(T1305=TRUE,E1305=""),"",INDEX(EUwideConstants!$N:$N,MATCH(T1320,EUwideConstants!$Q:$Q,0)))</f>
        <v/>
      </c>
      <c r="Z1320" s="546" t="str">
        <f>IF(ISBLANK(F1320),"",IF(F1320=EUconst_NA,"",INDEX(EUwideConstants!$H:$M,MATCH(T1320,EUwideConstants!$Q:$Q,0),MATCH(F1320,CNTR_TierList,0))))</f>
        <v/>
      </c>
      <c r="AA1320" s="580" t="str">
        <f>IF(COUNTIF(EUconst_DefaultValues,Z1320)&gt;0,MATCH(Z1320,EUconst_DefaultValues,0),"")</f>
        <v/>
      </c>
      <c r="AB1320" s="30"/>
      <c r="AC1320" s="548" t="b">
        <f>AND(AC1314,Y1320&lt;&gt;EUconst_NA)</f>
        <v>0</v>
      </c>
      <c r="AD1320" s="30"/>
      <c r="AE1320" s="549" t="str">
        <f>EUconst_CNTR_CarbonContent&amp;EUconst_Unit</f>
        <v>CarbC_Vienetas</v>
      </c>
      <c r="AF1320" s="550" t="str">
        <f>IF(AC1320=TRUE, IF(COUNTIF(MSPara_SourceStreamCategory,V1320)=0,"",INDEX(MSPara_CalcFactorsMatrix,MATCH(V1320,MSPara_SourceStreamCategory,0),MATCH(AE1320&amp;"_"&amp;2,MSPara_CalcFactors,0))),"")</f>
        <v/>
      </c>
      <c r="AG1320" s="551" t="str">
        <f>IF(AC1320=TRUE, IF(COUNTIF(MSPara_SourceStreamCategory,V1320)=0,"",INDEX(MSPara_CalcFactorsMatrix,MATCH(V1320,MSPara_SourceStreamCategory,0),MATCH(AE1320&amp;"_"&amp;1,MSPara_CalcFactors,0))),"")</f>
        <v/>
      </c>
      <c r="AH1320" s="581" t="str">
        <f>IF(AA1320="","",INDEX(AF1320:AG1320,3-AA1320))</f>
        <v/>
      </c>
      <c r="AI1320" s="565"/>
      <c r="AJ1320" s="582" t="str">
        <f>IF(AC1320=TRUE,IF(AJ1314="","",IF(AJ1314=EUconst_kNm3,EUconst_tCpkNm3,EUconst_tCpt)),"")</f>
        <v/>
      </c>
      <c r="AK1320" s="566"/>
      <c r="AL1320" s="333"/>
      <c r="AM1320" s="549" t="str">
        <f>EUconst_CNTR_CarbonContent&amp;EUconst_Value</f>
        <v>CarbC_Vertė</v>
      </c>
      <c r="AN1320" s="555" t="str">
        <f>IF(AC1320=TRUE,IF(COUNTIF(MSPara_SourceStreamCategory,V1320)=0,"",INDEX(MSPara_CalcFactorsMatrix,MATCH(V1320,MSPara_SourceStreamCategory,0),MATCH(AM1320&amp;"_"&amp;2,MSPara_CalcFactors,0))),"")</f>
        <v/>
      </c>
      <c r="AO1320" s="583" t="str">
        <f>IF(AC1320=TRUE,IF(COUNTIF(MSPara_SourceStreamCategory,V1320)=0,"",INDEX(MSPara_CalcFactorsMatrix,MATCH(V1320,MSPara_SourceStreamCategory,0),MATCH(AM1320&amp;"_"&amp;1,MSPara_CalcFactors,0))),"")</f>
        <v/>
      </c>
      <c r="AP1320" s="548" t="b">
        <f>AND(AND(AH1320&lt;&gt;"",AJ1320&lt;&gt;""),AJ1320=AH1320)</f>
        <v>0</v>
      </c>
      <c r="AQ1320" s="584" t="str">
        <f>IF(AND(AA1320&lt;&gt;"",AP1320=TRUE),IF(OR(INDEX(AN1320:AO1320,3-AA1320)=EUconst_NA,INDEX(AN1320:AO1320,3-AA1320)=0),"",INDEX(AN1320:AO1320,3-AA1320)),"")</f>
        <v/>
      </c>
      <c r="AR1320" s="548">
        <f>IF(AC1320=TRUE,IF(COUNT(K1320:L1320)=0,0,IF(L1320="",K1320,L1320)),0)</f>
        <v>0</v>
      </c>
      <c r="AS1320" s="544" t="b">
        <f>AND(AC1320=TRUE,OR(AND(F1320&lt;&gt;"",NOT(ISNUMBER(AA1320))),L1320&lt;&gt;"",F1320="",AQ1320=""))</f>
        <v>0</v>
      </c>
      <c r="AT1320" s="544" t="b">
        <f t="shared" si="324"/>
        <v>0</v>
      </c>
      <c r="AU1320" s="30"/>
      <c r="AV1320" s="558" t="b">
        <f t="shared" si="325"/>
        <v>0</v>
      </c>
      <c r="AW1320" s="559" t="b">
        <f t="shared" si="326"/>
        <v>0</v>
      </c>
      <c r="AX1320" s="537" t="b">
        <f>OR(AND(AJ1314=EUconst_kNm3,AJ1320=EUconst_tCpt),AND(AJ1314=EUconst_t,AJ1320=EUconst_tCpkNm3))</f>
        <v>0</v>
      </c>
      <c r="AY1320" s="544" t="b">
        <f t="shared" si="327"/>
        <v>0</v>
      </c>
      <c r="AZ1320" s="30"/>
      <c r="BA1320" s="30"/>
      <c r="BB1320" s="569" t="s">
        <v>482</v>
      </c>
      <c r="BC1320" s="570">
        <f>AR1314*AR1317/1000*AR1321</f>
        <v>0</v>
      </c>
      <c r="BD1320" s="571">
        <f>BC1320</f>
        <v>0</v>
      </c>
      <c r="BE1320" s="572">
        <f>BC1320</f>
        <v>0</v>
      </c>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544" t="b">
        <f>OR(BZ1314,Y1320=EUconst_NA)</f>
        <v>1</v>
      </c>
    </row>
    <row r="1321" spans="1:78" s="140" customFormat="1" ht="12.75" customHeight="1" x14ac:dyDescent="0.2">
      <c r="A1321" s="777"/>
      <c r="B1321" s="1248"/>
      <c r="C1321" s="753" t="s">
        <v>325</v>
      </c>
      <c r="D1321" s="503" t="str">
        <f>Translations!$B$641</f>
        <v>Biomasės dalis (BioC):</v>
      </c>
      <c r="E1321" s="504"/>
      <c r="F1321" s="539"/>
      <c r="G1321" s="1603" t="str">
        <f t="shared" si="322"/>
        <v/>
      </c>
      <c r="H1321" s="1604"/>
      <c r="I1321" s="1113" t="str">
        <f>IF(OR(AC1321=FALSE,Y1321=EUconst_NA),"","-")</f>
        <v/>
      </c>
      <c r="J1321" s="560"/>
      <c r="K1321" s="561" t="str">
        <f t="shared" si="323"/>
        <v/>
      </c>
      <c r="L1321" s="694"/>
      <c r="M1321" s="700" t="str">
        <f>IF(AND(E1305&lt;&gt;"",OR(F1321="",COUNT(K1321:L1321)=0),Y1321&lt;&gt;EUconst_NA,T1305&lt;&gt;TRUE),EUconst_ERR_Incomplete,IF(COUNTIF(AX1321:AZ1321,TRUE)&gt;0,EUconst_ERR_Inconsistent,""))</f>
        <v/>
      </c>
      <c r="O1321" s="1305"/>
      <c r="P1321" s="635"/>
      <c r="Q1321" s="635"/>
      <c r="R1321" s="635"/>
      <c r="S1321" s="30"/>
      <c r="T1321" s="543" t="str">
        <f>EUconst_CNTR_BiomassContent&amp;E1305</f>
        <v>BioC_</v>
      </c>
      <c r="U1321" s="488"/>
      <c r="V1321" s="585" t="str">
        <f t="shared" si="328"/>
        <v/>
      </c>
      <c r="W1321" s="522" t="str">
        <f>IF(COUNTIF(MSPara_SourceStreamCategory,V1321)=0,"",INDEX(MSPara_IsFossil,MATCH(V1321,MSPara_SourceStreamCategory,0)))</f>
        <v/>
      </c>
      <c r="X1321" s="488"/>
      <c r="Y1321" s="545" t="str">
        <f>IF(OR(T1305=TRUE,E1305=""),"",IF(OR(W1321=TRUE,F1321=EUconst_NA),EUconst_NA,INDEX(EUwideConstants!$N:$N,MATCH(T1321,EUwideConstants!$Q:$Q,0))))</f>
        <v/>
      </c>
      <c r="Z1321" s="546" t="str">
        <f>IF(ISBLANK(F1321),"",IF(F1321=EUconst_NA,"",INDEX(EUwideConstants!$H:$M,MATCH(T1321,EUwideConstants!$Q:$Q,0),MATCH(F1321,CNTR_TierList,0))))</f>
        <v/>
      </c>
      <c r="AA1321" s="586" t="str">
        <f>IF(F1321=1,1,"")</f>
        <v/>
      </c>
      <c r="AB1321" s="30"/>
      <c r="AC1321" s="548" t="b">
        <f>AND(AC1314,Y1321&lt;&gt;EUconst_NA)</f>
        <v>0</v>
      </c>
      <c r="AD1321" s="30"/>
      <c r="AE1321" s="563"/>
      <c r="AG1321" s="564"/>
      <c r="AH1321" s="553"/>
      <c r="AI1321" s="565"/>
      <c r="AJ1321" s="553"/>
      <c r="AK1321" s="566"/>
      <c r="AL1321" s="333"/>
      <c r="AM1321" s="549" t="str">
        <f>EUconst_CNTR_BiomassContent&amp;EUconst_Value</f>
        <v>BioC_Vertė</v>
      </c>
      <c r="AO1321" s="587" t="str">
        <f>IF(AC1321=TRUE,IF(COUNTIF(MSPara_SourceStreamCategory,V1321)=0,"",INDEX(MSPara_CalcFactorsMatrix,MATCH(V1321,MSPara_SourceStreamCategory,0),MATCH(AM1321&amp;"_"&amp;2,MSPara_CalcFactors,0))),"")</f>
        <v/>
      </c>
      <c r="AP1321" s="553"/>
      <c r="AQ1321" s="568" t="str">
        <f>IF(OR(AA1321="",AO1321=EUconst_NA),"",AO1321)</f>
        <v/>
      </c>
      <c r="AR1321" s="548">
        <f>IF(AC1321=TRUE,IF(COUNT(K1321:L1321)=0,0,IF(L1321="",K1321,L1321)),0)</f>
        <v>0</v>
      </c>
      <c r="AS1321" s="544" t="b">
        <f>AND(AC1321=TRUE,OR(AND(F1321&lt;&gt;"",NOT(ISNUMBER(AA1321))),L1321&lt;&gt;"",F1321="",AQ1321=""))</f>
        <v>0</v>
      </c>
      <c r="AT1321" s="544" t="b">
        <f t="shared" si="324"/>
        <v>0</v>
      </c>
      <c r="AU1321" s="30"/>
      <c r="AV1321" s="558" t="b">
        <f t="shared" si="325"/>
        <v>0</v>
      </c>
      <c r="AW1321" s="559" t="b">
        <f t="shared" si="326"/>
        <v>0</v>
      </c>
      <c r="AX1321" s="30"/>
      <c r="AY1321" s="585" t="b">
        <f t="shared" si="327"/>
        <v>0</v>
      </c>
      <c r="AZ1321" s="522" t="b">
        <f>OR(AR1321&gt;100%,(AR1321+AR1322)&gt;100%)</f>
        <v>0</v>
      </c>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544" t="b">
        <f>OR(BZ1314,Y1321=EUconst_NA)</f>
        <v>1</v>
      </c>
    </row>
    <row r="1322" spans="1:78" s="140" customFormat="1" ht="12.75" customHeight="1" thickBot="1" x14ac:dyDescent="0.25">
      <c r="A1322" s="777"/>
      <c r="B1322" s="1248"/>
      <c r="C1322" s="753" t="s">
        <v>448</v>
      </c>
      <c r="D1322" s="503" t="str">
        <f>Translations!$B$647</f>
        <v>Netvarios BioC dalis:</v>
      </c>
      <c r="E1322" s="504"/>
      <c r="F1322" s="588"/>
      <c r="G1322" s="1603" t="str">
        <f t="shared" si="322"/>
        <v/>
      </c>
      <c r="H1322" s="1604"/>
      <c r="I1322" s="1114" t="str">
        <f>IF(OR(AC1322=FALSE,Y1322=EUconst_NA),"","-")</f>
        <v/>
      </c>
      <c r="J1322" s="560"/>
      <c r="K1322" s="589" t="str">
        <f t="shared" si="323"/>
        <v/>
      </c>
      <c r="L1322" s="1100"/>
      <c r="M1322" s="700" t="str">
        <f>IF(AND(E1305&lt;&gt;"",OR(F1322="",COUNT(K1322:L1322)=0),Y1322&lt;&gt;EUconst_NA,T1305&lt;&gt;TRUE),EUconst_ERR_Incomplete,IF(COUNTIF(AX1322:AZ1322,TRUE)&gt;0,EUconst_ERR_Inconsistent,""))</f>
        <v/>
      </c>
      <c r="O1322" s="1305"/>
      <c r="P1322" s="635"/>
      <c r="Q1322" s="635"/>
      <c r="R1322" s="635"/>
      <c r="S1322" s="30"/>
      <c r="T1322" s="590" t="str">
        <f>EUconst_CNTR_BiomassContent&amp;E1305</f>
        <v>BioC_</v>
      </c>
      <c r="U1322" s="488"/>
      <c r="V1322" s="570" t="str">
        <f t="shared" si="328"/>
        <v/>
      </c>
      <c r="W1322" s="571" t="str">
        <f>IF(COUNTIF(MSPara_SourceStreamCategory,V1322)=0,"",INDEX(MSPara_IsFossil,MATCH(V1322,MSPara_SourceStreamCategory,0)))</f>
        <v/>
      </c>
      <c r="X1322" s="488"/>
      <c r="Y1322" s="591" t="str">
        <f>IF(OR(T1305=TRUE,E1305=""),"",IF(OR(W1322=TRUE,F1322=EUconst_NA),EUconst_NA,INDEX(EUwideConstants!$N:$N,MATCH(T1322,EUwideConstants!$Q:$Q,0))))</f>
        <v/>
      </c>
      <c r="Z1322" s="592" t="str">
        <f>IF(ISBLANK(F1322),"",IF(F1322=EUconst_NA,"",INDEX(EUwideConstants!$H:$M,MATCH(T1322,EUwideConstants!$Q:$Q,0),MATCH(F1322,CNTR_TierList,0))))</f>
        <v/>
      </c>
      <c r="AA1322" s="593" t="str">
        <f>IF(F1322=1,1,"")</f>
        <v/>
      </c>
      <c r="AB1322" s="30"/>
      <c r="AC1322" s="594" t="b">
        <f>AND(AC1314,Y1322&lt;&gt;EUconst_NA)</f>
        <v>0</v>
      </c>
      <c r="AD1322" s="30"/>
      <c r="AE1322" s="595"/>
      <c r="AF1322" s="596"/>
      <c r="AG1322" s="597"/>
      <c r="AH1322" s="598"/>
      <c r="AI1322" s="598"/>
      <c r="AJ1322" s="598"/>
      <c r="AK1322" s="599"/>
      <c r="AL1322" s="333"/>
      <c r="AM1322" s="600" t="str">
        <f>EUconst_CNTR_BiomassContent&amp;EUconst_Value</f>
        <v>BioC_Vertė</v>
      </c>
      <c r="AN1322" s="596"/>
      <c r="AO1322" s="601" t="str">
        <f>IF(AC1322=TRUE,IF(COUNTIF(MSPara_SourceStreamCategory,V1322)=0,"",INDEX(MSPara_CalcFactorsMatrix,MATCH(V1322,MSPara_SourceStreamCategory,0),MATCH(AM1322&amp;"_"&amp;2,MSPara_CalcFactors,0))),"")</f>
        <v/>
      </c>
      <c r="AP1322" s="598"/>
      <c r="AQ1322" s="602" t="str">
        <f>IF(OR(AA1322="",AO1322=EUconst_NA),"",AO1322)</f>
        <v/>
      </c>
      <c r="AR1322" s="594">
        <f>IF(AC1322=TRUE,IF(COUNT(K1322:L1322)=0,0,IF(L1322="",K1322,L1322)),0)</f>
        <v>0</v>
      </c>
      <c r="AS1322" s="603" t="b">
        <f>AND(AC1322=TRUE,OR(AND(F1322&lt;&gt;"",NOT(ISNUMBER(AA1322))),L1322&lt;&gt;"",F1322="",AQ1322=""))</f>
        <v>0</v>
      </c>
      <c r="AT1322" s="603" t="b">
        <f t="shared" si="324"/>
        <v>0</v>
      </c>
      <c r="AU1322" s="30"/>
      <c r="AV1322" s="604" t="b">
        <f t="shared" si="325"/>
        <v>0</v>
      </c>
      <c r="AW1322" s="605" t="b">
        <f t="shared" si="326"/>
        <v>0</v>
      </c>
      <c r="AX1322" s="30"/>
      <c r="AY1322" s="570" t="b">
        <f t="shared" si="327"/>
        <v>0</v>
      </c>
      <c r="AZ1322" s="571" t="b">
        <f>OR(AR1321&gt;100%,(AR1321+AR1322)&gt;100%)</f>
        <v>0</v>
      </c>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571" t="b">
        <f>OR(BZ1314,Y1322=EUconst_NA)</f>
        <v>1</v>
      </c>
    </row>
    <row r="1323" spans="1:78" s="140" customFormat="1" ht="5.0999999999999996" customHeight="1" x14ac:dyDescent="0.2">
      <c r="A1323" s="777"/>
      <c r="B1323" s="1248"/>
      <c r="C1323" s="164"/>
      <c r="D1323" s="178"/>
      <c r="O1323" s="1305"/>
      <c r="P1323" s="33"/>
      <c r="Q1323" s="33"/>
      <c r="R1323" s="33"/>
      <c r="S1323" s="172"/>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row>
    <row r="1324" spans="1:78" s="140" customFormat="1" ht="12.75" customHeight="1" x14ac:dyDescent="0.2">
      <c r="A1324" s="777"/>
      <c r="B1324" s="1248"/>
      <c r="C1324" s="164"/>
      <c r="D1324" s="1629" t="str">
        <f>Translations!$B$674</f>
        <v>Pakopos galioja nuo:</v>
      </c>
      <c r="E1324" s="1629"/>
      <c r="F1324" s="1630"/>
      <c r="G1324" s="1014"/>
      <c r="H1324" s="606" t="str">
        <f>Translations!$B$675</f>
        <v>iki:</v>
      </c>
      <c r="I1324" s="1014"/>
      <c r="J1324" s="1620" t="str">
        <f>Translations!$B$676</f>
        <v>Atliekų katalogo numeris (jeigu taikytina):</v>
      </c>
      <c r="K1324" s="1621"/>
      <c r="L1324" s="1621"/>
      <c r="M1324" s="1622"/>
      <c r="N1324" s="1232"/>
      <c r="O1324" s="1305"/>
      <c r="P1324" s="33"/>
      <c r="Q1324" s="33"/>
      <c r="R1324" s="33"/>
      <c r="S1324" s="1233"/>
      <c r="T1324" s="483"/>
      <c r="U1324" s="483"/>
      <c r="V1324" s="48" t="b">
        <f>IF(V1314="",FALSE,INDEX(CNTR_IsWaste,MATCH(V1314,MSParameters!$A$218:$A$376,0)))</f>
        <v>0</v>
      </c>
      <c r="W1324" s="1233" t="s">
        <v>1689</v>
      </c>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2" t="b">
        <f>BZ1314</f>
        <v>1</v>
      </c>
    </row>
    <row r="1325" spans="1:78" s="140" customFormat="1" ht="5.0999999999999996" customHeight="1" x14ac:dyDescent="0.2">
      <c r="A1325" s="777"/>
      <c r="B1325" s="1248"/>
      <c r="C1325" s="164"/>
      <c r="D1325" s="606"/>
      <c r="E1325" s="486"/>
      <c r="F1325" s="486"/>
      <c r="G1325" s="486"/>
      <c r="H1325" s="486"/>
      <c r="I1325" s="486"/>
      <c r="J1325" s="486"/>
      <c r="K1325" s="486"/>
      <c r="L1325" s="486"/>
      <c r="M1325" s="486"/>
      <c r="N1325" s="486"/>
      <c r="O1325" s="1305"/>
      <c r="P1325" s="33"/>
      <c r="Q1325" s="33"/>
      <c r="R1325" s="33"/>
      <c r="S1325" s="172"/>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row>
    <row r="1326" spans="1:78" s="140" customFormat="1" ht="12.75" customHeight="1" x14ac:dyDescent="0.2">
      <c r="A1326" s="777"/>
      <c r="B1326" s="1248"/>
      <c r="C1326" s="164"/>
      <c r="D1326" s="486"/>
      <c r="E1326" s="486"/>
      <c r="F1326" s="486"/>
      <c r="G1326" s="486"/>
      <c r="H1326" s="486"/>
      <c r="I1326" s="486"/>
      <c r="J1326" s="486"/>
      <c r="K1326" s="486"/>
      <c r="L1326" s="486"/>
      <c r="M1326" s="606" t="str">
        <f>Translations!$B$677</f>
        <v>Stebėsenos plane šiam sukėlikliui suteiktas identifikatorius:</v>
      </c>
      <c r="N1326" s="705"/>
      <c r="O1326" s="1305"/>
      <c r="P1326" s="33"/>
      <c r="Q1326" s="33"/>
      <c r="R1326" s="33"/>
      <c r="S1326" s="172"/>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2" t="b">
        <f>BZ1324</f>
        <v>1</v>
      </c>
    </row>
    <row r="1327" spans="1:78" s="140" customFormat="1" ht="5.0999999999999996" customHeight="1" x14ac:dyDescent="0.2">
      <c r="A1327" s="784"/>
      <c r="B1327" s="1316"/>
      <c r="D1327" s="178"/>
      <c r="O1327" s="1317"/>
      <c r="P1327" s="488"/>
      <c r="Q1327" s="488"/>
      <c r="R1327" s="488"/>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row>
    <row r="1328" spans="1:78" s="140" customFormat="1" x14ac:dyDescent="0.2">
      <c r="A1328" s="784"/>
      <c r="B1328" s="1316"/>
      <c r="D1328" s="1618" t="str">
        <f>Translations!$B$160</f>
        <v>Pastabos:</v>
      </c>
      <c r="E1328" s="1619"/>
      <c r="F1328" s="1605"/>
      <c r="G1328" s="1606"/>
      <c r="H1328" s="1606"/>
      <c r="I1328" s="1606"/>
      <c r="J1328" s="1606"/>
      <c r="K1328" s="1606"/>
      <c r="L1328" s="1606"/>
      <c r="M1328" s="1606"/>
      <c r="N1328" s="1607"/>
      <c r="O1328" s="1317"/>
      <c r="P1328" s="488"/>
      <c r="Q1328" s="488"/>
      <c r="R1328" s="488"/>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2" t="b">
        <f>BZ1324</f>
        <v>1</v>
      </c>
    </row>
    <row r="1329" spans="1:78" s="28" customFormat="1" ht="12.75" customHeight="1" thickBot="1" x14ac:dyDescent="0.25">
      <c r="A1329" s="777"/>
      <c r="B1329" s="1312"/>
      <c r="C1329" s="490"/>
      <c r="D1329" s="491"/>
      <c r="E1329" s="492"/>
      <c r="F1329" s="490"/>
      <c r="G1329" s="493"/>
      <c r="H1329" s="493"/>
      <c r="I1329" s="493"/>
      <c r="J1329" s="493"/>
      <c r="K1329" s="493"/>
      <c r="L1329" s="493"/>
      <c r="M1329" s="493"/>
      <c r="N1329" s="493"/>
      <c r="O1329" s="1313"/>
      <c r="P1329" s="485"/>
      <c r="Q1329" s="485"/>
      <c r="R1329" s="485"/>
      <c r="S1329" s="58"/>
      <c r="T1329" s="58"/>
      <c r="U1329" s="489"/>
      <c r="V1329" s="58"/>
      <c r="W1329" s="58"/>
      <c r="X1329" s="489"/>
      <c r="Y1329" s="58"/>
      <c r="Z1329" s="58"/>
      <c r="AA1329" s="58"/>
      <c r="AB1329" s="58"/>
      <c r="AC1329" s="58"/>
      <c r="AD1329" s="58"/>
      <c r="AE1329" s="58"/>
      <c r="AF1329" s="58"/>
      <c r="AG1329" s="58"/>
      <c r="AH1329" s="58"/>
      <c r="AI1329" s="58"/>
      <c r="AJ1329" s="58"/>
      <c r="AK1329" s="58"/>
      <c r="AL1329" s="58"/>
      <c r="AM1329" s="58"/>
      <c r="AN1329" s="58"/>
      <c r="AO1329" s="58"/>
      <c r="AP1329" s="58"/>
      <c r="AQ1329" s="58"/>
      <c r="AR1329" s="58"/>
      <c r="AS1329" s="58"/>
      <c r="AT1329" s="58"/>
      <c r="AU1329" s="58"/>
      <c r="AV1329" s="58"/>
      <c r="AW1329" s="58"/>
      <c r="AX1329" s="58"/>
      <c r="AY1329" s="58"/>
      <c r="AZ1329" s="58"/>
      <c r="BA1329" s="58"/>
      <c r="BB1329" s="58"/>
      <c r="BC1329" s="58"/>
      <c r="BD1329" s="58"/>
      <c r="BE1329" s="58"/>
      <c r="BF1329" s="58"/>
      <c r="BG1329" s="58"/>
      <c r="BH1329" s="58"/>
      <c r="BI1329" s="30"/>
      <c r="BJ1329" s="30"/>
      <c r="BK1329" s="30"/>
      <c r="BL1329" s="58"/>
      <c r="BM1329" s="58"/>
      <c r="BN1329" s="58"/>
      <c r="BO1329" s="58"/>
      <c r="BP1329" s="58"/>
      <c r="BQ1329" s="58"/>
      <c r="BR1329" s="58"/>
      <c r="BS1329" s="58"/>
      <c r="BT1329" s="58"/>
      <c r="BU1329" s="58"/>
      <c r="BV1329" s="58"/>
      <c r="BW1329" s="58"/>
      <c r="BX1329" s="58"/>
      <c r="BY1329" s="58"/>
      <c r="BZ1329" s="58"/>
    </row>
    <row r="1330" spans="1:78" s="28" customFormat="1" ht="12.75" customHeight="1" thickBot="1" x14ac:dyDescent="0.25">
      <c r="A1330" s="782"/>
      <c r="B1330" s="1312"/>
      <c r="C1330" s="486"/>
      <c r="D1330" s="178"/>
      <c r="E1330" s="487"/>
      <c r="F1330" s="486"/>
      <c r="G1330" s="478"/>
      <c r="H1330" s="478"/>
      <c r="I1330" s="478"/>
      <c r="J1330" s="478"/>
      <c r="K1330" s="486"/>
      <c r="L1330" s="478"/>
      <c r="M1330" s="478"/>
      <c r="N1330" s="478"/>
      <c r="O1330" s="1313"/>
      <c r="P1330" s="485"/>
      <c r="Q1330" s="485"/>
      <c r="R1330" s="485"/>
      <c r="S1330" s="23"/>
      <c r="T1330" s="27" t="str">
        <f>IF(ISBLANK(E1331),"",MATCH(E1331,CNTR_SourceStreamNames,0))</f>
        <v/>
      </c>
      <c r="U1330" s="609" t="str">
        <f>IF(ISBLANK(E1331),"",INDEX(B_InstallationDescription!$D$71:$D$145,MATCH(E1331,CNTR_SourceStreamNames,0)))</f>
        <v/>
      </c>
      <c r="V1330" s="76"/>
      <c r="W1330" s="56"/>
      <c r="X1330" s="56"/>
      <c r="Y1330" s="56"/>
      <c r="Z1330" s="58"/>
      <c r="AA1330" s="58"/>
      <c r="AB1330" s="58"/>
      <c r="AC1330" s="58"/>
      <c r="AD1330" s="58"/>
      <c r="AE1330" s="58"/>
      <c r="AF1330" s="58"/>
      <c r="AG1330" s="58"/>
      <c r="AH1330" s="58"/>
      <c r="AI1330" s="58"/>
      <c r="AJ1330" s="58"/>
      <c r="AK1330" s="482"/>
      <c r="AL1330" s="58"/>
      <c r="AM1330" s="58"/>
      <c r="AN1330" s="58"/>
      <c r="AO1330" s="58"/>
      <c r="AP1330" s="58"/>
      <c r="AQ1330" s="58"/>
      <c r="AR1330" s="58"/>
      <c r="AS1330" s="58"/>
      <c r="AT1330" s="58"/>
      <c r="AU1330" s="58"/>
      <c r="AV1330" s="58"/>
      <c r="AW1330" s="58"/>
      <c r="AX1330" s="58"/>
      <c r="AY1330" s="58"/>
      <c r="AZ1330" s="58"/>
      <c r="BA1330" s="58"/>
      <c r="BB1330" s="58"/>
      <c r="BC1330" s="58"/>
      <c r="BD1330" s="58"/>
      <c r="BE1330" s="58"/>
      <c r="BF1330" s="58"/>
      <c r="BG1330" s="58"/>
      <c r="BH1330" s="56"/>
      <c r="BI1330" s="56"/>
      <c r="BJ1330" s="56"/>
      <c r="BK1330" s="56"/>
      <c r="BL1330" s="56"/>
      <c r="BM1330" s="56"/>
      <c r="BN1330" s="56"/>
      <c r="BO1330" s="56"/>
      <c r="BP1330" s="56"/>
      <c r="BQ1330" s="56"/>
      <c r="BR1330" s="56"/>
      <c r="BS1330" s="56"/>
      <c r="BT1330" s="56"/>
      <c r="BU1330" s="56"/>
      <c r="BV1330" s="56"/>
      <c r="BW1330" s="56"/>
      <c r="BX1330" s="56"/>
      <c r="BY1330" s="56"/>
      <c r="BZ1330" s="484" t="s">
        <v>259</v>
      </c>
    </row>
    <row r="1331" spans="1:78" s="140" customFormat="1" ht="15" customHeight="1" thickBot="1" x14ac:dyDescent="0.25">
      <c r="A1331" s="1302" t="str">
        <f>IF(E1331="","","PRINT")</f>
        <v/>
      </c>
      <c r="B1331" s="1248"/>
      <c r="C1331" s="608">
        <f>C1304+1</f>
        <v>48</v>
      </c>
      <c r="D1331" s="164"/>
      <c r="E1331" s="1610"/>
      <c r="F1331" s="1611"/>
      <c r="G1331" s="1611"/>
      <c r="H1331" s="1611"/>
      <c r="I1331" s="1611"/>
      <c r="J1331" s="1612"/>
      <c r="K1331" s="1623" t="str">
        <f>IF(E1332="","",INDEX(EUwideConstants!$F$353:$F$394,MATCH(E1332,EUConst_TierActivityListNames,0)))</f>
        <v/>
      </c>
      <c r="L1331" s="1624"/>
      <c r="M1331" s="494" t="str">
        <f>Translations!$B$665</f>
        <v>CO2, iškastinio kuro kilmės:</v>
      </c>
      <c r="N1331" s="1012" t="str">
        <f>IF(OR(K1331="",T1332=TRUE),"",INDEX(BC1345:BE1345,MATCH(K1331,BC1341:BE1341,0)))</f>
        <v/>
      </c>
      <c r="O1331" s="1314" t="s">
        <v>257</v>
      </c>
      <c r="P1331" s="1303" t="str">
        <f>IF(AND(E1331&lt;&gt;"",COUNTIF(P1332:$P$2089,"PRINT")=0),"PRINT","")</f>
        <v/>
      </c>
      <c r="Q1331" s="343" t="str">
        <f>EUconst_SumCO2 &amp; "_" &amp; K1331</f>
        <v>SUM_CO2_</v>
      </c>
      <c r="R1331" s="485"/>
      <c r="S1331" s="23"/>
      <c r="T1331" s="500" t="s">
        <v>387</v>
      </c>
      <c r="U1331" s="23"/>
      <c r="V1331" s="76"/>
      <c r="W1331" s="56"/>
      <c r="X1331" s="58"/>
      <c r="Y1331" s="58"/>
      <c r="Z1331" s="58"/>
      <c r="AA1331" s="58"/>
      <c r="AB1331" s="58"/>
      <c r="AC1331" s="58"/>
      <c r="AD1331" s="58"/>
      <c r="AE1331" s="58"/>
      <c r="AF1331" s="58"/>
      <c r="AG1331" s="58"/>
      <c r="AH1331" s="58"/>
      <c r="AI1331" s="333"/>
      <c r="AJ1331" s="333"/>
      <c r="AK1331" s="333"/>
      <c r="AL1331" s="333"/>
      <c r="AM1331" s="333"/>
      <c r="AN1331" s="333"/>
      <c r="AO1331" s="333"/>
      <c r="AP1331" s="333"/>
      <c r="AQ1331" s="333"/>
      <c r="AR1331" s="333"/>
      <c r="AS1331" s="333"/>
      <c r="AT1331" s="333"/>
      <c r="AU1331" s="333"/>
      <c r="AV1331" s="333"/>
      <c r="AW1331" s="333"/>
      <c r="AX1331" s="333"/>
      <c r="AY1331" s="333"/>
      <c r="AZ1331" s="333"/>
      <c r="BA1331" s="333"/>
      <c r="BB1331" s="333"/>
      <c r="BC1331" s="333"/>
      <c r="BD1331" s="333"/>
      <c r="BE1331" s="333"/>
      <c r="BF1331" s="333"/>
      <c r="BG1331" s="333"/>
      <c r="BH1331" s="834">
        <f>AR1341</f>
        <v>0</v>
      </c>
      <c r="BI1331" s="834" t="str">
        <f>AJ1341</f>
        <v/>
      </c>
      <c r="BJ1331" s="834">
        <f>AR1343</f>
        <v>0</v>
      </c>
      <c r="BK1331" s="834" t="str">
        <f>AJ1343</f>
        <v/>
      </c>
      <c r="BL1331" s="834">
        <f>AR1344</f>
        <v>0</v>
      </c>
      <c r="BM1331" s="834" t="str">
        <f>AJ1344</f>
        <v/>
      </c>
      <c r="BN1331" s="834">
        <f>AR1345</f>
        <v>1</v>
      </c>
      <c r="BO1331" s="834">
        <f>AR1346</f>
        <v>1</v>
      </c>
      <c r="BP1331" s="834">
        <f>AR1347</f>
        <v>0</v>
      </c>
      <c r="BQ1331" s="834" t="str">
        <f>AJ1347</f>
        <v/>
      </c>
      <c r="BR1331" s="834">
        <f>AR1348</f>
        <v>0</v>
      </c>
      <c r="BS1331" s="834">
        <f>AR1349</f>
        <v>0</v>
      </c>
      <c r="BT1331" s="834" t="str">
        <f>N1331</f>
        <v/>
      </c>
      <c r="BU1331" s="834" t="str">
        <f>N1332</f>
        <v/>
      </c>
      <c r="BV1331" s="834" t="str">
        <f>R1334</f>
        <v/>
      </c>
      <c r="BW1331" s="834" t="str">
        <f>R1340</f>
        <v/>
      </c>
      <c r="BX1331" s="834" t="str">
        <f>R1341</f>
        <v/>
      </c>
      <c r="BY1331" s="56"/>
      <c r="BZ1331" s="610" t="b">
        <f>CNTR_CalcRelevant=EUconst_NotRelevant</f>
        <v>0</v>
      </c>
    </row>
    <row r="1332" spans="1:78" s="140" customFormat="1" ht="15" customHeight="1" thickBot="1" x14ac:dyDescent="0.25">
      <c r="A1332" s="777"/>
      <c r="B1332" s="1248"/>
      <c r="C1332" s="164"/>
      <c r="D1332" s="164"/>
      <c r="E1332" s="1625" t="str">
        <f>IF(ISBLANK(E1331),"",IF(INDEX(B_InstallationDescription!$E$71:$E$145,MATCH(U1330,B_InstallationDescription!$D$71:$D$145,0))&gt;0,INDEX(B_InstallationDescription!$E$71:$E$145,MATCH(U1330,B_InstallationDescription!$D$71:$D$145,0)),""))</f>
        <v/>
      </c>
      <c r="F1332" s="1626"/>
      <c r="G1332" s="1626"/>
      <c r="H1332" s="1626"/>
      <c r="I1332" s="1626"/>
      <c r="J1332" s="1627"/>
      <c r="M1332" s="337" t="str">
        <f>Translations!$B$666</f>
        <v>CO2, biomasės kilmės.:</v>
      </c>
      <c r="N1332" s="1013" t="str">
        <f>IF(OR(K1331="",T1332=TRUE),"",INDEX(BC1344:BE1344,MATCH(K1331,BC1341:BE1341,0)))</f>
        <v/>
      </c>
      <c r="O1332" s="1315" t="s">
        <v>257</v>
      </c>
      <c r="P1332" s="485"/>
      <c r="Q1332" s="343" t="str">
        <f>EUconst_SumBioCO2 &amp; "_" &amp; K1331</f>
        <v>SUM_bioCO2_</v>
      </c>
      <c r="R1332" s="485"/>
      <c r="S1332" s="23"/>
      <c r="T1332" s="48" t="str">
        <f>IF(E1332="","",MATCH(E1332,EUConst_TierActivityListNames,0)&gt;40)</f>
        <v/>
      </c>
      <c r="U1332" s="23"/>
      <c r="V1332" s="76"/>
      <c r="W1332" s="56"/>
      <c r="X1332" s="58"/>
      <c r="Y1332" s="27" t="s">
        <v>91</v>
      </c>
      <c r="Z1332" s="30"/>
      <c r="AA1332" s="30"/>
      <c r="AB1332" s="30"/>
      <c r="AC1332" s="30"/>
      <c r="AD1332" s="30"/>
      <c r="AE1332" s="27" t="s">
        <v>297</v>
      </c>
      <c r="AF1332" s="58"/>
      <c r="AG1332" s="495"/>
      <c r="AH1332" s="30"/>
      <c r="AI1332" s="30"/>
      <c r="AJ1332" s="495"/>
      <c r="AK1332" s="495"/>
      <c r="AL1332" s="333"/>
      <c r="AM1332" s="27" t="s">
        <v>303</v>
      </c>
      <c r="AN1332" s="496"/>
      <c r="AO1332" s="496"/>
      <c r="AP1332" s="30"/>
      <c r="AQ1332" s="30"/>
      <c r="AR1332" s="30"/>
      <c r="AS1332" s="30"/>
      <c r="AT1332" s="30"/>
      <c r="AU1332" s="30"/>
      <c r="AV1332" s="27" t="s">
        <v>310</v>
      </c>
      <c r="AW1332" s="30"/>
      <c r="AX1332" s="483"/>
      <c r="AY1332" s="30"/>
      <c r="AZ1332" s="30"/>
      <c r="BA1332" s="30"/>
      <c r="BB1332" s="27" t="s">
        <v>217</v>
      </c>
      <c r="BC1332" s="30"/>
      <c r="BD1332" s="30"/>
      <c r="BE1332" s="30"/>
      <c r="BF1332" s="30"/>
      <c r="BG1332" s="27" t="s">
        <v>486</v>
      </c>
      <c r="BH1332" s="833" t="s">
        <v>552</v>
      </c>
      <c r="BI1332" s="833" t="s">
        <v>487</v>
      </c>
      <c r="BJ1332" s="833" t="s">
        <v>211</v>
      </c>
      <c r="BK1332" s="833" t="s">
        <v>488</v>
      </c>
      <c r="BL1332" s="833" t="s">
        <v>68</v>
      </c>
      <c r="BM1332" s="833" t="s">
        <v>489</v>
      </c>
      <c r="BN1332" s="833" t="s">
        <v>490</v>
      </c>
      <c r="BO1332" s="833" t="s">
        <v>491</v>
      </c>
      <c r="BP1332" s="833" t="s">
        <v>214</v>
      </c>
      <c r="BQ1332" s="833" t="s">
        <v>492</v>
      </c>
      <c r="BR1332" s="833" t="s">
        <v>493</v>
      </c>
      <c r="BS1332" s="833" t="s">
        <v>494</v>
      </c>
      <c r="BT1332" s="833" t="s">
        <v>287</v>
      </c>
      <c r="BU1332" s="833" t="s">
        <v>495</v>
      </c>
      <c r="BV1332" s="833" t="s">
        <v>498</v>
      </c>
      <c r="BW1332" s="833" t="s">
        <v>496</v>
      </c>
      <c r="BX1332" s="833" t="s">
        <v>497</v>
      </c>
      <c r="BY1332" s="30"/>
      <c r="BZ1332" s="30"/>
    </row>
    <row r="1333" spans="1:78" s="140" customFormat="1" ht="5.0999999999999996" customHeight="1" thickBot="1" x14ac:dyDescent="0.25">
      <c r="A1333" s="777"/>
      <c r="B1333" s="1248"/>
      <c r="C1333" s="164"/>
      <c r="D1333" s="164"/>
      <c r="E1333" s="164"/>
      <c r="F1333" s="164"/>
      <c r="G1333" s="164"/>
      <c r="M1333" s="141"/>
      <c r="N1333" s="141"/>
      <c r="O1333" s="1305"/>
      <c r="P1333" s="33"/>
      <c r="Q1333" s="33"/>
      <c r="R1333" s="33"/>
      <c r="S1333" s="23"/>
      <c r="T1333" s="23"/>
      <c r="U1333" s="23"/>
      <c r="V1333" s="76"/>
      <c r="W1333" s="30"/>
      <c r="X1333" s="30"/>
      <c r="Y1333" s="485"/>
      <c r="Z1333" s="30"/>
      <c r="AA1333" s="30"/>
      <c r="AB1333" s="30"/>
      <c r="AC1333" s="30"/>
      <c r="AD1333" s="30"/>
      <c r="AE1333" s="30"/>
      <c r="AF1333" s="58"/>
      <c r="AG1333" s="30"/>
      <c r="AH1333" s="30"/>
      <c r="AI1333" s="30"/>
      <c r="AJ1333" s="495"/>
      <c r="AK1333" s="495"/>
      <c r="AL1333" s="333"/>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row>
    <row r="1334" spans="1:78" s="140" customFormat="1" ht="12.75" customHeight="1" thickBot="1" x14ac:dyDescent="0.25">
      <c r="A1334" s="777"/>
      <c r="B1334" s="1248"/>
      <c r="C1334" s="164"/>
      <c r="D1334" s="164"/>
      <c r="E1334" s="1628" t="str">
        <f>IF(E1331="","",IF(T1332=TRUE,HYPERLINK("#JUMP_14",EUconst_MsgGoOnPFC),HYPERLINK("#JUMP_E_8",EUconst_FurtherGuidancePoint1)))</f>
        <v/>
      </c>
      <c r="F1334" s="1628"/>
      <c r="G1334" s="1628"/>
      <c r="H1334" s="1628"/>
      <c r="I1334" s="1628"/>
      <c r="J1334" s="1628"/>
      <c r="K1334" s="1628"/>
      <c r="L1334" s="1628"/>
      <c r="M1334" s="1628"/>
      <c r="N1334" s="141"/>
      <c r="O1334" s="1305"/>
      <c r="P1334" s="33"/>
      <c r="Q1334" s="343" t="str">
        <f>EUconst_SumNonSustBioCO2 &amp; "_" &amp; K1331</f>
        <v>SUM_bioNonSustCO2_</v>
      </c>
      <c r="R1334" s="698" t="str">
        <f>IF(OR(K1331="",T1332=TRUE),"",ROUND(INDEX(BC1343:BE1343,MATCH(K1331,BC1341:BE1341,0)),0))</f>
        <v/>
      </c>
      <c r="S1334" s="23"/>
      <c r="T1334" s="23"/>
      <c r="U1334" s="23"/>
      <c r="V1334" s="30"/>
      <c r="W1334" s="30"/>
      <c r="X1334" s="30"/>
      <c r="Y1334" s="58"/>
      <c r="Z1334" s="30"/>
      <c r="AA1334" s="30"/>
      <c r="AB1334" s="30"/>
      <c r="AC1334" s="30"/>
      <c r="AD1334" s="30"/>
      <c r="AE1334" s="30"/>
      <c r="AF1334" s="58"/>
      <c r="AG1334" s="30"/>
      <c r="AH1334" s="30"/>
      <c r="AI1334" s="30"/>
      <c r="AJ1334" s="495"/>
      <c r="AK1334" s="495"/>
      <c r="AL1334" s="333"/>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row>
    <row r="1335" spans="1:78" s="140" customFormat="1" ht="5.0999999999999996" customHeight="1" thickBot="1" x14ac:dyDescent="0.25">
      <c r="A1335" s="777"/>
      <c r="B1335" s="1248"/>
      <c r="C1335" s="164"/>
      <c r="D1335" s="164"/>
      <c r="E1335" s="164"/>
      <c r="F1335" s="164"/>
      <c r="G1335" s="164"/>
      <c r="M1335" s="141"/>
      <c r="N1335" s="141"/>
      <c r="O1335" s="1305"/>
      <c r="P1335" s="23"/>
      <c r="Q1335" s="23"/>
      <c r="R1335" s="23"/>
      <c r="S1335" s="23"/>
      <c r="T1335" s="23"/>
      <c r="U1335" s="23"/>
      <c r="V1335" s="30"/>
      <c r="W1335" s="30"/>
      <c r="X1335" s="30"/>
      <c r="Y1335" s="485"/>
      <c r="Z1335" s="30"/>
      <c r="AA1335" s="30"/>
      <c r="AB1335" s="30"/>
      <c r="AC1335" s="30"/>
      <c r="AD1335" s="30"/>
      <c r="AE1335" s="30"/>
      <c r="AF1335" s="58"/>
      <c r="AG1335" s="30"/>
      <c r="AH1335" s="30"/>
      <c r="AI1335" s="30"/>
      <c r="AJ1335" s="495"/>
      <c r="AK1335" s="495"/>
      <c r="AL1335" s="333"/>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row>
    <row r="1336" spans="1:78" s="140" customFormat="1" ht="12.75" customHeight="1" thickBot="1" x14ac:dyDescent="0.25">
      <c r="A1336" s="777"/>
      <c r="B1336" s="1248"/>
      <c r="C1336" s="783" t="s">
        <v>4</v>
      </c>
      <c r="D1336" s="503" t="str">
        <f>Translations!$B$622</f>
        <v>VD:</v>
      </c>
      <c r="E1336" s="1631" t="str">
        <f>Translations!$B$667</f>
        <v>Ar veiklos duomenys gaunami sudedant išmatuotus kiekius (t. y. ne atliekant nuolatinius matavimus)?</v>
      </c>
      <c r="F1336" s="1631"/>
      <c r="G1336" s="1631"/>
      <c r="H1336" s="1631"/>
      <c r="I1336" s="1631"/>
      <c r="J1336" s="1631"/>
      <c r="K1336" s="1631"/>
      <c r="L1336" s="1122"/>
      <c r="M1336" s="498"/>
      <c r="O1336" s="1305"/>
      <c r="P1336" s="23"/>
      <c r="Q1336" s="23"/>
      <c r="R1336" s="23"/>
      <c r="S1336" s="23"/>
      <c r="T1336" s="23"/>
      <c r="U1336" s="23"/>
      <c r="V1336" s="30"/>
      <c r="W1336" s="30"/>
      <c r="X1336" s="30"/>
      <c r="Y1336" s="485"/>
      <c r="Z1336" s="30"/>
      <c r="AA1336" s="30"/>
      <c r="AB1336" s="30"/>
      <c r="AC1336" s="1115" t="b">
        <f>AND(E1331&lt;&gt;"",T1332&lt;&gt;TRUE)</f>
        <v>0</v>
      </c>
      <c r="AD1336" s="30"/>
      <c r="AE1336" s="30"/>
      <c r="AF1336" s="58"/>
      <c r="AG1336" s="30"/>
      <c r="AH1336" s="30"/>
      <c r="AI1336" s="30"/>
      <c r="AJ1336" s="495"/>
      <c r="AK1336" s="495"/>
      <c r="AL1336" s="333"/>
      <c r="AM1336" s="30"/>
      <c r="AN1336" s="30"/>
      <c r="AO1336" s="30"/>
      <c r="AP1336" s="30"/>
      <c r="AQ1336" s="30"/>
      <c r="AR1336" s="30"/>
      <c r="AS1336" s="30"/>
      <c r="AT1336" s="1115" t="b">
        <f>MSPara_BatchReportingMandatory&lt;&gt;TRUE</f>
        <v>0</v>
      </c>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1115" t="b">
        <f>OR(CNTR_CalcRelevant=EUconst_NotRelevant,AND(COUNTA(CNTR_ListRelevantSections)&gt;0,OR(T1332=TRUE,E1331="")))</f>
        <v>1</v>
      </c>
    </row>
    <row r="1337" spans="1:78" s="140" customFormat="1" ht="5.0999999999999996" customHeight="1" thickBot="1" x14ac:dyDescent="0.25">
      <c r="A1337" s="777"/>
      <c r="B1337" s="1248"/>
      <c r="C1337" s="164"/>
      <c r="D1337" s="164"/>
      <c r="E1337" s="164"/>
      <c r="F1337" s="164"/>
      <c r="G1337" s="164"/>
      <c r="H1337" s="486"/>
      <c r="I1337" s="486"/>
      <c r="J1337" s="486"/>
      <c r="K1337" s="486"/>
      <c r="L1337" s="486"/>
      <c r="M1337" s="498"/>
      <c r="O1337" s="1305"/>
      <c r="P1337" s="23"/>
      <c r="Q1337" s="23"/>
      <c r="R1337" s="23"/>
      <c r="S1337" s="23"/>
      <c r="T1337" s="23"/>
      <c r="U1337" s="23"/>
      <c r="V1337" s="30"/>
      <c r="W1337" s="30"/>
      <c r="X1337" s="30"/>
      <c r="Y1337" s="485"/>
      <c r="Z1337" s="30"/>
      <c r="AA1337" s="30"/>
      <c r="AB1337" s="30"/>
      <c r="AC1337" s="483"/>
      <c r="AD1337" s="30"/>
      <c r="AE1337" s="30"/>
      <c r="AF1337" s="58"/>
      <c r="AG1337" s="30"/>
      <c r="AH1337" s="30"/>
      <c r="AI1337" s="30"/>
      <c r="AJ1337" s="495"/>
      <c r="AK1337" s="495"/>
      <c r="AL1337" s="333"/>
      <c r="AM1337" s="30"/>
      <c r="AN1337" s="30"/>
      <c r="AO1337" s="30"/>
      <c r="AP1337" s="30"/>
      <c r="AQ1337" s="30"/>
      <c r="AR1337" s="30"/>
      <c r="AS1337" s="30"/>
      <c r="AT1337" s="483"/>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483"/>
    </row>
    <row r="1338" spans="1:78" s="140" customFormat="1" ht="12.75" customHeight="1" thickBot="1" x14ac:dyDescent="0.25">
      <c r="A1338" s="777"/>
      <c r="B1338" s="1248"/>
      <c r="C1338" s="783" t="s">
        <v>5</v>
      </c>
      <c r="D1338" s="503" t="str">
        <f>Translations!$B$622</f>
        <v>VD:</v>
      </c>
      <c r="E1338" s="1105" t="str">
        <f>Translations!$B$668</f>
        <v>Pradinis kiekis:</v>
      </c>
      <c r="F1338" s="1123"/>
      <c r="G1338" s="1106" t="str">
        <f>Translations!$B$669</f>
        <v>Galutinis kiekis:</v>
      </c>
      <c r="H1338" s="1123"/>
      <c r="I1338" s="1106" t="str">
        <f>Translations!$B$670</f>
        <v>Įsigytas kiekis:</v>
      </c>
      <c r="J1338" s="1123"/>
      <c r="K1338" s="1106" t="str">
        <f>Translations!$B$671</f>
        <v>Perduotas kiekis:</v>
      </c>
      <c r="L1338" s="1123"/>
      <c r="M1338" s="1107" t="str">
        <f>IF(AND(L1336=TRUE,COUNT(F1338,H1338,J1338,L1338)&lt;4),EUconst_ERR_Incomplete,"")</f>
        <v/>
      </c>
      <c r="O1338" s="1305"/>
      <c r="P1338" s="23"/>
      <c r="Q1338" s="23"/>
      <c r="R1338" s="23"/>
      <c r="S1338" s="23"/>
      <c r="T1338" s="23"/>
      <c r="U1338" s="23"/>
      <c r="V1338" s="30"/>
      <c r="W1338" s="30"/>
      <c r="X1338" s="30"/>
      <c r="Y1338" s="485"/>
      <c r="Z1338" s="30"/>
      <c r="AA1338" s="30"/>
      <c r="AB1338" s="30"/>
      <c r="AC1338" s="1115" t="b">
        <f>AC1336</f>
        <v>0</v>
      </c>
      <c r="AD1338" s="30"/>
      <c r="AE1338" s="30"/>
      <c r="AF1338" s="58"/>
      <c r="AG1338" s="30"/>
      <c r="AH1338" s="30"/>
      <c r="AI1338" s="30"/>
      <c r="AJ1338" s="495"/>
      <c r="AK1338" s="495"/>
      <c r="AL1338" s="333"/>
      <c r="AM1338" s="30"/>
      <c r="AN1338" s="30"/>
      <c r="AO1338" s="30"/>
      <c r="AP1338" s="30"/>
      <c r="AQ1338" s="30"/>
      <c r="AR1338" s="30"/>
      <c r="AS1338" s="30"/>
      <c r="AT1338" s="1115" t="b">
        <f>AND(AT1336=TRUE,L1336="")</f>
        <v>0</v>
      </c>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1115" t="b">
        <f>OR(BZ1336,AND(NOT(ISBLANK(L1336)),L1336=FALSE))</f>
        <v>1</v>
      </c>
    </row>
    <row r="1339" spans="1:78" s="140" customFormat="1" ht="5.0999999999999996" customHeight="1" thickBot="1" x14ac:dyDescent="0.25">
      <c r="A1339" s="777"/>
      <c r="B1339" s="1248"/>
      <c r="C1339" s="164"/>
      <c r="D1339" s="164"/>
      <c r="E1339" s="164"/>
      <c r="F1339" s="164"/>
      <c r="G1339" s="164"/>
      <c r="M1339" s="141"/>
      <c r="N1339" s="141"/>
      <c r="O1339" s="1305"/>
      <c r="P1339" s="23"/>
      <c r="Q1339" s="23"/>
      <c r="R1339" s="23"/>
      <c r="S1339" s="23"/>
      <c r="T1339" s="23"/>
      <c r="U1339" s="23"/>
      <c r="V1339" s="30"/>
      <c r="W1339" s="30"/>
      <c r="X1339" s="30"/>
      <c r="Y1339" s="485"/>
      <c r="Z1339" s="30"/>
      <c r="AA1339" s="30"/>
      <c r="AB1339" s="30"/>
      <c r="AC1339" s="30"/>
      <c r="AD1339" s="30"/>
      <c r="AE1339" s="30"/>
      <c r="AF1339" s="58"/>
      <c r="AG1339" s="30"/>
      <c r="AH1339" s="30"/>
      <c r="AI1339" s="30"/>
      <c r="AJ1339" s="495"/>
      <c r="AK1339" s="495"/>
      <c r="AL1339" s="333"/>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row>
    <row r="1340" spans="1:78" s="140" customFormat="1" ht="12.75" customHeight="1" thickBot="1" x14ac:dyDescent="0.25">
      <c r="A1340" s="777"/>
      <c r="B1340" s="1248"/>
      <c r="C1340" s="164"/>
      <c r="D1340" s="164"/>
      <c r="E1340" s="164"/>
      <c r="F1340" s="497" t="str">
        <f>Translations!$B$333</f>
        <v>Pakopa</v>
      </c>
      <c r="G1340" s="1613" t="str">
        <f>Translations!$B$672</f>
        <v>pakopos aprašas</v>
      </c>
      <c r="H1340" s="1613"/>
      <c r="I1340" s="1608" t="str">
        <f>Translations!$B$158</f>
        <v>Vienetas</v>
      </c>
      <c r="J1340" s="1608"/>
      <c r="K1340" s="1608" t="str">
        <f>Translations!$B$673</f>
        <v>Vertė</v>
      </c>
      <c r="L1340" s="1608"/>
      <c r="M1340" s="498" t="str">
        <f>Translations!$B$610</f>
        <v>klaida</v>
      </c>
      <c r="O1340" s="1305"/>
      <c r="P1340" s="499"/>
      <c r="Q1340" s="343" t="str">
        <f>EUconst_SumEnergyIN &amp; "_" &amp; K1331</f>
        <v>SUM_EnergyIN_</v>
      </c>
      <c r="R1340" s="390" t="str">
        <f>IF(OR(K1331="",T1332)=TRUE,"",INDEX(BC1346:BE1346,MATCH(K1331,BC1341:BE1341,0)))</f>
        <v/>
      </c>
      <c r="S1340" s="30"/>
      <c r="T1340" s="480"/>
      <c r="U1340" s="30"/>
      <c r="V1340" s="500" t="s">
        <v>298</v>
      </c>
      <c r="W1340" s="30"/>
      <c r="X1340" s="30"/>
      <c r="Y1340" s="485" t="s">
        <v>560</v>
      </c>
      <c r="Z1340" s="485" t="s">
        <v>313</v>
      </c>
      <c r="AA1340" s="30"/>
      <c r="AB1340" s="30"/>
      <c r="AC1340" s="496" t="s">
        <v>304</v>
      </c>
      <c r="AD1340" s="30"/>
      <c r="AE1340" s="30"/>
      <c r="AF1340" s="483" t="s">
        <v>300</v>
      </c>
      <c r="AG1340" s="483" t="s">
        <v>301</v>
      </c>
      <c r="AH1340" s="485" t="s">
        <v>299</v>
      </c>
      <c r="AI1340" s="495" t="s">
        <v>302</v>
      </c>
      <c r="AJ1340" s="495" t="s">
        <v>561</v>
      </c>
      <c r="AK1340" s="501" t="s">
        <v>306</v>
      </c>
      <c r="AL1340" s="333"/>
      <c r="AM1340" s="30"/>
      <c r="AN1340" s="483" t="s">
        <v>300</v>
      </c>
      <c r="AO1340" s="483" t="s">
        <v>301</v>
      </c>
      <c r="AP1340" s="502" t="s">
        <v>305</v>
      </c>
      <c r="AQ1340" s="495" t="s">
        <v>563</v>
      </c>
      <c r="AR1340" s="495" t="s">
        <v>562</v>
      </c>
      <c r="AS1340" s="501" t="s">
        <v>599</v>
      </c>
      <c r="AT1340" s="501" t="s">
        <v>599</v>
      </c>
      <c r="AU1340" s="30"/>
      <c r="AV1340" s="483"/>
      <c r="AW1340" s="483"/>
      <c r="AX1340" s="483" t="s">
        <v>316</v>
      </c>
      <c r="AY1340" s="483"/>
      <c r="AZ1340" s="483"/>
      <c r="BA1340" s="483"/>
      <c r="BB1340" s="483"/>
      <c r="BC1340" s="483"/>
      <c r="BD1340" s="483"/>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484" t="s">
        <v>259</v>
      </c>
    </row>
    <row r="1341" spans="1:78" s="140" customFormat="1" ht="12.75" customHeight="1" thickBot="1" x14ac:dyDescent="0.25">
      <c r="A1341" s="777"/>
      <c r="B1341" s="1248"/>
      <c r="C1341" s="753" t="s">
        <v>194</v>
      </c>
      <c r="D1341" s="503" t="str">
        <f>Translations!$B$622</f>
        <v>VD:</v>
      </c>
      <c r="E1341" s="504"/>
      <c r="F1341" s="393"/>
      <c r="G1341" s="1603" t="str">
        <f>IF(OR(ISBLANK(F1341),F1341=EUconst_NoTier),"",IF(Z1341=0,EUconst_NA,IF(ISERROR(Z1341),"",Z1341)))</f>
        <v/>
      </c>
      <c r="H1341" s="1604"/>
      <c r="I1341" s="1108" t="str">
        <f>IF(J1341&lt;&gt;"","",AI1341)</f>
        <v/>
      </c>
      <c r="J1341" s="1109"/>
      <c r="K1341" s="1116" t="str">
        <f>IF(L1341="",AQ1341,"")</f>
        <v/>
      </c>
      <c r="L1341" s="1199"/>
      <c r="M1341" s="700" t="str">
        <f>IF(AND(E1332&lt;&gt;"",OR(F1341="",COUNT(K1341:L1341)=0),Y1341&lt;&gt;EUconst_NA,T1332&lt;&gt;TRUE),EUconst_ERR_Incomplete,IF(COUNTIF(AX1341:AZ1341,TRUE)&gt;0,EUconst_ERR_Inconsistent,""))</f>
        <v/>
      </c>
      <c r="O1341" s="1305"/>
      <c r="P1341" s="635"/>
      <c r="Q1341" s="343" t="str">
        <f>EUconst_SumBioEnergyIN &amp; "_" &amp; K1331</f>
        <v>SUM_BioEnergyIN_</v>
      </c>
      <c r="R1341" s="390" t="str">
        <f>IF(OR(K1331="",T1332)=TRUE,"",INDEX(BC1347:BE1347,MATCH(K1331,BC1341:BE1341,0)))</f>
        <v/>
      </c>
      <c r="S1341" s="30"/>
      <c r="T1341" s="505" t="str">
        <f>EUconst_CNTR_ActivityData&amp;E1332</f>
        <v>ActivityData_</v>
      </c>
      <c r="U1341" s="488"/>
      <c r="V1341" s="505" t="str">
        <f>IF(E1331="","",INDEX(B_InstallationDescription!$I$71:$I$145,MATCH(U1330,B_InstallationDescription!$D$71:$D$145,0)))</f>
        <v/>
      </c>
      <c r="W1341" s="495" t="s">
        <v>533</v>
      </c>
      <c r="X1341" s="488"/>
      <c r="Y1341" s="506" t="str">
        <f>IF(OR(T1332=TRUE,E1332=""),"",INDEX(EUwideConstants!$N:$N,MATCH(T1341,EUwideConstants!$Q:$Q,0)))</f>
        <v/>
      </c>
      <c r="Z1341" s="507" t="str">
        <f>IF(ISBLANK(F1341),"",IF(F1341=EUconst_NA,"",INDEX(EUwideConstants!$H:$M,MATCH(T1341,EUwideConstants!$Q:$Q,0),MATCH(F1341,CNTR_TierList,0))))</f>
        <v/>
      </c>
      <c r="AA1341" s="508" t="s">
        <v>299</v>
      </c>
      <c r="AB1341" s="495"/>
      <c r="AC1341" s="509" t="b">
        <f>AC1336</f>
        <v>0</v>
      </c>
      <c r="AD1341" s="30"/>
      <c r="AE1341" s="510" t="str">
        <f>EUconst_CNTR_ActivityData&amp;EUconst_Unit</f>
        <v>ActivityData_Vienetas</v>
      </c>
      <c r="AF1341" s="511" t="str">
        <f>IF(AC1341=TRUE, IF(COUNTIF(MSPara_SourceStreamCategory,V1341)=0,"",INDEX(MSPara_CalcFactorsMatrix,MATCH(V1341,MSPara_SourceStreamCategory,0),MATCH(AE1341&amp;"_"&amp;2,MSPara_CalcFactors,0))),"")</f>
        <v/>
      </c>
      <c r="AG1341" s="512" t="str">
        <f>IF(AC1341=TRUE, IF(COUNTIF(MSPara_SourceStreamCategory,V1341)=0,"",INDEX(MSPara_CalcFactorsMatrix,MATCH(V1341,MSPara_SourceStreamCategory,0),MATCH(AE1341&amp;"_"&amp;1,MSPara_CalcFactors,0))),"")</f>
        <v/>
      </c>
      <c r="AH1341" s="509" t="str">
        <f>IF(OR(AF1341="",AF1341=EUconst_NA),IF(OR(AG1341=EUconst_NA,AG1341=""),"",AG1341),AF1341)</f>
        <v/>
      </c>
      <c r="AI1341" s="506" t="str">
        <f>IF(AC1341=TRUE,IF(AH1341="",EUconst_t,AH1341),"")</f>
        <v/>
      </c>
      <c r="AJ1341" s="513" t="str">
        <f>IF(J1341="",AI1341,J1341)</f>
        <v/>
      </c>
      <c r="AK1341" s="514" t="b">
        <f>IF(K1331=EUconst_Fuel,J1341&lt;&gt;"",FALSE)</f>
        <v>0</v>
      </c>
      <c r="AL1341" s="333"/>
      <c r="AM1341" s="505" t="str">
        <f>EUconst_CNTR_ActivityData&amp;EUconst_Value</f>
        <v>ActivityData_Vertė</v>
      </c>
      <c r="AN1341" s="496"/>
      <c r="AO1341" s="496"/>
      <c r="AP1341" s="509" t="b">
        <f>AND(AND(AH1341&lt;&gt;"",AJ1341&lt;&gt;""),AJ1341=AH1341)</f>
        <v>0</v>
      </c>
      <c r="AQ1341" s="610" t="str">
        <f>IF(L1336=TRUE,SUM(F1338)-SUM(H1338)+SUM(J1338)-SUM(L1338),"")</f>
        <v/>
      </c>
      <c r="AR1341" s="509">
        <f>IF(Y1341=EUconst_NA,0,IF(COUNT(K1341:L1341)=0,0,IF(L1341="",K1341,L1341)))</f>
        <v>0</v>
      </c>
      <c r="AS1341" s="1115" t="b">
        <f>AND(AC1341=TRUE,OR(L1341&lt;&gt;"",AQ1341=""))</f>
        <v>0</v>
      </c>
      <c r="AT1341" s="1115" t="b">
        <f>AND(AC1341=TRUE,NOT(AS1341))</f>
        <v>0</v>
      </c>
      <c r="AU1341" s="30"/>
      <c r="AV1341" s="483" t="s">
        <v>309</v>
      </c>
      <c r="AW1341" s="483" t="s">
        <v>314</v>
      </c>
      <c r="AX1341" s="515"/>
      <c r="AY1341" s="30" t="s">
        <v>536</v>
      </c>
      <c r="AZ1341" s="30"/>
      <c r="BA1341" s="30"/>
      <c r="BB1341" s="495"/>
      <c r="BC1341" s="484" t="str">
        <f>EUconst_Fuel</f>
        <v>Degimas</v>
      </c>
      <c r="BD1341" s="484" t="str">
        <f>EUconst_ProcessCarbonate</f>
        <v>Proceso metu išsiskiriančios ŠESD</v>
      </c>
      <c r="BE1341" s="484" t="str">
        <f>EUconst_MassBalance</f>
        <v>Masės balansas</v>
      </c>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515" t="b">
        <f>BZ1336</f>
        <v>1</v>
      </c>
    </row>
    <row r="1342" spans="1:78" s="140" customFormat="1" ht="5.0999999999999996" customHeight="1" thickBot="1" x14ac:dyDescent="0.25">
      <c r="A1342" s="777"/>
      <c r="B1342" s="1248"/>
      <c r="C1342" s="783"/>
      <c r="D1342" s="298"/>
      <c r="F1342" s="141"/>
      <c r="G1342" s="141"/>
      <c r="H1342" s="141" t="s">
        <v>233</v>
      </c>
      <c r="I1342" s="516"/>
      <c r="J1342" s="516"/>
      <c r="K1342" s="141"/>
      <c r="L1342" s="141"/>
      <c r="M1342" s="701"/>
      <c r="O1342" s="1305"/>
      <c r="P1342" s="33"/>
      <c r="Q1342" s="33"/>
      <c r="R1342" s="33"/>
      <c r="S1342" s="30"/>
      <c r="T1342" s="153"/>
      <c r="U1342" s="488"/>
      <c r="V1342" s="30"/>
      <c r="W1342" s="30"/>
      <c r="X1342" s="488"/>
      <c r="Y1342" s="517"/>
      <c r="Z1342" s="30"/>
      <c r="AA1342" s="30"/>
      <c r="AB1342" s="30"/>
      <c r="AC1342" s="30"/>
      <c r="AD1342" s="30"/>
      <c r="AE1342" s="30"/>
      <c r="AF1342" s="30"/>
      <c r="AG1342" s="30"/>
      <c r="AH1342" s="30"/>
      <c r="AI1342" s="30"/>
      <c r="AJ1342" s="30"/>
      <c r="AK1342" s="30"/>
      <c r="AL1342" s="333"/>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484"/>
    </row>
    <row r="1343" spans="1:78" s="140" customFormat="1" ht="12.75" customHeight="1" thickBot="1" x14ac:dyDescent="0.25">
      <c r="A1343" s="777"/>
      <c r="B1343" s="1248"/>
      <c r="C1343" s="783" t="s">
        <v>195</v>
      </c>
      <c r="D1343" s="503" t="str">
        <f>Translations!$B$634</f>
        <v>(prelim.) ITF:</v>
      </c>
      <c r="E1343" s="504"/>
      <c r="F1343" s="518"/>
      <c r="G1343" s="1603" t="str">
        <f t="shared" ref="G1343:G1349" si="329">IF(OR(ISBLANK(F1343),F1343=EUconst_NoTier),"",IF(Z1343=0,EUconst_NotApplicable,IF(ISERROR(Z1343),"",Z1343)))</f>
        <v/>
      </c>
      <c r="H1343" s="1609"/>
      <c r="I1343" s="1110" t="str">
        <f>IF(J1343&lt;&gt;"","",AI1343)</f>
        <v/>
      </c>
      <c r="J1343" s="1111"/>
      <c r="K1343" s="519" t="str">
        <f t="shared" ref="K1343:K1349" si="330">IF(L1343="",AQ1343,"")</f>
        <v/>
      </c>
      <c r="L1343" s="520"/>
      <c r="M1343" s="700" t="str">
        <f>IF(AND(E1332&lt;&gt;"",OR(F1343="",COUNT(K1343:L1343)=0),Y1343&lt;&gt;EUconst_NA,T1332&lt;&gt;TRUE),EUconst_ERR_Incomplete,IF(COUNTIF(AX1343:AZ1343,TRUE)&gt;0,EUconst_ERR_Inconsistent,""))</f>
        <v/>
      </c>
      <c r="N1343" s="486"/>
      <c r="O1343" s="1305"/>
      <c r="P1343" s="33"/>
      <c r="Q1343" s="33"/>
      <c r="R1343" s="33"/>
      <c r="S1343" s="30"/>
      <c r="T1343" s="521" t="str">
        <f>EUconst_CNTR_EF&amp;E1332</f>
        <v>EF_</v>
      </c>
      <c r="U1343" s="488"/>
      <c r="V1343" s="522" t="str">
        <f>V1341</f>
        <v/>
      </c>
      <c r="W1343" s="30"/>
      <c r="X1343" s="488"/>
      <c r="Y1343" s="523" t="str">
        <f>IF(OR(T1332=TRUE,E1332=""),"",IF(F1343=EUconst_NA,EUconst_NA,INDEX(EUwideConstants!$N:$N,MATCH(T1343,EUwideConstants!$Q:$Q,0))))</f>
        <v/>
      </c>
      <c r="Z1343" s="524" t="str">
        <f>IF(ISBLANK(F1343),"",IF(F1343=EUconst_NA,"",INDEX(EUwideConstants!$H:$M,MATCH(T1343,EUwideConstants!$Q:$Q,0),MATCH(F1343,CNTR_TierList,0))))</f>
        <v/>
      </c>
      <c r="AA1343" s="525" t="str">
        <f>IF(COUNTIF(EUconst_DefaultValues,Z1343)&gt;0,MATCH(Z1343,EUconst_DefaultValues,0),"")</f>
        <v/>
      </c>
      <c r="AB1343" s="30"/>
      <c r="AC1343" s="526" t="b">
        <f>AND(AC1341,Y1343&lt;&gt;EUconst_NA)</f>
        <v>0</v>
      </c>
      <c r="AD1343" s="30"/>
      <c r="AE1343" s="510" t="str">
        <f>EUconst_CNTR_EF&amp;EUconst_Unit</f>
        <v>EF_Vienetas</v>
      </c>
      <c r="AF1343" s="527" t="str">
        <f>IF(AC1343=TRUE, IF(COUNTIF(MSPara_SourceStreamCategory,V1343)=0,"",INDEX(MSPara_CalcFactorsMatrix,MATCH(V1343,MSPara_SourceStreamCategory,0),MATCH(AE1343&amp;"_"&amp;2,MSPara_CalcFactors,0))),"")</f>
        <v/>
      </c>
      <c r="AG1343" s="528" t="str">
        <f>IF(AC1343=TRUE, IF(COUNTIF(MSPara_SourceStreamCategory,V1343)=0,"",INDEX(MSPara_CalcFactorsMatrix,MATCH(V1343,MSPara_SourceStreamCategory,0),MATCH(AE1343&amp;"_"&amp;1,MSPara_CalcFactors,0))),"")</f>
        <v/>
      </c>
      <c r="AH1343" s="529" t="str">
        <f>IF(AA1343="","",INDEX(AF1343:AG1343,3-AA1343))</f>
        <v/>
      </c>
      <c r="AI1343" s="530" t="str">
        <f>IF(AC1343=TRUE,IF(OR(AH1343="",AH1343=EUconst_NA),IF(K1331=EUconst_Fuel,EUconst_tCO2pTJ,EUconst_tCO2pt),AH1343),"")</f>
        <v/>
      </c>
      <c r="AJ1343" s="526" t="str">
        <f>IF(J1343="",AI1343,J1343)</f>
        <v/>
      </c>
      <c r="AK1343" s="531" t="b">
        <f>IF(K1331=EUconst_Fuel,J1343&lt;&gt;"",FALSE)</f>
        <v>0</v>
      </c>
      <c r="AL1343" s="333"/>
      <c r="AM1343" s="510" t="str">
        <f>EUconst_CNTR_EF&amp;EUconst_Value</f>
        <v>EF_Vertė</v>
      </c>
      <c r="AN1343" s="532" t="str">
        <f>IF(AC1343=TRUE,IF(COUNTIF(MSPara_SourceStreamCategory,V1343)=0,"",INDEX(MSPara_CalcFactorsMatrix,MATCH(V1343,MSPara_SourceStreamCategory,0),MATCH(AM1343&amp;"_"&amp;2,MSPara_CalcFactors,0))),"")</f>
        <v/>
      </c>
      <c r="AO1343" s="533" t="str">
        <f>IF(AC1343=TRUE,IF(COUNTIF(MSPara_SourceStreamCategory,V1343)=0,"",INDEX(MSPara_CalcFactorsMatrix,MATCH(V1343,MSPara_SourceStreamCategory,0),MATCH(AM1343&amp;"_"&amp;1,MSPara_CalcFactors,0))),"")</f>
        <v/>
      </c>
      <c r="AP1343" s="526" t="b">
        <f>AND(AND(AH1343&lt;&gt;"",AJ1343&lt;&gt;""),AJ1343=AH1343)</f>
        <v>0</v>
      </c>
      <c r="AQ1343" s="534" t="str">
        <f>IF(AND(AA1343&lt;&gt;"",AP1343=TRUE),IF(OR(INDEX(AN1343:AO1343,3-AA1343)=EUconst_NA,INDEX(AN1343:AO1343,3-AA1343)=0),"",INDEX(AN1343:AO1343,3-AA1343)),"")</f>
        <v/>
      </c>
      <c r="AR1343" s="526">
        <f>IF(AC1343=TRUE,IF(COUNT(K1343:L1343)=0,0,IF(L1343="",K1343,L1343)),0)</f>
        <v>0</v>
      </c>
      <c r="AS1343" s="522" t="b">
        <f>AND(AC1343=TRUE,OR(AND(F1343&lt;&gt;"",NOT(ISNUMBER(AA1343))),L1343&lt;&gt;"",F1343="",AQ1343=""))</f>
        <v>0</v>
      </c>
      <c r="AT1343" s="522" t="b">
        <f t="shared" ref="AT1343:AT1349" si="331">AND(AC1343=TRUE,NOT(AS1343))</f>
        <v>0</v>
      </c>
      <c r="AU1343" s="30"/>
      <c r="AV1343" s="535" t="b">
        <f t="shared" ref="AV1343:AV1349" si="332">AND(ISNUMBER(AA1343),AQ1343="")</f>
        <v>0</v>
      </c>
      <c r="AW1343" s="536" t="b">
        <f t="shared" ref="AW1343:AW1349" si="333">AND(ISNUMBER(AA1343),AQ1343&lt;&gt;AR1343)</f>
        <v>0</v>
      </c>
      <c r="AX1343" s="537" t="b">
        <f>OR(AND(AJ1341=EUconst_kNm3,AJ1343=EUconst_tCO2pt),AND(AJ1341=EUconst_t,AJ1343=EUconst_tCO2pkNm3))</f>
        <v>0</v>
      </c>
      <c r="AY1343" s="522" t="b">
        <f t="shared" ref="AY1343:AY1349" si="334">AND(L1343&lt;&gt;"",Y1343=EUconst_NA)</f>
        <v>0</v>
      </c>
      <c r="AZ1343" s="30"/>
      <c r="BA1343" s="30"/>
      <c r="BB1343" s="538" t="s">
        <v>588</v>
      </c>
      <c r="BC1343" s="537" t="str">
        <f>IF(K1331=BC1341,AR1341*IF(AJ1343=EUconst_tCO2pTJ,(AR1344/1000),1)*AR1343*AR1345*AR1349,"")</f>
        <v/>
      </c>
      <c r="BD1343" s="515" t="str">
        <f>IF(K1331=BD1341,AR1341*AR1343*AR1346*AR1349,"")</f>
        <v/>
      </c>
      <c r="BE1343" s="514" t="str">
        <f>IF(K1331=BE1341,3.664*AR1341*AR1347*AR1349,"")</f>
        <v/>
      </c>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522" t="b">
        <f>OR(BZ1341,Y1343=EUconst_NA)</f>
        <v>1</v>
      </c>
    </row>
    <row r="1344" spans="1:78" s="140" customFormat="1" ht="12.75" customHeight="1" thickBot="1" x14ac:dyDescent="0.25">
      <c r="A1344" s="777"/>
      <c r="B1344" s="1248"/>
      <c r="C1344" s="783" t="s">
        <v>196</v>
      </c>
      <c r="D1344" s="503" t="str">
        <f>Translations!$B$636</f>
        <v>GŠV:</v>
      </c>
      <c r="E1344" s="504"/>
      <c r="F1344" s="539"/>
      <c r="G1344" s="1603" t="str">
        <f t="shared" si="329"/>
        <v/>
      </c>
      <c r="H1344" s="1604"/>
      <c r="I1344" s="1112" t="str">
        <f>AJ1344</f>
        <v/>
      </c>
      <c r="J1344" s="540"/>
      <c r="K1344" s="541" t="str">
        <f t="shared" si="330"/>
        <v/>
      </c>
      <c r="L1344" s="542"/>
      <c r="M1344" s="700" t="str">
        <f>IF(AND(E1332&lt;&gt;"",OR(F1344="",COUNT(K1344:L1344)=0),Y1344&lt;&gt;EUconst_NA,T1332&lt;&gt;TRUE),EUconst_ERR_Incomplete,IF(COUNTIF(AX1344:AZ1344,TRUE)&gt;0,EUconst_ERR_Inconsistent,""))</f>
        <v/>
      </c>
      <c r="O1344" s="1305"/>
      <c r="P1344" s="33"/>
      <c r="Q1344" s="33"/>
      <c r="R1344" s="33"/>
      <c r="S1344" s="30"/>
      <c r="T1344" s="543" t="str">
        <f>EUconst_CNTR_NCV&amp;E1332</f>
        <v>NCV_</v>
      </c>
      <c r="U1344" s="488"/>
      <c r="V1344" s="544" t="str">
        <f t="shared" ref="V1344:V1349" si="335">V1343</f>
        <v/>
      </c>
      <c r="W1344" s="30"/>
      <c r="X1344" s="488"/>
      <c r="Y1344" s="545" t="str">
        <f>IF(OR(T1332=TRUE,E1332=""),"",IF(F1344=EUconst_NA,EUconst_NA,INDEX(EUwideConstants!$N:$N,MATCH(T1344,EUwideConstants!$Q:$Q,0))))</f>
        <v/>
      </c>
      <c r="Z1344" s="546" t="str">
        <f>IF(ISBLANK(F1344),"",IF(F1344=EUconst_NA,"",INDEX(EUwideConstants!$H:$M,MATCH(T1344,EUwideConstants!$Q:$Q,0),MATCH(F1344,CNTR_TierList,0))))</f>
        <v/>
      </c>
      <c r="AA1344" s="547" t="str">
        <f>IF(COUNTIF(EUconst_DefaultValues,Z1344)&gt;0,MATCH(Z1344,EUconst_DefaultValues,0),"")</f>
        <v/>
      </c>
      <c r="AB1344" s="30"/>
      <c r="AC1344" s="548" t="b">
        <f>AND(AC1341,Y1344&lt;&gt;EUconst_NA)</f>
        <v>0</v>
      </c>
      <c r="AD1344" s="30"/>
      <c r="AE1344" s="549" t="str">
        <f>EUconst_CNTR_NCV&amp;EUconst_Unit</f>
        <v>NCV_Vienetas</v>
      </c>
      <c r="AF1344" s="550" t="str">
        <f>IF(AC1344=TRUE, IF(COUNTIF(MSPara_SourceStreamCategory,V1344)=0,"",INDEX(MSPara_CalcFactorsMatrix,MATCH(V1344,MSPara_SourceStreamCategory,0),MATCH(AE1344&amp;"_"&amp;2,MSPara_CalcFactors,0))),"")</f>
        <v/>
      </c>
      <c r="AG1344" s="551" t="str">
        <f>IF(AC1344=TRUE, IF(COUNTIF(MSPara_SourceStreamCategory,V1344)=0,"",INDEX(MSPara_CalcFactorsMatrix,MATCH(V1344,MSPara_SourceStreamCategory,0),MATCH(AE1344&amp;"_"&amp;1,MSPara_CalcFactors,0))),"")</f>
        <v/>
      </c>
      <c r="AH1344" s="552" t="str">
        <f>IF(AA1344="","",INDEX(AF1344:AG1344,3-AA1344))</f>
        <v/>
      </c>
      <c r="AI1344" s="553"/>
      <c r="AJ1344" s="548" t="str">
        <f>IF(AC1344=TRUE,IF(AJ1341="","",IF(AJ1341=EUconst_kNm3,EUconst_GJpkNm3,EUconst_GJpt)),"")</f>
        <v/>
      </c>
      <c r="AK1344" s="554"/>
      <c r="AL1344" s="333"/>
      <c r="AM1344" s="549" t="str">
        <f>EUconst_CNTR_NCV&amp;EUconst_Value</f>
        <v>NCV_Vertė</v>
      </c>
      <c r="AN1344" s="555" t="str">
        <f>IF(AC1344=TRUE,IF(COUNTIF(MSPara_SourceStreamCategory,V1344)=0,"",INDEX(MSPara_CalcFactorsMatrix,MATCH(V1344,MSPara_SourceStreamCategory,0),MATCH(AM1344&amp;"_"&amp;2,MSPara_CalcFactors,0))),"")</f>
        <v/>
      </c>
      <c r="AO1344" s="556" t="str">
        <f>IF(AC1344=TRUE,IF(COUNTIF(MSPara_SourceStreamCategory,V1344)=0,"",INDEX(MSPara_CalcFactorsMatrix,MATCH(V1344,MSPara_SourceStreamCategory,0),MATCH(AM1344&amp;"_"&amp;1,MSPara_CalcFactors,0))),"")</f>
        <v/>
      </c>
      <c r="AP1344" s="548" t="b">
        <f>AND(AND(AH1344&lt;&gt;"",AJ1344&lt;&gt;""),AJ1344=AH1344)</f>
        <v>0</v>
      </c>
      <c r="AQ1344" s="557" t="str">
        <f>IF(AND(AA1344&lt;&gt;"",AP1344=TRUE),IF(OR(INDEX(AN1344:AO1344,3-AA1344)=EUconst_NA,INDEX(AN1344:AO1344,3-AA1344)=0),"",INDEX(AN1344:AO1344,3-AA1344)),"")</f>
        <v/>
      </c>
      <c r="AR1344" s="548">
        <f>IF(AC1344=TRUE,IF(COUNT(K1344:L1344)=0,0,IF(L1344="",K1344,L1344)),0)</f>
        <v>0</v>
      </c>
      <c r="AS1344" s="544" t="b">
        <f>AND(AC1344=TRUE,OR(AND(F1344&lt;&gt;"",NOT(ISNUMBER(AA1344))),L1344&lt;&gt;"",F1344="",AQ1344=""))</f>
        <v>0</v>
      </c>
      <c r="AT1344" s="544" t="b">
        <f t="shared" si="331"/>
        <v>0</v>
      </c>
      <c r="AU1344" s="30"/>
      <c r="AV1344" s="558" t="b">
        <f t="shared" si="332"/>
        <v>0</v>
      </c>
      <c r="AW1344" s="559" t="b">
        <f t="shared" si="333"/>
        <v>0</v>
      </c>
      <c r="AX1344" s="30"/>
      <c r="AY1344" s="544" t="b">
        <f t="shared" si="334"/>
        <v>0</v>
      </c>
      <c r="AZ1344" s="30"/>
      <c r="BA1344" s="30"/>
      <c r="BB1344" s="538" t="s">
        <v>589</v>
      </c>
      <c r="BC1344" s="537" t="str">
        <f>IF(K1331=BC1341,AR1341*IF(AJ1343=EUconst_tCO2pTJ,(AR1344/1000),1)*AR1343*AR1345*AR1348,"")</f>
        <v/>
      </c>
      <c r="BD1344" s="515" t="str">
        <f>IF(K1331=BD1341,AR1341*AR1343*AR1346*AR1348,"")</f>
        <v/>
      </c>
      <c r="BE1344" s="514" t="str">
        <f>IF(K1331=BE1341,3.664*AR1341*AR1347*AR1348,"")</f>
        <v/>
      </c>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544" t="b">
        <f>OR(BZ1341,Y1344=EUconst_NA)</f>
        <v>1</v>
      </c>
    </row>
    <row r="1345" spans="1:78" s="140" customFormat="1" ht="12.75" customHeight="1" thickBot="1" x14ac:dyDescent="0.25">
      <c r="A1345" s="777"/>
      <c r="B1345" s="1248"/>
      <c r="C1345" s="783" t="s">
        <v>197</v>
      </c>
      <c r="D1345" s="503" t="str">
        <f>Translations!$B$638</f>
        <v>Oksidacijos koef.:</v>
      </c>
      <c r="E1345" s="504"/>
      <c r="F1345" s="539"/>
      <c r="G1345" s="1603" t="str">
        <f t="shared" si="329"/>
        <v/>
      </c>
      <c r="H1345" s="1604"/>
      <c r="I1345" s="1113" t="str">
        <f>IF(OR(AC1345=FALSE,Y1345=EUconst_NA),"","-")</f>
        <v/>
      </c>
      <c r="J1345" s="560"/>
      <c r="K1345" s="561" t="str">
        <f t="shared" si="330"/>
        <v/>
      </c>
      <c r="L1345" s="694"/>
      <c r="M1345" s="700" t="str">
        <f>IF(AND(E1332&lt;&gt;"",OR(F1345="",COUNT(K1345:L1345)=0),Y1345&lt;&gt;EUconst_NA,T1332&lt;&gt;TRUE),EUconst_ERR_Incomplete,IF(COUNTIF(AX1345:AZ1345,TRUE)&gt;0,EUconst_ERR_Inconsistent,""))</f>
        <v/>
      </c>
      <c r="O1345" s="1305"/>
      <c r="P1345" s="33"/>
      <c r="Q1345" s="33"/>
      <c r="R1345" s="33"/>
      <c r="S1345" s="30"/>
      <c r="T1345" s="543" t="str">
        <f>EUconst_CNTR_OxidationFactor&amp;E1332</f>
        <v>OxF_</v>
      </c>
      <c r="U1345" s="488"/>
      <c r="V1345" s="544" t="str">
        <f t="shared" si="335"/>
        <v/>
      </c>
      <c r="W1345" s="30"/>
      <c r="X1345" s="488"/>
      <c r="Y1345" s="545" t="str">
        <f>IF(OR(T1332=TRUE,E1332=""),"",INDEX(EUwideConstants!$N:$N,MATCH(T1345,EUwideConstants!$Q:$Q,0)))</f>
        <v/>
      </c>
      <c r="Z1345" s="546" t="str">
        <f>IF(ISBLANK(F1345),"",IF(F1345=EUconst_NA,"",INDEX(EUwideConstants!$H:$M,MATCH(T1345,EUwideConstants!$Q:$Q,0),MATCH(F1345,CNTR_TierList,0))))</f>
        <v/>
      </c>
      <c r="AA1345" s="525" t="str">
        <f>IF(F1345=1,1,"")</f>
        <v/>
      </c>
      <c r="AB1345" s="30"/>
      <c r="AC1345" s="548" t="b">
        <f>AND(AC1341,Y1345&lt;&gt;EUconst_NA)</f>
        <v>0</v>
      </c>
      <c r="AD1345" s="30"/>
      <c r="AE1345" s="563"/>
      <c r="AG1345" s="564"/>
      <c r="AH1345" s="553"/>
      <c r="AI1345" s="565"/>
      <c r="AJ1345" s="553"/>
      <c r="AK1345" s="566"/>
      <c r="AL1345" s="333"/>
      <c r="AM1345" s="549" t="str">
        <f>EUconst_CNTR_OxidationFactor&amp;EUconst_Value</f>
        <v>OxF_Vertė</v>
      </c>
      <c r="AN1345" s="567"/>
      <c r="AO1345" s="525">
        <v>1</v>
      </c>
      <c r="AP1345" s="553"/>
      <c r="AQ1345" s="568" t="str">
        <f>IF(AA1345="","",AO1345)</f>
        <v/>
      </c>
      <c r="AR1345" s="548">
        <f>IF(AC1345=TRUE,IF(COUNT(K1345:L1345)=0,0,IF(L1345="",K1345,L1345)),1)</f>
        <v>1</v>
      </c>
      <c r="AS1345" s="544" t="b">
        <f>AND(AC1345=TRUE,OR(ISNUMBER(L1345),NOT(ISNUMBER(AA1345))))</f>
        <v>0</v>
      </c>
      <c r="AT1345" s="544" t="b">
        <f t="shared" si="331"/>
        <v>0</v>
      </c>
      <c r="AU1345" s="30"/>
      <c r="AV1345" s="558" t="b">
        <f t="shared" si="332"/>
        <v>0</v>
      </c>
      <c r="AW1345" s="559" t="b">
        <f t="shared" si="333"/>
        <v>0</v>
      </c>
      <c r="AX1345" s="30"/>
      <c r="AY1345" s="585" t="b">
        <f t="shared" si="334"/>
        <v>0</v>
      </c>
      <c r="AZ1345" s="522" t="b">
        <f>AR1345&gt;100%</f>
        <v>0</v>
      </c>
      <c r="BA1345" s="30"/>
      <c r="BB1345" s="538" t="s">
        <v>287</v>
      </c>
      <c r="BC1345" s="537" t="str">
        <f>IF(K1331=BC1341,AR1341*IF(AJ1343=EUconst_tCO2pTJ,(AR1344/1000),1)*AR1343*AR1345*(1-AR1348),"")</f>
        <v/>
      </c>
      <c r="BD1345" s="515" t="str">
        <f>IF(K1331=BD1341,AR1341*AR1343*AR1346*(1-AR1348),"")</f>
        <v/>
      </c>
      <c r="BE1345" s="514" t="str">
        <f>IF(K1331=BE1341,3.664*AR1341*AR1347*(1-AR1348),"")</f>
        <v/>
      </c>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544" t="b">
        <f>OR(BZ1341,Y1345=EUconst_NA)</f>
        <v>1</v>
      </c>
    </row>
    <row r="1346" spans="1:78" s="140" customFormat="1" ht="12.75" customHeight="1" thickBot="1" x14ac:dyDescent="0.25">
      <c r="A1346" s="777"/>
      <c r="B1346" s="1248"/>
      <c r="C1346" s="783" t="s">
        <v>198</v>
      </c>
      <c r="D1346" s="503" t="str">
        <f>Translations!$B$639</f>
        <v>Konversijos koef.:</v>
      </c>
      <c r="E1346" s="504"/>
      <c r="F1346" s="539"/>
      <c r="G1346" s="1603" t="str">
        <f t="shared" si="329"/>
        <v/>
      </c>
      <c r="H1346" s="1604"/>
      <c r="I1346" s="1113" t="str">
        <f>IF(OR(AC1346=FALSE,Y1346=EUconst_NA),"","-")</f>
        <v/>
      </c>
      <c r="J1346" s="560"/>
      <c r="K1346" s="561" t="str">
        <f t="shared" si="330"/>
        <v/>
      </c>
      <c r="L1346" s="694"/>
      <c r="M1346" s="700" t="str">
        <f>IF(AND(E1332&lt;&gt;"",OR(F1346="",COUNT(K1346:L1346)=0),Y1346&lt;&gt;EUconst_NA,T1332&lt;&gt;TRUE),EUconst_ERR_Incomplete,IF(COUNTIF(AX1346:AZ1346,TRUE)&gt;0,EUconst_ERR_Inconsistent,""))</f>
        <v/>
      </c>
      <c r="O1346" s="1305"/>
      <c r="P1346" s="33"/>
      <c r="Q1346" s="33"/>
      <c r="R1346" s="33"/>
      <c r="S1346" s="30"/>
      <c r="T1346" s="543" t="str">
        <f>EUconst_CNTR_ConversionFactor&amp;E1332</f>
        <v>ConvF_</v>
      </c>
      <c r="U1346" s="488"/>
      <c r="V1346" s="544" t="str">
        <f t="shared" si="335"/>
        <v/>
      </c>
      <c r="W1346" s="30"/>
      <c r="X1346" s="488"/>
      <c r="Y1346" s="545" t="str">
        <f>IF(OR(T1332=TRUE,E1332=""),"",INDEX(EUwideConstants!$N:$N,MATCH(T1346,EUwideConstants!$Q:$Q,0)))</f>
        <v/>
      </c>
      <c r="Z1346" s="546" t="str">
        <f>IF(ISBLANK(F1346),"",IF(F1346=EUconst_NA,"",INDEX(EUwideConstants!$H:$M,MATCH(T1346,EUwideConstants!$Q:$Q,0),MATCH(F1346,CNTR_TierList,0))))</f>
        <v/>
      </c>
      <c r="AA1346" s="573" t="str">
        <f>IF(F1346=1,1,"")</f>
        <v/>
      </c>
      <c r="AB1346" s="30"/>
      <c r="AC1346" s="548" t="b">
        <f>AND(AC1341,Y1346&lt;&gt;EUconst_NA)</f>
        <v>0</v>
      </c>
      <c r="AD1346" s="30"/>
      <c r="AE1346" s="563"/>
      <c r="AG1346" s="564"/>
      <c r="AH1346" s="574"/>
      <c r="AI1346" s="565"/>
      <c r="AJ1346" s="574"/>
      <c r="AK1346" s="566"/>
      <c r="AL1346" s="333"/>
      <c r="AM1346" s="549" t="str">
        <f>EUconst_CNTR_ConversionFactor&amp;EUconst_Value</f>
        <v>ConvF_Vertė</v>
      </c>
      <c r="AN1346" s="575"/>
      <c r="AO1346" s="573">
        <v>1</v>
      </c>
      <c r="AP1346" s="574"/>
      <c r="AQ1346" s="576" t="str">
        <f>IF(AA1346="","",AO1346)</f>
        <v/>
      </c>
      <c r="AR1346" s="548">
        <f>IF(AC1346=TRUE,IF(COUNT(K1346:L1346)=0,0,IF(L1346="",K1346,L1346)),1)</f>
        <v>1</v>
      </c>
      <c r="AS1346" s="544" t="b">
        <f>AND(AC1346=TRUE,OR(ISNUMBER(L1346),NOT(ISNUMBER(AA1346))))</f>
        <v>0</v>
      </c>
      <c r="AT1346" s="544" t="b">
        <f t="shared" si="331"/>
        <v>0</v>
      </c>
      <c r="AU1346" s="30"/>
      <c r="AV1346" s="558" t="b">
        <f t="shared" si="332"/>
        <v>0</v>
      </c>
      <c r="AW1346" s="559" t="b">
        <f t="shared" si="333"/>
        <v>0</v>
      </c>
      <c r="AX1346" s="30"/>
      <c r="AY1346" s="585" t="b">
        <f t="shared" si="334"/>
        <v>0</v>
      </c>
      <c r="AZ1346" s="571" t="b">
        <f>AR1346&gt;100%</f>
        <v>0</v>
      </c>
      <c r="BA1346" s="30"/>
      <c r="BB1346" s="569" t="s">
        <v>481</v>
      </c>
      <c r="BC1346" s="570">
        <f>AR1341*AR1344/1000*(1-AR1348)</f>
        <v>0</v>
      </c>
      <c r="BD1346" s="571">
        <f>BC1346</f>
        <v>0</v>
      </c>
      <c r="BE1346" s="572">
        <f>BC1346</f>
        <v>0</v>
      </c>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544" t="b">
        <f>OR(BZ1341,Y1346=EUconst_NA)</f>
        <v>1</v>
      </c>
    </row>
    <row r="1347" spans="1:78" s="140" customFormat="1" ht="12.75" customHeight="1" thickBot="1" x14ac:dyDescent="0.25">
      <c r="A1347" s="777"/>
      <c r="B1347" s="1248"/>
      <c r="C1347" s="783" t="s">
        <v>324</v>
      </c>
      <c r="D1347" s="503" t="str">
        <f>Translations!$B$640</f>
        <v>Anglies kiekis (C):</v>
      </c>
      <c r="E1347" s="504"/>
      <c r="F1347" s="539"/>
      <c r="G1347" s="1603" t="str">
        <f t="shared" si="329"/>
        <v/>
      </c>
      <c r="H1347" s="1604"/>
      <c r="I1347" s="1113" t="str">
        <f>AJ1347</f>
        <v/>
      </c>
      <c r="J1347" s="577"/>
      <c r="K1347" s="578" t="str">
        <f t="shared" si="330"/>
        <v/>
      </c>
      <c r="L1347" s="579"/>
      <c r="M1347" s="700" t="str">
        <f>IF(AND(E1332&lt;&gt;"",OR(F1347="",COUNT(K1347:L1347)=0),Y1347&lt;&gt;EUconst_NA,T1332&lt;&gt;TRUE),EUconst_ERR_Incomplete,IF(COUNTIF(AX1347:AZ1347,TRUE)&gt;0,EUconst_ERR_Inconsistent,""))</f>
        <v/>
      </c>
      <c r="O1347" s="1305"/>
      <c r="P1347" s="33"/>
      <c r="Q1347" s="33"/>
      <c r="R1347" s="33"/>
      <c r="S1347" s="30"/>
      <c r="T1347" s="543" t="str">
        <f>EUconst_CNTR_CarbonContent&amp;E1332</f>
        <v>CarbC_</v>
      </c>
      <c r="U1347" s="488"/>
      <c r="V1347" s="544" t="str">
        <f t="shared" si="335"/>
        <v/>
      </c>
      <c r="W1347" s="30"/>
      <c r="X1347" s="488"/>
      <c r="Y1347" s="545" t="str">
        <f>IF(OR(T1332=TRUE,E1332=""),"",INDEX(EUwideConstants!$N:$N,MATCH(T1347,EUwideConstants!$Q:$Q,0)))</f>
        <v/>
      </c>
      <c r="Z1347" s="546" t="str">
        <f>IF(ISBLANK(F1347),"",IF(F1347=EUconst_NA,"",INDEX(EUwideConstants!$H:$M,MATCH(T1347,EUwideConstants!$Q:$Q,0),MATCH(F1347,CNTR_TierList,0))))</f>
        <v/>
      </c>
      <c r="AA1347" s="580" t="str">
        <f>IF(COUNTIF(EUconst_DefaultValues,Z1347)&gt;0,MATCH(Z1347,EUconst_DefaultValues,0),"")</f>
        <v/>
      </c>
      <c r="AB1347" s="30"/>
      <c r="AC1347" s="548" t="b">
        <f>AND(AC1341,Y1347&lt;&gt;EUconst_NA)</f>
        <v>0</v>
      </c>
      <c r="AD1347" s="30"/>
      <c r="AE1347" s="549" t="str">
        <f>EUconst_CNTR_CarbonContent&amp;EUconst_Unit</f>
        <v>CarbC_Vienetas</v>
      </c>
      <c r="AF1347" s="550" t="str">
        <f>IF(AC1347=TRUE, IF(COUNTIF(MSPara_SourceStreamCategory,V1347)=0,"",INDEX(MSPara_CalcFactorsMatrix,MATCH(V1347,MSPara_SourceStreamCategory,0),MATCH(AE1347&amp;"_"&amp;2,MSPara_CalcFactors,0))),"")</f>
        <v/>
      </c>
      <c r="AG1347" s="551" t="str">
        <f>IF(AC1347=TRUE, IF(COUNTIF(MSPara_SourceStreamCategory,V1347)=0,"",INDEX(MSPara_CalcFactorsMatrix,MATCH(V1347,MSPara_SourceStreamCategory,0),MATCH(AE1347&amp;"_"&amp;1,MSPara_CalcFactors,0))),"")</f>
        <v/>
      </c>
      <c r="AH1347" s="581" t="str">
        <f>IF(AA1347="","",INDEX(AF1347:AG1347,3-AA1347))</f>
        <v/>
      </c>
      <c r="AI1347" s="565"/>
      <c r="AJ1347" s="582" t="str">
        <f>IF(AC1347=TRUE,IF(AJ1341="","",IF(AJ1341=EUconst_kNm3,EUconst_tCpkNm3,EUconst_tCpt)),"")</f>
        <v/>
      </c>
      <c r="AK1347" s="566"/>
      <c r="AL1347" s="333"/>
      <c r="AM1347" s="549" t="str">
        <f>EUconst_CNTR_CarbonContent&amp;EUconst_Value</f>
        <v>CarbC_Vertė</v>
      </c>
      <c r="AN1347" s="555" t="str">
        <f>IF(AC1347=TRUE,IF(COUNTIF(MSPara_SourceStreamCategory,V1347)=0,"",INDEX(MSPara_CalcFactorsMatrix,MATCH(V1347,MSPara_SourceStreamCategory,0),MATCH(AM1347&amp;"_"&amp;2,MSPara_CalcFactors,0))),"")</f>
        <v/>
      </c>
      <c r="AO1347" s="583" t="str">
        <f>IF(AC1347=TRUE,IF(COUNTIF(MSPara_SourceStreamCategory,V1347)=0,"",INDEX(MSPara_CalcFactorsMatrix,MATCH(V1347,MSPara_SourceStreamCategory,0),MATCH(AM1347&amp;"_"&amp;1,MSPara_CalcFactors,0))),"")</f>
        <v/>
      </c>
      <c r="AP1347" s="548" t="b">
        <f>AND(AND(AH1347&lt;&gt;"",AJ1347&lt;&gt;""),AJ1347=AH1347)</f>
        <v>0</v>
      </c>
      <c r="AQ1347" s="584" t="str">
        <f>IF(AND(AA1347&lt;&gt;"",AP1347=TRUE),IF(OR(INDEX(AN1347:AO1347,3-AA1347)=EUconst_NA,INDEX(AN1347:AO1347,3-AA1347)=0),"",INDEX(AN1347:AO1347,3-AA1347)),"")</f>
        <v/>
      </c>
      <c r="AR1347" s="548">
        <f>IF(AC1347=TRUE,IF(COUNT(K1347:L1347)=0,0,IF(L1347="",K1347,L1347)),0)</f>
        <v>0</v>
      </c>
      <c r="AS1347" s="544" t="b">
        <f>AND(AC1347=TRUE,OR(AND(F1347&lt;&gt;"",NOT(ISNUMBER(AA1347))),L1347&lt;&gt;"",F1347="",AQ1347=""))</f>
        <v>0</v>
      </c>
      <c r="AT1347" s="544" t="b">
        <f t="shared" si="331"/>
        <v>0</v>
      </c>
      <c r="AU1347" s="30"/>
      <c r="AV1347" s="558" t="b">
        <f t="shared" si="332"/>
        <v>0</v>
      </c>
      <c r="AW1347" s="559" t="b">
        <f t="shared" si="333"/>
        <v>0</v>
      </c>
      <c r="AX1347" s="537" t="b">
        <f>OR(AND(AJ1341=EUconst_kNm3,AJ1347=EUconst_tCpt),AND(AJ1341=EUconst_t,AJ1347=EUconst_tCpkNm3))</f>
        <v>0</v>
      </c>
      <c r="AY1347" s="544" t="b">
        <f t="shared" si="334"/>
        <v>0</v>
      </c>
      <c r="AZ1347" s="30"/>
      <c r="BA1347" s="30"/>
      <c r="BB1347" s="569" t="s">
        <v>482</v>
      </c>
      <c r="BC1347" s="570">
        <f>AR1341*AR1344/1000*AR1348</f>
        <v>0</v>
      </c>
      <c r="BD1347" s="571">
        <f>BC1347</f>
        <v>0</v>
      </c>
      <c r="BE1347" s="572">
        <f>BC1347</f>
        <v>0</v>
      </c>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544" t="b">
        <f>OR(BZ1341,Y1347=EUconst_NA)</f>
        <v>1</v>
      </c>
    </row>
    <row r="1348" spans="1:78" s="140" customFormat="1" ht="12.75" customHeight="1" x14ac:dyDescent="0.2">
      <c r="A1348" s="777"/>
      <c r="B1348" s="1248"/>
      <c r="C1348" s="753" t="s">
        <v>325</v>
      </c>
      <c r="D1348" s="503" t="str">
        <f>Translations!$B$641</f>
        <v>Biomasės dalis (BioC):</v>
      </c>
      <c r="E1348" s="504"/>
      <c r="F1348" s="539"/>
      <c r="G1348" s="1603" t="str">
        <f t="shared" si="329"/>
        <v/>
      </c>
      <c r="H1348" s="1604"/>
      <c r="I1348" s="1113" t="str">
        <f>IF(OR(AC1348=FALSE,Y1348=EUconst_NA),"","-")</f>
        <v/>
      </c>
      <c r="J1348" s="560"/>
      <c r="K1348" s="561" t="str">
        <f t="shared" si="330"/>
        <v/>
      </c>
      <c r="L1348" s="694"/>
      <c r="M1348" s="700" t="str">
        <f>IF(AND(E1332&lt;&gt;"",OR(F1348="",COUNT(K1348:L1348)=0),Y1348&lt;&gt;EUconst_NA,T1332&lt;&gt;TRUE),EUconst_ERR_Incomplete,IF(COUNTIF(AX1348:AZ1348,TRUE)&gt;0,EUconst_ERR_Inconsistent,""))</f>
        <v/>
      </c>
      <c r="O1348" s="1305"/>
      <c r="P1348" s="635"/>
      <c r="Q1348" s="635"/>
      <c r="R1348" s="635"/>
      <c r="S1348" s="30"/>
      <c r="T1348" s="543" t="str">
        <f>EUconst_CNTR_BiomassContent&amp;E1332</f>
        <v>BioC_</v>
      </c>
      <c r="U1348" s="488"/>
      <c r="V1348" s="585" t="str">
        <f t="shared" si="335"/>
        <v/>
      </c>
      <c r="W1348" s="522" t="str">
        <f>IF(COUNTIF(MSPara_SourceStreamCategory,V1348)=0,"",INDEX(MSPara_IsFossil,MATCH(V1348,MSPara_SourceStreamCategory,0)))</f>
        <v/>
      </c>
      <c r="X1348" s="488"/>
      <c r="Y1348" s="545" t="str">
        <f>IF(OR(T1332=TRUE,E1332=""),"",IF(OR(W1348=TRUE,F1348=EUconst_NA),EUconst_NA,INDEX(EUwideConstants!$N:$N,MATCH(T1348,EUwideConstants!$Q:$Q,0))))</f>
        <v/>
      </c>
      <c r="Z1348" s="546" t="str">
        <f>IF(ISBLANK(F1348),"",IF(F1348=EUconst_NA,"",INDEX(EUwideConstants!$H:$M,MATCH(T1348,EUwideConstants!$Q:$Q,0),MATCH(F1348,CNTR_TierList,0))))</f>
        <v/>
      </c>
      <c r="AA1348" s="586" t="str">
        <f>IF(F1348=1,1,"")</f>
        <v/>
      </c>
      <c r="AB1348" s="30"/>
      <c r="AC1348" s="548" t="b">
        <f>AND(AC1341,Y1348&lt;&gt;EUconst_NA)</f>
        <v>0</v>
      </c>
      <c r="AD1348" s="30"/>
      <c r="AE1348" s="563"/>
      <c r="AG1348" s="564"/>
      <c r="AH1348" s="553"/>
      <c r="AI1348" s="565"/>
      <c r="AJ1348" s="553"/>
      <c r="AK1348" s="566"/>
      <c r="AL1348" s="333"/>
      <c r="AM1348" s="549" t="str">
        <f>EUconst_CNTR_BiomassContent&amp;EUconst_Value</f>
        <v>BioC_Vertė</v>
      </c>
      <c r="AO1348" s="587" t="str">
        <f>IF(AC1348=TRUE,IF(COUNTIF(MSPara_SourceStreamCategory,V1348)=0,"",INDEX(MSPara_CalcFactorsMatrix,MATCH(V1348,MSPara_SourceStreamCategory,0),MATCH(AM1348&amp;"_"&amp;2,MSPara_CalcFactors,0))),"")</f>
        <v/>
      </c>
      <c r="AP1348" s="553"/>
      <c r="AQ1348" s="568" t="str">
        <f>IF(OR(AA1348="",AO1348=EUconst_NA),"",AO1348)</f>
        <v/>
      </c>
      <c r="AR1348" s="548">
        <f>IF(AC1348=TRUE,IF(COUNT(K1348:L1348)=0,0,IF(L1348="",K1348,L1348)),0)</f>
        <v>0</v>
      </c>
      <c r="AS1348" s="544" t="b">
        <f>AND(AC1348=TRUE,OR(AND(F1348&lt;&gt;"",NOT(ISNUMBER(AA1348))),L1348&lt;&gt;"",F1348="",AQ1348=""))</f>
        <v>0</v>
      </c>
      <c r="AT1348" s="544" t="b">
        <f t="shared" si="331"/>
        <v>0</v>
      </c>
      <c r="AU1348" s="30"/>
      <c r="AV1348" s="558" t="b">
        <f t="shared" si="332"/>
        <v>0</v>
      </c>
      <c r="AW1348" s="559" t="b">
        <f t="shared" si="333"/>
        <v>0</v>
      </c>
      <c r="AX1348" s="30"/>
      <c r="AY1348" s="585" t="b">
        <f t="shared" si="334"/>
        <v>0</v>
      </c>
      <c r="AZ1348" s="522" t="b">
        <f>OR(AR1348&gt;100%,(AR1348+AR1349)&gt;100%)</f>
        <v>0</v>
      </c>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544" t="b">
        <f>OR(BZ1341,Y1348=EUconst_NA)</f>
        <v>1</v>
      </c>
    </row>
    <row r="1349" spans="1:78" s="140" customFormat="1" ht="12.75" customHeight="1" thickBot="1" x14ac:dyDescent="0.25">
      <c r="A1349" s="777"/>
      <c r="B1349" s="1248"/>
      <c r="C1349" s="753" t="s">
        <v>448</v>
      </c>
      <c r="D1349" s="503" t="str">
        <f>Translations!$B$647</f>
        <v>Netvarios BioC dalis:</v>
      </c>
      <c r="E1349" s="504"/>
      <c r="F1349" s="588"/>
      <c r="G1349" s="1603" t="str">
        <f t="shared" si="329"/>
        <v/>
      </c>
      <c r="H1349" s="1604"/>
      <c r="I1349" s="1114" t="str">
        <f>IF(OR(AC1349=FALSE,Y1349=EUconst_NA),"","-")</f>
        <v/>
      </c>
      <c r="J1349" s="560"/>
      <c r="K1349" s="589" t="str">
        <f t="shared" si="330"/>
        <v/>
      </c>
      <c r="L1349" s="1100"/>
      <c r="M1349" s="700" t="str">
        <f>IF(AND(E1332&lt;&gt;"",OR(F1349="",COUNT(K1349:L1349)=0),Y1349&lt;&gt;EUconst_NA,T1332&lt;&gt;TRUE),EUconst_ERR_Incomplete,IF(COUNTIF(AX1349:AZ1349,TRUE)&gt;0,EUconst_ERR_Inconsistent,""))</f>
        <v/>
      </c>
      <c r="O1349" s="1305"/>
      <c r="P1349" s="635"/>
      <c r="Q1349" s="635"/>
      <c r="R1349" s="635"/>
      <c r="S1349" s="30"/>
      <c r="T1349" s="590" t="str">
        <f>EUconst_CNTR_BiomassContent&amp;E1332</f>
        <v>BioC_</v>
      </c>
      <c r="U1349" s="488"/>
      <c r="V1349" s="570" t="str">
        <f t="shared" si="335"/>
        <v/>
      </c>
      <c r="W1349" s="571" t="str">
        <f>IF(COUNTIF(MSPara_SourceStreamCategory,V1349)=0,"",INDEX(MSPara_IsFossil,MATCH(V1349,MSPara_SourceStreamCategory,0)))</f>
        <v/>
      </c>
      <c r="X1349" s="488"/>
      <c r="Y1349" s="591" t="str">
        <f>IF(OR(T1332=TRUE,E1332=""),"",IF(OR(W1349=TRUE,F1349=EUconst_NA),EUconst_NA,INDEX(EUwideConstants!$N:$N,MATCH(T1349,EUwideConstants!$Q:$Q,0))))</f>
        <v/>
      </c>
      <c r="Z1349" s="592" t="str">
        <f>IF(ISBLANK(F1349),"",IF(F1349=EUconst_NA,"",INDEX(EUwideConstants!$H:$M,MATCH(T1349,EUwideConstants!$Q:$Q,0),MATCH(F1349,CNTR_TierList,0))))</f>
        <v/>
      </c>
      <c r="AA1349" s="593" t="str">
        <f>IF(F1349=1,1,"")</f>
        <v/>
      </c>
      <c r="AB1349" s="30"/>
      <c r="AC1349" s="594" t="b">
        <f>AND(AC1341,Y1349&lt;&gt;EUconst_NA)</f>
        <v>0</v>
      </c>
      <c r="AD1349" s="30"/>
      <c r="AE1349" s="595"/>
      <c r="AF1349" s="596"/>
      <c r="AG1349" s="597"/>
      <c r="AH1349" s="598"/>
      <c r="AI1349" s="598"/>
      <c r="AJ1349" s="598"/>
      <c r="AK1349" s="599"/>
      <c r="AL1349" s="333"/>
      <c r="AM1349" s="600" t="str">
        <f>EUconst_CNTR_BiomassContent&amp;EUconst_Value</f>
        <v>BioC_Vertė</v>
      </c>
      <c r="AN1349" s="596"/>
      <c r="AO1349" s="601" t="str">
        <f>IF(AC1349=TRUE,IF(COUNTIF(MSPara_SourceStreamCategory,V1349)=0,"",INDEX(MSPara_CalcFactorsMatrix,MATCH(V1349,MSPara_SourceStreamCategory,0),MATCH(AM1349&amp;"_"&amp;2,MSPara_CalcFactors,0))),"")</f>
        <v/>
      </c>
      <c r="AP1349" s="598"/>
      <c r="AQ1349" s="602" t="str">
        <f>IF(OR(AA1349="",AO1349=EUconst_NA),"",AO1349)</f>
        <v/>
      </c>
      <c r="AR1349" s="594">
        <f>IF(AC1349=TRUE,IF(COUNT(K1349:L1349)=0,0,IF(L1349="",K1349,L1349)),0)</f>
        <v>0</v>
      </c>
      <c r="AS1349" s="603" t="b">
        <f>AND(AC1349=TRUE,OR(AND(F1349&lt;&gt;"",NOT(ISNUMBER(AA1349))),L1349&lt;&gt;"",F1349="",AQ1349=""))</f>
        <v>0</v>
      </c>
      <c r="AT1349" s="603" t="b">
        <f t="shared" si="331"/>
        <v>0</v>
      </c>
      <c r="AU1349" s="30"/>
      <c r="AV1349" s="604" t="b">
        <f t="shared" si="332"/>
        <v>0</v>
      </c>
      <c r="AW1349" s="605" t="b">
        <f t="shared" si="333"/>
        <v>0</v>
      </c>
      <c r="AX1349" s="30"/>
      <c r="AY1349" s="570" t="b">
        <f t="shared" si="334"/>
        <v>0</v>
      </c>
      <c r="AZ1349" s="571" t="b">
        <f>OR(AR1348&gt;100%,(AR1348+AR1349)&gt;100%)</f>
        <v>0</v>
      </c>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571" t="b">
        <f>OR(BZ1341,Y1349=EUconst_NA)</f>
        <v>1</v>
      </c>
    </row>
    <row r="1350" spans="1:78" s="140" customFormat="1" ht="5.0999999999999996" customHeight="1" x14ac:dyDescent="0.2">
      <c r="A1350" s="777"/>
      <c r="B1350" s="1248"/>
      <c r="C1350" s="164"/>
      <c r="D1350" s="178"/>
      <c r="O1350" s="1305"/>
      <c r="P1350" s="33"/>
      <c r="Q1350" s="33"/>
      <c r="R1350" s="33"/>
      <c r="S1350" s="172"/>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row>
    <row r="1351" spans="1:78" s="140" customFormat="1" ht="12.75" customHeight="1" x14ac:dyDescent="0.2">
      <c r="A1351" s="777"/>
      <c r="B1351" s="1248"/>
      <c r="C1351" s="164"/>
      <c r="D1351" s="1629" t="str">
        <f>Translations!$B$674</f>
        <v>Pakopos galioja nuo:</v>
      </c>
      <c r="E1351" s="1629"/>
      <c r="F1351" s="1630"/>
      <c r="G1351" s="1014"/>
      <c r="H1351" s="606" t="str">
        <f>Translations!$B$675</f>
        <v>iki:</v>
      </c>
      <c r="I1351" s="1014"/>
      <c r="J1351" s="1620" t="str">
        <f>Translations!$B$676</f>
        <v>Atliekų katalogo numeris (jeigu taikytina):</v>
      </c>
      <c r="K1351" s="1621"/>
      <c r="L1351" s="1621"/>
      <c r="M1351" s="1622"/>
      <c r="N1351" s="1232"/>
      <c r="O1351" s="1305"/>
      <c r="P1351" s="33"/>
      <c r="Q1351" s="33"/>
      <c r="R1351" s="33"/>
      <c r="S1351" s="1233"/>
      <c r="T1351" s="483"/>
      <c r="U1351" s="483"/>
      <c r="V1351" s="48" t="b">
        <f>IF(V1341="",FALSE,INDEX(CNTR_IsWaste,MATCH(V1341,MSParameters!$A$218:$A$376,0)))</f>
        <v>0</v>
      </c>
      <c r="W1351" s="1233" t="s">
        <v>1689</v>
      </c>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2" t="b">
        <f>BZ1341</f>
        <v>1</v>
      </c>
    </row>
    <row r="1352" spans="1:78" s="140" customFormat="1" ht="5.0999999999999996" customHeight="1" x14ac:dyDescent="0.2">
      <c r="A1352" s="777"/>
      <c r="B1352" s="1248"/>
      <c r="C1352" s="164"/>
      <c r="D1352" s="606"/>
      <c r="E1352" s="486"/>
      <c r="F1352" s="486"/>
      <c r="G1352" s="486"/>
      <c r="H1352" s="486"/>
      <c r="I1352" s="486"/>
      <c r="J1352" s="486"/>
      <c r="K1352" s="486"/>
      <c r="L1352" s="486"/>
      <c r="M1352" s="486"/>
      <c r="N1352" s="486"/>
      <c r="O1352" s="1305"/>
      <c r="P1352" s="33"/>
      <c r="Q1352" s="33"/>
      <c r="R1352" s="33"/>
      <c r="S1352" s="172"/>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row>
    <row r="1353" spans="1:78" s="140" customFormat="1" ht="12.75" customHeight="1" x14ac:dyDescent="0.2">
      <c r="A1353" s="777"/>
      <c r="B1353" s="1248"/>
      <c r="C1353" s="164"/>
      <c r="D1353" s="486"/>
      <c r="E1353" s="486"/>
      <c r="F1353" s="486"/>
      <c r="G1353" s="486"/>
      <c r="H1353" s="486"/>
      <c r="I1353" s="486"/>
      <c r="J1353" s="486"/>
      <c r="K1353" s="486"/>
      <c r="L1353" s="486"/>
      <c r="M1353" s="606" t="str">
        <f>Translations!$B$677</f>
        <v>Stebėsenos plane šiam sukėlikliui suteiktas identifikatorius:</v>
      </c>
      <c r="N1353" s="705"/>
      <c r="O1353" s="1305"/>
      <c r="P1353" s="33"/>
      <c r="Q1353" s="33"/>
      <c r="R1353" s="33"/>
      <c r="S1353" s="172"/>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2" t="b">
        <f>BZ1351</f>
        <v>1</v>
      </c>
    </row>
    <row r="1354" spans="1:78" s="140" customFormat="1" ht="5.0999999999999996" customHeight="1" x14ac:dyDescent="0.2">
      <c r="A1354" s="784"/>
      <c r="B1354" s="1316"/>
      <c r="D1354" s="178"/>
      <c r="O1354" s="1317"/>
      <c r="P1354" s="488"/>
      <c r="Q1354" s="488"/>
      <c r="R1354" s="488"/>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row>
    <row r="1355" spans="1:78" s="140" customFormat="1" x14ac:dyDescent="0.2">
      <c r="A1355" s="784"/>
      <c r="B1355" s="1316"/>
      <c r="D1355" s="1618" t="str">
        <f>Translations!$B$160</f>
        <v>Pastabos:</v>
      </c>
      <c r="E1355" s="1619"/>
      <c r="F1355" s="1605"/>
      <c r="G1355" s="1606"/>
      <c r="H1355" s="1606"/>
      <c r="I1355" s="1606"/>
      <c r="J1355" s="1606"/>
      <c r="K1355" s="1606"/>
      <c r="L1355" s="1606"/>
      <c r="M1355" s="1606"/>
      <c r="N1355" s="1607"/>
      <c r="O1355" s="1317"/>
      <c r="P1355" s="488"/>
      <c r="Q1355" s="488"/>
      <c r="R1355" s="488"/>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2" t="b">
        <f>BZ1351</f>
        <v>1</v>
      </c>
    </row>
    <row r="1356" spans="1:78" s="28" customFormat="1" ht="12.75" customHeight="1" thickBot="1" x14ac:dyDescent="0.25">
      <c r="A1356" s="777"/>
      <c r="B1356" s="1312"/>
      <c r="C1356" s="490"/>
      <c r="D1356" s="491"/>
      <c r="E1356" s="492"/>
      <c r="F1356" s="490"/>
      <c r="G1356" s="493"/>
      <c r="H1356" s="493"/>
      <c r="I1356" s="493"/>
      <c r="J1356" s="493"/>
      <c r="K1356" s="493"/>
      <c r="L1356" s="493"/>
      <c r="M1356" s="493"/>
      <c r="N1356" s="493"/>
      <c r="O1356" s="1313"/>
      <c r="P1356" s="485"/>
      <c r="Q1356" s="485"/>
      <c r="R1356" s="485"/>
      <c r="S1356" s="58"/>
      <c r="T1356" s="58"/>
      <c r="U1356" s="489"/>
      <c r="V1356" s="58"/>
      <c r="W1356" s="58"/>
      <c r="X1356" s="489"/>
      <c r="Y1356" s="58"/>
      <c r="Z1356" s="58"/>
      <c r="AA1356" s="58"/>
      <c r="AB1356" s="58"/>
      <c r="AC1356" s="58"/>
      <c r="AD1356" s="58"/>
      <c r="AE1356" s="58"/>
      <c r="AF1356" s="58"/>
      <c r="AG1356" s="58"/>
      <c r="AH1356" s="58"/>
      <c r="AI1356" s="58"/>
      <c r="AJ1356" s="58"/>
      <c r="AK1356" s="58"/>
      <c r="AL1356" s="58"/>
      <c r="AM1356" s="58"/>
      <c r="AN1356" s="58"/>
      <c r="AO1356" s="58"/>
      <c r="AP1356" s="58"/>
      <c r="AQ1356" s="58"/>
      <c r="AR1356" s="58"/>
      <c r="AS1356" s="58"/>
      <c r="AT1356" s="58"/>
      <c r="AU1356" s="58"/>
      <c r="AV1356" s="58"/>
      <c r="AW1356" s="58"/>
      <c r="AX1356" s="58"/>
      <c r="AY1356" s="58"/>
      <c r="AZ1356" s="58"/>
      <c r="BA1356" s="58"/>
      <c r="BB1356" s="58"/>
      <c r="BC1356" s="58"/>
      <c r="BD1356" s="58"/>
      <c r="BE1356" s="58"/>
      <c r="BF1356" s="58"/>
      <c r="BG1356" s="58"/>
      <c r="BH1356" s="58"/>
      <c r="BI1356" s="30"/>
      <c r="BJ1356" s="30"/>
      <c r="BK1356" s="30"/>
      <c r="BL1356" s="58"/>
      <c r="BM1356" s="58"/>
      <c r="BN1356" s="58"/>
      <c r="BO1356" s="58"/>
      <c r="BP1356" s="58"/>
      <c r="BQ1356" s="58"/>
      <c r="BR1356" s="58"/>
      <c r="BS1356" s="58"/>
      <c r="BT1356" s="58"/>
      <c r="BU1356" s="58"/>
      <c r="BV1356" s="58"/>
      <c r="BW1356" s="58"/>
      <c r="BX1356" s="58"/>
      <c r="BY1356" s="58"/>
      <c r="BZ1356" s="58"/>
    </row>
    <row r="1357" spans="1:78" s="28" customFormat="1" ht="12.75" customHeight="1" thickBot="1" x14ac:dyDescent="0.25">
      <c r="A1357" s="782"/>
      <c r="B1357" s="1312"/>
      <c r="C1357" s="486"/>
      <c r="D1357" s="178"/>
      <c r="E1357" s="487"/>
      <c r="F1357" s="486"/>
      <c r="G1357" s="478"/>
      <c r="H1357" s="478"/>
      <c r="I1357" s="478"/>
      <c r="J1357" s="478"/>
      <c r="K1357" s="486"/>
      <c r="L1357" s="478"/>
      <c r="M1357" s="478"/>
      <c r="N1357" s="478"/>
      <c r="O1357" s="1313"/>
      <c r="P1357" s="485"/>
      <c r="Q1357" s="485"/>
      <c r="R1357" s="485"/>
      <c r="S1357" s="23"/>
      <c r="T1357" s="27" t="str">
        <f>IF(ISBLANK(E1358),"",MATCH(E1358,CNTR_SourceStreamNames,0))</f>
        <v/>
      </c>
      <c r="U1357" s="609" t="str">
        <f>IF(ISBLANK(E1358),"",INDEX(B_InstallationDescription!$D$71:$D$145,MATCH(E1358,CNTR_SourceStreamNames,0)))</f>
        <v/>
      </c>
      <c r="V1357" s="76"/>
      <c r="W1357" s="56"/>
      <c r="X1357" s="56"/>
      <c r="Y1357" s="56"/>
      <c r="Z1357" s="58"/>
      <c r="AA1357" s="58"/>
      <c r="AB1357" s="58"/>
      <c r="AC1357" s="58"/>
      <c r="AD1357" s="58"/>
      <c r="AE1357" s="58"/>
      <c r="AF1357" s="58"/>
      <c r="AG1357" s="58"/>
      <c r="AH1357" s="58"/>
      <c r="AI1357" s="58"/>
      <c r="AJ1357" s="58"/>
      <c r="AK1357" s="482"/>
      <c r="AL1357" s="58"/>
      <c r="AM1357" s="58"/>
      <c r="AN1357" s="58"/>
      <c r="AO1357" s="58"/>
      <c r="AP1357" s="58"/>
      <c r="AQ1357" s="58"/>
      <c r="AR1357" s="58"/>
      <c r="AS1357" s="58"/>
      <c r="AT1357" s="58"/>
      <c r="AU1357" s="58"/>
      <c r="AV1357" s="58"/>
      <c r="AW1357" s="58"/>
      <c r="AX1357" s="58"/>
      <c r="AY1357" s="58"/>
      <c r="AZ1357" s="58"/>
      <c r="BA1357" s="58"/>
      <c r="BB1357" s="58"/>
      <c r="BC1357" s="58"/>
      <c r="BD1357" s="58"/>
      <c r="BE1357" s="58"/>
      <c r="BF1357" s="58"/>
      <c r="BG1357" s="58"/>
      <c r="BH1357" s="56"/>
      <c r="BI1357" s="56"/>
      <c r="BJ1357" s="56"/>
      <c r="BK1357" s="56"/>
      <c r="BL1357" s="56"/>
      <c r="BM1357" s="56"/>
      <c r="BN1357" s="56"/>
      <c r="BO1357" s="56"/>
      <c r="BP1357" s="56"/>
      <c r="BQ1357" s="56"/>
      <c r="BR1357" s="56"/>
      <c r="BS1357" s="56"/>
      <c r="BT1357" s="56"/>
      <c r="BU1357" s="56"/>
      <c r="BV1357" s="56"/>
      <c r="BW1357" s="56"/>
      <c r="BX1357" s="56"/>
      <c r="BY1357" s="56"/>
      <c r="BZ1357" s="484" t="s">
        <v>259</v>
      </c>
    </row>
    <row r="1358" spans="1:78" s="140" customFormat="1" ht="15" customHeight="1" thickBot="1" x14ac:dyDescent="0.25">
      <c r="A1358" s="1302" t="str">
        <f>IF(E1358="","","PRINT")</f>
        <v/>
      </c>
      <c r="B1358" s="1248"/>
      <c r="C1358" s="608">
        <f>C1331+1</f>
        <v>49</v>
      </c>
      <c r="D1358" s="164"/>
      <c r="E1358" s="1610"/>
      <c r="F1358" s="1611"/>
      <c r="G1358" s="1611"/>
      <c r="H1358" s="1611"/>
      <c r="I1358" s="1611"/>
      <c r="J1358" s="1612"/>
      <c r="K1358" s="1623" t="str">
        <f>IF(E1359="","",INDEX(EUwideConstants!$F$353:$F$394,MATCH(E1359,EUConst_TierActivityListNames,0)))</f>
        <v/>
      </c>
      <c r="L1358" s="1624"/>
      <c r="M1358" s="494" t="str">
        <f>Translations!$B$665</f>
        <v>CO2, iškastinio kuro kilmės:</v>
      </c>
      <c r="N1358" s="1012" t="str">
        <f>IF(OR(K1358="",T1359=TRUE),"",INDEX(BC1372:BE1372,MATCH(K1358,BC1368:BE1368,0)))</f>
        <v/>
      </c>
      <c r="O1358" s="1314" t="s">
        <v>257</v>
      </c>
      <c r="P1358" s="1303" t="str">
        <f>IF(AND(E1358&lt;&gt;"",COUNTIF(P1359:$P$2089,"PRINT")=0),"PRINT","")</f>
        <v/>
      </c>
      <c r="Q1358" s="343" t="str">
        <f>EUconst_SumCO2 &amp; "_" &amp; K1358</f>
        <v>SUM_CO2_</v>
      </c>
      <c r="R1358" s="485"/>
      <c r="S1358" s="23"/>
      <c r="T1358" s="500" t="s">
        <v>387</v>
      </c>
      <c r="U1358" s="23"/>
      <c r="V1358" s="76"/>
      <c r="W1358" s="56"/>
      <c r="X1358" s="58"/>
      <c r="Y1358" s="58"/>
      <c r="Z1358" s="58"/>
      <c r="AA1358" s="58"/>
      <c r="AB1358" s="58"/>
      <c r="AC1358" s="58"/>
      <c r="AD1358" s="58"/>
      <c r="AE1358" s="58"/>
      <c r="AF1358" s="58"/>
      <c r="AG1358" s="58"/>
      <c r="AH1358" s="58"/>
      <c r="AI1358" s="333"/>
      <c r="AJ1358" s="333"/>
      <c r="AK1358" s="333"/>
      <c r="AL1358" s="333"/>
      <c r="AM1358" s="333"/>
      <c r="AN1358" s="333"/>
      <c r="AO1358" s="333"/>
      <c r="AP1358" s="333"/>
      <c r="AQ1358" s="333"/>
      <c r="AR1358" s="333"/>
      <c r="AS1358" s="333"/>
      <c r="AT1358" s="333"/>
      <c r="AU1358" s="333"/>
      <c r="AV1358" s="333"/>
      <c r="AW1358" s="333"/>
      <c r="AX1358" s="333"/>
      <c r="AY1358" s="333"/>
      <c r="AZ1358" s="333"/>
      <c r="BA1358" s="333"/>
      <c r="BB1358" s="333"/>
      <c r="BC1358" s="333"/>
      <c r="BD1358" s="333"/>
      <c r="BE1358" s="333"/>
      <c r="BF1358" s="333"/>
      <c r="BG1358" s="333"/>
      <c r="BH1358" s="834">
        <f>AR1368</f>
        <v>0</v>
      </c>
      <c r="BI1358" s="834" t="str">
        <f>AJ1368</f>
        <v/>
      </c>
      <c r="BJ1358" s="834">
        <f>AR1370</f>
        <v>0</v>
      </c>
      <c r="BK1358" s="834" t="str">
        <f>AJ1370</f>
        <v/>
      </c>
      <c r="BL1358" s="834">
        <f>AR1371</f>
        <v>0</v>
      </c>
      <c r="BM1358" s="834" t="str">
        <f>AJ1371</f>
        <v/>
      </c>
      <c r="BN1358" s="834">
        <f>AR1372</f>
        <v>1</v>
      </c>
      <c r="BO1358" s="834">
        <f>AR1373</f>
        <v>1</v>
      </c>
      <c r="BP1358" s="834">
        <f>AR1374</f>
        <v>0</v>
      </c>
      <c r="BQ1358" s="834" t="str">
        <f>AJ1374</f>
        <v/>
      </c>
      <c r="BR1358" s="834">
        <f>AR1375</f>
        <v>0</v>
      </c>
      <c r="BS1358" s="834">
        <f>AR1376</f>
        <v>0</v>
      </c>
      <c r="BT1358" s="834" t="str">
        <f>N1358</f>
        <v/>
      </c>
      <c r="BU1358" s="834" t="str">
        <f>N1359</f>
        <v/>
      </c>
      <c r="BV1358" s="834" t="str">
        <f>R1361</f>
        <v/>
      </c>
      <c r="BW1358" s="834" t="str">
        <f>R1367</f>
        <v/>
      </c>
      <c r="BX1358" s="834" t="str">
        <f>R1368</f>
        <v/>
      </c>
      <c r="BY1358" s="56"/>
      <c r="BZ1358" s="610" t="b">
        <f>CNTR_CalcRelevant=EUconst_NotRelevant</f>
        <v>0</v>
      </c>
    </row>
    <row r="1359" spans="1:78" s="140" customFormat="1" ht="15" customHeight="1" thickBot="1" x14ac:dyDescent="0.25">
      <c r="A1359" s="777"/>
      <c r="B1359" s="1248"/>
      <c r="C1359" s="164"/>
      <c r="D1359" s="164"/>
      <c r="E1359" s="1625" t="str">
        <f>IF(ISBLANK(E1358),"",IF(INDEX(B_InstallationDescription!$E$71:$E$145,MATCH(U1357,B_InstallationDescription!$D$71:$D$145,0))&gt;0,INDEX(B_InstallationDescription!$E$71:$E$145,MATCH(U1357,B_InstallationDescription!$D$71:$D$145,0)),""))</f>
        <v/>
      </c>
      <c r="F1359" s="1626"/>
      <c r="G1359" s="1626"/>
      <c r="H1359" s="1626"/>
      <c r="I1359" s="1626"/>
      <c r="J1359" s="1627"/>
      <c r="M1359" s="337" t="str">
        <f>Translations!$B$666</f>
        <v>CO2, biomasės kilmės.:</v>
      </c>
      <c r="N1359" s="1013" t="str">
        <f>IF(OR(K1358="",T1359=TRUE),"",INDEX(BC1371:BE1371,MATCH(K1358,BC1368:BE1368,0)))</f>
        <v/>
      </c>
      <c r="O1359" s="1315" t="s">
        <v>257</v>
      </c>
      <c r="P1359" s="485"/>
      <c r="Q1359" s="343" t="str">
        <f>EUconst_SumBioCO2 &amp; "_" &amp; K1358</f>
        <v>SUM_bioCO2_</v>
      </c>
      <c r="R1359" s="485"/>
      <c r="S1359" s="23"/>
      <c r="T1359" s="48" t="str">
        <f>IF(E1359="","",MATCH(E1359,EUConst_TierActivityListNames,0)&gt;40)</f>
        <v/>
      </c>
      <c r="U1359" s="23"/>
      <c r="V1359" s="76"/>
      <c r="W1359" s="56"/>
      <c r="X1359" s="58"/>
      <c r="Y1359" s="27" t="s">
        <v>91</v>
      </c>
      <c r="Z1359" s="30"/>
      <c r="AA1359" s="30"/>
      <c r="AB1359" s="30"/>
      <c r="AC1359" s="30"/>
      <c r="AD1359" s="30"/>
      <c r="AE1359" s="27" t="s">
        <v>297</v>
      </c>
      <c r="AF1359" s="58"/>
      <c r="AG1359" s="495"/>
      <c r="AH1359" s="30"/>
      <c r="AI1359" s="30"/>
      <c r="AJ1359" s="495"/>
      <c r="AK1359" s="495"/>
      <c r="AL1359" s="333"/>
      <c r="AM1359" s="27" t="s">
        <v>303</v>
      </c>
      <c r="AN1359" s="496"/>
      <c r="AO1359" s="496"/>
      <c r="AP1359" s="30"/>
      <c r="AQ1359" s="30"/>
      <c r="AR1359" s="30"/>
      <c r="AS1359" s="30"/>
      <c r="AT1359" s="30"/>
      <c r="AU1359" s="30"/>
      <c r="AV1359" s="27" t="s">
        <v>310</v>
      </c>
      <c r="AW1359" s="30"/>
      <c r="AX1359" s="483"/>
      <c r="AY1359" s="30"/>
      <c r="AZ1359" s="30"/>
      <c r="BA1359" s="30"/>
      <c r="BB1359" s="27" t="s">
        <v>217</v>
      </c>
      <c r="BC1359" s="30"/>
      <c r="BD1359" s="30"/>
      <c r="BE1359" s="30"/>
      <c r="BF1359" s="30"/>
      <c r="BG1359" s="27" t="s">
        <v>486</v>
      </c>
      <c r="BH1359" s="833" t="s">
        <v>552</v>
      </c>
      <c r="BI1359" s="833" t="s">
        <v>487</v>
      </c>
      <c r="BJ1359" s="833" t="s">
        <v>211</v>
      </c>
      <c r="BK1359" s="833" t="s">
        <v>488</v>
      </c>
      <c r="BL1359" s="833" t="s">
        <v>68</v>
      </c>
      <c r="BM1359" s="833" t="s">
        <v>489</v>
      </c>
      <c r="BN1359" s="833" t="s">
        <v>490</v>
      </c>
      <c r="BO1359" s="833" t="s">
        <v>491</v>
      </c>
      <c r="BP1359" s="833" t="s">
        <v>214</v>
      </c>
      <c r="BQ1359" s="833" t="s">
        <v>492</v>
      </c>
      <c r="BR1359" s="833" t="s">
        <v>493</v>
      </c>
      <c r="BS1359" s="833" t="s">
        <v>494</v>
      </c>
      <c r="BT1359" s="833" t="s">
        <v>287</v>
      </c>
      <c r="BU1359" s="833" t="s">
        <v>495</v>
      </c>
      <c r="BV1359" s="833" t="s">
        <v>498</v>
      </c>
      <c r="BW1359" s="833" t="s">
        <v>496</v>
      </c>
      <c r="BX1359" s="833" t="s">
        <v>497</v>
      </c>
      <c r="BY1359" s="30"/>
      <c r="BZ1359" s="30"/>
    </row>
    <row r="1360" spans="1:78" s="140" customFormat="1" ht="5.0999999999999996" customHeight="1" thickBot="1" x14ac:dyDescent="0.25">
      <c r="A1360" s="777"/>
      <c r="B1360" s="1248"/>
      <c r="C1360" s="164"/>
      <c r="D1360" s="164"/>
      <c r="E1360" s="164"/>
      <c r="F1360" s="164"/>
      <c r="G1360" s="164"/>
      <c r="M1360" s="141"/>
      <c r="N1360" s="141"/>
      <c r="O1360" s="1305"/>
      <c r="P1360" s="33"/>
      <c r="Q1360" s="33"/>
      <c r="R1360" s="33"/>
      <c r="S1360" s="23"/>
      <c r="T1360" s="23"/>
      <c r="U1360" s="23"/>
      <c r="V1360" s="76"/>
      <c r="W1360" s="30"/>
      <c r="X1360" s="30"/>
      <c r="Y1360" s="485"/>
      <c r="Z1360" s="30"/>
      <c r="AA1360" s="30"/>
      <c r="AB1360" s="30"/>
      <c r="AC1360" s="30"/>
      <c r="AD1360" s="30"/>
      <c r="AE1360" s="30"/>
      <c r="AF1360" s="58"/>
      <c r="AG1360" s="30"/>
      <c r="AH1360" s="30"/>
      <c r="AI1360" s="30"/>
      <c r="AJ1360" s="495"/>
      <c r="AK1360" s="495"/>
      <c r="AL1360" s="333"/>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row>
    <row r="1361" spans="1:78" s="140" customFormat="1" ht="12.75" customHeight="1" thickBot="1" x14ac:dyDescent="0.25">
      <c r="A1361" s="777"/>
      <c r="B1361" s="1248"/>
      <c r="C1361" s="164"/>
      <c r="D1361" s="164"/>
      <c r="E1361" s="1628" t="str">
        <f>IF(E1358="","",IF(T1359=TRUE,HYPERLINK("#JUMP_14",EUconst_MsgGoOnPFC),HYPERLINK("#JUMP_E_8",EUconst_FurtherGuidancePoint1)))</f>
        <v/>
      </c>
      <c r="F1361" s="1628"/>
      <c r="G1361" s="1628"/>
      <c r="H1361" s="1628"/>
      <c r="I1361" s="1628"/>
      <c r="J1361" s="1628"/>
      <c r="K1361" s="1628"/>
      <c r="L1361" s="1628"/>
      <c r="M1361" s="1628"/>
      <c r="N1361" s="141"/>
      <c r="O1361" s="1305"/>
      <c r="P1361" s="33"/>
      <c r="Q1361" s="343" t="str">
        <f>EUconst_SumNonSustBioCO2 &amp; "_" &amp; K1358</f>
        <v>SUM_bioNonSustCO2_</v>
      </c>
      <c r="R1361" s="698" t="str">
        <f>IF(OR(K1358="",T1359=TRUE),"",ROUND(INDEX(BC1370:BE1370,MATCH(K1358,BC1368:BE1368,0)),0))</f>
        <v/>
      </c>
      <c r="S1361" s="23"/>
      <c r="T1361" s="23"/>
      <c r="U1361" s="23"/>
      <c r="V1361" s="30"/>
      <c r="W1361" s="30"/>
      <c r="X1361" s="30"/>
      <c r="Y1361" s="58"/>
      <c r="Z1361" s="30"/>
      <c r="AA1361" s="30"/>
      <c r="AB1361" s="30"/>
      <c r="AC1361" s="30"/>
      <c r="AD1361" s="30"/>
      <c r="AE1361" s="30"/>
      <c r="AF1361" s="58"/>
      <c r="AG1361" s="30"/>
      <c r="AH1361" s="30"/>
      <c r="AI1361" s="30"/>
      <c r="AJ1361" s="495"/>
      <c r="AK1361" s="495"/>
      <c r="AL1361" s="333"/>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row>
    <row r="1362" spans="1:78" s="140" customFormat="1" ht="5.0999999999999996" customHeight="1" thickBot="1" x14ac:dyDescent="0.25">
      <c r="A1362" s="777"/>
      <c r="B1362" s="1248"/>
      <c r="C1362" s="164"/>
      <c r="D1362" s="164"/>
      <c r="E1362" s="164"/>
      <c r="F1362" s="164"/>
      <c r="G1362" s="164"/>
      <c r="M1362" s="141"/>
      <c r="N1362" s="141"/>
      <c r="O1362" s="1305"/>
      <c r="P1362" s="23"/>
      <c r="Q1362" s="23"/>
      <c r="R1362" s="23"/>
      <c r="S1362" s="23"/>
      <c r="T1362" s="23"/>
      <c r="U1362" s="23"/>
      <c r="V1362" s="30"/>
      <c r="W1362" s="30"/>
      <c r="X1362" s="30"/>
      <c r="Y1362" s="485"/>
      <c r="Z1362" s="30"/>
      <c r="AA1362" s="30"/>
      <c r="AB1362" s="30"/>
      <c r="AC1362" s="30"/>
      <c r="AD1362" s="30"/>
      <c r="AE1362" s="30"/>
      <c r="AF1362" s="58"/>
      <c r="AG1362" s="30"/>
      <c r="AH1362" s="30"/>
      <c r="AI1362" s="30"/>
      <c r="AJ1362" s="495"/>
      <c r="AK1362" s="495"/>
      <c r="AL1362" s="333"/>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row>
    <row r="1363" spans="1:78" s="140" customFormat="1" ht="12.75" customHeight="1" thickBot="1" x14ac:dyDescent="0.25">
      <c r="A1363" s="777"/>
      <c r="B1363" s="1248"/>
      <c r="C1363" s="783" t="s">
        <v>4</v>
      </c>
      <c r="D1363" s="503" t="str">
        <f>Translations!$B$622</f>
        <v>VD:</v>
      </c>
      <c r="E1363" s="1631" t="str">
        <f>Translations!$B$667</f>
        <v>Ar veiklos duomenys gaunami sudedant išmatuotus kiekius (t. y. ne atliekant nuolatinius matavimus)?</v>
      </c>
      <c r="F1363" s="1631"/>
      <c r="G1363" s="1631"/>
      <c r="H1363" s="1631"/>
      <c r="I1363" s="1631"/>
      <c r="J1363" s="1631"/>
      <c r="K1363" s="1631"/>
      <c r="L1363" s="1122"/>
      <c r="M1363" s="498"/>
      <c r="O1363" s="1305"/>
      <c r="P1363" s="23"/>
      <c r="Q1363" s="23"/>
      <c r="R1363" s="23"/>
      <c r="S1363" s="23"/>
      <c r="T1363" s="23"/>
      <c r="U1363" s="23"/>
      <c r="V1363" s="30"/>
      <c r="W1363" s="30"/>
      <c r="X1363" s="30"/>
      <c r="Y1363" s="485"/>
      <c r="Z1363" s="30"/>
      <c r="AA1363" s="30"/>
      <c r="AB1363" s="30"/>
      <c r="AC1363" s="1115" t="b">
        <f>AND(E1358&lt;&gt;"",T1359&lt;&gt;TRUE)</f>
        <v>0</v>
      </c>
      <c r="AD1363" s="30"/>
      <c r="AE1363" s="30"/>
      <c r="AF1363" s="58"/>
      <c r="AG1363" s="30"/>
      <c r="AH1363" s="30"/>
      <c r="AI1363" s="30"/>
      <c r="AJ1363" s="495"/>
      <c r="AK1363" s="495"/>
      <c r="AL1363" s="333"/>
      <c r="AM1363" s="30"/>
      <c r="AN1363" s="30"/>
      <c r="AO1363" s="30"/>
      <c r="AP1363" s="30"/>
      <c r="AQ1363" s="30"/>
      <c r="AR1363" s="30"/>
      <c r="AS1363" s="30"/>
      <c r="AT1363" s="1115" t="b">
        <f>MSPara_BatchReportingMandatory&lt;&gt;TRUE</f>
        <v>0</v>
      </c>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1115" t="b">
        <f>OR(CNTR_CalcRelevant=EUconst_NotRelevant,AND(COUNTA(CNTR_ListRelevantSections)&gt;0,OR(T1359=TRUE,E1358="")))</f>
        <v>1</v>
      </c>
    </row>
    <row r="1364" spans="1:78" s="140" customFormat="1" ht="5.0999999999999996" customHeight="1" thickBot="1" x14ac:dyDescent="0.25">
      <c r="A1364" s="777"/>
      <c r="B1364" s="1248"/>
      <c r="C1364" s="164"/>
      <c r="D1364" s="164"/>
      <c r="E1364" s="164"/>
      <c r="F1364" s="164"/>
      <c r="G1364" s="164"/>
      <c r="H1364" s="486"/>
      <c r="I1364" s="486"/>
      <c r="J1364" s="486"/>
      <c r="K1364" s="486"/>
      <c r="L1364" s="486"/>
      <c r="M1364" s="498"/>
      <c r="O1364" s="1305"/>
      <c r="P1364" s="23"/>
      <c r="Q1364" s="23"/>
      <c r="R1364" s="23"/>
      <c r="S1364" s="23"/>
      <c r="T1364" s="23"/>
      <c r="U1364" s="23"/>
      <c r="V1364" s="30"/>
      <c r="W1364" s="30"/>
      <c r="X1364" s="30"/>
      <c r="Y1364" s="485"/>
      <c r="Z1364" s="30"/>
      <c r="AA1364" s="30"/>
      <c r="AB1364" s="30"/>
      <c r="AC1364" s="483"/>
      <c r="AD1364" s="30"/>
      <c r="AE1364" s="30"/>
      <c r="AF1364" s="58"/>
      <c r="AG1364" s="30"/>
      <c r="AH1364" s="30"/>
      <c r="AI1364" s="30"/>
      <c r="AJ1364" s="495"/>
      <c r="AK1364" s="495"/>
      <c r="AL1364" s="333"/>
      <c r="AM1364" s="30"/>
      <c r="AN1364" s="30"/>
      <c r="AO1364" s="30"/>
      <c r="AP1364" s="30"/>
      <c r="AQ1364" s="30"/>
      <c r="AR1364" s="30"/>
      <c r="AS1364" s="30"/>
      <c r="AT1364" s="483"/>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483"/>
    </row>
    <row r="1365" spans="1:78" s="140" customFormat="1" ht="12.75" customHeight="1" thickBot="1" x14ac:dyDescent="0.25">
      <c r="A1365" s="777"/>
      <c r="B1365" s="1248"/>
      <c r="C1365" s="783" t="s">
        <v>5</v>
      </c>
      <c r="D1365" s="503" t="str">
        <f>Translations!$B$622</f>
        <v>VD:</v>
      </c>
      <c r="E1365" s="1105" t="str">
        <f>Translations!$B$668</f>
        <v>Pradinis kiekis:</v>
      </c>
      <c r="F1365" s="1123"/>
      <c r="G1365" s="1106" t="str">
        <f>Translations!$B$669</f>
        <v>Galutinis kiekis:</v>
      </c>
      <c r="H1365" s="1123"/>
      <c r="I1365" s="1106" t="str">
        <f>Translations!$B$670</f>
        <v>Įsigytas kiekis:</v>
      </c>
      <c r="J1365" s="1123"/>
      <c r="K1365" s="1106" t="str">
        <f>Translations!$B$671</f>
        <v>Perduotas kiekis:</v>
      </c>
      <c r="L1365" s="1123"/>
      <c r="M1365" s="1107" t="str">
        <f>IF(AND(L1363=TRUE,COUNT(F1365,H1365,J1365,L1365)&lt;4),EUconst_ERR_Incomplete,"")</f>
        <v/>
      </c>
      <c r="O1365" s="1305"/>
      <c r="P1365" s="23"/>
      <c r="Q1365" s="23"/>
      <c r="R1365" s="23"/>
      <c r="S1365" s="23"/>
      <c r="T1365" s="23"/>
      <c r="U1365" s="23"/>
      <c r="V1365" s="30"/>
      <c r="W1365" s="30"/>
      <c r="X1365" s="30"/>
      <c r="Y1365" s="485"/>
      <c r="Z1365" s="30"/>
      <c r="AA1365" s="30"/>
      <c r="AB1365" s="30"/>
      <c r="AC1365" s="1115" t="b">
        <f>AC1363</f>
        <v>0</v>
      </c>
      <c r="AD1365" s="30"/>
      <c r="AE1365" s="30"/>
      <c r="AF1365" s="58"/>
      <c r="AG1365" s="30"/>
      <c r="AH1365" s="30"/>
      <c r="AI1365" s="30"/>
      <c r="AJ1365" s="495"/>
      <c r="AK1365" s="495"/>
      <c r="AL1365" s="333"/>
      <c r="AM1365" s="30"/>
      <c r="AN1365" s="30"/>
      <c r="AO1365" s="30"/>
      <c r="AP1365" s="30"/>
      <c r="AQ1365" s="30"/>
      <c r="AR1365" s="30"/>
      <c r="AS1365" s="30"/>
      <c r="AT1365" s="1115" t="b">
        <f>AND(AT1363=TRUE,L1363="")</f>
        <v>0</v>
      </c>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1115" t="b">
        <f>OR(BZ1363,AND(NOT(ISBLANK(L1363)),L1363=FALSE))</f>
        <v>1</v>
      </c>
    </row>
    <row r="1366" spans="1:78" s="140" customFormat="1" ht="5.0999999999999996" customHeight="1" thickBot="1" x14ac:dyDescent="0.25">
      <c r="A1366" s="777"/>
      <c r="B1366" s="1248"/>
      <c r="C1366" s="164"/>
      <c r="D1366" s="164"/>
      <c r="E1366" s="164"/>
      <c r="F1366" s="164"/>
      <c r="G1366" s="164"/>
      <c r="M1366" s="141"/>
      <c r="N1366" s="141"/>
      <c r="O1366" s="1305"/>
      <c r="P1366" s="23"/>
      <c r="Q1366" s="23"/>
      <c r="R1366" s="23"/>
      <c r="S1366" s="23"/>
      <c r="T1366" s="23"/>
      <c r="U1366" s="23"/>
      <c r="V1366" s="30"/>
      <c r="W1366" s="30"/>
      <c r="X1366" s="30"/>
      <c r="Y1366" s="485"/>
      <c r="Z1366" s="30"/>
      <c r="AA1366" s="30"/>
      <c r="AB1366" s="30"/>
      <c r="AC1366" s="30"/>
      <c r="AD1366" s="30"/>
      <c r="AE1366" s="30"/>
      <c r="AF1366" s="58"/>
      <c r="AG1366" s="30"/>
      <c r="AH1366" s="30"/>
      <c r="AI1366" s="30"/>
      <c r="AJ1366" s="495"/>
      <c r="AK1366" s="495"/>
      <c r="AL1366" s="333"/>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row>
    <row r="1367" spans="1:78" s="140" customFormat="1" ht="12.75" customHeight="1" thickBot="1" x14ac:dyDescent="0.25">
      <c r="A1367" s="777"/>
      <c r="B1367" s="1248"/>
      <c r="C1367" s="164"/>
      <c r="D1367" s="164"/>
      <c r="E1367" s="164"/>
      <c r="F1367" s="497" t="str">
        <f>Translations!$B$333</f>
        <v>Pakopa</v>
      </c>
      <c r="G1367" s="1613" t="str">
        <f>Translations!$B$672</f>
        <v>pakopos aprašas</v>
      </c>
      <c r="H1367" s="1613"/>
      <c r="I1367" s="1608" t="str">
        <f>Translations!$B$158</f>
        <v>Vienetas</v>
      </c>
      <c r="J1367" s="1608"/>
      <c r="K1367" s="1608" t="str">
        <f>Translations!$B$673</f>
        <v>Vertė</v>
      </c>
      <c r="L1367" s="1608"/>
      <c r="M1367" s="498" t="str">
        <f>Translations!$B$610</f>
        <v>klaida</v>
      </c>
      <c r="O1367" s="1305"/>
      <c r="P1367" s="499"/>
      <c r="Q1367" s="343" t="str">
        <f>EUconst_SumEnergyIN &amp; "_" &amp; K1358</f>
        <v>SUM_EnergyIN_</v>
      </c>
      <c r="R1367" s="390" t="str">
        <f>IF(OR(K1358="",T1359)=TRUE,"",INDEX(BC1373:BE1373,MATCH(K1358,BC1368:BE1368,0)))</f>
        <v/>
      </c>
      <c r="S1367" s="30"/>
      <c r="T1367" s="480"/>
      <c r="U1367" s="30"/>
      <c r="V1367" s="500" t="s">
        <v>298</v>
      </c>
      <c r="W1367" s="30"/>
      <c r="X1367" s="30"/>
      <c r="Y1367" s="485" t="s">
        <v>560</v>
      </c>
      <c r="Z1367" s="485" t="s">
        <v>313</v>
      </c>
      <c r="AA1367" s="30"/>
      <c r="AB1367" s="30"/>
      <c r="AC1367" s="496" t="s">
        <v>304</v>
      </c>
      <c r="AD1367" s="30"/>
      <c r="AE1367" s="30"/>
      <c r="AF1367" s="483" t="s">
        <v>300</v>
      </c>
      <c r="AG1367" s="483" t="s">
        <v>301</v>
      </c>
      <c r="AH1367" s="485" t="s">
        <v>299</v>
      </c>
      <c r="AI1367" s="495" t="s">
        <v>302</v>
      </c>
      <c r="AJ1367" s="495" t="s">
        <v>561</v>
      </c>
      <c r="AK1367" s="501" t="s">
        <v>306</v>
      </c>
      <c r="AL1367" s="333"/>
      <c r="AM1367" s="30"/>
      <c r="AN1367" s="483" t="s">
        <v>300</v>
      </c>
      <c r="AO1367" s="483" t="s">
        <v>301</v>
      </c>
      <c r="AP1367" s="502" t="s">
        <v>305</v>
      </c>
      <c r="AQ1367" s="495" t="s">
        <v>563</v>
      </c>
      <c r="AR1367" s="495" t="s">
        <v>562</v>
      </c>
      <c r="AS1367" s="501" t="s">
        <v>599</v>
      </c>
      <c r="AT1367" s="501" t="s">
        <v>599</v>
      </c>
      <c r="AU1367" s="30"/>
      <c r="AV1367" s="483"/>
      <c r="AW1367" s="483"/>
      <c r="AX1367" s="483" t="s">
        <v>316</v>
      </c>
      <c r="AY1367" s="483"/>
      <c r="AZ1367" s="483"/>
      <c r="BA1367" s="483"/>
      <c r="BB1367" s="483"/>
      <c r="BC1367" s="483"/>
      <c r="BD1367" s="483"/>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484" t="s">
        <v>259</v>
      </c>
    </row>
    <row r="1368" spans="1:78" s="140" customFormat="1" ht="12.75" customHeight="1" thickBot="1" x14ac:dyDescent="0.25">
      <c r="A1368" s="777"/>
      <c r="B1368" s="1248"/>
      <c r="C1368" s="753" t="s">
        <v>194</v>
      </c>
      <c r="D1368" s="503" t="str">
        <f>Translations!$B$622</f>
        <v>VD:</v>
      </c>
      <c r="E1368" s="504"/>
      <c r="F1368" s="393"/>
      <c r="G1368" s="1603" t="str">
        <f>IF(OR(ISBLANK(F1368),F1368=EUconst_NoTier),"",IF(Z1368=0,EUconst_NA,IF(ISERROR(Z1368),"",Z1368)))</f>
        <v/>
      </c>
      <c r="H1368" s="1604"/>
      <c r="I1368" s="1108" t="str">
        <f>IF(J1368&lt;&gt;"","",AI1368)</f>
        <v/>
      </c>
      <c r="J1368" s="1109"/>
      <c r="K1368" s="1116" t="str">
        <f>IF(L1368="",AQ1368,"")</f>
        <v/>
      </c>
      <c r="L1368" s="1199"/>
      <c r="M1368" s="700" t="str">
        <f>IF(AND(E1359&lt;&gt;"",OR(F1368="",COUNT(K1368:L1368)=0),Y1368&lt;&gt;EUconst_NA,T1359&lt;&gt;TRUE),EUconst_ERR_Incomplete,IF(COUNTIF(AX1368:AZ1368,TRUE)&gt;0,EUconst_ERR_Inconsistent,""))</f>
        <v/>
      </c>
      <c r="O1368" s="1305"/>
      <c r="P1368" s="635"/>
      <c r="Q1368" s="343" t="str">
        <f>EUconst_SumBioEnergyIN &amp; "_" &amp; K1358</f>
        <v>SUM_BioEnergyIN_</v>
      </c>
      <c r="R1368" s="390" t="str">
        <f>IF(OR(K1358="",T1359)=TRUE,"",INDEX(BC1374:BE1374,MATCH(K1358,BC1368:BE1368,0)))</f>
        <v/>
      </c>
      <c r="S1368" s="30"/>
      <c r="T1368" s="505" t="str">
        <f>EUconst_CNTR_ActivityData&amp;E1359</f>
        <v>ActivityData_</v>
      </c>
      <c r="U1368" s="488"/>
      <c r="V1368" s="505" t="str">
        <f>IF(E1358="","",INDEX(B_InstallationDescription!$I$71:$I$145,MATCH(U1357,B_InstallationDescription!$D$71:$D$145,0)))</f>
        <v/>
      </c>
      <c r="W1368" s="495" t="s">
        <v>533</v>
      </c>
      <c r="X1368" s="488"/>
      <c r="Y1368" s="506" t="str">
        <f>IF(OR(T1359=TRUE,E1359=""),"",INDEX(EUwideConstants!$N:$N,MATCH(T1368,EUwideConstants!$Q:$Q,0)))</f>
        <v/>
      </c>
      <c r="Z1368" s="507" t="str">
        <f>IF(ISBLANK(F1368),"",IF(F1368=EUconst_NA,"",INDEX(EUwideConstants!$H:$M,MATCH(T1368,EUwideConstants!$Q:$Q,0),MATCH(F1368,CNTR_TierList,0))))</f>
        <v/>
      </c>
      <c r="AA1368" s="508" t="s">
        <v>299</v>
      </c>
      <c r="AB1368" s="495"/>
      <c r="AC1368" s="509" t="b">
        <f>AC1363</f>
        <v>0</v>
      </c>
      <c r="AD1368" s="30"/>
      <c r="AE1368" s="510" t="str">
        <f>EUconst_CNTR_ActivityData&amp;EUconst_Unit</f>
        <v>ActivityData_Vienetas</v>
      </c>
      <c r="AF1368" s="511" t="str">
        <f>IF(AC1368=TRUE, IF(COUNTIF(MSPara_SourceStreamCategory,V1368)=0,"",INDEX(MSPara_CalcFactorsMatrix,MATCH(V1368,MSPara_SourceStreamCategory,0),MATCH(AE1368&amp;"_"&amp;2,MSPara_CalcFactors,0))),"")</f>
        <v/>
      </c>
      <c r="AG1368" s="512" t="str">
        <f>IF(AC1368=TRUE, IF(COUNTIF(MSPara_SourceStreamCategory,V1368)=0,"",INDEX(MSPara_CalcFactorsMatrix,MATCH(V1368,MSPara_SourceStreamCategory,0),MATCH(AE1368&amp;"_"&amp;1,MSPara_CalcFactors,0))),"")</f>
        <v/>
      </c>
      <c r="AH1368" s="509" t="str">
        <f>IF(OR(AF1368="",AF1368=EUconst_NA),IF(OR(AG1368=EUconst_NA,AG1368=""),"",AG1368),AF1368)</f>
        <v/>
      </c>
      <c r="AI1368" s="506" t="str">
        <f>IF(AC1368=TRUE,IF(AH1368="",EUconst_t,AH1368),"")</f>
        <v/>
      </c>
      <c r="AJ1368" s="513" t="str">
        <f>IF(J1368="",AI1368,J1368)</f>
        <v/>
      </c>
      <c r="AK1368" s="514" t="b">
        <f>IF(K1358=EUconst_Fuel,J1368&lt;&gt;"",FALSE)</f>
        <v>0</v>
      </c>
      <c r="AL1368" s="333"/>
      <c r="AM1368" s="505" t="str">
        <f>EUconst_CNTR_ActivityData&amp;EUconst_Value</f>
        <v>ActivityData_Vertė</v>
      </c>
      <c r="AN1368" s="496"/>
      <c r="AO1368" s="496"/>
      <c r="AP1368" s="509" t="b">
        <f>AND(AND(AH1368&lt;&gt;"",AJ1368&lt;&gt;""),AJ1368=AH1368)</f>
        <v>0</v>
      </c>
      <c r="AQ1368" s="610" t="str">
        <f>IF(L1363=TRUE,SUM(F1365)-SUM(H1365)+SUM(J1365)-SUM(L1365),"")</f>
        <v/>
      </c>
      <c r="AR1368" s="509">
        <f>IF(Y1368=EUconst_NA,0,IF(COUNT(K1368:L1368)=0,0,IF(L1368="",K1368,L1368)))</f>
        <v>0</v>
      </c>
      <c r="AS1368" s="1115" t="b">
        <f>AND(AC1368=TRUE,OR(L1368&lt;&gt;"",AQ1368=""))</f>
        <v>0</v>
      </c>
      <c r="AT1368" s="1115" t="b">
        <f>AND(AC1368=TRUE,NOT(AS1368))</f>
        <v>0</v>
      </c>
      <c r="AU1368" s="30"/>
      <c r="AV1368" s="483" t="s">
        <v>309</v>
      </c>
      <c r="AW1368" s="483" t="s">
        <v>314</v>
      </c>
      <c r="AX1368" s="515"/>
      <c r="AY1368" s="30" t="s">
        <v>536</v>
      </c>
      <c r="AZ1368" s="30"/>
      <c r="BA1368" s="30"/>
      <c r="BB1368" s="495"/>
      <c r="BC1368" s="484" t="str">
        <f>EUconst_Fuel</f>
        <v>Degimas</v>
      </c>
      <c r="BD1368" s="484" t="str">
        <f>EUconst_ProcessCarbonate</f>
        <v>Proceso metu išsiskiriančios ŠESD</v>
      </c>
      <c r="BE1368" s="484" t="str">
        <f>EUconst_MassBalance</f>
        <v>Masės balansas</v>
      </c>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515" t="b">
        <f>BZ1363</f>
        <v>1</v>
      </c>
    </row>
    <row r="1369" spans="1:78" s="140" customFormat="1" ht="5.0999999999999996" customHeight="1" thickBot="1" x14ac:dyDescent="0.25">
      <c r="A1369" s="777"/>
      <c r="B1369" s="1248"/>
      <c r="C1369" s="783"/>
      <c r="D1369" s="298"/>
      <c r="F1369" s="141"/>
      <c r="G1369" s="141"/>
      <c r="H1369" s="141" t="s">
        <v>233</v>
      </c>
      <c r="I1369" s="516"/>
      <c r="J1369" s="516"/>
      <c r="K1369" s="141"/>
      <c r="L1369" s="141"/>
      <c r="M1369" s="701"/>
      <c r="O1369" s="1305"/>
      <c r="P1369" s="33"/>
      <c r="Q1369" s="33"/>
      <c r="R1369" s="33"/>
      <c r="S1369" s="30"/>
      <c r="T1369" s="153"/>
      <c r="U1369" s="488"/>
      <c r="V1369" s="30"/>
      <c r="W1369" s="30"/>
      <c r="X1369" s="488"/>
      <c r="Y1369" s="517"/>
      <c r="Z1369" s="30"/>
      <c r="AA1369" s="30"/>
      <c r="AB1369" s="30"/>
      <c r="AC1369" s="30"/>
      <c r="AD1369" s="30"/>
      <c r="AE1369" s="30"/>
      <c r="AF1369" s="30"/>
      <c r="AG1369" s="30"/>
      <c r="AH1369" s="30"/>
      <c r="AI1369" s="30"/>
      <c r="AJ1369" s="30"/>
      <c r="AK1369" s="30"/>
      <c r="AL1369" s="333"/>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484"/>
    </row>
    <row r="1370" spans="1:78" s="140" customFormat="1" ht="12.75" customHeight="1" thickBot="1" x14ac:dyDescent="0.25">
      <c r="A1370" s="777"/>
      <c r="B1370" s="1248"/>
      <c r="C1370" s="783" t="s">
        <v>195</v>
      </c>
      <c r="D1370" s="503" t="str">
        <f>Translations!$B$634</f>
        <v>(prelim.) ITF:</v>
      </c>
      <c r="E1370" s="504"/>
      <c r="F1370" s="518"/>
      <c r="G1370" s="1603" t="str">
        <f t="shared" ref="G1370:G1376" si="336">IF(OR(ISBLANK(F1370),F1370=EUconst_NoTier),"",IF(Z1370=0,EUconst_NotApplicable,IF(ISERROR(Z1370),"",Z1370)))</f>
        <v/>
      </c>
      <c r="H1370" s="1609"/>
      <c r="I1370" s="1110" t="str">
        <f>IF(J1370&lt;&gt;"","",AI1370)</f>
        <v/>
      </c>
      <c r="J1370" s="1111"/>
      <c r="K1370" s="519" t="str">
        <f t="shared" ref="K1370:K1376" si="337">IF(L1370="",AQ1370,"")</f>
        <v/>
      </c>
      <c r="L1370" s="520"/>
      <c r="M1370" s="700" t="str">
        <f>IF(AND(E1359&lt;&gt;"",OR(F1370="",COUNT(K1370:L1370)=0),Y1370&lt;&gt;EUconst_NA,T1359&lt;&gt;TRUE),EUconst_ERR_Incomplete,IF(COUNTIF(AX1370:AZ1370,TRUE)&gt;0,EUconst_ERR_Inconsistent,""))</f>
        <v/>
      </c>
      <c r="N1370" s="486"/>
      <c r="O1370" s="1305"/>
      <c r="P1370" s="33"/>
      <c r="Q1370" s="33"/>
      <c r="R1370" s="33"/>
      <c r="S1370" s="30"/>
      <c r="T1370" s="521" t="str">
        <f>EUconst_CNTR_EF&amp;E1359</f>
        <v>EF_</v>
      </c>
      <c r="U1370" s="488"/>
      <c r="V1370" s="522" t="str">
        <f>V1368</f>
        <v/>
      </c>
      <c r="W1370" s="30"/>
      <c r="X1370" s="488"/>
      <c r="Y1370" s="523" t="str">
        <f>IF(OR(T1359=TRUE,E1359=""),"",IF(F1370=EUconst_NA,EUconst_NA,INDEX(EUwideConstants!$N:$N,MATCH(T1370,EUwideConstants!$Q:$Q,0))))</f>
        <v/>
      </c>
      <c r="Z1370" s="524" t="str">
        <f>IF(ISBLANK(F1370),"",IF(F1370=EUconst_NA,"",INDEX(EUwideConstants!$H:$M,MATCH(T1370,EUwideConstants!$Q:$Q,0),MATCH(F1370,CNTR_TierList,0))))</f>
        <v/>
      </c>
      <c r="AA1370" s="525" t="str">
        <f>IF(COUNTIF(EUconst_DefaultValues,Z1370)&gt;0,MATCH(Z1370,EUconst_DefaultValues,0),"")</f>
        <v/>
      </c>
      <c r="AB1370" s="30"/>
      <c r="AC1370" s="526" t="b">
        <f>AND(AC1368,Y1370&lt;&gt;EUconst_NA)</f>
        <v>0</v>
      </c>
      <c r="AD1370" s="30"/>
      <c r="AE1370" s="510" t="str">
        <f>EUconst_CNTR_EF&amp;EUconst_Unit</f>
        <v>EF_Vienetas</v>
      </c>
      <c r="AF1370" s="527" t="str">
        <f>IF(AC1370=TRUE, IF(COUNTIF(MSPara_SourceStreamCategory,V1370)=0,"",INDEX(MSPara_CalcFactorsMatrix,MATCH(V1370,MSPara_SourceStreamCategory,0),MATCH(AE1370&amp;"_"&amp;2,MSPara_CalcFactors,0))),"")</f>
        <v/>
      </c>
      <c r="AG1370" s="528" t="str">
        <f>IF(AC1370=TRUE, IF(COUNTIF(MSPara_SourceStreamCategory,V1370)=0,"",INDEX(MSPara_CalcFactorsMatrix,MATCH(V1370,MSPara_SourceStreamCategory,0),MATCH(AE1370&amp;"_"&amp;1,MSPara_CalcFactors,0))),"")</f>
        <v/>
      </c>
      <c r="AH1370" s="529" t="str">
        <f>IF(AA1370="","",INDEX(AF1370:AG1370,3-AA1370))</f>
        <v/>
      </c>
      <c r="AI1370" s="530" t="str">
        <f>IF(AC1370=TRUE,IF(OR(AH1370="",AH1370=EUconst_NA),IF(K1358=EUconst_Fuel,EUconst_tCO2pTJ,EUconst_tCO2pt),AH1370),"")</f>
        <v/>
      </c>
      <c r="AJ1370" s="526" t="str">
        <f>IF(J1370="",AI1370,J1370)</f>
        <v/>
      </c>
      <c r="AK1370" s="531" t="b">
        <f>IF(K1358=EUconst_Fuel,J1370&lt;&gt;"",FALSE)</f>
        <v>0</v>
      </c>
      <c r="AL1370" s="333"/>
      <c r="AM1370" s="510" t="str">
        <f>EUconst_CNTR_EF&amp;EUconst_Value</f>
        <v>EF_Vertė</v>
      </c>
      <c r="AN1370" s="532" t="str">
        <f>IF(AC1370=TRUE,IF(COUNTIF(MSPara_SourceStreamCategory,V1370)=0,"",INDEX(MSPara_CalcFactorsMatrix,MATCH(V1370,MSPara_SourceStreamCategory,0),MATCH(AM1370&amp;"_"&amp;2,MSPara_CalcFactors,0))),"")</f>
        <v/>
      </c>
      <c r="AO1370" s="533" t="str">
        <f>IF(AC1370=TRUE,IF(COUNTIF(MSPara_SourceStreamCategory,V1370)=0,"",INDEX(MSPara_CalcFactorsMatrix,MATCH(V1370,MSPara_SourceStreamCategory,0),MATCH(AM1370&amp;"_"&amp;1,MSPara_CalcFactors,0))),"")</f>
        <v/>
      </c>
      <c r="AP1370" s="526" t="b">
        <f>AND(AND(AH1370&lt;&gt;"",AJ1370&lt;&gt;""),AJ1370=AH1370)</f>
        <v>0</v>
      </c>
      <c r="AQ1370" s="534" t="str">
        <f>IF(AND(AA1370&lt;&gt;"",AP1370=TRUE),IF(OR(INDEX(AN1370:AO1370,3-AA1370)=EUconst_NA,INDEX(AN1370:AO1370,3-AA1370)=0),"",INDEX(AN1370:AO1370,3-AA1370)),"")</f>
        <v/>
      </c>
      <c r="AR1370" s="526">
        <f>IF(AC1370=TRUE,IF(COUNT(K1370:L1370)=0,0,IF(L1370="",K1370,L1370)),0)</f>
        <v>0</v>
      </c>
      <c r="AS1370" s="522" t="b">
        <f>AND(AC1370=TRUE,OR(AND(F1370&lt;&gt;"",NOT(ISNUMBER(AA1370))),L1370&lt;&gt;"",F1370="",AQ1370=""))</f>
        <v>0</v>
      </c>
      <c r="AT1370" s="522" t="b">
        <f t="shared" ref="AT1370:AT1376" si="338">AND(AC1370=TRUE,NOT(AS1370))</f>
        <v>0</v>
      </c>
      <c r="AU1370" s="30"/>
      <c r="AV1370" s="535" t="b">
        <f t="shared" ref="AV1370:AV1376" si="339">AND(ISNUMBER(AA1370),AQ1370="")</f>
        <v>0</v>
      </c>
      <c r="AW1370" s="536" t="b">
        <f t="shared" ref="AW1370:AW1376" si="340">AND(ISNUMBER(AA1370),AQ1370&lt;&gt;AR1370)</f>
        <v>0</v>
      </c>
      <c r="AX1370" s="537" t="b">
        <f>OR(AND(AJ1368=EUconst_kNm3,AJ1370=EUconst_tCO2pt),AND(AJ1368=EUconst_t,AJ1370=EUconst_tCO2pkNm3))</f>
        <v>0</v>
      </c>
      <c r="AY1370" s="522" t="b">
        <f t="shared" ref="AY1370:AY1376" si="341">AND(L1370&lt;&gt;"",Y1370=EUconst_NA)</f>
        <v>0</v>
      </c>
      <c r="AZ1370" s="30"/>
      <c r="BA1370" s="30"/>
      <c r="BB1370" s="538" t="s">
        <v>588</v>
      </c>
      <c r="BC1370" s="537" t="str">
        <f>IF(K1358=BC1368,AR1368*IF(AJ1370=EUconst_tCO2pTJ,(AR1371/1000),1)*AR1370*AR1372*AR1376,"")</f>
        <v/>
      </c>
      <c r="BD1370" s="515" t="str">
        <f>IF(K1358=BD1368,AR1368*AR1370*AR1373*AR1376,"")</f>
        <v/>
      </c>
      <c r="BE1370" s="514" t="str">
        <f>IF(K1358=BE1368,3.664*AR1368*AR1374*AR1376,"")</f>
        <v/>
      </c>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522" t="b">
        <f>OR(BZ1368,Y1370=EUconst_NA)</f>
        <v>1</v>
      </c>
    </row>
    <row r="1371" spans="1:78" s="140" customFormat="1" ht="12.75" customHeight="1" thickBot="1" x14ac:dyDescent="0.25">
      <c r="A1371" s="777"/>
      <c r="B1371" s="1248"/>
      <c r="C1371" s="783" t="s">
        <v>196</v>
      </c>
      <c r="D1371" s="503" t="str">
        <f>Translations!$B$636</f>
        <v>GŠV:</v>
      </c>
      <c r="E1371" s="504"/>
      <c r="F1371" s="539"/>
      <c r="G1371" s="1603" t="str">
        <f t="shared" si="336"/>
        <v/>
      </c>
      <c r="H1371" s="1604"/>
      <c r="I1371" s="1112" t="str">
        <f>AJ1371</f>
        <v/>
      </c>
      <c r="J1371" s="540"/>
      <c r="K1371" s="541" t="str">
        <f t="shared" si="337"/>
        <v/>
      </c>
      <c r="L1371" s="542"/>
      <c r="M1371" s="700" t="str">
        <f>IF(AND(E1359&lt;&gt;"",OR(F1371="",COUNT(K1371:L1371)=0),Y1371&lt;&gt;EUconst_NA,T1359&lt;&gt;TRUE),EUconst_ERR_Incomplete,IF(COUNTIF(AX1371:AZ1371,TRUE)&gt;0,EUconst_ERR_Inconsistent,""))</f>
        <v/>
      </c>
      <c r="O1371" s="1305"/>
      <c r="P1371" s="33"/>
      <c r="Q1371" s="33"/>
      <c r="R1371" s="33"/>
      <c r="S1371" s="30"/>
      <c r="T1371" s="543" t="str">
        <f>EUconst_CNTR_NCV&amp;E1359</f>
        <v>NCV_</v>
      </c>
      <c r="U1371" s="488"/>
      <c r="V1371" s="544" t="str">
        <f t="shared" ref="V1371:V1376" si="342">V1370</f>
        <v/>
      </c>
      <c r="W1371" s="30"/>
      <c r="X1371" s="488"/>
      <c r="Y1371" s="545" t="str">
        <f>IF(OR(T1359=TRUE,E1359=""),"",IF(F1371=EUconst_NA,EUconst_NA,INDEX(EUwideConstants!$N:$N,MATCH(T1371,EUwideConstants!$Q:$Q,0))))</f>
        <v/>
      </c>
      <c r="Z1371" s="546" t="str">
        <f>IF(ISBLANK(F1371),"",IF(F1371=EUconst_NA,"",INDEX(EUwideConstants!$H:$M,MATCH(T1371,EUwideConstants!$Q:$Q,0),MATCH(F1371,CNTR_TierList,0))))</f>
        <v/>
      </c>
      <c r="AA1371" s="547" t="str">
        <f>IF(COUNTIF(EUconst_DefaultValues,Z1371)&gt;0,MATCH(Z1371,EUconst_DefaultValues,0),"")</f>
        <v/>
      </c>
      <c r="AB1371" s="30"/>
      <c r="AC1371" s="548" t="b">
        <f>AND(AC1368,Y1371&lt;&gt;EUconst_NA)</f>
        <v>0</v>
      </c>
      <c r="AD1371" s="30"/>
      <c r="AE1371" s="549" t="str">
        <f>EUconst_CNTR_NCV&amp;EUconst_Unit</f>
        <v>NCV_Vienetas</v>
      </c>
      <c r="AF1371" s="550" t="str">
        <f>IF(AC1371=TRUE, IF(COUNTIF(MSPara_SourceStreamCategory,V1371)=0,"",INDEX(MSPara_CalcFactorsMatrix,MATCH(V1371,MSPara_SourceStreamCategory,0),MATCH(AE1371&amp;"_"&amp;2,MSPara_CalcFactors,0))),"")</f>
        <v/>
      </c>
      <c r="AG1371" s="551" t="str">
        <f>IF(AC1371=TRUE, IF(COUNTIF(MSPara_SourceStreamCategory,V1371)=0,"",INDEX(MSPara_CalcFactorsMatrix,MATCH(V1371,MSPara_SourceStreamCategory,0),MATCH(AE1371&amp;"_"&amp;1,MSPara_CalcFactors,0))),"")</f>
        <v/>
      </c>
      <c r="AH1371" s="552" t="str">
        <f>IF(AA1371="","",INDEX(AF1371:AG1371,3-AA1371))</f>
        <v/>
      </c>
      <c r="AI1371" s="553"/>
      <c r="AJ1371" s="548" t="str">
        <f>IF(AC1371=TRUE,IF(AJ1368="","",IF(AJ1368=EUconst_kNm3,EUconst_GJpkNm3,EUconst_GJpt)),"")</f>
        <v/>
      </c>
      <c r="AK1371" s="554"/>
      <c r="AL1371" s="333"/>
      <c r="AM1371" s="549" t="str">
        <f>EUconst_CNTR_NCV&amp;EUconst_Value</f>
        <v>NCV_Vertė</v>
      </c>
      <c r="AN1371" s="555" t="str">
        <f>IF(AC1371=TRUE,IF(COUNTIF(MSPara_SourceStreamCategory,V1371)=0,"",INDEX(MSPara_CalcFactorsMatrix,MATCH(V1371,MSPara_SourceStreamCategory,0),MATCH(AM1371&amp;"_"&amp;2,MSPara_CalcFactors,0))),"")</f>
        <v/>
      </c>
      <c r="AO1371" s="556" t="str">
        <f>IF(AC1371=TRUE,IF(COUNTIF(MSPara_SourceStreamCategory,V1371)=0,"",INDEX(MSPara_CalcFactorsMatrix,MATCH(V1371,MSPara_SourceStreamCategory,0),MATCH(AM1371&amp;"_"&amp;1,MSPara_CalcFactors,0))),"")</f>
        <v/>
      </c>
      <c r="AP1371" s="548" t="b">
        <f>AND(AND(AH1371&lt;&gt;"",AJ1371&lt;&gt;""),AJ1371=AH1371)</f>
        <v>0</v>
      </c>
      <c r="AQ1371" s="557" t="str">
        <f>IF(AND(AA1371&lt;&gt;"",AP1371=TRUE),IF(OR(INDEX(AN1371:AO1371,3-AA1371)=EUconst_NA,INDEX(AN1371:AO1371,3-AA1371)=0),"",INDEX(AN1371:AO1371,3-AA1371)),"")</f>
        <v/>
      </c>
      <c r="AR1371" s="548">
        <f>IF(AC1371=TRUE,IF(COUNT(K1371:L1371)=0,0,IF(L1371="",K1371,L1371)),0)</f>
        <v>0</v>
      </c>
      <c r="AS1371" s="544" t="b">
        <f>AND(AC1371=TRUE,OR(AND(F1371&lt;&gt;"",NOT(ISNUMBER(AA1371))),L1371&lt;&gt;"",F1371="",AQ1371=""))</f>
        <v>0</v>
      </c>
      <c r="AT1371" s="544" t="b">
        <f t="shared" si="338"/>
        <v>0</v>
      </c>
      <c r="AU1371" s="30"/>
      <c r="AV1371" s="558" t="b">
        <f t="shared" si="339"/>
        <v>0</v>
      </c>
      <c r="AW1371" s="559" t="b">
        <f t="shared" si="340"/>
        <v>0</v>
      </c>
      <c r="AX1371" s="30"/>
      <c r="AY1371" s="544" t="b">
        <f t="shared" si="341"/>
        <v>0</v>
      </c>
      <c r="AZ1371" s="30"/>
      <c r="BA1371" s="30"/>
      <c r="BB1371" s="538" t="s">
        <v>589</v>
      </c>
      <c r="BC1371" s="537" t="str">
        <f>IF(K1358=BC1368,AR1368*IF(AJ1370=EUconst_tCO2pTJ,(AR1371/1000),1)*AR1370*AR1372*AR1375,"")</f>
        <v/>
      </c>
      <c r="BD1371" s="515" t="str">
        <f>IF(K1358=BD1368,AR1368*AR1370*AR1373*AR1375,"")</f>
        <v/>
      </c>
      <c r="BE1371" s="514" t="str">
        <f>IF(K1358=BE1368,3.664*AR1368*AR1374*AR1375,"")</f>
        <v/>
      </c>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544" t="b">
        <f>OR(BZ1368,Y1371=EUconst_NA)</f>
        <v>1</v>
      </c>
    </row>
    <row r="1372" spans="1:78" s="140" customFormat="1" ht="12.75" customHeight="1" thickBot="1" x14ac:dyDescent="0.25">
      <c r="A1372" s="777"/>
      <c r="B1372" s="1248"/>
      <c r="C1372" s="783" t="s">
        <v>197</v>
      </c>
      <c r="D1372" s="503" t="str">
        <f>Translations!$B$638</f>
        <v>Oksidacijos koef.:</v>
      </c>
      <c r="E1372" s="504"/>
      <c r="F1372" s="539"/>
      <c r="G1372" s="1603" t="str">
        <f t="shared" si="336"/>
        <v/>
      </c>
      <c r="H1372" s="1604"/>
      <c r="I1372" s="1113" t="str">
        <f>IF(OR(AC1372=FALSE,Y1372=EUconst_NA),"","-")</f>
        <v/>
      </c>
      <c r="J1372" s="560"/>
      <c r="K1372" s="561" t="str">
        <f t="shared" si="337"/>
        <v/>
      </c>
      <c r="L1372" s="694"/>
      <c r="M1372" s="700" t="str">
        <f>IF(AND(E1359&lt;&gt;"",OR(F1372="",COUNT(K1372:L1372)=0),Y1372&lt;&gt;EUconst_NA,T1359&lt;&gt;TRUE),EUconst_ERR_Incomplete,IF(COUNTIF(AX1372:AZ1372,TRUE)&gt;0,EUconst_ERR_Inconsistent,""))</f>
        <v/>
      </c>
      <c r="O1372" s="1305"/>
      <c r="P1372" s="33"/>
      <c r="Q1372" s="33"/>
      <c r="R1372" s="33"/>
      <c r="S1372" s="30"/>
      <c r="T1372" s="543" t="str">
        <f>EUconst_CNTR_OxidationFactor&amp;E1359</f>
        <v>OxF_</v>
      </c>
      <c r="U1372" s="488"/>
      <c r="V1372" s="544" t="str">
        <f t="shared" si="342"/>
        <v/>
      </c>
      <c r="W1372" s="30"/>
      <c r="X1372" s="488"/>
      <c r="Y1372" s="545" t="str">
        <f>IF(OR(T1359=TRUE,E1359=""),"",INDEX(EUwideConstants!$N:$N,MATCH(T1372,EUwideConstants!$Q:$Q,0)))</f>
        <v/>
      </c>
      <c r="Z1372" s="546" t="str">
        <f>IF(ISBLANK(F1372),"",IF(F1372=EUconst_NA,"",INDEX(EUwideConstants!$H:$M,MATCH(T1372,EUwideConstants!$Q:$Q,0),MATCH(F1372,CNTR_TierList,0))))</f>
        <v/>
      </c>
      <c r="AA1372" s="525" t="str">
        <f>IF(F1372=1,1,"")</f>
        <v/>
      </c>
      <c r="AB1372" s="30"/>
      <c r="AC1372" s="548" t="b">
        <f>AND(AC1368,Y1372&lt;&gt;EUconst_NA)</f>
        <v>0</v>
      </c>
      <c r="AD1372" s="30"/>
      <c r="AE1372" s="563"/>
      <c r="AG1372" s="564"/>
      <c r="AH1372" s="553"/>
      <c r="AI1372" s="565"/>
      <c r="AJ1372" s="553"/>
      <c r="AK1372" s="566"/>
      <c r="AL1372" s="333"/>
      <c r="AM1372" s="549" t="str">
        <f>EUconst_CNTR_OxidationFactor&amp;EUconst_Value</f>
        <v>OxF_Vertė</v>
      </c>
      <c r="AN1372" s="567"/>
      <c r="AO1372" s="525">
        <v>1</v>
      </c>
      <c r="AP1372" s="553"/>
      <c r="AQ1372" s="568" t="str">
        <f>IF(AA1372="","",AO1372)</f>
        <v/>
      </c>
      <c r="AR1372" s="548">
        <f>IF(AC1372=TRUE,IF(COUNT(K1372:L1372)=0,0,IF(L1372="",K1372,L1372)),1)</f>
        <v>1</v>
      </c>
      <c r="AS1372" s="544" t="b">
        <f>AND(AC1372=TRUE,OR(ISNUMBER(L1372),NOT(ISNUMBER(AA1372))))</f>
        <v>0</v>
      </c>
      <c r="AT1372" s="544" t="b">
        <f t="shared" si="338"/>
        <v>0</v>
      </c>
      <c r="AU1372" s="30"/>
      <c r="AV1372" s="558" t="b">
        <f t="shared" si="339"/>
        <v>0</v>
      </c>
      <c r="AW1372" s="559" t="b">
        <f t="shared" si="340"/>
        <v>0</v>
      </c>
      <c r="AX1372" s="30"/>
      <c r="AY1372" s="585" t="b">
        <f t="shared" si="341"/>
        <v>0</v>
      </c>
      <c r="AZ1372" s="522" t="b">
        <f>AR1372&gt;100%</f>
        <v>0</v>
      </c>
      <c r="BA1372" s="30"/>
      <c r="BB1372" s="538" t="s">
        <v>287</v>
      </c>
      <c r="BC1372" s="537" t="str">
        <f>IF(K1358=BC1368,AR1368*IF(AJ1370=EUconst_tCO2pTJ,(AR1371/1000),1)*AR1370*AR1372*(1-AR1375),"")</f>
        <v/>
      </c>
      <c r="BD1372" s="515" t="str">
        <f>IF(K1358=BD1368,AR1368*AR1370*AR1373*(1-AR1375),"")</f>
        <v/>
      </c>
      <c r="BE1372" s="514" t="str">
        <f>IF(K1358=BE1368,3.664*AR1368*AR1374*(1-AR1375),"")</f>
        <v/>
      </c>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544" t="b">
        <f>OR(BZ1368,Y1372=EUconst_NA)</f>
        <v>1</v>
      </c>
    </row>
    <row r="1373" spans="1:78" s="140" customFormat="1" ht="12.75" customHeight="1" thickBot="1" x14ac:dyDescent="0.25">
      <c r="A1373" s="777"/>
      <c r="B1373" s="1248"/>
      <c r="C1373" s="783" t="s">
        <v>198</v>
      </c>
      <c r="D1373" s="503" t="str">
        <f>Translations!$B$639</f>
        <v>Konversijos koef.:</v>
      </c>
      <c r="E1373" s="504"/>
      <c r="F1373" s="539"/>
      <c r="G1373" s="1603" t="str">
        <f t="shared" si="336"/>
        <v/>
      </c>
      <c r="H1373" s="1604"/>
      <c r="I1373" s="1113" t="str">
        <f>IF(OR(AC1373=FALSE,Y1373=EUconst_NA),"","-")</f>
        <v/>
      </c>
      <c r="J1373" s="560"/>
      <c r="K1373" s="561" t="str">
        <f t="shared" si="337"/>
        <v/>
      </c>
      <c r="L1373" s="694"/>
      <c r="M1373" s="700" t="str">
        <f>IF(AND(E1359&lt;&gt;"",OR(F1373="",COUNT(K1373:L1373)=0),Y1373&lt;&gt;EUconst_NA,T1359&lt;&gt;TRUE),EUconst_ERR_Incomplete,IF(COUNTIF(AX1373:AZ1373,TRUE)&gt;0,EUconst_ERR_Inconsistent,""))</f>
        <v/>
      </c>
      <c r="O1373" s="1305"/>
      <c r="P1373" s="33"/>
      <c r="Q1373" s="33"/>
      <c r="R1373" s="33"/>
      <c r="S1373" s="30"/>
      <c r="T1373" s="543" t="str">
        <f>EUconst_CNTR_ConversionFactor&amp;E1359</f>
        <v>ConvF_</v>
      </c>
      <c r="U1373" s="488"/>
      <c r="V1373" s="544" t="str">
        <f t="shared" si="342"/>
        <v/>
      </c>
      <c r="W1373" s="30"/>
      <c r="X1373" s="488"/>
      <c r="Y1373" s="545" t="str">
        <f>IF(OR(T1359=TRUE,E1359=""),"",INDEX(EUwideConstants!$N:$N,MATCH(T1373,EUwideConstants!$Q:$Q,0)))</f>
        <v/>
      </c>
      <c r="Z1373" s="546" t="str">
        <f>IF(ISBLANK(F1373),"",IF(F1373=EUconst_NA,"",INDEX(EUwideConstants!$H:$M,MATCH(T1373,EUwideConstants!$Q:$Q,0),MATCH(F1373,CNTR_TierList,0))))</f>
        <v/>
      </c>
      <c r="AA1373" s="573" t="str">
        <f>IF(F1373=1,1,"")</f>
        <v/>
      </c>
      <c r="AB1373" s="30"/>
      <c r="AC1373" s="548" t="b">
        <f>AND(AC1368,Y1373&lt;&gt;EUconst_NA)</f>
        <v>0</v>
      </c>
      <c r="AD1373" s="30"/>
      <c r="AE1373" s="563"/>
      <c r="AG1373" s="564"/>
      <c r="AH1373" s="574"/>
      <c r="AI1373" s="565"/>
      <c r="AJ1373" s="574"/>
      <c r="AK1373" s="566"/>
      <c r="AL1373" s="333"/>
      <c r="AM1373" s="549" t="str">
        <f>EUconst_CNTR_ConversionFactor&amp;EUconst_Value</f>
        <v>ConvF_Vertė</v>
      </c>
      <c r="AN1373" s="575"/>
      <c r="AO1373" s="573">
        <v>1</v>
      </c>
      <c r="AP1373" s="574"/>
      <c r="AQ1373" s="576" t="str">
        <f>IF(AA1373="","",AO1373)</f>
        <v/>
      </c>
      <c r="AR1373" s="548">
        <f>IF(AC1373=TRUE,IF(COUNT(K1373:L1373)=0,0,IF(L1373="",K1373,L1373)),1)</f>
        <v>1</v>
      </c>
      <c r="AS1373" s="544" t="b">
        <f>AND(AC1373=TRUE,OR(ISNUMBER(L1373),NOT(ISNUMBER(AA1373))))</f>
        <v>0</v>
      </c>
      <c r="AT1373" s="544" t="b">
        <f t="shared" si="338"/>
        <v>0</v>
      </c>
      <c r="AU1373" s="30"/>
      <c r="AV1373" s="558" t="b">
        <f t="shared" si="339"/>
        <v>0</v>
      </c>
      <c r="AW1373" s="559" t="b">
        <f t="shared" si="340"/>
        <v>0</v>
      </c>
      <c r="AX1373" s="30"/>
      <c r="AY1373" s="585" t="b">
        <f t="shared" si="341"/>
        <v>0</v>
      </c>
      <c r="AZ1373" s="571" t="b">
        <f>AR1373&gt;100%</f>
        <v>0</v>
      </c>
      <c r="BA1373" s="30"/>
      <c r="BB1373" s="569" t="s">
        <v>481</v>
      </c>
      <c r="BC1373" s="570">
        <f>AR1368*AR1371/1000*(1-AR1375)</f>
        <v>0</v>
      </c>
      <c r="BD1373" s="571">
        <f>BC1373</f>
        <v>0</v>
      </c>
      <c r="BE1373" s="572">
        <f>BC1373</f>
        <v>0</v>
      </c>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544" t="b">
        <f>OR(BZ1368,Y1373=EUconst_NA)</f>
        <v>1</v>
      </c>
    </row>
    <row r="1374" spans="1:78" s="140" customFormat="1" ht="12.75" customHeight="1" thickBot="1" x14ac:dyDescent="0.25">
      <c r="A1374" s="777"/>
      <c r="B1374" s="1248"/>
      <c r="C1374" s="783" t="s">
        <v>324</v>
      </c>
      <c r="D1374" s="503" t="str">
        <f>Translations!$B$640</f>
        <v>Anglies kiekis (C):</v>
      </c>
      <c r="E1374" s="504"/>
      <c r="F1374" s="539"/>
      <c r="G1374" s="1603" t="str">
        <f t="shared" si="336"/>
        <v/>
      </c>
      <c r="H1374" s="1604"/>
      <c r="I1374" s="1113" t="str">
        <f>AJ1374</f>
        <v/>
      </c>
      <c r="J1374" s="577"/>
      <c r="K1374" s="578" t="str">
        <f t="shared" si="337"/>
        <v/>
      </c>
      <c r="L1374" s="579"/>
      <c r="M1374" s="700" t="str">
        <f>IF(AND(E1359&lt;&gt;"",OR(F1374="",COUNT(K1374:L1374)=0),Y1374&lt;&gt;EUconst_NA,T1359&lt;&gt;TRUE),EUconst_ERR_Incomplete,IF(COUNTIF(AX1374:AZ1374,TRUE)&gt;0,EUconst_ERR_Inconsistent,""))</f>
        <v/>
      </c>
      <c r="O1374" s="1305"/>
      <c r="P1374" s="33"/>
      <c r="Q1374" s="33"/>
      <c r="R1374" s="33"/>
      <c r="S1374" s="30"/>
      <c r="T1374" s="543" t="str">
        <f>EUconst_CNTR_CarbonContent&amp;E1359</f>
        <v>CarbC_</v>
      </c>
      <c r="U1374" s="488"/>
      <c r="V1374" s="544" t="str">
        <f t="shared" si="342"/>
        <v/>
      </c>
      <c r="W1374" s="30"/>
      <c r="X1374" s="488"/>
      <c r="Y1374" s="545" t="str">
        <f>IF(OR(T1359=TRUE,E1359=""),"",INDEX(EUwideConstants!$N:$N,MATCH(T1374,EUwideConstants!$Q:$Q,0)))</f>
        <v/>
      </c>
      <c r="Z1374" s="546" t="str">
        <f>IF(ISBLANK(F1374),"",IF(F1374=EUconst_NA,"",INDEX(EUwideConstants!$H:$M,MATCH(T1374,EUwideConstants!$Q:$Q,0),MATCH(F1374,CNTR_TierList,0))))</f>
        <v/>
      </c>
      <c r="AA1374" s="580" t="str">
        <f>IF(COUNTIF(EUconst_DefaultValues,Z1374)&gt;0,MATCH(Z1374,EUconst_DefaultValues,0),"")</f>
        <v/>
      </c>
      <c r="AB1374" s="30"/>
      <c r="AC1374" s="548" t="b">
        <f>AND(AC1368,Y1374&lt;&gt;EUconst_NA)</f>
        <v>0</v>
      </c>
      <c r="AD1374" s="30"/>
      <c r="AE1374" s="549" t="str">
        <f>EUconst_CNTR_CarbonContent&amp;EUconst_Unit</f>
        <v>CarbC_Vienetas</v>
      </c>
      <c r="AF1374" s="550" t="str">
        <f>IF(AC1374=TRUE, IF(COUNTIF(MSPara_SourceStreamCategory,V1374)=0,"",INDEX(MSPara_CalcFactorsMatrix,MATCH(V1374,MSPara_SourceStreamCategory,0),MATCH(AE1374&amp;"_"&amp;2,MSPara_CalcFactors,0))),"")</f>
        <v/>
      </c>
      <c r="AG1374" s="551" t="str">
        <f>IF(AC1374=TRUE, IF(COUNTIF(MSPara_SourceStreamCategory,V1374)=0,"",INDEX(MSPara_CalcFactorsMatrix,MATCH(V1374,MSPara_SourceStreamCategory,0),MATCH(AE1374&amp;"_"&amp;1,MSPara_CalcFactors,0))),"")</f>
        <v/>
      </c>
      <c r="AH1374" s="581" t="str">
        <f>IF(AA1374="","",INDEX(AF1374:AG1374,3-AA1374))</f>
        <v/>
      </c>
      <c r="AI1374" s="565"/>
      <c r="AJ1374" s="582" t="str">
        <f>IF(AC1374=TRUE,IF(AJ1368="","",IF(AJ1368=EUconst_kNm3,EUconst_tCpkNm3,EUconst_tCpt)),"")</f>
        <v/>
      </c>
      <c r="AK1374" s="566"/>
      <c r="AL1374" s="333"/>
      <c r="AM1374" s="549" t="str">
        <f>EUconst_CNTR_CarbonContent&amp;EUconst_Value</f>
        <v>CarbC_Vertė</v>
      </c>
      <c r="AN1374" s="555" t="str">
        <f>IF(AC1374=TRUE,IF(COUNTIF(MSPara_SourceStreamCategory,V1374)=0,"",INDEX(MSPara_CalcFactorsMatrix,MATCH(V1374,MSPara_SourceStreamCategory,0),MATCH(AM1374&amp;"_"&amp;2,MSPara_CalcFactors,0))),"")</f>
        <v/>
      </c>
      <c r="AO1374" s="583" t="str">
        <f>IF(AC1374=TRUE,IF(COUNTIF(MSPara_SourceStreamCategory,V1374)=0,"",INDEX(MSPara_CalcFactorsMatrix,MATCH(V1374,MSPara_SourceStreamCategory,0),MATCH(AM1374&amp;"_"&amp;1,MSPara_CalcFactors,0))),"")</f>
        <v/>
      </c>
      <c r="AP1374" s="548" t="b">
        <f>AND(AND(AH1374&lt;&gt;"",AJ1374&lt;&gt;""),AJ1374=AH1374)</f>
        <v>0</v>
      </c>
      <c r="AQ1374" s="584" t="str">
        <f>IF(AND(AA1374&lt;&gt;"",AP1374=TRUE),IF(OR(INDEX(AN1374:AO1374,3-AA1374)=EUconst_NA,INDEX(AN1374:AO1374,3-AA1374)=0),"",INDEX(AN1374:AO1374,3-AA1374)),"")</f>
        <v/>
      </c>
      <c r="AR1374" s="548">
        <f>IF(AC1374=TRUE,IF(COUNT(K1374:L1374)=0,0,IF(L1374="",K1374,L1374)),0)</f>
        <v>0</v>
      </c>
      <c r="AS1374" s="544" t="b">
        <f>AND(AC1374=TRUE,OR(AND(F1374&lt;&gt;"",NOT(ISNUMBER(AA1374))),L1374&lt;&gt;"",F1374="",AQ1374=""))</f>
        <v>0</v>
      </c>
      <c r="AT1374" s="544" t="b">
        <f t="shared" si="338"/>
        <v>0</v>
      </c>
      <c r="AU1374" s="30"/>
      <c r="AV1374" s="558" t="b">
        <f t="shared" si="339"/>
        <v>0</v>
      </c>
      <c r="AW1374" s="559" t="b">
        <f t="shared" si="340"/>
        <v>0</v>
      </c>
      <c r="AX1374" s="537" t="b">
        <f>OR(AND(AJ1368=EUconst_kNm3,AJ1374=EUconst_tCpt),AND(AJ1368=EUconst_t,AJ1374=EUconst_tCpkNm3))</f>
        <v>0</v>
      </c>
      <c r="AY1374" s="544" t="b">
        <f t="shared" si="341"/>
        <v>0</v>
      </c>
      <c r="AZ1374" s="30"/>
      <c r="BA1374" s="30"/>
      <c r="BB1374" s="569" t="s">
        <v>482</v>
      </c>
      <c r="BC1374" s="570">
        <f>AR1368*AR1371/1000*AR1375</f>
        <v>0</v>
      </c>
      <c r="BD1374" s="571">
        <f>BC1374</f>
        <v>0</v>
      </c>
      <c r="BE1374" s="572">
        <f>BC1374</f>
        <v>0</v>
      </c>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544" t="b">
        <f>OR(BZ1368,Y1374=EUconst_NA)</f>
        <v>1</v>
      </c>
    </row>
    <row r="1375" spans="1:78" s="140" customFormat="1" ht="12.75" customHeight="1" x14ac:dyDescent="0.2">
      <c r="A1375" s="777"/>
      <c r="B1375" s="1248"/>
      <c r="C1375" s="753" t="s">
        <v>325</v>
      </c>
      <c r="D1375" s="503" t="str">
        <f>Translations!$B$641</f>
        <v>Biomasės dalis (BioC):</v>
      </c>
      <c r="E1375" s="504"/>
      <c r="F1375" s="539"/>
      <c r="G1375" s="1603" t="str">
        <f t="shared" si="336"/>
        <v/>
      </c>
      <c r="H1375" s="1604"/>
      <c r="I1375" s="1113" t="str">
        <f>IF(OR(AC1375=FALSE,Y1375=EUconst_NA),"","-")</f>
        <v/>
      </c>
      <c r="J1375" s="560"/>
      <c r="K1375" s="561" t="str">
        <f t="shared" si="337"/>
        <v/>
      </c>
      <c r="L1375" s="694"/>
      <c r="M1375" s="700" t="str">
        <f>IF(AND(E1359&lt;&gt;"",OR(F1375="",COUNT(K1375:L1375)=0),Y1375&lt;&gt;EUconst_NA,T1359&lt;&gt;TRUE),EUconst_ERR_Incomplete,IF(COUNTIF(AX1375:AZ1375,TRUE)&gt;0,EUconst_ERR_Inconsistent,""))</f>
        <v/>
      </c>
      <c r="O1375" s="1305"/>
      <c r="P1375" s="635"/>
      <c r="Q1375" s="635"/>
      <c r="R1375" s="635"/>
      <c r="S1375" s="30"/>
      <c r="T1375" s="543" t="str">
        <f>EUconst_CNTR_BiomassContent&amp;E1359</f>
        <v>BioC_</v>
      </c>
      <c r="U1375" s="488"/>
      <c r="V1375" s="585" t="str">
        <f t="shared" si="342"/>
        <v/>
      </c>
      <c r="W1375" s="522" t="str">
        <f>IF(COUNTIF(MSPara_SourceStreamCategory,V1375)=0,"",INDEX(MSPara_IsFossil,MATCH(V1375,MSPara_SourceStreamCategory,0)))</f>
        <v/>
      </c>
      <c r="X1375" s="488"/>
      <c r="Y1375" s="545" t="str">
        <f>IF(OR(T1359=TRUE,E1359=""),"",IF(OR(W1375=TRUE,F1375=EUconst_NA),EUconst_NA,INDEX(EUwideConstants!$N:$N,MATCH(T1375,EUwideConstants!$Q:$Q,0))))</f>
        <v/>
      </c>
      <c r="Z1375" s="546" t="str">
        <f>IF(ISBLANK(F1375),"",IF(F1375=EUconst_NA,"",INDEX(EUwideConstants!$H:$M,MATCH(T1375,EUwideConstants!$Q:$Q,0),MATCH(F1375,CNTR_TierList,0))))</f>
        <v/>
      </c>
      <c r="AA1375" s="586" t="str">
        <f>IF(F1375=1,1,"")</f>
        <v/>
      </c>
      <c r="AB1375" s="30"/>
      <c r="AC1375" s="548" t="b">
        <f>AND(AC1368,Y1375&lt;&gt;EUconst_NA)</f>
        <v>0</v>
      </c>
      <c r="AD1375" s="30"/>
      <c r="AE1375" s="563"/>
      <c r="AG1375" s="564"/>
      <c r="AH1375" s="553"/>
      <c r="AI1375" s="565"/>
      <c r="AJ1375" s="553"/>
      <c r="AK1375" s="566"/>
      <c r="AL1375" s="333"/>
      <c r="AM1375" s="549" t="str">
        <f>EUconst_CNTR_BiomassContent&amp;EUconst_Value</f>
        <v>BioC_Vertė</v>
      </c>
      <c r="AO1375" s="587" t="str">
        <f>IF(AC1375=TRUE,IF(COUNTIF(MSPara_SourceStreamCategory,V1375)=0,"",INDEX(MSPara_CalcFactorsMatrix,MATCH(V1375,MSPara_SourceStreamCategory,0),MATCH(AM1375&amp;"_"&amp;2,MSPara_CalcFactors,0))),"")</f>
        <v/>
      </c>
      <c r="AP1375" s="553"/>
      <c r="AQ1375" s="568" t="str">
        <f>IF(OR(AA1375="",AO1375=EUconst_NA),"",AO1375)</f>
        <v/>
      </c>
      <c r="AR1375" s="548">
        <f>IF(AC1375=TRUE,IF(COUNT(K1375:L1375)=0,0,IF(L1375="",K1375,L1375)),0)</f>
        <v>0</v>
      </c>
      <c r="AS1375" s="544" t="b">
        <f>AND(AC1375=TRUE,OR(AND(F1375&lt;&gt;"",NOT(ISNUMBER(AA1375))),L1375&lt;&gt;"",F1375="",AQ1375=""))</f>
        <v>0</v>
      </c>
      <c r="AT1375" s="544" t="b">
        <f t="shared" si="338"/>
        <v>0</v>
      </c>
      <c r="AU1375" s="30"/>
      <c r="AV1375" s="558" t="b">
        <f t="shared" si="339"/>
        <v>0</v>
      </c>
      <c r="AW1375" s="559" t="b">
        <f t="shared" si="340"/>
        <v>0</v>
      </c>
      <c r="AX1375" s="30"/>
      <c r="AY1375" s="585" t="b">
        <f t="shared" si="341"/>
        <v>0</v>
      </c>
      <c r="AZ1375" s="522" t="b">
        <f>OR(AR1375&gt;100%,(AR1375+AR1376)&gt;100%)</f>
        <v>0</v>
      </c>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544" t="b">
        <f>OR(BZ1368,Y1375=EUconst_NA)</f>
        <v>1</v>
      </c>
    </row>
    <row r="1376" spans="1:78" s="140" customFormat="1" ht="12.75" customHeight="1" thickBot="1" x14ac:dyDescent="0.25">
      <c r="A1376" s="777"/>
      <c r="B1376" s="1248"/>
      <c r="C1376" s="753" t="s">
        <v>448</v>
      </c>
      <c r="D1376" s="503" t="str">
        <f>Translations!$B$647</f>
        <v>Netvarios BioC dalis:</v>
      </c>
      <c r="E1376" s="504"/>
      <c r="F1376" s="588"/>
      <c r="G1376" s="1603" t="str">
        <f t="shared" si="336"/>
        <v/>
      </c>
      <c r="H1376" s="1604"/>
      <c r="I1376" s="1114" t="str">
        <f>IF(OR(AC1376=FALSE,Y1376=EUconst_NA),"","-")</f>
        <v/>
      </c>
      <c r="J1376" s="560"/>
      <c r="K1376" s="589" t="str">
        <f t="shared" si="337"/>
        <v/>
      </c>
      <c r="L1376" s="1100"/>
      <c r="M1376" s="700" t="str">
        <f>IF(AND(E1359&lt;&gt;"",OR(F1376="",COUNT(K1376:L1376)=0),Y1376&lt;&gt;EUconst_NA,T1359&lt;&gt;TRUE),EUconst_ERR_Incomplete,IF(COUNTIF(AX1376:AZ1376,TRUE)&gt;0,EUconst_ERR_Inconsistent,""))</f>
        <v/>
      </c>
      <c r="O1376" s="1305"/>
      <c r="P1376" s="635"/>
      <c r="Q1376" s="635"/>
      <c r="R1376" s="635"/>
      <c r="S1376" s="30"/>
      <c r="T1376" s="590" t="str">
        <f>EUconst_CNTR_BiomassContent&amp;E1359</f>
        <v>BioC_</v>
      </c>
      <c r="U1376" s="488"/>
      <c r="V1376" s="570" t="str">
        <f t="shared" si="342"/>
        <v/>
      </c>
      <c r="W1376" s="571" t="str">
        <f>IF(COUNTIF(MSPara_SourceStreamCategory,V1376)=0,"",INDEX(MSPara_IsFossil,MATCH(V1376,MSPara_SourceStreamCategory,0)))</f>
        <v/>
      </c>
      <c r="X1376" s="488"/>
      <c r="Y1376" s="591" t="str">
        <f>IF(OR(T1359=TRUE,E1359=""),"",IF(OR(W1376=TRUE,F1376=EUconst_NA),EUconst_NA,INDEX(EUwideConstants!$N:$N,MATCH(T1376,EUwideConstants!$Q:$Q,0))))</f>
        <v/>
      </c>
      <c r="Z1376" s="592" t="str">
        <f>IF(ISBLANK(F1376),"",IF(F1376=EUconst_NA,"",INDEX(EUwideConstants!$H:$M,MATCH(T1376,EUwideConstants!$Q:$Q,0),MATCH(F1376,CNTR_TierList,0))))</f>
        <v/>
      </c>
      <c r="AA1376" s="593" t="str">
        <f>IF(F1376=1,1,"")</f>
        <v/>
      </c>
      <c r="AB1376" s="30"/>
      <c r="AC1376" s="594" t="b">
        <f>AND(AC1368,Y1376&lt;&gt;EUconst_NA)</f>
        <v>0</v>
      </c>
      <c r="AD1376" s="30"/>
      <c r="AE1376" s="595"/>
      <c r="AF1376" s="596"/>
      <c r="AG1376" s="597"/>
      <c r="AH1376" s="598"/>
      <c r="AI1376" s="598"/>
      <c r="AJ1376" s="598"/>
      <c r="AK1376" s="599"/>
      <c r="AL1376" s="333"/>
      <c r="AM1376" s="600" t="str">
        <f>EUconst_CNTR_BiomassContent&amp;EUconst_Value</f>
        <v>BioC_Vertė</v>
      </c>
      <c r="AN1376" s="596"/>
      <c r="AO1376" s="601" t="str">
        <f>IF(AC1376=TRUE,IF(COUNTIF(MSPara_SourceStreamCategory,V1376)=0,"",INDEX(MSPara_CalcFactorsMatrix,MATCH(V1376,MSPara_SourceStreamCategory,0),MATCH(AM1376&amp;"_"&amp;2,MSPara_CalcFactors,0))),"")</f>
        <v/>
      </c>
      <c r="AP1376" s="598"/>
      <c r="AQ1376" s="602" t="str">
        <f>IF(OR(AA1376="",AO1376=EUconst_NA),"",AO1376)</f>
        <v/>
      </c>
      <c r="AR1376" s="594">
        <f>IF(AC1376=TRUE,IF(COUNT(K1376:L1376)=0,0,IF(L1376="",K1376,L1376)),0)</f>
        <v>0</v>
      </c>
      <c r="AS1376" s="603" t="b">
        <f>AND(AC1376=TRUE,OR(AND(F1376&lt;&gt;"",NOT(ISNUMBER(AA1376))),L1376&lt;&gt;"",F1376="",AQ1376=""))</f>
        <v>0</v>
      </c>
      <c r="AT1376" s="603" t="b">
        <f t="shared" si="338"/>
        <v>0</v>
      </c>
      <c r="AU1376" s="30"/>
      <c r="AV1376" s="604" t="b">
        <f t="shared" si="339"/>
        <v>0</v>
      </c>
      <c r="AW1376" s="605" t="b">
        <f t="shared" si="340"/>
        <v>0</v>
      </c>
      <c r="AX1376" s="30"/>
      <c r="AY1376" s="570" t="b">
        <f t="shared" si="341"/>
        <v>0</v>
      </c>
      <c r="AZ1376" s="571" t="b">
        <f>OR(AR1375&gt;100%,(AR1375+AR1376)&gt;100%)</f>
        <v>0</v>
      </c>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571" t="b">
        <f>OR(BZ1368,Y1376=EUconst_NA)</f>
        <v>1</v>
      </c>
    </row>
    <row r="1377" spans="1:78" s="140" customFormat="1" ht="5.0999999999999996" customHeight="1" x14ac:dyDescent="0.2">
      <c r="A1377" s="777"/>
      <c r="B1377" s="1248"/>
      <c r="C1377" s="164"/>
      <c r="D1377" s="178"/>
      <c r="O1377" s="1305"/>
      <c r="P1377" s="33"/>
      <c r="Q1377" s="33"/>
      <c r="R1377" s="33"/>
      <c r="S1377" s="172"/>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row>
    <row r="1378" spans="1:78" s="140" customFormat="1" ht="12.75" customHeight="1" x14ac:dyDescent="0.2">
      <c r="A1378" s="777"/>
      <c r="B1378" s="1248"/>
      <c r="C1378" s="164"/>
      <c r="D1378" s="1629" t="str">
        <f>Translations!$B$674</f>
        <v>Pakopos galioja nuo:</v>
      </c>
      <c r="E1378" s="1629"/>
      <c r="F1378" s="1630"/>
      <c r="G1378" s="1014"/>
      <c r="H1378" s="606" t="str">
        <f>Translations!$B$675</f>
        <v>iki:</v>
      </c>
      <c r="I1378" s="1014"/>
      <c r="J1378" s="1620" t="str">
        <f>Translations!$B$676</f>
        <v>Atliekų katalogo numeris (jeigu taikytina):</v>
      </c>
      <c r="K1378" s="1621"/>
      <c r="L1378" s="1621"/>
      <c r="M1378" s="1622"/>
      <c r="N1378" s="1232"/>
      <c r="O1378" s="1305"/>
      <c r="P1378" s="33"/>
      <c r="Q1378" s="33"/>
      <c r="R1378" s="33"/>
      <c r="S1378" s="1233"/>
      <c r="T1378" s="483"/>
      <c r="U1378" s="483"/>
      <c r="V1378" s="48" t="b">
        <f>IF(V1368="",FALSE,INDEX(CNTR_IsWaste,MATCH(V1368,MSParameters!$A$218:$A$376,0)))</f>
        <v>0</v>
      </c>
      <c r="W1378" s="1233" t="s">
        <v>1689</v>
      </c>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2" t="b">
        <f>BZ1368</f>
        <v>1</v>
      </c>
    </row>
    <row r="1379" spans="1:78" s="140" customFormat="1" ht="5.0999999999999996" customHeight="1" x14ac:dyDescent="0.2">
      <c r="A1379" s="777"/>
      <c r="B1379" s="1248"/>
      <c r="C1379" s="164"/>
      <c r="D1379" s="606"/>
      <c r="E1379" s="486"/>
      <c r="F1379" s="486"/>
      <c r="G1379" s="486"/>
      <c r="H1379" s="486"/>
      <c r="I1379" s="486"/>
      <c r="J1379" s="486"/>
      <c r="K1379" s="486"/>
      <c r="L1379" s="486"/>
      <c r="M1379" s="486"/>
      <c r="N1379" s="486"/>
      <c r="O1379" s="1305"/>
      <c r="P1379" s="33"/>
      <c r="Q1379" s="33"/>
      <c r="R1379" s="33"/>
      <c r="S1379" s="172"/>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row>
    <row r="1380" spans="1:78" s="140" customFormat="1" ht="12.75" customHeight="1" x14ac:dyDescent="0.2">
      <c r="A1380" s="777"/>
      <c r="B1380" s="1248"/>
      <c r="C1380" s="164"/>
      <c r="D1380" s="486"/>
      <c r="E1380" s="486"/>
      <c r="F1380" s="486"/>
      <c r="G1380" s="486"/>
      <c r="H1380" s="486"/>
      <c r="I1380" s="486"/>
      <c r="J1380" s="486"/>
      <c r="K1380" s="486"/>
      <c r="L1380" s="486"/>
      <c r="M1380" s="606" t="str">
        <f>Translations!$B$677</f>
        <v>Stebėsenos plane šiam sukėlikliui suteiktas identifikatorius:</v>
      </c>
      <c r="N1380" s="705"/>
      <c r="O1380" s="1305"/>
      <c r="P1380" s="33"/>
      <c r="Q1380" s="33"/>
      <c r="R1380" s="33"/>
      <c r="S1380" s="172"/>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2" t="b">
        <f>BZ1378</f>
        <v>1</v>
      </c>
    </row>
    <row r="1381" spans="1:78" s="140" customFormat="1" ht="5.0999999999999996" customHeight="1" x14ac:dyDescent="0.2">
      <c r="A1381" s="784"/>
      <c r="B1381" s="1316"/>
      <c r="D1381" s="178"/>
      <c r="O1381" s="1317"/>
      <c r="P1381" s="488"/>
      <c r="Q1381" s="488"/>
      <c r="R1381" s="488"/>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row>
    <row r="1382" spans="1:78" s="140" customFormat="1" x14ac:dyDescent="0.2">
      <c r="A1382" s="784"/>
      <c r="B1382" s="1316"/>
      <c r="D1382" s="1618" t="str">
        <f>Translations!$B$160</f>
        <v>Pastabos:</v>
      </c>
      <c r="E1382" s="1619"/>
      <c r="F1382" s="1605"/>
      <c r="G1382" s="1606"/>
      <c r="H1382" s="1606"/>
      <c r="I1382" s="1606"/>
      <c r="J1382" s="1606"/>
      <c r="K1382" s="1606"/>
      <c r="L1382" s="1606"/>
      <c r="M1382" s="1606"/>
      <c r="N1382" s="1607"/>
      <c r="O1382" s="1317"/>
      <c r="P1382" s="488"/>
      <c r="Q1382" s="488"/>
      <c r="R1382" s="488"/>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2" t="b">
        <f>BZ1378</f>
        <v>1</v>
      </c>
    </row>
    <row r="1383" spans="1:78" s="28" customFormat="1" ht="12.75" customHeight="1" thickBot="1" x14ac:dyDescent="0.25">
      <c r="A1383" s="777"/>
      <c r="B1383" s="1312"/>
      <c r="C1383" s="490"/>
      <c r="D1383" s="491"/>
      <c r="E1383" s="492"/>
      <c r="F1383" s="490"/>
      <c r="G1383" s="493"/>
      <c r="H1383" s="493"/>
      <c r="I1383" s="493"/>
      <c r="J1383" s="493"/>
      <c r="K1383" s="493"/>
      <c r="L1383" s="493"/>
      <c r="M1383" s="493"/>
      <c r="N1383" s="493"/>
      <c r="O1383" s="1313"/>
      <c r="P1383" s="485"/>
      <c r="Q1383" s="485"/>
      <c r="R1383" s="485"/>
      <c r="S1383" s="58"/>
      <c r="T1383" s="58"/>
      <c r="U1383" s="489"/>
      <c r="V1383" s="58"/>
      <c r="W1383" s="58"/>
      <c r="X1383" s="489"/>
      <c r="Y1383" s="58"/>
      <c r="Z1383" s="58"/>
      <c r="AA1383" s="58"/>
      <c r="AB1383" s="58"/>
      <c r="AC1383" s="58"/>
      <c r="AD1383" s="58"/>
      <c r="AE1383" s="58"/>
      <c r="AF1383" s="58"/>
      <c r="AG1383" s="58"/>
      <c r="AH1383" s="58"/>
      <c r="AI1383" s="58"/>
      <c r="AJ1383" s="58"/>
      <c r="AK1383" s="58"/>
      <c r="AL1383" s="58"/>
      <c r="AM1383" s="58"/>
      <c r="AN1383" s="58"/>
      <c r="AO1383" s="58"/>
      <c r="AP1383" s="58"/>
      <c r="AQ1383" s="58"/>
      <c r="AR1383" s="58"/>
      <c r="AS1383" s="58"/>
      <c r="AT1383" s="58"/>
      <c r="AU1383" s="58"/>
      <c r="AV1383" s="58"/>
      <c r="AW1383" s="58"/>
      <c r="AX1383" s="58"/>
      <c r="AY1383" s="58"/>
      <c r="AZ1383" s="58"/>
      <c r="BA1383" s="58"/>
      <c r="BB1383" s="58"/>
      <c r="BC1383" s="58"/>
      <c r="BD1383" s="58"/>
      <c r="BE1383" s="58"/>
      <c r="BF1383" s="58"/>
      <c r="BG1383" s="58"/>
      <c r="BH1383" s="58"/>
      <c r="BI1383" s="30"/>
      <c r="BJ1383" s="30"/>
      <c r="BK1383" s="30"/>
      <c r="BL1383" s="58"/>
      <c r="BM1383" s="58"/>
      <c r="BN1383" s="58"/>
      <c r="BO1383" s="58"/>
      <c r="BP1383" s="58"/>
      <c r="BQ1383" s="58"/>
      <c r="BR1383" s="58"/>
      <c r="BS1383" s="58"/>
      <c r="BT1383" s="58"/>
      <c r="BU1383" s="58"/>
      <c r="BV1383" s="58"/>
      <c r="BW1383" s="58"/>
      <c r="BX1383" s="58"/>
      <c r="BY1383" s="58"/>
      <c r="BZ1383" s="58"/>
    </row>
    <row r="1384" spans="1:78" s="28" customFormat="1" ht="12.75" customHeight="1" thickBot="1" x14ac:dyDescent="0.25">
      <c r="A1384" s="782"/>
      <c r="B1384" s="1312"/>
      <c r="C1384" s="486"/>
      <c r="D1384" s="178"/>
      <c r="E1384" s="487"/>
      <c r="F1384" s="486"/>
      <c r="G1384" s="478"/>
      <c r="H1384" s="478"/>
      <c r="I1384" s="478"/>
      <c r="J1384" s="478"/>
      <c r="K1384" s="486"/>
      <c r="L1384" s="478"/>
      <c r="M1384" s="478"/>
      <c r="N1384" s="478"/>
      <c r="O1384" s="1313"/>
      <c r="P1384" s="485"/>
      <c r="Q1384" s="485"/>
      <c r="R1384" s="485"/>
      <c r="S1384" s="23"/>
      <c r="T1384" s="27" t="str">
        <f>IF(ISBLANK(E1385),"",MATCH(E1385,CNTR_SourceStreamNames,0))</f>
        <v/>
      </c>
      <c r="U1384" s="609" t="str">
        <f>IF(ISBLANK(E1385),"",INDEX(B_InstallationDescription!$D$71:$D$145,MATCH(E1385,CNTR_SourceStreamNames,0)))</f>
        <v/>
      </c>
      <c r="V1384" s="76"/>
      <c r="W1384" s="56"/>
      <c r="X1384" s="56"/>
      <c r="Y1384" s="56"/>
      <c r="Z1384" s="58"/>
      <c r="AA1384" s="58"/>
      <c r="AB1384" s="58"/>
      <c r="AC1384" s="58"/>
      <c r="AD1384" s="58"/>
      <c r="AE1384" s="58"/>
      <c r="AF1384" s="58"/>
      <c r="AG1384" s="58"/>
      <c r="AH1384" s="58"/>
      <c r="AI1384" s="58"/>
      <c r="AJ1384" s="58"/>
      <c r="AK1384" s="482"/>
      <c r="AL1384" s="58"/>
      <c r="AM1384" s="58"/>
      <c r="AN1384" s="58"/>
      <c r="AO1384" s="58"/>
      <c r="AP1384" s="58"/>
      <c r="AQ1384" s="58"/>
      <c r="AR1384" s="58"/>
      <c r="AS1384" s="58"/>
      <c r="AT1384" s="58"/>
      <c r="AU1384" s="58"/>
      <c r="AV1384" s="58"/>
      <c r="AW1384" s="58"/>
      <c r="AX1384" s="58"/>
      <c r="AY1384" s="58"/>
      <c r="AZ1384" s="58"/>
      <c r="BA1384" s="58"/>
      <c r="BB1384" s="58"/>
      <c r="BC1384" s="58"/>
      <c r="BD1384" s="58"/>
      <c r="BE1384" s="58"/>
      <c r="BF1384" s="58"/>
      <c r="BG1384" s="58"/>
      <c r="BH1384" s="56"/>
      <c r="BI1384" s="56"/>
      <c r="BJ1384" s="56"/>
      <c r="BK1384" s="56"/>
      <c r="BL1384" s="56"/>
      <c r="BM1384" s="56"/>
      <c r="BN1384" s="56"/>
      <c r="BO1384" s="56"/>
      <c r="BP1384" s="56"/>
      <c r="BQ1384" s="56"/>
      <c r="BR1384" s="56"/>
      <c r="BS1384" s="56"/>
      <c r="BT1384" s="56"/>
      <c r="BU1384" s="56"/>
      <c r="BV1384" s="56"/>
      <c r="BW1384" s="56"/>
      <c r="BX1384" s="56"/>
      <c r="BY1384" s="56"/>
      <c r="BZ1384" s="484" t="s">
        <v>259</v>
      </c>
    </row>
    <row r="1385" spans="1:78" s="140" customFormat="1" ht="15" customHeight="1" thickBot="1" x14ac:dyDescent="0.25">
      <c r="A1385" s="1302" t="str">
        <f>IF(E1385="","","PRINT")</f>
        <v/>
      </c>
      <c r="B1385" s="1248"/>
      <c r="C1385" s="608">
        <f>C1358+1</f>
        <v>50</v>
      </c>
      <c r="D1385" s="164"/>
      <c r="E1385" s="1610"/>
      <c r="F1385" s="1611"/>
      <c r="G1385" s="1611"/>
      <c r="H1385" s="1611"/>
      <c r="I1385" s="1611"/>
      <c r="J1385" s="1612"/>
      <c r="K1385" s="1623" t="str">
        <f>IF(E1386="","",INDEX(EUwideConstants!$F$353:$F$394,MATCH(E1386,EUConst_TierActivityListNames,0)))</f>
        <v/>
      </c>
      <c r="L1385" s="1624"/>
      <c r="M1385" s="494" t="str">
        <f>Translations!$B$665</f>
        <v>CO2, iškastinio kuro kilmės:</v>
      </c>
      <c r="N1385" s="1012" t="str">
        <f>IF(OR(K1385="",T1386=TRUE),"",INDEX(BC1399:BE1399,MATCH(K1385,BC1395:BE1395,0)))</f>
        <v/>
      </c>
      <c r="O1385" s="1314" t="s">
        <v>257</v>
      </c>
      <c r="P1385" s="1303" t="str">
        <f>IF(AND(E1385&lt;&gt;"",COUNTIF(P1386:$P$2089,"PRINT")=0),"PRINT","")</f>
        <v/>
      </c>
      <c r="Q1385" s="343" t="str">
        <f>EUconst_SumCO2 &amp; "_" &amp; K1385</f>
        <v>SUM_CO2_</v>
      </c>
      <c r="R1385" s="485"/>
      <c r="S1385" s="23"/>
      <c r="T1385" s="500" t="s">
        <v>387</v>
      </c>
      <c r="U1385" s="23"/>
      <c r="V1385" s="76"/>
      <c r="W1385" s="56"/>
      <c r="X1385" s="58"/>
      <c r="Y1385" s="58"/>
      <c r="Z1385" s="58"/>
      <c r="AA1385" s="58"/>
      <c r="AB1385" s="58"/>
      <c r="AC1385" s="58"/>
      <c r="AD1385" s="58"/>
      <c r="AE1385" s="58"/>
      <c r="AF1385" s="58"/>
      <c r="AG1385" s="58"/>
      <c r="AH1385" s="58"/>
      <c r="AI1385" s="333"/>
      <c r="AJ1385" s="333"/>
      <c r="AK1385" s="333"/>
      <c r="AL1385" s="333"/>
      <c r="AM1385" s="333"/>
      <c r="AN1385" s="333"/>
      <c r="AO1385" s="333"/>
      <c r="AP1385" s="333"/>
      <c r="AQ1385" s="333"/>
      <c r="AR1385" s="333"/>
      <c r="AS1385" s="333"/>
      <c r="AT1385" s="333"/>
      <c r="AU1385" s="333"/>
      <c r="AV1385" s="333"/>
      <c r="AW1385" s="333"/>
      <c r="AX1385" s="333"/>
      <c r="AY1385" s="333"/>
      <c r="AZ1385" s="333"/>
      <c r="BA1385" s="333"/>
      <c r="BB1385" s="333"/>
      <c r="BC1385" s="333"/>
      <c r="BD1385" s="333"/>
      <c r="BE1385" s="333"/>
      <c r="BF1385" s="333"/>
      <c r="BG1385" s="333"/>
      <c r="BH1385" s="834">
        <f>AR1395</f>
        <v>0</v>
      </c>
      <c r="BI1385" s="834" t="str">
        <f>AJ1395</f>
        <v/>
      </c>
      <c r="BJ1385" s="834">
        <f>AR1397</f>
        <v>0</v>
      </c>
      <c r="BK1385" s="834" t="str">
        <f>AJ1397</f>
        <v/>
      </c>
      <c r="BL1385" s="834">
        <f>AR1398</f>
        <v>0</v>
      </c>
      <c r="BM1385" s="834" t="str">
        <f>AJ1398</f>
        <v/>
      </c>
      <c r="BN1385" s="834">
        <f>AR1399</f>
        <v>1</v>
      </c>
      <c r="BO1385" s="834">
        <f>AR1400</f>
        <v>1</v>
      </c>
      <c r="BP1385" s="834">
        <f>AR1401</f>
        <v>0</v>
      </c>
      <c r="BQ1385" s="834" t="str">
        <f>AJ1401</f>
        <v/>
      </c>
      <c r="BR1385" s="834">
        <f>AR1402</f>
        <v>0</v>
      </c>
      <c r="BS1385" s="834">
        <f>AR1403</f>
        <v>0</v>
      </c>
      <c r="BT1385" s="834" t="str">
        <f>N1385</f>
        <v/>
      </c>
      <c r="BU1385" s="834" t="str">
        <f>N1386</f>
        <v/>
      </c>
      <c r="BV1385" s="834" t="str">
        <f>R1388</f>
        <v/>
      </c>
      <c r="BW1385" s="834" t="str">
        <f>R1394</f>
        <v/>
      </c>
      <c r="BX1385" s="834" t="str">
        <f>R1395</f>
        <v/>
      </c>
      <c r="BY1385" s="56"/>
      <c r="BZ1385" s="610" t="b">
        <f>CNTR_CalcRelevant=EUconst_NotRelevant</f>
        <v>0</v>
      </c>
    </row>
    <row r="1386" spans="1:78" s="140" customFormat="1" ht="15" customHeight="1" thickBot="1" x14ac:dyDescent="0.25">
      <c r="A1386" s="777"/>
      <c r="B1386" s="1248"/>
      <c r="C1386" s="164"/>
      <c r="D1386" s="164"/>
      <c r="E1386" s="1625" t="str">
        <f>IF(ISBLANK(E1385),"",IF(INDEX(B_InstallationDescription!$E$71:$E$145,MATCH(U1384,B_InstallationDescription!$D$71:$D$145,0))&gt;0,INDEX(B_InstallationDescription!$E$71:$E$145,MATCH(U1384,B_InstallationDescription!$D$71:$D$145,0)),""))</f>
        <v/>
      </c>
      <c r="F1386" s="1626"/>
      <c r="G1386" s="1626"/>
      <c r="H1386" s="1626"/>
      <c r="I1386" s="1626"/>
      <c r="J1386" s="1627"/>
      <c r="M1386" s="337" t="str">
        <f>Translations!$B$666</f>
        <v>CO2, biomasės kilmės.:</v>
      </c>
      <c r="N1386" s="1013" t="str">
        <f>IF(OR(K1385="",T1386=TRUE),"",INDEX(BC1398:BE1398,MATCH(K1385,BC1395:BE1395,0)))</f>
        <v/>
      </c>
      <c r="O1386" s="1315" t="s">
        <v>257</v>
      </c>
      <c r="P1386" s="485"/>
      <c r="Q1386" s="343" t="str">
        <f>EUconst_SumBioCO2 &amp; "_" &amp; K1385</f>
        <v>SUM_bioCO2_</v>
      </c>
      <c r="R1386" s="485"/>
      <c r="S1386" s="23"/>
      <c r="T1386" s="48" t="str">
        <f>IF(E1386="","",MATCH(E1386,EUConst_TierActivityListNames,0)&gt;40)</f>
        <v/>
      </c>
      <c r="U1386" s="23"/>
      <c r="V1386" s="76"/>
      <c r="W1386" s="56"/>
      <c r="X1386" s="58"/>
      <c r="Y1386" s="27" t="s">
        <v>91</v>
      </c>
      <c r="Z1386" s="30"/>
      <c r="AA1386" s="30"/>
      <c r="AB1386" s="30"/>
      <c r="AC1386" s="30"/>
      <c r="AD1386" s="30"/>
      <c r="AE1386" s="27" t="s">
        <v>297</v>
      </c>
      <c r="AF1386" s="58"/>
      <c r="AG1386" s="495"/>
      <c r="AH1386" s="30"/>
      <c r="AI1386" s="30"/>
      <c r="AJ1386" s="495"/>
      <c r="AK1386" s="495"/>
      <c r="AL1386" s="333"/>
      <c r="AM1386" s="27" t="s">
        <v>303</v>
      </c>
      <c r="AN1386" s="496"/>
      <c r="AO1386" s="496"/>
      <c r="AP1386" s="30"/>
      <c r="AQ1386" s="30"/>
      <c r="AR1386" s="30"/>
      <c r="AS1386" s="30"/>
      <c r="AT1386" s="30"/>
      <c r="AU1386" s="30"/>
      <c r="AV1386" s="27" t="s">
        <v>310</v>
      </c>
      <c r="AW1386" s="30"/>
      <c r="AX1386" s="483"/>
      <c r="AY1386" s="30"/>
      <c r="AZ1386" s="30"/>
      <c r="BA1386" s="30"/>
      <c r="BB1386" s="27" t="s">
        <v>217</v>
      </c>
      <c r="BC1386" s="30"/>
      <c r="BD1386" s="30"/>
      <c r="BE1386" s="30"/>
      <c r="BF1386" s="30"/>
      <c r="BG1386" s="27" t="s">
        <v>486</v>
      </c>
      <c r="BH1386" s="833" t="s">
        <v>552</v>
      </c>
      <c r="BI1386" s="833" t="s">
        <v>487</v>
      </c>
      <c r="BJ1386" s="833" t="s">
        <v>211</v>
      </c>
      <c r="BK1386" s="833" t="s">
        <v>488</v>
      </c>
      <c r="BL1386" s="833" t="s">
        <v>68</v>
      </c>
      <c r="BM1386" s="833" t="s">
        <v>489</v>
      </c>
      <c r="BN1386" s="833" t="s">
        <v>490</v>
      </c>
      <c r="BO1386" s="833" t="s">
        <v>491</v>
      </c>
      <c r="BP1386" s="833" t="s">
        <v>214</v>
      </c>
      <c r="BQ1386" s="833" t="s">
        <v>492</v>
      </c>
      <c r="BR1386" s="833" t="s">
        <v>493</v>
      </c>
      <c r="BS1386" s="833" t="s">
        <v>494</v>
      </c>
      <c r="BT1386" s="833" t="s">
        <v>287</v>
      </c>
      <c r="BU1386" s="833" t="s">
        <v>495</v>
      </c>
      <c r="BV1386" s="833" t="s">
        <v>498</v>
      </c>
      <c r="BW1386" s="833" t="s">
        <v>496</v>
      </c>
      <c r="BX1386" s="833" t="s">
        <v>497</v>
      </c>
      <c r="BY1386" s="30"/>
      <c r="BZ1386" s="30"/>
    </row>
    <row r="1387" spans="1:78" s="140" customFormat="1" ht="5.0999999999999996" customHeight="1" thickBot="1" x14ac:dyDescent="0.25">
      <c r="A1387" s="777"/>
      <c r="B1387" s="1248"/>
      <c r="C1387" s="164"/>
      <c r="D1387" s="164"/>
      <c r="E1387" s="164"/>
      <c r="F1387" s="164"/>
      <c r="G1387" s="164"/>
      <c r="M1387" s="141"/>
      <c r="N1387" s="141"/>
      <c r="O1387" s="1305"/>
      <c r="P1387" s="33"/>
      <c r="Q1387" s="33"/>
      <c r="R1387" s="33"/>
      <c r="S1387" s="23"/>
      <c r="T1387" s="23"/>
      <c r="U1387" s="23"/>
      <c r="V1387" s="76"/>
      <c r="W1387" s="30"/>
      <c r="X1387" s="30"/>
      <c r="Y1387" s="485"/>
      <c r="Z1387" s="30"/>
      <c r="AA1387" s="30"/>
      <c r="AB1387" s="30"/>
      <c r="AC1387" s="30"/>
      <c r="AD1387" s="30"/>
      <c r="AE1387" s="30"/>
      <c r="AF1387" s="58"/>
      <c r="AG1387" s="30"/>
      <c r="AH1387" s="30"/>
      <c r="AI1387" s="30"/>
      <c r="AJ1387" s="495"/>
      <c r="AK1387" s="495"/>
      <c r="AL1387" s="333"/>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row>
    <row r="1388" spans="1:78" s="140" customFormat="1" ht="12.75" customHeight="1" thickBot="1" x14ac:dyDescent="0.25">
      <c r="A1388" s="777"/>
      <c r="B1388" s="1248"/>
      <c r="C1388" s="164"/>
      <c r="D1388" s="164"/>
      <c r="E1388" s="1628" t="str">
        <f>IF(E1385="","",IF(T1386=TRUE,HYPERLINK("#JUMP_14",EUconst_MsgGoOnPFC),HYPERLINK("#JUMP_E_8",EUconst_FurtherGuidancePoint1)))</f>
        <v/>
      </c>
      <c r="F1388" s="1628"/>
      <c r="G1388" s="1628"/>
      <c r="H1388" s="1628"/>
      <c r="I1388" s="1628"/>
      <c r="J1388" s="1628"/>
      <c r="K1388" s="1628"/>
      <c r="L1388" s="1628"/>
      <c r="M1388" s="1628"/>
      <c r="N1388" s="141"/>
      <c r="O1388" s="1305"/>
      <c r="P1388" s="33"/>
      <c r="Q1388" s="343" t="str">
        <f>EUconst_SumNonSustBioCO2 &amp; "_" &amp; K1385</f>
        <v>SUM_bioNonSustCO2_</v>
      </c>
      <c r="R1388" s="698" t="str">
        <f>IF(OR(K1385="",T1386=TRUE),"",ROUND(INDEX(BC1397:BE1397,MATCH(K1385,BC1395:BE1395,0)),0))</f>
        <v/>
      </c>
      <c r="S1388" s="23"/>
      <c r="T1388" s="23"/>
      <c r="U1388" s="23"/>
      <c r="V1388" s="30"/>
      <c r="W1388" s="30"/>
      <c r="X1388" s="30"/>
      <c r="Y1388" s="58"/>
      <c r="Z1388" s="30"/>
      <c r="AA1388" s="30"/>
      <c r="AB1388" s="30"/>
      <c r="AC1388" s="30"/>
      <c r="AD1388" s="30"/>
      <c r="AE1388" s="30"/>
      <c r="AF1388" s="58"/>
      <c r="AG1388" s="30"/>
      <c r="AH1388" s="30"/>
      <c r="AI1388" s="30"/>
      <c r="AJ1388" s="495"/>
      <c r="AK1388" s="495"/>
      <c r="AL1388" s="333"/>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row>
    <row r="1389" spans="1:78" s="140" customFormat="1" ht="5.0999999999999996" customHeight="1" thickBot="1" x14ac:dyDescent="0.25">
      <c r="A1389" s="777"/>
      <c r="B1389" s="1248"/>
      <c r="C1389" s="164"/>
      <c r="D1389" s="164"/>
      <c r="E1389" s="164"/>
      <c r="F1389" s="164"/>
      <c r="G1389" s="164"/>
      <c r="M1389" s="141"/>
      <c r="N1389" s="141"/>
      <c r="O1389" s="1305"/>
      <c r="P1389" s="23"/>
      <c r="Q1389" s="23"/>
      <c r="R1389" s="23"/>
      <c r="S1389" s="23"/>
      <c r="T1389" s="23"/>
      <c r="U1389" s="23"/>
      <c r="V1389" s="30"/>
      <c r="W1389" s="30"/>
      <c r="X1389" s="30"/>
      <c r="Y1389" s="485"/>
      <c r="Z1389" s="30"/>
      <c r="AA1389" s="30"/>
      <c r="AB1389" s="30"/>
      <c r="AC1389" s="30"/>
      <c r="AD1389" s="30"/>
      <c r="AE1389" s="30"/>
      <c r="AF1389" s="58"/>
      <c r="AG1389" s="30"/>
      <c r="AH1389" s="30"/>
      <c r="AI1389" s="30"/>
      <c r="AJ1389" s="495"/>
      <c r="AK1389" s="495"/>
      <c r="AL1389" s="333"/>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row>
    <row r="1390" spans="1:78" s="140" customFormat="1" ht="12.75" customHeight="1" thickBot="1" x14ac:dyDescent="0.25">
      <c r="A1390" s="777"/>
      <c r="B1390" s="1248"/>
      <c r="C1390" s="783" t="s">
        <v>4</v>
      </c>
      <c r="D1390" s="503" t="str">
        <f>Translations!$B$622</f>
        <v>VD:</v>
      </c>
      <c r="E1390" s="1631" t="str">
        <f>Translations!$B$667</f>
        <v>Ar veiklos duomenys gaunami sudedant išmatuotus kiekius (t. y. ne atliekant nuolatinius matavimus)?</v>
      </c>
      <c r="F1390" s="1631"/>
      <c r="G1390" s="1631"/>
      <c r="H1390" s="1631"/>
      <c r="I1390" s="1631"/>
      <c r="J1390" s="1631"/>
      <c r="K1390" s="1631"/>
      <c r="L1390" s="1122"/>
      <c r="M1390" s="498"/>
      <c r="O1390" s="1305"/>
      <c r="P1390" s="23"/>
      <c r="Q1390" s="23"/>
      <c r="R1390" s="23"/>
      <c r="S1390" s="23"/>
      <c r="T1390" s="23"/>
      <c r="U1390" s="23"/>
      <c r="V1390" s="30"/>
      <c r="W1390" s="30"/>
      <c r="X1390" s="30"/>
      <c r="Y1390" s="485"/>
      <c r="Z1390" s="30"/>
      <c r="AA1390" s="30"/>
      <c r="AB1390" s="30"/>
      <c r="AC1390" s="1115" t="b">
        <f>AND(E1385&lt;&gt;"",T1386&lt;&gt;TRUE)</f>
        <v>0</v>
      </c>
      <c r="AD1390" s="30"/>
      <c r="AE1390" s="30"/>
      <c r="AF1390" s="58"/>
      <c r="AG1390" s="30"/>
      <c r="AH1390" s="30"/>
      <c r="AI1390" s="30"/>
      <c r="AJ1390" s="495"/>
      <c r="AK1390" s="495"/>
      <c r="AL1390" s="333"/>
      <c r="AM1390" s="30"/>
      <c r="AN1390" s="30"/>
      <c r="AO1390" s="30"/>
      <c r="AP1390" s="30"/>
      <c r="AQ1390" s="30"/>
      <c r="AR1390" s="30"/>
      <c r="AS1390" s="30"/>
      <c r="AT1390" s="1115" t="b">
        <f>MSPara_BatchReportingMandatory&lt;&gt;TRUE</f>
        <v>0</v>
      </c>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1115" t="b">
        <f>OR(CNTR_CalcRelevant=EUconst_NotRelevant,AND(COUNTA(CNTR_ListRelevantSections)&gt;0,OR(T1386=TRUE,E1385="")))</f>
        <v>1</v>
      </c>
    </row>
    <row r="1391" spans="1:78" s="140" customFormat="1" ht="5.0999999999999996" customHeight="1" thickBot="1" x14ac:dyDescent="0.25">
      <c r="A1391" s="777"/>
      <c r="B1391" s="1248"/>
      <c r="C1391" s="164"/>
      <c r="D1391" s="164"/>
      <c r="E1391" s="164"/>
      <c r="F1391" s="164"/>
      <c r="G1391" s="164"/>
      <c r="H1391" s="486"/>
      <c r="I1391" s="486"/>
      <c r="J1391" s="486"/>
      <c r="K1391" s="486"/>
      <c r="L1391" s="486"/>
      <c r="M1391" s="498"/>
      <c r="O1391" s="1305"/>
      <c r="P1391" s="23"/>
      <c r="Q1391" s="23"/>
      <c r="R1391" s="23"/>
      <c r="S1391" s="23"/>
      <c r="T1391" s="23"/>
      <c r="U1391" s="23"/>
      <c r="V1391" s="30"/>
      <c r="W1391" s="30"/>
      <c r="X1391" s="30"/>
      <c r="Y1391" s="485"/>
      <c r="Z1391" s="30"/>
      <c r="AA1391" s="30"/>
      <c r="AB1391" s="30"/>
      <c r="AC1391" s="483"/>
      <c r="AD1391" s="30"/>
      <c r="AE1391" s="30"/>
      <c r="AF1391" s="58"/>
      <c r="AG1391" s="30"/>
      <c r="AH1391" s="30"/>
      <c r="AI1391" s="30"/>
      <c r="AJ1391" s="495"/>
      <c r="AK1391" s="495"/>
      <c r="AL1391" s="333"/>
      <c r="AM1391" s="30"/>
      <c r="AN1391" s="30"/>
      <c r="AO1391" s="30"/>
      <c r="AP1391" s="30"/>
      <c r="AQ1391" s="30"/>
      <c r="AR1391" s="30"/>
      <c r="AS1391" s="30"/>
      <c r="AT1391" s="483"/>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483"/>
    </row>
    <row r="1392" spans="1:78" s="140" customFormat="1" ht="12.75" customHeight="1" thickBot="1" x14ac:dyDescent="0.25">
      <c r="A1392" s="777"/>
      <c r="B1392" s="1248"/>
      <c r="C1392" s="783" t="s">
        <v>5</v>
      </c>
      <c r="D1392" s="503" t="str">
        <f>Translations!$B$622</f>
        <v>VD:</v>
      </c>
      <c r="E1392" s="1105" t="str">
        <f>Translations!$B$668</f>
        <v>Pradinis kiekis:</v>
      </c>
      <c r="F1392" s="1123"/>
      <c r="G1392" s="1106" t="str">
        <f>Translations!$B$669</f>
        <v>Galutinis kiekis:</v>
      </c>
      <c r="H1392" s="1123"/>
      <c r="I1392" s="1106" t="str">
        <f>Translations!$B$670</f>
        <v>Įsigytas kiekis:</v>
      </c>
      <c r="J1392" s="1123"/>
      <c r="K1392" s="1106" t="str">
        <f>Translations!$B$671</f>
        <v>Perduotas kiekis:</v>
      </c>
      <c r="L1392" s="1123"/>
      <c r="M1392" s="1107" t="str">
        <f>IF(AND(L1390=TRUE,COUNT(F1392,H1392,J1392,L1392)&lt;4),EUconst_ERR_Incomplete,"")</f>
        <v/>
      </c>
      <c r="O1392" s="1305"/>
      <c r="P1392" s="23"/>
      <c r="Q1392" s="23"/>
      <c r="R1392" s="23"/>
      <c r="S1392" s="23"/>
      <c r="T1392" s="23"/>
      <c r="U1392" s="23"/>
      <c r="V1392" s="30"/>
      <c r="W1392" s="30"/>
      <c r="X1392" s="30"/>
      <c r="Y1392" s="485"/>
      <c r="Z1392" s="30"/>
      <c r="AA1392" s="30"/>
      <c r="AB1392" s="30"/>
      <c r="AC1392" s="1115" t="b">
        <f>AC1390</f>
        <v>0</v>
      </c>
      <c r="AD1392" s="30"/>
      <c r="AE1392" s="30"/>
      <c r="AF1392" s="58"/>
      <c r="AG1392" s="30"/>
      <c r="AH1392" s="30"/>
      <c r="AI1392" s="30"/>
      <c r="AJ1392" s="495"/>
      <c r="AK1392" s="495"/>
      <c r="AL1392" s="333"/>
      <c r="AM1392" s="30"/>
      <c r="AN1392" s="30"/>
      <c r="AO1392" s="30"/>
      <c r="AP1392" s="30"/>
      <c r="AQ1392" s="30"/>
      <c r="AR1392" s="30"/>
      <c r="AS1392" s="30"/>
      <c r="AT1392" s="1115" t="b">
        <f>AND(AT1390=TRUE,L1390="")</f>
        <v>0</v>
      </c>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1115" t="b">
        <f>OR(BZ1390,AND(NOT(ISBLANK(L1390)),L1390=FALSE))</f>
        <v>1</v>
      </c>
    </row>
    <row r="1393" spans="1:78" s="140" customFormat="1" ht="5.0999999999999996" customHeight="1" thickBot="1" x14ac:dyDescent="0.25">
      <c r="A1393" s="777"/>
      <c r="B1393" s="1248"/>
      <c r="C1393" s="164"/>
      <c r="D1393" s="164"/>
      <c r="E1393" s="164"/>
      <c r="F1393" s="164"/>
      <c r="G1393" s="164"/>
      <c r="M1393" s="141"/>
      <c r="N1393" s="141"/>
      <c r="O1393" s="1305"/>
      <c r="P1393" s="23"/>
      <c r="Q1393" s="23"/>
      <c r="R1393" s="23"/>
      <c r="S1393" s="23"/>
      <c r="T1393" s="23"/>
      <c r="U1393" s="23"/>
      <c r="V1393" s="30"/>
      <c r="W1393" s="30"/>
      <c r="X1393" s="30"/>
      <c r="Y1393" s="485"/>
      <c r="Z1393" s="30"/>
      <c r="AA1393" s="30"/>
      <c r="AB1393" s="30"/>
      <c r="AC1393" s="30"/>
      <c r="AD1393" s="30"/>
      <c r="AE1393" s="30"/>
      <c r="AF1393" s="58"/>
      <c r="AG1393" s="30"/>
      <c r="AH1393" s="30"/>
      <c r="AI1393" s="30"/>
      <c r="AJ1393" s="495"/>
      <c r="AK1393" s="495"/>
      <c r="AL1393" s="333"/>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row>
    <row r="1394" spans="1:78" s="140" customFormat="1" ht="12.75" customHeight="1" thickBot="1" x14ac:dyDescent="0.25">
      <c r="A1394" s="777"/>
      <c r="B1394" s="1248"/>
      <c r="C1394" s="164"/>
      <c r="D1394" s="164"/>
      <c r="E1394" s="164"/>
      <c r="F1394" s="497" t="str">
        <f>Translations!$B$333</f>
        <v>Pakopa</v>
      </c>
      <c r="G1394" s="1613" t="str">
        <f>Translations!$B$672</f>
        <v>pakopos aprašas</v>
      </c>
      <c r="H1394" s="1613"/>
      <c r="I1394" s="1608" t="str">
        <f>Translations!$B$158</f>
        <v>Vienetas</v>
      </c>
      <c r="J1394" s="1608"/>
      <c r="K1394" s="1608" t="str">
        <f>Translations!$B$673</f>
        <v>Vertė</v>
      </c>
      <c r="L1394" s="1608"/>
      <c r="M1394" s="498" t="str">
        <f>Translations!$B$610</f>
        <v>klaida</v>
      </c>
      <c r="O1394" s="1305"/>
      <c r="P1394" s="499"/>
      <c r="Q1394" s="343" t="str">
        <f>EUconst_SumEnergyIN &amp; "_" &amp; K1385</f>
        <v>SUM_EnergyIN_</v>
      </c>
      <c r="R1394" s="390" t="str">
        <f>IF(OR(K1385="",T1386)=TRUE,"",INDEX(BC1400:BE1400,MATCH(K1385,BC1395:BE1395,0)))</f>
        <v/>
      </c>
      <c r="S1394" s="30"/>
      <c r="T1394" s="480"/>
      <c r="U1394" s="30"/>
      <c r="V1394" s="500" t="s">
        <v>298</v>
      </c>
      <c r="W1394" s="30"/>
      <c r="X1394" s="30"/>
      <c r="Y1394" s="485" t="s">
        <v>560</v>
      </c>
      <c r="Z1394" s="485" t="s">
        <v>313</v>
      </c>
      <c r="AA1394" s="30"/>
      <c r="AB1394" s="30"/>
      <c r="AC1394" s="496" t="s">
        <v>304</v>
      </c>
      <c r="AD1394" s="30"/>
      <c r="AE1394" s="30"/>
      <c r="AF1394" s="483" t="s">
        <v>300</v>
      </c>
      <c r="AG1394" s="483" t="s">
        <v>301</v>
      </c>
      <c r="AH1394" s="485" t="s">
        <v>299</v>
      </c>
      <c r="AI1394" s="495" t="s">
        <v>302</v>
      </c>
      <c r="AJ1394" s="495" t="s">
        <v>561</v>
      </c>
      <c r="AK1394" s="501" t="s">
        <v>306</v>
      </c>
      <c r="AL1394" s="333"/>
      <c r="AM1394" s="30"/>
      <c r="AN1394" s="483" t="s">
        <v>300</v>
      </c>
      <c r="AO1394" s="483" t="s">
        <v>301</v>
      </c>
      <c r="AP1394" s="502" t="s">
        <v>305</v>
      </c>
      <c r="AQ1394" s="495" t="s">
        <v>563</v>
      </c>
      <c r="AR1394" s="495" t="s">
        <v>562</v>
      </c>
      <c r="AS1394" s="501" t="s">
        <v>599</v>
      </c>
      <c r="AT1394" s="501" t="s">
        <v>599</v>
      </c>
      <c r="AU1394" s="30"/>
      <c r="AV1394" s="483"/>
      <c r="AW1394" s="483"/>
      <c r="AX1394" s="483" t="s">
        <v>316</v>
      </c>
      <c r="AY1394" s="483"/>
      <c r="AZ1394" s="483"/>
      <c r="BA1394" s="483"/>
      <c r="BB1394" s="483"/>
      <c r="BC1394" s="483"/>
      <c r="BD1394" s="483"/>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484" t="s">
        <v>259</v>
      </c>
    </row>
    <row r="1395" spans="1:78" s="140" customFormat="1" ht="12.75" customHeight="1" thickBot="1" x14ac:dyDescent="0.25">
      <c r="A1395" s="777"/>
      <c r="B1395" s="1248"/>
      <c r="C1395" s="753" t="s">
        <v>194</v>
      </c>
      <c r="D1395" s="503" t="str">
        <f>Translations!$B$622</f>
        <v>VD:</v>
      </c>
      <c r="E1395" s="504"/>
      <c r="F1395" s="393"/>
      <c r="G1395" s="1603" t="str">
        <f>IF(OR(ISBLANK(F1395),F1395=EUconst_NoTier),"",IF(Z1395=0,EUconst_NA,IF(ISERROR(Z1395),"",Z1395)))</f>
        <v/>
      </c>
      <c r="H1395" s="1604"/>
      <c r="I1395" s="1108" t="str">
        <f>IF(J1395&lt;&gt;"","",AI1395)</f>
        <v/>
      </c>
      <c r="J1395" s="1109"/>
      <c r="K1395" s="1116" t="str">
        <f>IF(L1395="",AQ1395,"")</f>
        <v/>
      </c>
      <c r="L1395" s="1199"/>
      <c r="M1395" s="700" t="str">
        <f>IF(AND(E1386&lt;&gt;"",OR(F1395="",COUNT(K1395:L1395)=0),Y1395&lt;&gt;EUconst_NA,T1386&lt;&gt;TRUE),EUconst_ERR_Incomplete,IF(COUNTIF(AX1395:AZ1395,TRUE)&gt;0,EUconst_ERR_Inconsistent,""))</f>
        <v/>
      </c>
      <c r="O1395" s="1305"/>
      <c r="P1395" s="635"/>
      <c r="Q1395" s="343" t="str">
        <f>EUconst_SumBioEnergyIN &amp; "_" &amp; K1385</f>
        <v>SUM_BioEnergyIN_</v>
      </c>
      <c r="R1395" s="390" t="str">
        <f>IF(OR(K1385="",T1386)=TRUE,"",INDEX(BC1401:BE1401,MATCH(K1385,BC1395:BE1395,0)))</f>
        <v/>
      </c>
      <c r="S1395" s="30"/>
      <c r="T1395" s="505" t="str">
        <f>EUconst_CNTR_ActivityData&amp;E1386</f>
        <v>ActivityData_</v>
      </c>
      <c r="U1395" s="488"/>
      <c r="V1395" s="505" t="str">
        <f>IF(E1385="","",INDEX(B_InstallationDescription!$I$71:$I$145,MATCH(U1384,B_InstallationDescription!$D$71:$D$145,0)))</f>
        <v/>
      </c>
      <c r="W1395" s="495" t="s">
        <v>533</v>
      </c>
      <c r="X1395" s="488"/>
      <c r="Y1395" s="506" t="str">
        <f>IF(OR(T1386=TRUE,E1386=""),"",INDEX(EUwideConstants!$N:$N,MATCH(T1395,EUwideConstants!$Q:$Q,0)))</f>
        <v/>
      </c>
      <c r="Z1395" s="507" t="str">
        <f>IF(ISBLANK(F1395),"",IF(F1395=EUconst_NA,"",INDEX(EUwideConstants!$H:$M,MATCH(T1395,EUwideConstants!$Q:$Q,0),MATCH(F1395,CNTR_TierList,0))))</f>
        <v/>
      </c>
      <c r="AA1395" s="508" t="s">
        <v>299</v>
      </c>
      <c r="AB1395" s="495"/>
      <c r="AC1395" s="509" t="b">
        <f>AC1390</f>
        <v>0</v>
      </c>
      <c r="AD1395" s="30"/>
      <c r="AE1395" s="510" t="str">
        <f>EUconst_CNTR_ActivityData&amp;EUconst_Unit</f>
        <v>ActivityData_Vienetas</v>
      </c>
      <c r="AF1395" s="511" t="str">
        <f>IF(AC1395=TRUE, IF(COUNTIF(MSPara_SourceStreamCategory,V1395)=0,"",INDEX(MSPara_CalcFactorsMatrix,MATCH(V1395,MSPara_SourceStreamCategory,0),MATCH(AE1395&amp;"_"&amp;2,MSPara_CalcFactors,0))),"")</f>
        <v/>
      </c>
      <c r="AG1395" s="512" t="str">
        <f>IF(AC1395=TRUE, IF(COUNTIF(MSPara_SourceStreamCategory,V1395)=0,"",INDEX(MSPara_CalcFactorsMatrix,MATCH(V1395,MSPara_SourceStreamCategory,0),MATCH(AE1395&amp;"_"&amp;1,MSPara_CalcFactors,0))),"")</f>
        <v/>
      </c>
      <c r="AH1395" s="509" t="str">
        <f>IF(OR(AF1395="",AF1395=EUconst_NA),IF(OR(AG1395=EUconst_NA,AG1395=""),"",AG1395),AF1395)</f>
        <v/>
      </c>
      <c r="AI1395" s="506" t="str">
        <f>IF(AC1395=TRUE,IF(AH1395="",EUconst_t,AH1395),"")</f>
        <v/>
      </c>
      <c r="AJ1395" s="513" t="str">
        <f>IF(J1395="",AI1395,J1395)</f>
        <v/>
      </c>
      <c r="AK1395" s="514" t="b">
        <f>IF(K1385=EUconst_Fuel,J1395&lt;&gt;"",FALSE)</f>
        <v>0</v>
      </c>
      <c r="AL1395" s="333"/>
      <c r="AM1395" s="505" t="str">
        <f>EUconst_CNTR_ActivityData&amp;EUconst_Value</f>
        <v>ActivityData_Vertė</v>
      </c>
      <c r="AN1395" s="496"/>
      <c r="AO1395" s="496"/>
      <c r="AP1395" s="509" t="b">
        <f>AND(AND(AH1395&lt;&gt;"",AJ1395&lt;&gt;""),AJ1395=AH1395)</f>
        <v>0</v>
      </c>
      <c r="AQ1395" s="610" t="str">
        <f>IF(L1390=TRUE,SUM(F1392)-SUM(H1392)+SUM(J1392)-SUM(L1392),"")</f>
        <v/>
      </c>
      <c r="AR1395" s="509">
        <f>IF(Y1395=EUconst_NA,0,IF(COUNT(K1395:L1395)=0,0,IF(L1395="",K1395,L1395)))</f>
        <v>0</v>
      </c>
      <c r="AS1395" s="1115" t="b">
        <f>AND(AC1395=TRUE,OR(L1395&lt;&gt;"",AQ1395=""))</f>
        <v>0</v>
      </c>
      <c r="AT1395" s="1115" t="b">
        <f>AND(AC1395=TRUE,NOT(AS1395))</f>
        <v>0</v>
      </c>
      <c r="AU1395" s="30"/>
      <c r="AV1395" s="483" t="s">
        <v>309</v>
      </c>
      <c r="AW1395" s="483" t="s">
        <v>314</v>
      </c>
      <c r="AX1395" s="515"/>
      <c r="AY1395" s="30" t="s">
        <v>536</v>
      </c>
      <c r="AZ1395" s="30"/>
      <c r="BA1395" s="30"/>
      <c r="BB1395" s="495"/>
      <c r="BC1395" s="484" t="str">
        <f>EUconst_Fuel</f>
        <v>Degimas</v>
      </c>
      <c r="BD1395" s="484" t="str">
        <f>EUconst_ProcessCarbonate</f>
        <v>Proceso metu išsiskiriančios ŠESD</v>
      </c>
      <c r="BE1395" s="484" t="str">
        <f>EUconst_MassBalance</f>
        <v>Masės balansas</v>
      </c>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515" t="b">
        <f>BZ1390</f>
        <v>1</v>
      </c>
    </row>
    <row r="1396" spans="1:78" s="140" customFormat="1" ht="5.0999999999999996" customHeight="1" thickBot="1" x14ac:dyDescent="0.25">
      <c r="A1396" s="777"/>
      <c r="B1396" s="1248"/>
      <c r="C1396" s="783"/>
      <c r="D1396" s="298"/>
      <c r="F1396" s="141"/>
      <c r="G1396" s="141"/>
      <c r="H1396" s="141" t="s">
        <v>233</v>
      </c>
      <c r="I1396" s="516"/>
      <c r="J1396" s="516"/>
      <c r="K1396" s="141"/>
      <c r="L1396" s="141"/>
      <c r="M1396" s="701"/>
      <c r="O1396" s="1305"/>
      <c r="P1396" s="33"/>
      <c r="Q1396" s="33"/>
      <c r="R1396" s="33"/>
      <c r="S1396" s="30"/>
      <c r="T1396" s="153"/>
      <c r="U1396" s="488"/>
      <c r="V1396" s="30"/>
      <c r="W1396" s="30"/>
      <c r="X1396" s="488"/>
      <c r="Y1396" s="517"/>
      <c r="Z1396" s="30"/>
      <c r="AA1396" s="30"/>
      <c r="AB1396" s="30"/>
      <c r="AC1396" s="30"/>
      <c r="AD1396" s="30"/>
      <c r="AE1396" s="30"/>
      <c r="AF1396" s="30"/>
      <c r="AG1396" s="30"/>
      <c r="AH1396" s="30"/>
      <c r="AI1396" s="30"/>
      <c r="AJ1396" s="30"/>
      <c r="AK1396" s="30"/>
      <c r="AL1396" s="333"/>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484"/>
    </row>
    <row r="1397" spans="1:78" s="140" customFormat="1" ht="12.75" customHeight="1" thickBot="1" x14ac:dyDescent="0.25">
      <c r="A1397" s="777"/>
      <c r="B1397" s="1248"/>
      <c r="C1397" s="783" t="s">
        <v>195</v>
      </c>
      <c r="D1397" s="503" t="str">
        <f>Translations!$B$634</f>
        <v>(prelim.) ITF:</v>
      </c>
      <c r="E1397" s="504"/>
      <c r="F1397" s="518"/>
      <c r="G1397" s="1603" t="str">
        <f t="shared" ref="G1397:G1403" si="343">IF(OR(ISBLANK(F1397),F1397=EUconst_NoTier),"",IF(Z1397=0,EUconst_NotApplicable,IF(ISERROR(Z1397),"",Z1397)))</f>
        <v/>
      </c>
      <c r="H1397" s="1609"/>
      <c r="I1397" s="1110" t="str">
        <f>IF(J1397&lt;&gt;"","",AI1397)</f>
        <v/>
      </c>
      <c r="J1397" s="1111"/>
      <c r="K1397" s="519" t="str">
        <f t="shared" ref="K1397:K1403" si="344">IF(L1397="",AQ1397,"")</f>
        <v/>
      </c>
      <c r="L1397" s="520"/>
      <c r="M1397" s="700" t="str">
        <f>IF(AND(E1386&lt;&gt;"",OR(F1397="",COUNT(K1397:L1397)=0),Y1397&lt;&gt;EUconst_NA,T1386&lt;&gt;TRUE),EUconst_ERR_Incomplete,IF(COUNTIF(AX1397:AZ1397,TRUE)&gt;0,EUconst_ERR_Inconsistent,""))</f>
        <v/>
      </c>
      <c r="N1397" s="486"/>
      <c r="O1397" s="1305"/>
      <c r="P1397" s="33"/>
      <c r="Q1397" s="33"/>
      <c r="R1397" s="33"/>
      <c r="S1397" s="30"/>
      <c r="T1397" s="521" t="str">
        <f>EUconst_CNTR_EF&amp;E1386</f>
        <v>EF_</v>
      </c>
      <c r="U1397" s="488"/>
      <c r="V1397" s="522" t="str">
        <f>V1395</f>
        <v/>
      </c>
      <c r="W1397" s="30"/>
      <c r="X1397" s="488"/>
      <c r="Y1397" s="523" t="str">
        <f>IF(OR(T1386=TRUE,E1386=""),"",IF(F1397=EUconst_NA,EUconst_NA,INDEX(EUwideConstants!$N:$N,MATCH(T1397,EUwideConstants!$Q:$Q,0))))</f>
        <v/>
      </c>
      <c r="Z1397" s="524" t="str">
        <f>IF(ISBLANK(F1397),"",IF(F1397=EUconst_NA,"",INDEX(EUwideConstants!$H:$M,MATCH(T1397,EUwideConstants!$Q:$Q,0),MATCH(F1397,CNTR_TierList,0))))</f>
        <v/>
      </c>
      <c r="AA1397" s="525" t="str">
        <f>IF(COUNTIF(EUconst_DefaultValues,Z1397)&gt;0,MATCH(Z1397,EUconst_DefaultValues,0),"")</f>
        <v/>
      </c>
      <c r="AB1397" s="30"/>
      <c r="AC1397" s="526" t="b">
        <f>AND(AC1395,Y1397&lt;&gt;EUconst_NA)</f>
        <v>0</v>
      </c>
      <c r="AD1397" s="30"/>
      <c r="AE1397" s="510" t="str">
        <f>EUconst_CNTR_EF&amp;EUconst_Unit</f>
        <v>EF_Vienetas</v>
      </c>
      <c r="AF1397" s="527" t="str">
        <f>IF(AC1397=TRUE, IF(COUNTIF(MSPara_SourceStreamCategory,V1397)=0,"",INDEX(MSPara_CalcFactorsMatrix,MATCH(V1397,MSPara_SourceStreamCategory,0),MATCH(AE1397&amp;"_"&amp;2,MSPara_CalcFactors,0))),"")</f>
        <v/>
      </c>
      <c r="AG1397" s="528" t="str">
        <f>IF(AC1397=TRUE, IF(COUNTIF(MSPara_SourceStreamCategory,V1397)=0,"",INDEX(MSPara_CalcFactorsMatrix,MATCH(V1397,MSPara_SourceStreamCategory,0),MATCH(AE1397&amp;"_"&amp;1,MSPara_CalcFactors,0))),"")</f>
        <v/>
      </c>
      <c r="AH1397" s="529" t="str">
        <f>IF(AA1397="","",INDEX(AF1397:AG1397,3-AA1397))</f>
        <v/>
      </c>
      <c r="AI1397" s="530" t="str">
        <f>IF(AC1397=TRUE,IF(OR(AH1397="",AH1397=EUconst_NA),IF(K1385=EUconst_Fuel,EUconst_tCO2pTJ,EUconst_tCO2pt),AH1397),"")</f>
        <v/>
      </c>
      <c r="AJ1397" s="526" t="str">
        <f>IF(J1397="",AI1397,J1397)</f>
        <v/>
      </c>
      <c r="AK1397" s="531" t="b">
        <f>IF(K1385=EUconst_Fuel,J1397&lt;&gt;"",FALSE)</f>
        <v>0</v>
      </c>
      <c r="AL1397" s="333"/>
      <c r="AM1397" s="510" t="str">
        <f>EUconst_CNTR_EF&amp;EUconst_Value</f>
        <v>EF_Vertė</v>
      </c>
      <c r="AN1397" s="532" t="str">
        <f>IF(AC1397=TRUE,IF(COUNTIF(MSPara_SourceStreamCategory,V1397)=0,"",INDEX(MSPara_CalcFactorsMatrix,MATCH(V1397,MSPara_SourceStreamCategory,0),MATCH(AM1397&amp;"_"&amp;2,MSPara_CalcFactors,0))),"")</f>
        <v/>
      </c>
      <c r="AO1397" s="533" t="str">
        <f>IF(AC1397=TRUE,IF(COUNTIF(MSPara_SourceStreamCategory,V1397)=0,"",INDEX(MSPara_CalcFactorsMatrix,MATCH(V1397,MSPara_SourceStreamCategory,0),MATCH(AM1397&amp;"_"&amp;1,MSPara_CalcFactors,0))),"")</f>
        <v/>
      </c>
      <c r="AP1397" s="526" t="b">
        <f>AND(AND(AH1397&lt;&gt;"",AJ1397&lt;&gt;""),AJ1397=AH1397)</f>
        <v>0</v>
      </c>
      <c r="AQ1397" s="534" t="str">
        <f>IF(AND(AA1397&lt;&gt;"",AP1397=TRUE),IF(OR(INDEX(AN1397:AO1397,3-AA1397)=EUconst_NA,INDEX(AN1397:AO1397,3-AA1397)=0),"",INDEX(AN1397:AO1397,3-AA1397)),"")</f>
        <v/>
      </c>
      <c r="AR1397" s="526">
        <f>IF(AC1397=TRUE,IF(COUNT(K1397:L1397)=0,0,IF(L1397="",K1397,L1397)),0)</f>
        <v>0</v>
      </c>
      <c r="AS1397" s="522" t="b">
        <f>AND(AC1397=TRUE,OR(AND(F1397&lt;&gt;"",NOT(ISNUMBER(AA1397))),L1397&lt;&gt;"",F1397="",AQ1397=""))</f>
        <v>0</v>
      </c>
      <c r="AT1397" s="522" t="b">
        <f t="shared" ref="AT1397:AT1403" si="345">AND(AC1397=TRUE,NOT(AS1397))</f>
        <v>0</v>
      </c>
      <c r="AU1397" s="30"/>
      <c r="AV1397" s="535" t="b">
        <f t="shared" ref="AV1397:AV1403" si="346">AND(ISNUMBER(AA1397),AQ1397="")</f>
        <v>0</v>
      </c>
      <c r="AW1397" s="536" t="b">
        <f t="shared" ref="AW1397:AW1403" si="347">AND(ISNUMBER(AA1397),AQ1397&lt;&gt;AR1397)</f>
        <v>0</v>
      </c>
      <c r="AX1397" s="537" t="b">
        <f>OR(AND(AJ1395=EUconst_kNm3,AJ1397=EUconst_tCO2pt),AND(AJ1395=EUconst_t,AJ1397=EUconst_tCO2pkNm3))</f>
        <v>0</v>
      </c>
      <c r="AY1397" s="522" t="b">
        <f t="shared" ref="AY1397:AY1403" si="348">AND(L1397&lt;&gt;"",Y1397=EUconst_NA)</f>
        <v>0</v>
      </c>
      <c r="AZ1397" s="30"/>
      <c r="BA1397" s="30"/>
      <c r="BB1397" s="538" t="s">
        <v>588</v>
      </c>
      <c r="BC1397" s="537" t="str">
        <f>IF(K1385=BC1395,AR1395*IF(AJ1397=EUconst_tCO2pTJ,(AR1398/1000),1)*AR1397*AR1399*AR1403,"")</f>
        <v/>
      </c>
      <c r="BD1397" s="515" t="str">
        <f>IF(K1385=BD1395,AR1395*AR1397*AR1400*AR1403,"")</f>
        <v/>
      </c>
      <c r="BE1397" s="514" t="str">
        <f>IF(K1385=BE1395,3.664*AR1395*AR1401*AR1403,"")</f>
        <v/>
      </c>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522" t="b">
        <f>OR(BZ1395,Y1397=EUconst_NA)</f>
        <v>1</v>
      </c>
    </row>
    <row r="1398" spans="1:78" s="140" customFormat="1" ht="12.75" customHeight="1" thickBot="1" x14ac:dyDescent="0.25">
      <c r="A1398" s="777"/>
      <c r="B1398" s="1248"/>
      <c r="C1398" s="783" t="s">
        <v>196</v>
      </c>
      <c r="D1398" s="503" t="str">
        <f>Translations!$B$636</f>
        <v>GŠV:</v>
      </c>
      <c r="E1398" s="504"/>
      <c r="F1398" s="539"/>
      <c r="G1398" s="1603" t="str">
        <f t="shared" si="343"/>
        <v/>
      </c>
      <c r="H1398" s="1604"/>
      <c r="I1398" s="1112" t="str">
        <f>AJ1398</f>
        <v/>
      </c>
      <c r="J1398" s="540"/>
      <c r="K1398" s="541" t="str">
        <f t="shared" si="344"/>
        <v/>
      </c>
      <c r="L1398" s="542"/>
      <c r="M1398" s="700" t="str">
        <f>IF(AND(E1386&lt;&gt;"",OR(F1398="",COUNT(K1398:L1398)=0),Y1398&lt;&gt;EUconst_NA,T1386&lt;&gt;TRUE),EUconst_ERR_Incomplete,IF(COUNTIF(AX1398:AZ1398,TRUE)&gt;0,EUconst_ERR_Inconsistent,""))</f>
        <v/>
      </c>
      <c r="O1398" s="1305"/>
      <c r="P1398" s="33"/>
      <c r="Q1398" s="33"/>
      <c r="R1398" s="33"/>
      <c r="S1398" s="30"/>
      <c r="T1398" s="543" t="str">
        <f>EUconst_CNTR_NCV&amp;E1386</f>
        <v>NCV_</v>
      </c>
      <c r="U1398" s="488"/>
      <c r="V1398" s="544" t="str">
        <f t="shared" ref="V1398:V1403" si="349">V1397</f>
        <v/>
      </c>
      <c r="W1398" s="30"/>
      <c r="X1398" s="488"/>
      <c r="Y1398" s="545" t="str">
        <f>IF(OR(T1386=TRUE,E1386=""),"",IF(F1398=EUconst_NA,EUconst_NA,INDEX(EUwideConstants!$N:$N,MATCH(T1398,EUwideConstants!$Q:$Q,0))))</f>
        <v/>
      </c>
      <c r="Z1398" s="546" t="str">
        <f>IF(ISBLANK(F1398),"",IF(F1398=EUconst_NA,"",INDEX(EUwideConstants!$H:$M,MATCH(T1398,EUwideConstants!$Q:$Q,0),MATCH(F1398,CNTR_TierList,0))))</f>
        <v/>
      </c>
      <c r="AA1398" s="547" t="str">
        <f>IF(COUNTIF(EUconst_DefaultValues,Z1398)&gt;0,MATCH(Z1398,EUconst_DefaultValues,0),"")</f>
        <v/>
      </c>
      <c r="AB1398" s="30"/>
      <c r="AC1398" s="548" t="b">
        <f>AND(AC1395,Y1398&lt;&gt;EUconst_NA)</f>
        <v>0</v>
      </c>
      <c r="AD1398" s="30"/>
      <c r="AE1398" s="549" t="str">
        <f>EUconst_CNTR_NCV&amp;EUconst_Unit</f>
        <v>NCV_Vienetas</v>
      </c>
      <c r="AF1398" s="550" t="str">
        <f>IF(AC1398=TRUE, IF(COUNTIF(MSPara_SourceStreamCategory,V1398)=0,"",INDEX(MSPara_CalcFactorsMatrix,MATCH(V1398,MSPara_SourceStreamCategory,0),MATCH(AE1398&amp;"_"&amp;2,MSPara_CalcFactors,0))),"")</f>
        <v/>
      </c>
      <c r="AG1398" s="551" t="str">
        <f>IF(AC1398=TRUE, IF(COUNTIF(MSPara_SourceStreamCategory,V1398)=0,"",INDEX(MSPara_CalcFactorsMatrix,MATCH(V1398,MSPara_SourceStreamCategory,0),MATCH(AE1398&amp;"_"&amp;1,MSPara_CalcFactors,0))),"")</f>
        <v/>
      </c>
      <c r="AH1398" s="552" t="str">
        <f>IF(AA1398="","",INDEX(AF1398:AG1398,3-AA1398))</f>
        <v/>
      </c>
      <c r="AI1398" s="553"/>
      <c r="AJ1398" s="548" t="str">
        <f>IF(AC1398=TRUE,IF(AJ1395="","",IF(AJ1395=EUconst_kNm3,EUconst_GJpkNm3,EUconst_GJpt)),"")</f>
        <v/>
      </c>
      <c r="AK1398" s="554"/>
      <c r="AL1398" s="333"/>
      <c r="AM1398" s="549" t="str">
        <f>EUconst_CNTR_NCV&amp;EUconst_Value</f>
        <v>NCV_Vertė</v>
      </c>
      <c r="AN1398" s="555" t="str">
        <f>IF(AC1398=TRUE,IF(COUNTIF(MSPara_SourceStreamCategory,V1398)=0,"",INDEX(MSPara_CalcFactorsMatrix,MATCH(V1398,MSPara_SourceStreamCategory,0),MATCH(AM1398&amp;"_"&amp;2,MSPara_CalcFactors,0))),"")</f>
        <v/>
      </c>
      <c r="AO1398" s="556" t="str">
        <f>IF(AC1398=TRUE,IF(COUNTIF(MSPara_SourceStreamCategory,V1398)=0,"",INDEX(MSPara_CalcFactorsMatrix,MATCH(V1398,MSPara_SourceStreamCategory,0),MATCH(AM1398&amp;"_"&amp;1,MSPara_CalcFactors,0))),"")</f>
        <v/>
      </c>
      <c r="AP1398" s="548" t="b">
        <f>AND(AND(AH1398&lt;&gt;"",AJ1398&lt;&gt;""),AJ1398=AH1398)</f>
        <v>0</v>
      </c>
      <c r="AQ1398" s="557" t="str">
        <f>IF(AND(AA1398&lt;&gt;"",AP1398=TRUE),IF(OR(INDEX(AN1398:AO1398,3-AA1398)=EUconst_NA,INDEX(AN1398:AO1398,3-AA1398)=0),"",INDEX(AN1398:AO1398,3-AA1398)),"")</f>
        <v/>
      </c>
      <c r="AR1398" s="548">
        <f>IF(AC1398=TRUE,IF(COUNT(K1398:L1398)=0,0,IF(L1398="",K1398,L1398)),0)</f>
        <v>0</v>
      </c>
      <c r="AS1398" s="544" t="b">
        <f>AND(AC1398=TRUE,OR(AND(F1398&lt;&gt;"",NOT(ISNUMBER(AA1398))),L1398&lt;&gt;"",F1398="",AQ1398=""))</f>
        <v>0</v>
      </c>
      <c r="AT1398" s="544" t="b">
        <f t="shared" si="345"/>
        <v>0</v>
      </c>
      <c r="AU1398" s="30"/>
      <c r="AV1398" s="558" t="b">
        <f t="shared" si="346"/>
        <v>0</v>
      </c>
      <c r="AW1398" s="559" t="b">
        <f t="shared" si="347"/>
        <v>0</v>
      </c>
      <c r="AX1398" s="30"/>
      <c r="AY1398" s="544" t="b">
        <f t="shared" si="348"/>
        <v>0</v>
      </c>
      <c r="AZ1398" s="30"/>
      <c r="BA1398" s="30"/>
      <c r="BB1398" s="538" t="s">
        <v>589</v>
      </c>
      <c r="BC1398" s="537" t="str">
        <f>IF(K1385=BC1395,AR1395*IF(AJ1397=EUconst_tCO2pTJ,(AR1398/1000),1)*AR1397*AR1399*AR1402,"")</f>
        <v/>
      </c>
      <c r="BD1398" s="515" t="str">
        <f>IF(K1385=BD1395,AR1395*AR1397*AR1400*AR1402,"")</f>
        <v/>
      </c>
      <c r="BE1398" s="514" t="str">
        <f>IF(K1385=BE1395,3.664*AR1395*AR1401*AR1402,"")</f>
        <v/>
      </c>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544" t="b">
        <f>OR(BZ1395,Y1398=EUconst_NA)</f>
        <v>1</v>
      </c>
    </row>
    <row r="1399" spans="1:78" s="140" customFormat="1" ht="12.75" customHeight="1" thickBot="1" x14ac:dyDescent="0.25">
      <c r="A1399" s="777"/>
      <c r="B1399" s="1248"/>
      <c r="C1399" s="783" t="s">
        <v>197</v>
      </c>
      <c r="D1399" s="503" t="str">
        <f>Translations!$B$638</f>
        <v>Oksidacijos koef.:</v>
      </c>
      <c r="E1399" s="504"/>
      <c r="F1399" s="539"/>
      <c r="G1399" s="1603" t="str">
        <f t="shared" si="343"/>
        <v/>
      </c>
      <c r="H1399" s="1604"/>
      <c r="I1399" s="1113" t="str">
        <f>IF(OR(AC1399=FALSE,Y1399=EUconst_NA),"","-")</f>
        <v/>
      </c>
      <c r="J1399" s="560"/>
      <c r="K1399" s="561" t="str">
        <f t="shared" si="344"/>
        <v/>
      </c>
      <c r="L1399" s="694"/>
      <c r="M1399" s="700" t="str">
        <f>IF(AND(E1386&lt;&gt;"",OR(F1399="",COUNT(K1399:L1399)=0),Y1399&lt;&gt;EUconst_NA,T1386&lt;&gt;TRUE),EUconst_ERR_Incomplete,IF(COUNTIF(AX1399:AZ1399,TRUE)&gt;0,EUconst_ERR_Inconsistent,""))</f>
        <v/>
      </c>
      <c r="O1399" s="1305"/>
      <c r="P1399" s="33"/>
      <c r="Q1399" s="33"/>
      <c r="R1399" s="33"/>
      <c r="S1399" s="30"/>
      <c r="T1399" s="543" t="str">
        <f>EUconst_CNTR_OxidationFactor&amp;E1386</f>
        <v>OxF_</v>
      </c>
      <c r="U1399" s="488"/>
      <c r="V1399" s="544" t="str">
        <f t="shared" si="349"/>
        <v/>
      </c>
      <c r="W1399" s="30"/>
      <c r="X1399" s="488"/>
      <c r="Y1399" s="545" t="str">
        <f>IF(OR(T1386=TRUE,E1386=""),"",INDEX(EUwideConstants!$N:$N,MATCH(T1399,EUwideConstants!$Q:$Q,0)))</f>
        <v/>
      </c>
      <c r="Z1399" s="546" t="str">
        <f>IF(ISBLANK(F1399),"",IF(F1399=EUconst_NA,"",INDEX(EUwideConstants!$H:$M,MATCH(T1399,EUwideConstants!$Q:$Q,0),MATCH(F1399,CNTR_TierList,0))))</f>
        <v/>
      </c>
      <c r="AA1399" s="525" t="str">
        <f>IF(F1399=1,1,"")</f>
        <v/>
      </c>
      <c r="AB1399" s="30"/>
      <c r="AC1399" s="548" t="b">
        <f>AND(AC1395,Y1399&lt;&gt;EUconst_NA)</f>
        <v>0</v>
      </c>
      <c r="AD1399" s="30"/>
      <c r="AE1399" s="563"/>
      <c r="AG1399" s="564"/>
      <c r="AH1399" s="553"/>
      <c r="AI1399" s="565"/>
      <c r="AJ1399" s="553"/>
      <c r="AK1399" s="566"/>
      <c r="AL1399" s="333"/>
      <c r="AM1399" s="549" t="str">
        <f>EUconst_CNTR_OxidationFactor&amp;EUconst_Value</f>
        <v>OxF_Vertė</v>
      </c>
      <c r="AN1399" s="567"/>
      <c r="AO1399" s="525">
        <v>1</v>
      </c>
      <c r="AP1399" s="553"/>
      <c r="AQ1399" s="568" t="str">
        <f>IF(AA1399="","",AO1399)</f>
        <v/>
      </c>
      <c r="AR1399" s="548">
        <f>IF(AC1399=TRUE,IF(COUNT(K1399:L1399)=0,0,IF(L1399="",K1399,L1399)),1)</f>
        <v>1</v>
      </c>
      <c r="AS1399" s="544" t="b">
        <f>AND(AC1399=TRUE,OR(ISNUMBER(L1399),NOT(ISNUMBER(AA1399))))</f>
        <v>0</v>
      </c>
      <c r="AT1399" s="544" t="b">
        <f t="shared" si="345"/>
        <v>0</v>
      </c>
      <c r="AU1399" s="30"/>
      <c r="AV1399" s="558" t="b">
        <f t="shared" si="346"/>
        <v>0</v>
      </c>
      <c r="AW1399" s="559" t="b">
        <f t="shared" si="347"/>
        <v>0</v>
      </c>
      <c r="AX1399" s="30"/>
      <c r="AY1399" s="585" t="b">
        <f t="shared" si="348"/>
        <v>0</v>
      </c>
      <c r="AZ1399" s="522" t="b">
        <f>AR1399&gt;100%</f>
        <v>0</v>
      </c>
      <c r="BA1399" s="30"/>
      <c r="BB1399" s="538" t="s">
        <v>287</v>
      </c>
      <c r="BC1399" s="537" t="str">
        <f>IF(K1385=BC1395,AR1395*IF(AJ1397=EUconst_tCO2pTJ,(AR1398/1000),1)*AR1397*AR1399*(1-AR1402),"")</f>
        <v/>
      </c>
      <c r="BD1399" s="515" t="str">
        <f>IF(K1385=BD1395,AR1395*AR1397*AR1400*(1-AR1402),"")</f>
        <v/>
      </c>
      <c r="BE1399" s="514" t="str">
        <f>IF(K1385=BE1395,3.664*AR1395*AR1401*(1-AR1402),"")</f>
        <v/>
      </c>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544" t="b">
        <f>OR(BZ1395,Y1399=EUconst_NA)</f>
        <v>1</v>
      </c>
    </row>
    <row r="1400" spans="1:78" s="140" customFormat="1" ht="12.75" customHeight="1" thickBot="1" x14ac:dyDescent="0.25">
      <c r="A1400" s="777"/>
      <c r="B1400" s="1248"/>
      <c r="C1400" s="783" t="s">
        <v>198</v>
      </c>
      <c r="D1400" s="503" t="str">
        <f>Translations!$B$639</f>
        <v>Konversijos koef.:</v>
      </c>
      <c r="E1400" s="504"/>
      <c r="F1400" s="539"/>
      <c r="G1400" s="1603" t="str">
        <f t="shared" si="343"/>
        <v/>
      </c>
      <c r="H1400" s="1604"/>
      <c r="I1400" s="1113" t="str">
        <f>IF(OR(AC1400=FALSE,Y1400=EUconst_NA),"","-")</f>
        <v/>
      </c>
      <c r="J1400" s="560"/>
      <c r="K1400" s="561" t="str">
        <f t="shared" si="344"/>
        <v/>
      </c>
      <c r="L1400" s="694"/>
      <c r="M1400" s="700" t="str">
        <f>IF(AND(E1386&lt;&gt;"",OR(F1400="",COUNT(K1400:L1400)=0),Y1400&lt;&gt;EUconst_NA,T1386&lt;&gt;TRUE),EUconst_ERR_Incomplete,IF(COUNTIF(AX1400:AZ1400,TRUE)&gt;0,EUconst_ERR_Inconsistent,""))</f>
        <v/>
      </c>
      <c r="O1400" s="1305"/>
      <c r="P1400" s="33"/>
      <c r="Q1400" s="33"/>
      <c r="R1400" s="33"/>
      <c r="S1400" s="30"/>
      <c r="T1400" s="543" t="str">
        <f>EUconst_CNTR_ConversionFactor&amp;E1386</f>
        <v>ConvF_</v>
      </c>
      <c r="U1400" s="488"/>
      <c r="V1400" s="544" t="str">
        <f t="shared" si="349"/>
        <v/>
      </c>
      <c r="W1400" s="30"/>
      <c r="X1400" s="488"/>
      <c r="Y1400" s="545" t="str">
        <f>IF(OR(T1386=TRUE,E1386=""),"",INDEX(EUwideConstants!$N:$N,MATCH(T1400,EUwideConstants!$Q:$Q,0)))</f>
        <v/>
      </c>
      <c r="Z1400" s="546" t="str">
        <f>IF(ISBLANK(F1400),"",IF(F1400=EUconst_NA,"",INDEX(EUwideConstants!$H:$M,MATCH(T1400,EUwideConstants!$Q:$Q,0),MATCH(F1400,CNTR_TierList,0))))</f>
        <v/>
      </c>
      <c r="AA1400" s="573" t="str">
        <f>IF(F1400=1,1,"")</f>
        <v/>
      </c>
      <c r="AB1400" s="30"/>
      <c r="AC1400" s="548" t="b">
        <f>AND(AC1395,Y1400&lt;&gt;EUconst_NA)</f>
        <v>0</v>
      </c>
      <c r="AD1400" s="30"/>
      <c r="AE1400" s="563"/>
      <c r="AG1400" s="564"/>
      <c r="AH1400" s="574"/>
      <c r="AI1400" s="565"/>
      <c r="AJ1400" s="574"/>
      <c r="AK1400" s="566"/>
      <c r="AL1400" s="333"/>
      <c r="AM1400" s="549" t="str">
        <f>EUconst_CNTR_ConversionFactor&amp;EUconst_Value</f>
        <v>ConvF_Vertė</v>
      </c>
      <c r="AN1400" s="575"/>
      <c r="AO1400" s="573">
        <v>1</v>
      </c>
      <c r="AP1400" s="574"/>
      <c r="AQ1400" s="576" t="str">
        <f>IF(AA1400="","",AO1400)</f>
        <v/>
      </c>
      <c r="AR1400" s="548">
        <f>IF(AC1400=TRUE,IF(COUNT(K1400:L1400)=0,0,IF(L1400="",K1400,L1400)),1)</f>
        <v>1</v>
      </c>
      <c r="AS1400" s="544" t="b">
        <f>AND(AC1400=TRUE,OR(ISNUMBER(L1400),NOT(ISNUMBER(AA1400))))</f>
        <v>0</v>
      </c>
      <c r="AT1400" s="544" t="b">
        <f t="shared" si="345"/>
        <v>0</v>
      </c>
      <c r="AU1400" s="30"/>
      <c r="AV1400" s="558" t="b">
        <f t="shared" si="346"/>
        <v>0</v>
      </c>
      <c r="AW1400" s="559" t="b">
        <f t="shared" si="347"/>
        <v>0</v>
      </c>
      <c r="AX1400" s="30"/>
      <c r="AY1400" s="585" t="b">
        <f t="shared" si="348"/>
        <v>0</v>
      </c>
      <c r="AZ1400" s="571" t="b">
        <f>AR1400&gt;100%</f>
        <v>0</v>
      </c>
      <c r="BA1400" s="30"/>
      <c r="BB1400" s="569" t="s">
        <v>481</v>
      </c>
      <c r="BC1400" s="570">
        <f>AR1395*AR1398/1000*(1-AR1402)</f>
        <v>0</v>
      </c>
      <c r="BD1400" s="571">
        <f>BC1400</f>
        <v>0</v>
      </c>
      <c r="BE1400" s="572">
        <f>BC1400</f>
        <v>0</v>
      </c>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544" t="b">
        <f>OR(BZ1395,Y1400=EUconst_NA)</f>
        <v>1</v>
      </c>
    </row>
    <row r="1401" spans="1:78" s="140" customFormat="1" ht="12.75" customHeight="1" thickBot="1" x14ac:dyDescent="0.25">
      <c r="A1401" s="777"/>
      <c r="B1401" s="1248"/>
      <c r="C1401" s="783" t="s">
        <v>324</v>
      </c>
      <c r="D1401" s="503" t="str">
        <f>Translations!$B$640</f>
        <v>Anglies kiekis (C):</v>
      </c>
      <c r="E1401" s="504"/>
      <c r="F1401" s="539"/>
      <c r="G1401" s="1603" t="str">
        <f t="shared" si="343"/>
        <v/>
      </c>
      <c r="H1401" s="1604"/>
      <c r="I1401" s="1113" t="str">
        <f>AJ1401</f>
        <v/>
      </c>
      <c r="J1401" s="577"/>
      <c r="K1401" s="578" t="str">
        <f t="shared" si="344"/>
        <v/>
      </c>
      <c r="L1401" s="579"/>
      <c r="M1401" s="700" t="str">
        <f>IF(AND(E1386&lt;&gt;"",OR(F1401="",COUNT(K1401:L1401)=0),Y1401&lt;&gt;EUconst_NA,T1386&lt;&gt;TRUE),EUconst_ERR_Incomplete,IF(COUNTIF(AX1401:AZ1401,TRUE)&gt;0,EUconst_ERR_Inconsistent,""))</f>
        <v/>
      </c>
      <c r="O1401" s="1305"/>
      <c r="P1401" s="33"/>
      <c r="Q1401" s="33"/>
      <c r="R1401" s="33"/>
      <c r="S1401" s="30"/>
      <c r="T1401" s="543" t="str">
        <f>EUconst_CNTR_CarbonContent&amp;E1386</f>
        <v>CarbC_</v>
      </c>
      <c r="U1401" s="488"/>
      <c r="V1401" s="544" t="str">
        <f t="shared" si="349"/>
        <v/>
      </c>
      <c r="W1401" s="30"/>
      <c r="X1401" s="488"/>
      <c r="Y1401" s="545" t="str">
        <f>IF(OR(T1386=TRUE,E1386=""),"",INDEX(EUwideConstants!$N:$N,MATCH(T1401,EUwideConstants!$Q:$Q,0)))</f>
        <v/>
      </c>
      <c r="Z1401" s="546" t="str">
        <f>IF(ISBLANK(F1401),"",IF(F1401=EUconst_NA,"",INDEX(EUwideConstants!$H:$M,MATCH(T1401,EUwideConstants!$Q:$Q,0),MATCH(F1401,CNTR_TierList,0))))</f>
        <v/>
      </c>
      <c r="AA1401" s="580" t="str">
        <f>IF(COUNTIF(EUconst_DefaultValues,Z1401)&gt;0,MATCH(Z1401,EUconst_DefaultValues,0),"")</f>
        <v/>
      </c>
      <c r="AB1401" s="30"/>
      <c r="AC1401" s="548" t="b">
        <f>AND(AC1395,Y1401&lt;&gt;EUconst_NA)</f>
        <v>0</v>
      </c>
      <c r="AD1401" s="30"/>
      <c r="AE1401" s="549" t="str">
        <f>EUconst_CNTR_CarbonContent&amp;EUconst_Unit</f>
        <v>CarbC_Vienetas</v>
      </c>
      <c r="AF1401" s="550" t="str">
        <f>IF(AC1401=TRUE, IF(COUNTIF(MSPara_SourceStreamCategory,V1401)=0,"",INDEX(MSPara_CalcFactorsMatrix,MATCH(V1401,MSPara_SourceStreamCategory,0),MATCH(AE1401&amp;"_"&amp;2,MSPara_CalcFactors,0))),"")</f>
        <v/>
      </c>
      <c r="AG1401" s="551" t="str">
        <f>IF(AC1401=TRUE, IF(COUNTIF(MSPara_SourceStreamCategory,V1401)=0,"",INDEX(MSPara_CalcFactorsMatrix,MATCH(V1401,MSPara_SourceStreamCategory,0),MATCH(AE1401&amp;"_"&amp;1,MSPara_CalcFactors,0))),"")</f>
        <v/>
      </c>
      <c r="AH1401" s="581" t="str">
        <f>IF(AA1401="","",INDEX(AF1401:AG1401,3-AA1401))</f>
        <v/>
      </c>
      <c r="AI1401" s="565"/>
      <c r="AJ1401" s="582" t="str">
        <f>IF(AC1401=TRUE,IF(AJ1395="","",IF(AJ1395=EUconst_kNm3,EUconst_tCpkNm3,EUconst_tCpt)),"")</f>
        <v/>
      </c>
      <c r="AK1401" s="566"/>
      <c r="AL1401" s="333"/>
      <c r="AM1401" s="549" t="str">
        <f>EUconst_CNTR_CarbonContent&amp;EUconst_Value</f>
        <v>CarbC_Vertė</v>
      </c>
      <c r="AN1401" s="555" t="str">
        <f>IF(AC1401=TRUE,IF(COUNTIF(MSPara_SourceStreamCategory,V1401)=0,"",INDEX(MSPara_CalcFactorsMatrix,MATCH(V1401,MSPara_SourceStreamCategory,0),MATCH(AM1401&amp;"_"&amp;2,MSPara_CalcFactors,0))),"")</f>
        <v/>
      </c>
      <c r="AO1401" s="583" t="str">
        <f>IF(AC1401=TRUE,IF(COUNTIF(MSPara_SourceStreamCategory,V1401)=0,"",INDEX(MSPara_CalcFactorsMatrix,MATCH(V1401,MSPara_SourceStreamCategory,0),MATCH(AM1401&amp;"_"&amp;1,MSPara_CalcFactors,0))),"")</f>
        <v/>
      </c>
      <c r="AP1401" s="548" t="b">
        <f>AND(AND(AH1401&lt;&gt;"",AJ1401&lt;&gt;""),AJ1401=AH1401)</f>
        <v>0</v>
      </c>
      <c r="AQ1401" s="584" t="str">
        <f>IF(AND(AA1401&lt;&gt;"",AP1401=TRUE),IF(OR(INDEX(AN1401:AO1401,3-AA1401)=EUconst_NA,INDEX(AN1401:AO1401,3-AA1401)=0),"",INDEX(AN1401:AO1401,3-AA1401)),"")</f>
        <v/>
      </c>
      <c r="AR1401" s="548">
        <f>IF(AC1401=TRUE,IF(COUNT(K1401:L1401)=0,0,IF(L1401="",K1401,L1401)),0)</f>
        <v>0</v>
      </c>
      <c r="AS1401" s="544" t="b">
        <f>AND(AC1401=TRUE,OR(AND(F1401&lt;&gt;"",NOT(ISNUMBER(AA1401))),L1401&lt;&gt;"",F1401="",AQ1401=""))</f>
        <v>0</v>
      </c>
      <c r="AT1401" s="544" t="b">
        <f t="shared" si="345"/>
        <v>0</v>
      </c>
      <c r="AU1401" s="30"/>
      <c r="AV1401" s="558" t="b">
        <f t="shared" si="346"/>
        <v>0</v>
      </c>
      <c r="AW1401" s="559" t="b">
        <f t="shared" si="347"/>
        <v>0</v>
      </c>
      <c r="AX1401" s="537" t="b">
        <f>OR(AND(AJ1395=EUconst_kNm3,AJ1401=EUconst_tCpt),AND(AJ1395=EUconst_t,AJ1401=EUconst_tCpkNm3))</f>
        <v>0</v>
      </c>
      <c r="AY1401" s="544" t="b">
        <f t="shared" si="348"/>
        <v>0</v>
      </c>
      <c r="AZ1401" s="30"/>
      <c r="BA1401" s="30"/>
      <c r="BB1401" s="569" t="s">
        <v>482</v>
      </c>
      <c r="BC1401" s="570">
        <f>AR1395*AR1398/1000*AR1402</f>
        <v>0</v>
      </c>
      <c r="BD1401" s="571">
        <f>BC1401</f>
        <v>0</v>
      </c>
      <c r="BE1401" s="572">
        <f>BC1401</f>
        <v>0</v>
      </c>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544" t="b">
        <f>OR(BZ1395,Y1401=EUconst_NA)</f>
        <v>1</v>
      </c>
    </row>
    <row r="1402" spans="1:78" s="140" customFormat="1" ht="12.75" customHeight="1" x14ac:dyDescent="0.2">
      <c r="A1402" s="777"/>
      <c r="B1402" s="1248"/>
      <c r="C1402" s="753" t="s">
        <v>325</v>
      </c>
      <c r="D1402" s="503" t="str">
        <f>Translations!$B$641</f>
        <v>Biomasės dalis (BioC):</v>
      </c>
      <c r="E1402" s="504"/>
      <c r="F1402" s="539"/>
      <c r="G1402" s="1603" t="str">
        <f t="shared" si="343"/>
        <v/>
      </c>
      <c r="H1402" s="1604"/>
      <c r="I1402" s="1113" t="str">
        <f>IF(OR(AC1402=FALSE,Y1402=EUconst_NA),"","-")</f>
        <v/>
      </c>
      <c r="J1402" s="560"/>
      <c r="K1402" s="561" t="str">
        <f t="shared" si="344"/>
        <v/>
      </c>
      <c r="L1402" s="694"/>
      <c r="M1402" s="700" t="str">
        <f>IF(AND(E1386&lt;&gt;"",OR(F1402="",COUNT(K1402:L1402)=0),Y1402&lt;&gt;EUconst_NA,T1386&lt;&gt;TRUE),EUconst_ERR_Incomplete,IF(COUNTIF(AX1402:AZ1402,TRUE)&gt;0,EUconst_ERR_Inconsistent,""))</f>
        <v/>
      </c>
      <c r="O1402" s="1305"/>
      <c r="P1402" s="635"/>
      <c r="Q1402" s="635"/>
      <c r="R1402" s="635"/>
      <c r="S1402" s="30"/>
      <c r="T1402" s="543" t="str">
        <f>EUconst_CNTR_BiomassContent&amp;E1386</f>
        <v>BioC_</v>
      </c>
      <c r="U1402" s="488"/>
      <c r="V1402" s="585" t="str">
        <f t="shared" si="349"/>
        <v/>
      </c>
      <c r="W1402" s="522" t="str">
        <f>IF(COUNTIF(MSPara_SourceStreamCategory,V1402)=0,"",INDEX(MSPara_IsFossil,MATCH(V1402,MSPara_SourceStreamCategory,0)))</f>
        <v/>
      </c>
      <c r="X1402" s="488"/>
      <c r="Y1402" s="545" t="str">
        <f>IF(OR(T1386=TRUE,E1386=""),"",IF(OR(W1402=TRUE,F1402=EUconst_NA),EUconst_NA,INDEX(EUwideConstants!$N:$N,MATCH(T1402,EUwideConstants!$Q:$Q,0))))</f>
        <v/>
      </c>
      <c r="Z1402" s="546" t="str">
        <f>IF(ISBLANK(F1402),"",IF(F1402=EUconst_NA,"",INDEX(EUwideConstants!$H:$M,MATCH(T1402,EUwideConstants!$Q:$Q,0),MATCH(F1402,CNTR_TierList,0))))</f>
        <v/>
      </c>
      <c r="AA1402" s="586" t="str">
        <f>IF(F1402=1,1,"")</f>
        <v/>
      </c>
      <c r="AB1402" s="30"/>
      <c r="AC1402" s="548" t="b">
        <f>AND(AC1395,Y1402&lt;&gt;EUconst_NA)</f>
        <v>0</v>
      </c>
      <c r="AD1402" s="30"/>
      <c r="AE1402" s="563"/>
      <c r="AG1402" s="564"/>
      <c r="AH1402" s="553"/>
      <c r="AI1402" s="565"/>
      <c r="AJ1402" s="553"/>
      <c r="AK1402" s="566"/>
      <c r="AL1402" s="333"/>
      <c r="AM1402" s="549" t="str">
        <f>EUconst_CNTR_BiomassContent&amp;EUconst_Value</f>
        <v>BioC_Vertė</v>
      </c>
      <c r="AO1402" s="587" t="str">
        <f>IF(AC1402=TRUE,IF(COUNTIF(MSPara_SourceStreamCategory,V1402)=0,"",INDEX(MSPara_CalcFactorsMatrix,MATCH(V1402,MSPara_SourceStreamCategory,0),MATCH(AM1402&amp;"_"&amp;2,MSPara_CalcFactors,0))),"")</f>
        <v/>
      </c>
      <c r="AP1402" s="553"/>
      <c r="AQ1402" s="568" t="str">
        <f>IF(OR(AA1402="",AO1402=EUconst_NA),"",AO1402)</f>
        <v/>
      </c>
      <c r="AR1402" s="548">
        <f>IF(AC1402=TRUE,IF(COUNT(K1402:L1402)=0,0,IF(L1402="",K1402,L1402)),0)</f>
        <v>0</v>
      </c>
      <c r="AS1402" s="544" t="b">
        <f>AND(AC1402=TRUE,OR(AND(F1402&lt;&gt;"",NOT(ISNUMBER(AA1402))),L1402&lt;&gt;"",F1402="",AQ1402=""))</f>
        <v>0</v>
      </c>
      <c r="AT1402" s="544" t="b">
        <f t="shared" si="345"/>
        <v>0</v>
      </c>
      <c r="AU1402" s="30"/>
      <c r="AV1402" s="558" t="b">
        <f t="shared" si="346"/>
        <v>0</v>
      </c>
      <c r="AW1402" s="559" t="b">
        <f t="shared" si="347"/>
        <v>0</v>
      </c>
      <c r="AX1402" s="30"/>
      <c r="AY1402" s="585" t="b">
        <f t="shared" si="348"/>
        <v>0</v>
      </c>
      <c r="AZ1402" s="522" t="b">
        <f>OR(AR1402&gt;100%,(AR1402+AR1403)&gt;100%)</f>
        <v>0</v>
      </c>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544" t="b">
        <f>OR(BZ1395,Y1402=EUconst_NA)</f>
        <v>1</v>
      </c>
    </row>
    <row r="1403" spans="1:78" s="140" customFormat="1" ht="12.75" customHeight="1" thickBot="1" x14ac:dyDescent="0.25">
      <c r="A1403" s="777"/>
      <c r="B1403" s="1248"/>
      <c r="C1403" s="753" t="s">
        <v>448</v>
      </c>
      <c r="D1403" s="503" t="str">
        <f>Translations!$B$647</f>
        <v>Netvarios BioC dalis:</v>
      </c>
      <c r="E1403" s="504"/>
      <c r="F1403" s="588"/>
      <c r="G1403" s="1603" t="str">
        <f t="shared" si="343"/>
        <v/>
      </c>
      <c r="H1403" s="1604"/>
      <c r="I1403" s="1114" t="str">
        <f>IF(OR(AC1403=FALSE,Y1403=EUconst_NA),"","-")</f>
        <v/>
      </c>
      <c r="J1403" s="560"/>
      <c r="K1403" s="589" t="str">
        <f t="shared" si="344"/>
        <v/>
      </c>
      <c r="L1403" s="1100"/>
      <c r="M1403" s="700" t="str">
        <f>IF(AND(E1386&lt;&gt;"",OR(F1403="",COUNT(K1403:L1403)=0),Y1403&lt;&gt;EUconst_NA,T1386&lt;&gt;TRUE),EUconst_ERR_Incomplete,IF(COUNTIF(AX1403:AZ1403,TRUE)&gt;0,EUconst_ERR_Inconsistent,""))</f>
        <v/>
      </c>
      <c r="O1403" s="1305"/>
      <c r="P1403" s="635"/>
      <c r="Q1403" s="635"/>
      <c r="R1403" s="635"/>
      <c r="S1403" s="30"/>
      <c r="T1403" s="590" t="str">
        <f>EUconst_CNTR_BiomassContent&amp;E1386</f>
        <v>BioC_</v>
      </c>
      <c r="U1403" s="488"/>
      <c r="V1403" s="570" t="str">
        <f t="shared" si="349"/>
        <v/>
      </c>
      <c r="W1403" s="571" t="str">
        <f>IF(COUNTIF(MSPara_SourceStreamCategory,V1403)=0,"",INDEX(MSPara_IsFossil,MATCH(V1403,MSPara_SourceStreamCategory,0)))</f>
        <v/>
      </c>
      <c r="X1403" s="488"/>
      <c r="Y1403" s="591" t="str">
        <f>IF(OR(T1386=TRUE,E1386=""),"",IF(OR(W1403=TRUE,F1403=EUconst_NA),EUconst_NA,INDEX(EUwideConstants!$N:$N,MATCH(T1403,EUwideConstants!$Q:$Q,0))))</f>
        <v/>
      </c>
      <c r="Z1403" s="592" t="str">
        <f>IF(ISBLANK(F1403),"",IF(F1403=EUconst_NA,"",INDEX(EUwideConstants!$H:$M,MATCH(T1403,EUwideConstants!$Q:$Q,0),MATCH(F1403,CNTR_TierList,0))))</f>
        <v/>
      </c>
      <c r="AA1403" s="593" t="str">
        <f>IF(F1403=1,1,"")</f>
        <v/>
      </c>
      <c r="AB1403" s="30"/>
      <c r="AC1403" s="594" t="b">
        <f>AND(AC1395,Y1403&lt;&gt;EUconst_NA)</f>
        <v>0</v>
      </c>
      <c r="AD1403" s="30"/>
      <c r="AE1403" s="595"/>
      <c r="AF1403" s="596"/>
      <c r="AG1403" s="597"/>
      <c r="AH1403" s="598"/>
      <c r="AI1403" s="598"/>
      <c r="AJ1403" s="598"/>
      <c r="AK1403" s="599"/>
      <c r="AL1403" s="333"/>
      <c r="AM1403" s="600" t="str">
        <f>EUconst_CNTR_BiomassContent&amp;EUconst_Value</f>
        <v>BioC_Vertė</v>
      </c>
      <c r="AN1403" s="596"/>
      <c r="AO1403" s="601" t="str">
        <f>IF(AC1403=TRUE,IF(COUNTIF(MSPara_SourceStreamCategory,V1403)=0,"",INDEX(MSPara_CalcFactorsMatrix,MATCH(V1403,MSPara_SourceStreamCategory,0),MATCH(AM1403&amp;"_"&amp;2,MSPara_CalcFactors,0))),"")</f>
        <v/>
      </c>
      <c r="AP1403" s="598"/>
      <c r="AQ1403" s="602" t="str">
        <f>IF(OR(AA1403="",AO1403=EUconst_NA),"",AO1403)</f>
        <v/>
      </c>
      <c r="AR1403" s="594">
        <f>IF(AC1403=TRUE,IF(COUNT(K1403:L1403)=0,0,IF(L1403="",K1403,L1403)),0)</f>
        <v>0</v>
      </c>
      <c r="AS1403" s="603" t="b">
        <f>AND(AC1403=TRUE,OR(AND(F1403&lt;&gt;"",NOT(ISNUMBER(AA1403))),L1403&lt;&gt;"",F1403="",AQ1403=""))</f>
        <v>0</v>
      </c>
      <c r="AT1403" s="603" t="b">
        <f t="shared" si="345"/>
        <v>0</v>
      </c>
      <c r="AU1403" s="30"/>
      <c r="AV1403" s="604" t="b">
        <f t="shared" si="346"/>
        <v>0</v>
      </c>
      <c r="AW1403" s="605" t="b">
        <f t="shared" si="347"/>
        <v>0</v>
      </c>
      <c r="AX1403" s="30"/>
      <c r="AY1403" s="570" t="b">
        <f t="shared" si="348"/>
        <v>0</v>
      </c>
      <c r="AZ1403" s="571" t="b">
        <f>OR(AR1402&gt;100%,(AR1402+AR1403)&gt;100%)</f>
        <v>0</v>
      </c>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571" t="b">
        <f>OR(BZ1395,Y1403=EUconst_NA)</f>
        <v>1</v>
      </c>
    </row>
    <row r="1404" spans="1:78" s="140" customFormat="1" ht="5.0999999999999996" customHeight="1" x14ac:dyDescent="0.2">
      <c r="A1404" s="777"/>
      <c r="B1404" s="1248"/>
      <c r="C1404" s="164"/>
      <c r="D1404" s="178"/>
      <c r="O1404" s="1305"/>
      <c r="P1404" s="33"/>
      <c r="Q1404" s="33"/>
      <c r="R1404" s="33"/>
      <c r="S1404" s="172"/>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row>
    <row r="1405" spans="1:78" s="140" customFormat="1" ht="12.75" customHeight="1" x14ac:dyDescent="0.2">
      <c r="A1405" s="777"/>
      <c r="B1405" s="1248"/>
      <c r="C1405" s="164"/>
      <c r="D1405" s="1629" t="str">
        <f>Translations!$B$674</f>
        <v>Pakopos galioja nuo:</v>
      </c>
      <c r="E1405" s="1629"/>
      <c r="F1405" s="1630"/>
      <c r="G1405" s="1014"/>
      <c r="H1405" s="606" t="str">
        <f>Translations!$B$675</f>
        <v>iki:</v>
      </c>
      <c r="I1405" s="1014"/>
      <c r="J1405" s="1620" t="str">
        <f>Translations!$B$676</f>
        <v>Atliekų katalogo numeris (jeigu taikytina):</v>
      </c>
      <c r="K1405" s="1621"/>
      <c r="L1405" s="1621"/>
      <c r="M1405" s="1622"/>
      <c r="N1405" s="1232"/>
      <c r="O1405" s="1305"/>
      <c r="P1405" s="33"/>
      <c r="Q1405" s="33"/>
      <c r="R1405" s="33"/>
      <c r="S1405" s="1233"/>
      <c r="T1405" s="483"/>
      <c r="U1405" s="483"/>
      <c r="V1405" s="48" t="b">
        <f>IF(V1395="",FALSE,INDEX(CNTR_IsWaste,MATCH(V1395,MSParameters!$A$218:$A$376,0)))</f>
        <v>0</v>
      </c>
      <c r="W1405" s="1233" t="s">
        <v>1689</v>
      </c>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2" t="b">
        <f>BZ1395</f>
        <v>1</v>
      </c>
    </row>
    <row r="1406" spans="1:78" s="140" customFormat="1" ht="5.0999999999999996" customHeight="1" x14ac:dyDescent="0.2">
      <c r="A1406" s="777"/>
      <c r="B1406" s="1248"/>
      <c r="C1406" s="164"/>
      <c r="D1406" s="606"/>
      <c r="E1406" s="486"/>
      <c r="F1406" s="486"/>
      <c r="G1406" s="486"/>
      <c r="H1406" s="486"/>
      <c r="I1406" s="486"/>
      <c r="J1406" s="486"/>
      <c r="K1406" s="486"/>
      <c r="L1406" s="486"/>
      <c r="M1406" s="486"/>
      <c r="N1406" s="486"/>
      <c r="O1406" s="1305"/>
      <c r="P1406" s="33"/>
      <c r="Q1406" s="33"/>
      <c r="R1406" s="33"/>
      <c r="S1406" s="172"/>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row>
    <row r="1407" spans="1:78" s="140" customFormat="1" ht="12.75" customHeight="1" x14ac:dyDescent="0.2">
      <c r="A1407" s="777"/>
      <c r="B1407" s="1248"/>
      <c r="C1407" s="164"/>
      <c r="D1407" s="486"/>
      <c r="E1407" s="486"/>
      <c r="F1407" s="486"/>
      <c r="G1407" s="486"/>
      <c r="H1407" s="486"/>
      <c r="I1407" s="486"/>
      <c r="J1407" s="486"/>
      <c r="K1407" s="486"/>
      <c r="L1407" s="486"/>
      <c r="M1407" s="606" t="str">
        <f>Translations!$B$677</f>
        <v>Stebėsenos plane šiam sukėlikliui suteiktas identifikatorius:</v>
      </c>
      <c r="N1407" s="705"/>
      <c r="O1407" s="1305"/>
      <c r="P1407" s="33"/>
      <c r="Q1407" s="33"/>
      <c r="R1407" s="33"/>
      <c r="S1407" s="172"/>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2" t="b">
        <f>BZ1405</f>
        <v>1</v>
      </c>
    </row>
    <row r="1408" spans="1:78" s="140" customFormat="1" ht="5.0999999999999996" customHeight="1" x14ac:dyDescent="0.2">
      <c r="A1408" s="784"/>
      <c r="B1408" s="1316"/>
      <c r="D1408" s="178"/>
      <c r="O1408" s="1317"/>
      <c r="P1408" s="488"/>
      <c r="Q1408" s="488"/>
      <c r="R1408" s="488"/>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row>
    <row r="1409" spans="1:78" s="140" customFormat="1" x14ac:dyDescent="0.2">
      <c r="A1409" s="784"/>
      <c r="B1409" s="1316"/>
      <c r="D1409" s="1618" t="str">
        <f>Translations!$B$160</f>
        <v>Pastabos:</v>
      </c>
      <c r="E1409" s="1619"/>
      <c r="F1409" s="1605"/>
      <c r="G1409" s="1606"/>
      <c r="H1409" s="1606"/>
      <c r="I1409" s="1606"/>
      <c r="J1409" s="1606"/>
      <c r="K1409" s="1606"/>
      <c r="L1409" s="1606"/>
      <c r="M1409" s="1606"/>
      <c r="N1409" s="1607"/>
      <c r="O1409" s="1317"/>
      <c r="P1409" s="488"/>
      <c r="Q1409" s="488"/>
      <c r="R1409" s="488"/>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2" t="b">
        <f>BZ1405</f>
        <v>1</v>
      </c>
    </row>
    <row r="1410" spans="1:78" s="28" customFormat="1" ht="12.75" customHeight="1" thickBot="1" x14ac:dyDescent="0.25">
      <c r="A1410" s="777"/>
      <c r="B1410" s="1312"/>
      <c r="C1410" s="490"/>
      <c r="D1410" s="491"/>
      <c r="E1410" s="492"/>
      <c r="F1410" s="490"/>
      <c r="G1410" s="493"/>
      <c r="H1410" s="493"/>
      <c r="I1410" s="493"/>
      <c r="J1410" s="493"/>
      <c r="K1410" s="493"/>
      <c r="L1410" s="493"/>
      <c r="M1410" s="493"/>
      <c r="N1410" s="493"/>
      <c r="O1410" s="1313"/>
      <c r="P1410" s="485"/>
      <c r="Q1410" s="485"/>
      <c r="R1410" s="485"/>
      <c r="S1410" s="58"/>
      <c r="T1410" s="58"/>
      <c r="U1410" s="489"/>
      <c r="V1410" s="58"/>
      <c r="W1410" s="58"/>
      <c r="X1410" s="489"/>
      <c r="Y1410" s="58"/>
      <c r="Z1410" s="58"/>
      <c r="AA1410" s="58"/>
      <c r="AB1410" s="58"/>
      <c r="AC1410" s="58"/>
      <c r="AD1410" s="58"/>
      <c r="AE1410" s="58"/>
      <c r="AF1410" s="58"/>
      <c r="AG1410" s="58"/>
      <c r="AH1410" s="58"/>
      <c r="AI1410" s="58"/>
      <c r="AJ1410" s="58"/>
      <c r="AK1410" s="58"/>
      <c r="AL1410" s="58"/>
      <c r="AM1410" s="58"/>
      <c r="AN1410" s="58"/>
      <c r="AO1410" s="58"/>
      <c r="AP1410" s="58"/>
      <c r="AQ1410" s="58"/>
      <c r="AR1410" s="58"/>
      <c r="AS1410" s="58"/>
      <c r="AT1410" s="58"/>
      <c r="AU1410" s="58"/>
      <c r="AV1410" s="58"/>
      <c r="AW1410" s="58"/>
      <c r="AX1410" s="58"/>
      <c r="AY1410" s="58"/>
      <c r="AZ1410" s="58"/>
      <c r="BA1410" s="58"/>
      <c r="BB1410" s="58"/>
      <c r="BC1410" s="58"/>
      <c r="BD1410" s="58"/>
      <c r="BE1410" s="58"/>
      <c r="BF1410" s="58"/>
      <c r="BG1410" s="58"/>
      <c r="BH1410" s="58"/>
      <c r="BI1410" s="30"/>
      <c r="BJ1410" s="30"/>
      <c r="BK1410" s="30"/>
      <c r="BL1410" s="58"/>
      <c r="BM1410" s="58"/>
      <c r="BN1410" s="58"/>
      <c r="BO1410" s="58"/>
      <c r="BP1410" s="58"/>
      <c r="BQ1410" s="58"/>
      <c r="BR1410" s="58"/>
      <c r="BS1410" s="58"/>
      <c r="BT1410" s="58"/>
      <c r="BU1410" s="58"/>
      <c r="BV1410" s="58"/>
      <c r="BW1410" s="58"/>
      <c r="BX1410" s="58"/>
      <c r="BY1410" s="58"/>
      <c r="BZ1410" s="58"/>
    </row>
    <row r="1411" spans="1:78" s="28" customFormat="1" ht="12.75" customHeight="1" thickBot="1" x14ac:dyDescent="0.25">
      <c r="A1411" s="782"/>
      <c r="B1411" s="1312"/>
      <c r="C1411" s="486"/>
      <c r="D1411" s="178"/>
      <c r="E1411" s="487"/>
      <c r="F1411" s="486"/>
      <c r="G1411" s="478"/>
      <c r="H1411" s="478"/>
      <c r="I1411" s="478"/>
      <c r="J1411" s="478"/>
      <c r="K1411" s="486"/>
      <c r="L1411" s="478"/>
      <c r="M1411" s="478"/>
      <c r="N1411" s="478"/>
      <c r="O1411" s="1313"/>
      <c r="P1411" s="485"/>
      <c r="Q1411" s="485"/>
      <c r="R1411" s="485"/>
      <c r="S1411" s="23"/>
      <c r="T1411" s="27" t="str">
        <f>IF(ISBLANK(E1412),"",MATCH(E1412,CNTR_SourceStreamNames,0))</f>
        <v/>
      </c>
      <c r="U1411" s="609" t="str">
        <f>IF(ISBLANK(E1412),"",INDEX(B_InstallationDescription!$D$71:$D$145,MATCH(E1412,CNTR_SourceStreamNames,0)))</f>
        <v/>
      </c>
      <c r="V1411" s="76"/>
      <c r="W1411" s="56"/>
      <c r="X1411" s="56"/>
      <c r="Y1411" s="56"/>
      <c r="Z1411" s="58"/>
      <c r="AA1411" s="58"/>
      <c r="AB1411" s="58"/>
      <c r="AC1411" s="58"/>
      <c r="AD1411" s="58"/>
      <c r="AE1411" s="58"/>
      <c r="AF1411" s="58"/>
      <c r="AG1411" s="58"/>
      <c r="AH1411" s="58"/>
      <c r="AI1411" s="58"/>
      <c r="AJ1411" s="58"/>
      <c r="AK1411" s="482"/>
      <c r="AL1411" s="58"/>
      <c r="AM1411" s="58"/>
      <c r="AN1411" s="58"/>
      <c r="AO1411" s="58"/>
      <c r="AP1411" s="58"/>
      <c r="AQ1411" s="58"/>
      <c r="AR1411" s="58"/>
      <c r="AS1411" s="58"/>
      <c r="AT1411" s="58"/>
      <c r="AU1411" s="58"/>
      <c r="AV1411" s="58"/>
      <c r="AW1411" s="58"/>
      <c r="AX1411" s="58"/>
      <c r="AY1411" s="58"/>
      <c r="AZ1411" s="58"/>
      <c r="BA1411" s="58"/>
      <c r="BB1411" s="58"/>
      <c r="BC1411" s="58"/>
      <c r="BD1411" s="58"/>
      <c r="BE1411" s="58"/>
      <c r="BF1411" s="58"/>
      <c r="BG1411" s="58"/>
      <c r="BH1411" s="56"/>
      <c r="BI1411" s="56"/>
      <c r="BJ1411" s="56"/>
      <c r="BK1411" s="56"/>
      <c r="BL1411" s="56"/>
      <c r="BM1411" s="56"/>
      <c r="BN1411" s="56"/>
      <c r="BO1411" s="56"/>
      <c r="BP1411" s="56"/>
      <c r="BQ1411" s="56"/>
      <c r="BR1411" s="56"/>
      <c r="BS1411" s="56"/>
      <c r="BT1411" s="56"/>
      <c r="BU1411" s="56"/>
      <c r="BV1411" s="56"/>
      <c r="BW1411" s="56"/>
      <c r="BX1411" s="56"/>
      <c r="BY1411" s="56"/>
      <c r="BZ1411" s="484" t="s">
        <v>259</v>
      </c>
    </row>
    <row r="1412" spans="1:78" s="140" customFormat="1" ht="15" customHeight="1" thickBot="1" x14ac:dyDescent="0.25">
      <c r="A1412" s="1302" t="str">
        <f>IF(E1412="","","PRINT")</f>
        <v/>
      </c>
      <c r="B1412" s="1248"/>
      <c r="C1412" s="608">
        <f>C1385+1</f>
        <v>51</v>
      </c>
      <c r="D1412" s="164"/>
      <c r="E1412" s="1610"/>
      <c r="F1412" s="1611"/>
      <c r="G1412" s="1611"/>
      <c r="H1412" s="1611"/>
      <c r="I1412" s="1611"/>
      <c r="J1412" s="1612"/>
      <c r="K1412" s="1623" t="str">
        <f>IF(E1413="","",INDEX(EUwideConstants!$F$353:$F$394,MATCH(E1413,EUConst_TierActivityListNames,0)))</f>
        <v/>
      </c>
      <c r="L1412" s="1624"/>
      <c r="M1412" s="494" t="str">
        <f>Translations!$B$665</f>
        <v>CO2, iškastinio kuro kilmės:</v>
      </c>
      <c r="N1412" s="1012" t="str">
        <f>IF(OR(K1412="",T1413=TRUE),"",INDEX(BC1426:BE1426,MATCH(K1412,BC1422:BE1422,0)))</f>
        <v/>
      </c>
      <c r="O1412" s="1314" t="s">
        <v>257</v>
      </c>
      <c r="P1412" s="1303" t="str">
        <f>IF(AND(E1412&lt;&gt;"",COUNTIF(P1413:$P$2089,"PRINT")=0),"PRINT","")</f>
        <v/>
      </c>
      <c r="Q1412" s="343" t="str">
        <f>EUconst_SumCO2 &amp; "_" &amp; K1412</f>
        <v>SUM_CO2_</v>
      </c>
      <c r="R1412" s="485"/>
      <c r="S1412" s="23"/>
      <c r="T1412" s="500" t="s">
        <v>387</v>
      </c>
      <c r="U1412" s="23"/>
      <c r="V1412" s="76"/>
      <c r="W1412" s="56"/>
      <c r="X1412" s="58"/>
      <c r="Y1412" s="58"/>
      <c r="Z1412" s="58"/>
      <c r="AA1412" s="58"/>
      <c r="AB1412" s="58"/>
      <c r="AC1412" s="58"/>
      <c r="AD1412" s="58"/>
      <c r="AE1412" s="58"/>
      <c r="AF1412" s="58"/>
      <c r="AG1412" s="58"/>
      <c r="AH1412" s="58"/>
      <c r="AI1412" s="333"/>
      <c r="AJ1412" s="333"/>
      <c r="AK1412" s="333"/>
      <c r="AL1412" s="333"/>
      <c r="AM1412" s="333"/>
      <c r="AN1412" s="333"/>
      <c r="AO1412" s="333"/>
      <c r="AP1412" s="333"/>
      <c r="AQ1412" s="333"/>
      <c r="AR1412" s="333"/>
      <c r="AS1412" s="333"/>
      <c r="AT1412" s="333"/>
      <c r="AU1412" s="333"/>
      <c r="AV1412" s="333"/>
      <c r="AW1412" s="333"/>
      <c r="AX1412" s="333"/>
      <c r="AY1412" s="333"/>
      <c r="AZ1412" s="333"/>
      <c r="BA1412" s="333"/>
      <c r="BB1412" s="333"/>
      <c r="BC1412" s="333"/>
      <c r="BD1412" s="333"/>
      <c r="BE1412" s="333"/>
      <c r="BF1412" s="333"/>
      <c r="BG1412" s="333"/>
      <c r="BH1412" s="834">
        <f>AR1422</f>
        <v>0</v>
      </c>
      <c r="BI1412" s="834" t="str">
        <f>AJ1422</f>
        <v/>
      </c>
      <c r="BJ1412" s="834">
        <f>AR1424</f>
        <v>0</v>
      </c>
      <c r="BK1412" s="834" t="str">
        <f>AJ1424</f>
        <v/>
      </c>
      <c r="BL1412" s="834">
        <f>AR1425</f>
        <v>0</v>
      </c>
      <c r="BM1412" s="834" t="str">
        <f>AJ1425</f>
        <v/>
      </c>
      <c r="BN1412" s="834">
        <f>AR1426</f>
        <v>1</v>
      </c>
      <c r="BO1412" s="834">
        <f>AR1427</f>
        <v>1</v>
      </c>
      <c r="BP1412" s="834">
        <f>AR1428</f>
        <v>0</v>
      </c>
      <c r="BQ1412" s="834" t="str">
        <f>AJ1428</f>
        <v/>
      </c>
      <c r="BR1412" s="834">
        <f>AR1429</f>
        <v>0</v>
      </c>
      <c r="BS1412" s="834">
        <f>AR1430</f>
        <v>0</v>
      </c>
      <c r="BT1412" s="834" t="str">
        <f>N1412</f>
        <v/>
      </c>
      <c r="BU1412" s="834" t="str">
        <f>N1413</f>
        <v/>
      </c>
      <c r="BV1412" s="834" t="str">
        <f>R1415</f>
        <v/>
      </c>
      <c r="BW1412" s="834" t="str">
        <f>R1421</f>
        <v/>
      </c>
      <c r="BX1412" s="834" t="str">
        <f>R1422</f>
        <v/>
      </c>
      <c r="BY1412" s="56"/>
      <c r="BZ1412" s="610" t="b">
        <f>CNTR_CalcRelevant=EUconst_NotRelevant</f>
        <v>0</v>
      </c>
    </row>
    <row r="1413" spans="1:78" s="140" customFormat="1" ht="15" customHeight="1" thickBot="1" x14ac:dyDescent="0.25">
      <c r="A1413" s="777"/>
      <c r="B1413" s="1248"/>
      <c r="C1413" s="164"/>
      <c r="D1413" s="164"/>
      <c r="E1413" s="1625" t="str">
        <f>IF(ISBLANK(E1412),"",IF(INDEX(B_InstallationDescription!$E$71:$E$145,MATCH(U1411,B_InstallationDescription!$D$71:$D$145,0))&gt;0,INDEX(B_InstallationDescription!$E$71:$E$145,MATCH(U1411,B_InstallationDescription!$D$71:$D$145,0)),""))</f>
        <v/>
      </c>
      <c r="F1413" s="1626"/>
      <c r="G1413" s="1626"/>
      <c r="H1413" s="1626"/>
      <c r="I1413" s="1626"/>
      <c r="J1413" s="1627"/>
      <c r="M1413" s="337" t="str">
        <f>Translations!$B$666</f>
        <v>CO2, biomasės kilmės.:</v>
      </c>
      <c r="N1413" s="1013" t="str">
        <f>IF(OR(K1412="",T1413=TRUE),"",INDEX(BC1425:BE1425,MATCH(K1412,BC1422:BE1422,0)))</f>
        <v/>
      </c>
      <c r="O1413" s="1315" t="s">
        <v>257</v>
      </c>
      <c r="P1413" s="485"/>
      <c r="Q1413" s="343" t="str">
        <f>EUconst_SumBioCO2 &amp; "_" &amp; K1412</f>
        <v>SUM_bioCO2_</v>
      </c>
      <c r="R1413" s="485"/>
      <c r="S1413" s="23"/>
      <c r="T1413" s="48" t="str">
        <f>IF(E1413="","",MATCH(E1413,EUConst_TierActivityListNames,0)&gt;40)</f>
        <v/>
      </c>
      <c r="U1413" s="23"/>
      <c r="V1413" s="76"/>
      <c r="W1413" s="56"/>
      <c r="X1413" s="58"/>
      <c r="Y1413" s="27" t="s">
        <v>91</v>
      </c>
      <c r="Z1413" s="30"/>
      <c r="AA1413" s="30"/>
      <c r="AB1413" s="30"/>
      <c r="AC1413" s="30"/>
      <c r="AD1413" s="30"/>
      <c r="AE1413" s="27" t="s">
        <v>297</v>
      </c>
      <c r="AF1413" s="58"/>
      <c r="AG1413" s="495"/>
      <c r="AH1413" s="30"/>
      <c r="AI1413" s="30"/>
      <c r="AJ1413" s="495"/>
      <c r="AK1413" s="495"/>
      <c r="AL1413" s="333"/>
      <c r="AM1413" s="27" t="s">
        <v>303</v>
      </c>
      <c r="AN1413" s="496"/>
      <c r="AO1413" s="496"/>
      <c r="AP1413" s="30"/>
      <c r="AQ1413" s="30"/>
      <c r="AR1413" s="30"/>
      <c r="AS1413" s="30"/>
      <c r="AT1413" s="30"/>
      <c r="AU1413" s="30"/>
      <c r="AV1413" s="27" t="s">
        <v>310</v>
      </c>
      <c r="AW1413" s="30"/>
      <c r="AX1413" s="483"/>
      <c r="AY1413" s="30"/>
      <c r="AZ1413" s="30"/>
      <c r="BA1413" s="30"/>
      <c r="BB1413" s="27" t="s">
        <v>217</v>
      </c>
      <c r="BC1413" s="30"/>
      <c r="BD1413" s="30"/>
      <c r="BE1413" s="30"/>
      <c r="BF1413" s="30"/>
      <c r="BG1413" s="27" t="s">
        <v>486</v>
      </c>
      <c r="BH1413" s="833" t="s">
        <v>552</v>
      </c>
      <c r="BI1413" s="833" t="s">
        <v>487</v>
      </c>
      <c r="BJ1413" s="833" t="s">
        <v>211</v>
      </c>
      <c r="BK1413" s="833" t="s">
        <v>488</v>
      </c>
      <c r="BL1413" s="833" t="s">
        <v>68</v>
      </c>
      <c r="BM1413" s="833" t="s">
        <v>489</v>
      </c>
      <c r="BN1413" s="833" t="s">
        <v>490</v>
      </c>
      <c r="BO1413" s="833" t="s">
        <v>491</v>
      </c>
      <c r="BP1413" s="833" t="s">
        <v>214</v>
      </c>
      <c r="BQ1413" s="833" t="s">
        <v>492</v>
      </c>
      <c r="BR1413" s="833" t="s">
        <v>493</v>
      </c>
      <c r="BS1413" s="833" t="s">
        <v>494</v>
      </c>
      <c r="BT1413" s="833" t="s">
        <v>287</v>
      </c>
      <c r="BU1413" s="833" t="s">
        <v>495</v>
      </c>
      <c r="BV1413" s="833" t="s">
        <v>498</v>
      </c>
      <c r="BW1413" s="833" t="s">
        <v>496</v>
      </c>
      <c r="BX1413" s="833" t="s">
        <v>497</v>
      </c>
      <c r="BY1413" s="30"/>
      <c r="BZ1413" s="30"/>
    </row>
    <row r="1414" spans="1:78" s="140" customFormat="1" ht="5.0999999999999996" customHeight="1" thickBot="1" x14ac:dyDescent="0.25">
      <c r="A1414" s="777"/>
      <c r="B1414" s="1248"/>
      <c r="C1414" s="164"/>
      <c r="D1414" s="164"/>
      <c r="E1414" s="164"/>
      <c r="F1414" s="164"/>
      <c r="G1414" s="164"/>
      <c r="M1414" s="141"/>
      <c r="N1414" s="141"/>
      <c r="O1414" s="1305"/>
      <c r="P1414" s="33"/>
      <c r="Q1414" s="33"/>
      <c r="R1414" s="33"/>
      <c r="S1414" s="23"/>
      <c r="T1414" s="23"/>
      <c r="U1414" s="23"/>
      <c r="V1414" s="76"/>
      <c r="W1414" s="30"/>
      <c r="X1414" s="30"/>
      <c r="Y1414" s="485"/>
      <c r="Z1414" s="30"/>
      <c r="AA1414" s="30"/>
      <c r="AB1414" s="30"/>
      <c r="AC1414" s="30"/>
      <c r="AD1414" s="30"/>
      <c r="AE1414" s="30"/>
      <c r="AF1414" s="58"/>
      <c r="AG1414" s="30"/>
      <c r="AH1414" s="30"/>
      <c r="AI1414" s="30"/>
      <c r="AJ1414" s="495"/>
      <c r="AK1414" s="495"/>
      <c r="AL1414" s="333"/>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row>
    <row r="1415" spans="1:78" s="140" customFormat="1" ht="12.75" customHeight="1" thickBot="1" x14ac:dyDescent="0.25">
      <c r="A1415" s="777"/>
      <c r="B1415" s="1248"/>
      <c r="C1415" s="164"/>
      <c r="D1415" s="164"/>
      <c r="E1415" s="1628" t="str">
        <f>IF(E1412="","",IF(T1413=TRUE,HYPERLINK("#JUMP_14",EUconst_MsgGoOnPFC),HYPERLINK("#JUMP_E_8",EUconst_FurtherGuidancePoint1)))</f>
        <v/>
      </c>
      <c r="F1415" s="1628"/>
      <c r="G1415" s="1628"/>
      <c r="H1415" s="1628"/>
      <c r="I1415" s="1628"/>
      <c r="J1415" s="1628"/>
      <c r="K1415" s="1628"/>
      <c r="L1415" s="1628"/>
      <c r="M1415" s="1628"/>
      <c r="N1415" s="141"/>
      <c r="O1415" s="1305"/>
      <c r="P1415" s="33"/>
      <c r="Q1415" s="343" t="str">
        <f>EUconst_SumNonSustBioCO2 &amp; "_" &amp; K1412</f>
        <v>SUM_bioNonSustCO2_</v>
      </c>
      <c r="R1415" s="698" t="str">
        <f>IF(OR(K1412="",T1413=TRUE),"",ROUND(INDEX(BC1424:BE1424,MATCH(K1412,BC1422:BE1422,0)),0))</f>
        <v/>
      </c>
      <c r="S1415" s="23"/>
      <c r="T1415" s="23"/>
      <c r="U1415" s="23"/>
      <c r="V1415" s="30"/>
      <c r="W1415" s="30"/>
      <c r="X1415" s="30"/>
      <c r="Y1415" s="58"/>
      <c r="Z1415" s="30"/>
      <c r="AA1415" s="30"/>
      <c r="AB1415" s="30"/>
      <c r="AC1415" s="30"/>
      <c r="AD1415" s="30"/>
      <c r="AE1415" s="30"/>
      <c r="AF1415" s="58"/>
      <c r="AG1415" s="30"/>
      <c r="AH1415" s="30"/>
      <c r="AI1415" s="30"/>
      <c r="AJ1415" s="495"/>
      <c r="AK1415" s="495"/>
      <c r="AL1415" s="333"/>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row>
    <row r="1416" spans="1:78" s="140" customFormat="1" ht="5.0999999999999996" customHeight="1" thickBot="1" x14ac:dyDescent="0.25">
      <c r="A1416" s="777"/>
      <c r="B1416" s="1248"/>
      <c r="C1416" s="164"/>
      <c r="D1416" s="164"/>
      <c r="E1416" s="164"/>
      <c r="F1416" s="164"/>
      <c r="G1416" s="164"/>
      <c r="M1416" s="141"/>
      <c r="N1416" s="141"/>
      <c r="O1416" s="1305"/>
      <c r="P1416" s="23"/>
      <c r="Q1416" s="23"/>
      <c r="R1416" s="23"/>
      <c r="S1416" s="23"/>
      <c r="T1416" s="23"/>
      <c r="U1416" s="23"/>
      <c r="V1416" s="30"/>
      <c r="W1416" s="30"/>
      <c r="X1416" s="30"/>
      <c r="Y1416" s="485"/>
      <c r="Z1416" s="30"/>
      <c r="AA1416" s="30"/>
      <c r="AB1416" s="30"/>
      <c r="AC1416" s="30"/>
      <c r="AD1416" s="30"/>
      <c r="AE1416" s="30"/>
      <c r="AF1416" s="58"/>
      <c r="AG1416" s="30"/>
      <c r="AH1416" s="30"/>
      <c r="AI1416" s="30"/>
      <c r="AJ1416" s="495"/>
      <c r="AK1416" s="495"/>
      <c r="AL1416" s="333"/>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row>
    <row r="1417" spans="1:78" s="140" customFormat="1" ht="12.75" customHeight="1" thickBot="1" x14ac:dyDescent="0.25">
      <c r="A1417" s="777"/>
      <c r="B1417" s="1248"/>
      <c r="C1417" s="783" t="s">
        <v>4</v>
      </c>
      <c r="D1417" s="503" t="str">
        <f>Translations!$B$622</f>
        <v>VD:</v>
      </c>
      <c r="E1417" s="1631" t="str">
        <f>Translations!$B$667</f>
        <v>Ar veiklos duomenys gaunami sudedant išmatuotus kiekius (t. y. ne atliekant nuolatinius matavimus)?</v>
      </c>
      <c r="F1417" s="1631"/>
      <c r="G1417" s="1631"/>
      <c r="H1417" s="1631"/>
      <c r="I1417" s="1631"/>
      <c r="J1417" s="1631"/>
      <c r="K1417" s="1631"/>
      <c r="L1417" s="1122"/>
      <c r="M1417" s="498"/>
      <c r="O1417" s="1305"/>
      <c r="P1417" s="23"/>
      <c r="Q1417" s="23"/>
      <c r="R1417" s="23"/>
      <c r="S1417" s="23"/>
      <c r="T1417" s="23"/>
      <c r="U1417" s="23"/>
      <c r="V1417" s="30"/>
      <c r="W1417" s="30"/>
      <c r="X1417" s="30"/>
      <c r="Y1417" s="485"/>
      <c r="Z1417" s="30"/>
      <c r="AA1417" s="30"/>
      <c r="AB1417" s="30"/>
      <c r="AC1417" s="1115" t="b">
        <f>AND(E1412&lt;&gt;"",T1413&lt;&gt;TRUE)</f>
        <v>0</v>
      </c>
      <c r="AD1417" s="30"/>
      <c r="AE1417" s="30"/>
      <c r="AF1417" s="58"/>
      <c r="AG1417" s="30"/>
      <c r="AH1417" s="30"/>
      <c r="AI1417" s="30"/>
      <c r="AJ1417" s="495"/>
      <c r="AK1417" s="495"/>
      <c r="AL1417" s="333"/>
      <c r="AM1417" s="30"/>
      <c r="AN1417" s="30"/>
      <c r="AO1417" s="30"/>
      <c r="AP1417" s="30"/>
      <c r="AQ1417" s="30"/>
      <c r="AR1417" s="30"/>
      <c r="AS1417" s="30"/>
      <c r="AT1417" s="1115" t="b">
        <f>MSPara_BatchReportingMandatory&lt;&gt;TRUE</f>
        <v>0</v>
      </c>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1115" t="b">
        <f>OR(CNTR_CalcRelevant=EUconst_NotRelevant,AND(COUNTA(CNTR_ListRelevantSections)&gt;0,OR(T1413=TRUE,E1412="")))</f>
        <v>1</v>
      </c>
    </row>
    <row r="1418" spans="1:78" s="140" customFormat="1" ht="5.0999999999999996" customHeight="1" thickBot="1" x14ac:dyDescent="0.25">
      <c r="A1418" s="777"/>
      <c r="B1418" s="1248"/>
      <c r="C1418" s="164"/>
      <c r="D1418" s="164"/>
      <c r="E1418" s="164"/>
      <c r="F1418" s="164"/>
      <c r="G1418" s="164"/>
      <c r="H1418" s="486"/>
      <c r="I1418" s="486"/>
      <c r="J1418" s="486"/>
      <c r="K1418" s="486"/>
      <c r="L1418" s="486"/>
      <c r="M1418" s="498"/>
      <c r="O1418" s="1305"/>
      <c r="P1418" s="23"/>
      <c r="Q1418" s="23"/>
      <c r="R1418" s="23"/>
      <c r="S1418" s="23"/>
      <c r="T1418" s="23"/>
      <c r="U1418" s="23"/>
      <c r="V1418" s="30"/>
      <c r="W1418" s="30"/>
      <c r="X1418" s="30"/>
      <c r="Y1418" s="485"/>
      <c r="Z1418" s="30"/>
      <c r="AA1418" s="30"/>
      <c r="AB1418" s="30"/>
      <c r="AC1418" s="483"/>
      <c r="AD1418" s="30"/>
      <c r="AE1418" s="30"/>
      <c r="AF1418" s="58"/>
      <c r="AG1418" s="30"/>
      <c r="AH1418" s="30"/>
      <c r="AI1418" s="30"/>
      <c r="AJ1418" s="495"/>
      <c r="AK1418" s="495"/>
      <c r="AL1418" s="333"/>
      <c r="AM1418" s="30"/>
      <c r="AN1418" s="30"/>
      <c r="AO1418" s="30"/>
      <c r="AP1418" s="30"/>
      <c r="AQ1418" s="30"/>
      <c r="AR1418" s="30"/>
      <c r="AS1418" s="30"/>
      <c r="AT1418" s="483"/>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483"/>
    </row>
    <row r="1419" spans="1:78" s="140" customFormat="1" ht="12.75" customHeight="1" thickBot="1" x14ac:dyDescent="0.25">
      <c r="A1419" s="777"/>
      <c r="B1419" s="1248"/>
      <c r="C1419" s="783" t="s">
        <v>5</v>
      </c>
      <c r="D1419" s="503" t="str">
        <f>Translations!$B$622</f>
        <v>VD:</v>
      </c>
      <c r="E1419" s="1105" t="str">
        <f>Translations!$B$668</f>
        <v>Pradinis kiekis:</v>
      </c>
      <c r="F1419" s="1123"/>
      <c r="G1419" s="1106" t="str">
        <f>Translations!$B$669</f>
        <v>Galutinis kiekis:</v>
      </c>
      <c r="H1419" s="1123"/>
      <c r="I1419" s="1106" t="str">
        <f>Translations!$B$670</f>
        <v>Įsigytas kiekis:</v>
      </c>
      <c r="J1419" s="1123"/>
      <c r="K1419" s="1106" t="str">
        <f>Translations!$B$671</f>
        <v>Perduotas kiekis:</v>
      </c>
      <c r="L1419" s="1123"/>
      <c r="M1419" s="1107" t="str">
        <f>IF(AND(L1417=TRUE,COUNT(F1419,H1419,J1419,L1419)&lt;4),EUconst_ERR_Incomplete,"")</f>
        <v/>
      </c>
      <c r="O1419" s="1305"/>
      <c r="P1419" s="23"/>
      <c r="Q1419" s="23"/>
      <c r="R1419" s="23"/>
      <c r="S1419" s="23"/>
      <c r="T1419" s="23"/>
      <c r="U1419" s="23"/>
      <c r="V1419" s="30"/>
      <c r="W1419" s="30"/>
      <c r="X1419" s="30"/>
      <c r="Y1419" s="485"/>
      <c r="Z1419" s="30"/>
      <c r="AA1419" s="30"/>
      <c r="AB1419" s="30"/>
      <c r="AC1419" s="1115" t="b">
        <f>AC1417</f>
        <v>0</v>
      </c>
      <c r="AD1419" s="30"/>
      <c r="AE1419" s="30"/>
      <c r="AF1419" s="58"/>
      <c r="AG1419" s="30"/>
      <c r="AH1419" s="30"/>
      <c r="AI1419" s="30"/>
      <c r="AJ1419" s="495"/>
      <c r="AK1419" s="495"/>
      <c r="AL1419" s="333"/>
      <c r="AM1419" s="30"/>
      <c r="AN1419" s="30"/>
      <c r="AO1419" s="30"/>
      <c r="AP1419" s="30"/>
      <c r="AQ1419" s="30"/>
      <c r="AR1419" s="30"/>
      <c r="AS1419" s="30"/>
      <c r="AT1419" s="1115" t="b">
        <f>AND(AT1417=TRUE,L1417="")</f>
        <v>0</v>
      </c>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1115" t="b">
        <f>OR(BZ1417,AND(NOT(ISBLANK(L1417)),L1417=FALSE))</f>
        <v>1</v>
      </c>
    </row>
    <row r="1420" spans="1:78" s="140" customFormat="1" ht="5.0999999999999996" customHeight="1" thickBot="1" x14ac:dyDescent="0.25">
      <c r="A1420" s="777"/>
      <c r="B1420" s="1248"/>
      <c r="C1420" s="164"/>
      <c r="D1420" s="164"/>
      <c r="E1420" s="164"/>
      <c r="F1420" s="164"/>
      <c r="G1420" s="164"/>
      <c r="M1420" s="141"/>
      <c r="N1420" s="141"/>
      <c r="O1420" s="1305"/>
      <c r="P1420" s="23"/>
      <c r="Q1420" s="23"/>
      <c r="R1420" s="23"/>
      <c r="S1420" s="23"/>
      <c r="T1420" s="23"/>
      <c r="U1420" s="23"/>
      <c r="V1420" s="30"/>
      <c r="W1420" s="30"/>
      <c r="X1420" s="30"/>
      <c r="Y1420" s="485"/>
      <c r="Z1420" s="30"/>
      <c r="AA1420" s="30"/>
      <c r="AB1420" s="30"/>
      <c r="AC1420" s="30"/>
      <c r="AD1420" s="30"/>
      <c r="AE1420" s="30"/>
      <c r="AF1420" s="58"/>
      <c r="AG1420" s="30"/>
      <c r="AH1420" s="30"/>
      <c r="AI1420" s="30"/>
      <c r="AJ1420" s="495"/>
      <c r="AK1420" s="495"/>
      <c r="AL1420" s="333"/>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row>
    <row r="1421" spans="1:78" s="140" customFormat="1" ht="12.75" customHeight="1" thickBot="1" x14ac:dyDescent="0.25">
      <c r="A1421" s="777"/>
      <c r="B1421" s="1248"/>
      <c r="C1421" s="164"/>
      <c r="D1421" s="164"/>
      <c r="E1421" s="164"/>
      <c r="F1421" s="497" t="str">
        <f>Translations!$B$333</f>
        <v>Pakopa</v>
      </c>
      <c r="G1421" s="1613" t="str">
        <f>Translations!$B$672</f>
        <v>pakopos aprašas</v>
      </c>
      <c r="H1421" s="1613"/>
      <c r="I1421" s="1608" t="str">
        <f>Translations!$B$158</f>
        <v>Vienetas</v>
      </c>
      <c r="J1421" s="1608"/>
      <c r="K1421" s="1608" t="str">
        <f>Translations!$B$673</f>
        <v>Vertė</v>
      </c>
      <c r="L1421" s="1608"/>
      <c r="M1421" s="498" t="str">
        <f>Translations!$B$610</f>
        <v>klaida</v>
      </c>
      <c r="O1421" s="1305"/>
      <c r="P1421" s="499"/>
      <c r="Q1421" s="343" t="str">
        <f>EUconst_SumEnergyIN &amp; "_" &amp; K1412</f>
        <v>SUM_EnergyIN_</v>
      </c>
      <c r="R1421" s="390" t="str">
        <f>IF(OR(K1412="",T1413)=TRUE,"",INDEX(BC1427:BE1427,MATCH(K1412,BC1422:BE1422,0)))</f>
        <v/>
      </c>
      <c r="S1421" s="30"/>
      <c r="T1421" s="480"/>
      <c r="U1421" s="30"/>
      <c r="V1421" s="500" t="s">
        <v>298</v>
      </c>
      <c r="W1421" s="30"/>
      <c r="X1421" s="30"/>
      <c r="Y1421" s="485" t="s">
        <v>560</v>
      </c>
      <c r="Z1421" s="485" t="s">
        <v>313</v>
      </c>
      <c r="AA1421" s="30"/>
      <c r="AB1421" s="30"/>
      <c r="AC1421" s="496" t="s">
        <v>304</v>
      </c>
      <c r="AD1421" s="30"/>
      <c r="AE1421" s="30"/>
      <c r="AF1421" s="483" t="s">
        <v>300</v>
      </c>
      <c r="AG1421" s="483" t="s">
        <v>301</v>
      </c>
      <c r="AH1421" s="485" t="s">
        <v>299</v>
      </c>
      <c r="AI1421" s="495" t="s">
        <v>302</v>
      </c>
      <c r="AJ1421" s="495" t="s">
        <v>561</v>
      </c>
      <c r="AK1421" s="501" t="s">
        <v>306</v>
      </c>
      <c r="AL1421" s="333"/>
      <c r="AM1421" s="30"/>
      <c r="AN1421" s="483" t="s">
        <v>300</v>
      </c>
      <c r="AO1421" s="483" t="s">
        <v>301</v>
      </c>
      <c r="AP1421" s="502" t="s">
        <v>305</v>
      </c>
      <c r="AQ1421" s="495" t="s">
        <v>563</v>
      </c>
      <c r="AR1421" s="495" t="s">
        <v>562</v>
      </c>
      <c r="AS1421" s="501" t="s">
        <v>599</v>
      </c>
      <c r="AT1421" s="501" t="s">
        <v>599</v>
      </c>
      <c r="AU1421" s="30"/>
      <c r="AV1421" s="483"/>
      <c r="AW1421" s="483"/>
      <c r="AX1421" s="483" t="s">
        <v>316</v>
      </c>
      <c r="AY1421" s="483"/>
      <c r="AZ1421" s="483"/>
      <c r="BA1421" s="483"/>
      <c r="BB1421" s="483"/>
      <c r="BC1421" s="483"/>
      <c r="BD1421" s="483"/>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484" t="s">
        <v>259</v>
      </c>
    </row>
    <row r="1422" spans="1:78" s="140" customFormat="1" ht="12.75" customHeight="1" thickBot="1" x14ac:dyDescent="0.25">
      <c r="A1422" s="777"/>
      <c r="B1422" s="1248"/>
      <c r="C1422" s="753" t="s">
        <v>194</v>
      </c>
      <c r="D1422" s="503" t="str">
        <f>Translations!$B$622</f>
        <v>VD:</v>
      </c>
      <c r="E1422" s="504"/>
      <c r="F1422" s="393"/>
      <c r="G1422" s="1603" t="str">
        <f>IF(OR(ISBLANK(F1422),F1422=EUconst_NoTier),"",IF(Z1422=0,EUconst_NA,IF(ISERROR(Z1422),"",Z1422)))</f>
        <v/>
      </c>
      <c r="H1422" s="1604"/>
      <c r="I1422" s="1108" t="str">
        <f>IF(J1422&lt;&gt;"","",AI1422)</f>
        <v/>
      </c>
      <c r="J1422" s="1109"/>
      <c r="K1422" s="1116" t="str">
        <f>IF(L1422="",AQ1422,"")</f>
        <v/>
      </c>
      <c r="L1422" s="1199"/>
      <c r="M1422" s="700" t="str">
        <f>IF(AND(E1413&lt;&gt;"",OR(F1422="",COUNT(K1422:L1422)=0),Y1422&lt;&gt;EUconst_NA,T1413&lt;&gt;TRUE),EUconst_ERR_Incomplete,IF(COUNTIF(AX1422:AZ1422,TRUE)&gt;0,EUconst_ERR_Inconsistent,""))</f>
        <v/>
      </c>
      <c r="O1422" s="1305"/>
      <c r="P1422" s="635"/>
      <c r="Q1422" s="343" t="str">
        <f>EUconst_SumBioEnergyIN &amp; "_" &amp; K1412</f>
        <v>SUM_BioEnergyIN_</v>
      </c>
      <c r="R1422" s="390" t="str">
        <f>IF(OR(K1412="",T1413)=TRUE,"",INDEX(BC1428:BE1428,MATCH(K1412,BC1422:BE1422,0)))</f>
        <v/>
      </c>
      <c r="S1422" s="30"/>
      <c r="T1422" s="505" t="str">
        <f>EUconst_CNTR_ActivityData&amp;E1413</f>
        <v>ActivityData_</v>
      </c>
      <c r="U1422" s="488"/>
      <c r="V1422" s="505" t="str">
        <f>IF(E1412="","",INDEX(B_InstallationDescription!$I$71:$I$145,MATCH(U1411,B_InstallationDescription!$D$71:$D$145,0)))</f>
        <v/>
      </c>
      <c r="W1422" s="495" t="s">
        <v>533</v>
      </c>
      <c r="X1422" s="488"/>
      <c r="Y1422" s="506" t="str">
        <f>IF(OR(T1413=TRUE,E1413=""),"",INDEX(EUwideConstants!$N:$N,MATCH(T1422,EUwideConstants!$Q:$Q,0)))</f>
        <v/>
      </c>
      <c r="Z1422" s="507" t="str">
        <f>IF(ISBLANK(F1422),"",IF(F1422=EUconst_NA,"",INDEX(EUwideConstants!$H:$M,MATCH(T1422,EUwideConstants!$Q:$Q,0),MATCH(F1422,CNTR_TierList,0))))</f>
        <v/>
      </c>
      <c r="AA1422" s="508" t="s">
        <v>299</v>
      </c>
      <c r="AB1422" s="495"/>
      <c r="AC1422" s="509" t="b">
        <f>AC1417</f>
        <v>0</v>
      </c>
      <c r="AD1422" s="30"/>
      <c r="AE1422" s="510" t="str">
        <f>EUconst_CNTR_ActivityData&amp;EUconst_Unit</f>
        <v>ActivityData_Vienetas</v>
      </c>
      <c r="AF1422" s="511" t="str">
        <f>IF(AC1422=TRUE, IF(COUNTIF(MSPara_SourceStreamCategory,V1422)=0,"",INDEX(MSPara_CalcFactorsMatrix,MATCH(V1422,MSPara_SourceStreamCategory,0),MATCH(AE1422&amp;"_"&amp;2,MSPara_CalcFactors,0))),"")</f>
        <v/>
      </c>
      <c r="AG1422" s="512" t="str">
        <f>IF(AC1422=TRUE, IF(COUNTIF(MSPara_SourceStreamCategory,V1422)=0,"",INDEX(MSPara_CalcFactorsMatrix,MATCH(V1422,MSPara_SourceStreamCategory,0),MATCH(AE1422&amp;"_"&amp;1,MSPara_CalcFactors,0))),"")</f>
        <v/>
      </c>
      <c r="AH1422" s="509" t="str">
        <f>IF(OR(AF1422="",AF1422=EUconst_NA),IF(OR(AG1422=EUconst_NA,AG1422=""),"",AG1422),AF1422)</f>
        <v/>
      </c>
      <c r="AI1422" s="506" t="str">
        <f>IF(AC1422=TRUE,IF(AH1422="",EUconst_t,AH1422),"")</f>
        <v/>
      </c>
      <c r="AJ1422" s="513" t="str">
        <f>IF(J1422="",AI1422,J1422)</f>
        <v/>
      </c>
      <c r="AK1422" s="514" t="b">
        <f>IF(K1412=EUconst_Fuel,J1422&lt;&gt;"",FALSE)</f>
        <v>0</v>
      </c>
      <c r="AL1422" s="333"/>
      <c r="AM1422" s="505" t="str">
        <f>EUconst_CNTR_ActivityData&amp;EUconst_Value</f>
        <v>ActivityData_Vertė</v>
      </c>
      <c r="AN1422" s="496"/>
      <c r="AO1422" s="496"/>
      <c r="AP1422" s="509" t="b">
        <f>AND(AND(AH1422&lt;&gt;"",AJ1422&lt;&gt;""),AJ1422=AH1422)</f>
        <v>0</v>
      </c>
      <c r="AQ1422" s="610" t="str">
        <f>IF(L1417=TRUE,SUM(F1419)-SUM(H1419)+SUM(J1419)-SUM(L1419),"")</f>
        <v/>
      </c>
      <c r="AR1422" s="509">
        <f>IF(Y1422=EUconst_NA,0,IF(COUNT(K1422:L1422)=0,0,IF(L1422="",K1422,L1422)))</f>
        <v>0</v>
      </c>
      <c r="AS1422" s="1115" t="b">
        <f>AND(AC1422=TRUE,OR(L1422&lt;&gt;"",AQ1422=""))</f>
        <v>0</v>
      </c>
      <c r="AT1422" s="1115" t="b">
        <f>AND(AC1422=TRUE,NOT(AS1422))</f>
        <v>0</v>
      </c>
      <c r="AU1422" s="30"/>
      <c r="AV1422" s="483" t="s">
        <v>309</v>
      </c>
      <c r="AW1422" s="483" t="s">
        <v>314</v>
      </c>
      <c r="AX1422" s="515"/>
      <c r="AY1422" s="30" t="s">
        <v>536</v>
      </c>
      <c r="AZ1422" s="30"/>
      <c r="BA1422" s="30"/>
      <c r="BB1422" s="495"/>
      <c r="BC1422" s="484" t="str">
        <f>EUconst_Fuel</f>
        <v>Degimas</v>
      </c>
      <c r="BD1422" s="484" t="str">
        <f>EUconst_ProcessCarbonate</f>
        <v>Proceso metu išsiskiriančios ŠESD</v>
      </c>
      <c r="BE1422" s="484" t="str">
        <f>EUconst_MassBalance</f>
        <v>Masės balansas</v>
      </c>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515" t="b">
        <f>BZ1417</f>
        <v>1</v>
      </c>
    </row>
    <row r="1423" spans="1:78" s="140" customFormat="1" ht="5.0999999999999996" customHeight="1" thickBot="1" x14ac:dyDescent="0.25">
      <c r="A1423" s="777"/>
      <c r="B1423" s="1248"/>
      <c r="C1423" s="783"/>
      <c r="D1423" s="298"/>
      <c r="F1423" s="141"/>
      <c r="G1423" s="141"/>
      <c r="H1423" s="141" t="s">
        <v>233</v>
      </c>
      <c r="I1423" s="516"/>
      <c r="J1423" s="516"/>
      <c r="K1423" s="141"/>
      <c r="L1423" s="141"/>
      <c r="M1423" s="701"/>
      <c r="O1423" s="1305"/>
      <c r="P1423" s="33"/>
      <c r="Q1423" s="33"/>
      <c r="R1423" s="33"/>
      <c r="S1423" s="30"/>
      <c r="T1423" s="153"/>
      <c r="U1423" s="488"/>
      <c r="V1423" s="30"/>
      <c r="W1423" s="30"/>
      <c r="X1423" s="488"/>
      <c r="Y1423" s="517"/>
      <c r="Z1423" s="30"/>
      <c r="AA1423" s="30"/>
      <c r="AB1423" s="30"/>
      <c r="AC1423" s="30"/>
      <c r="AD1423" s="30"/>
      <c r="AE1423" s="30"/>
      <c r="AF1423" s="30"/>
      <c r="AG1423" s="30"/>
      <c r="AH1423" s="30"/>
      <c r="AI1423" s="30"/>
      <c r="AJ1423" s="30"/>
      <c r="AK1423" s="30"/>
      <c r="AL1423" s="333"/>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484"/>
    </row>
    <row r="1424" spans="1:78" s="140" customFormat="1" ht="12.75" customHeight="1" thickBot="1" x14ac:dyDescent="0.25">
      <c r="A1424" s="777"/>
      <c r="B1424" s="1248"/>
      <c r="C1424" s="783" t="s">
        <v>195</v>
      </c>
      <c r="D1424" s="503" t="str">
        <f>Translations!$B$634</f>
        <v>(prelim.) ITF:</v>
      </c>
      <c r="E1424" s="504"/>
      <c r="F1424" s="518"/>
      <c r="G1424" s="1603" t="str">
        <f t="shared" ref="G1424:G1430" si="350">IF(OR(ISBLANK(F1424),F1424=EUconst_NoTier),"",IF(Z1424=0,EUconst_NotApplicable,IF(ISERROR(Z1424),"",Z1424)))</f>
        <v/>
      </c>
      <c r="H1424" s="1609"/>
      <c r="I1424" s="1110" t="str">
        <f>IF(J1424&lt;&gt;"","",AI1424)</f>
        <v/>
      </c>
      <c r="J1424" s="1111"/>
      <c r="K1424" s="519" t="str">
        <f t="shared" ref="K1424:K1430" si="351">IF(L1424="",AQ1424,"")</f>
        <v/>
      </c>
      <c r="L1424" s="520"/>
      <c r="M1424" s="700" t="str">
        <f>IF(AND(E1413&lt;&gt;"",OR(F1424="",COUNT(K1424:L1424)=0),Y1424&lt;&gt;EUconst_NA,T1413&lt;&gt;TRUE),EUconst_ERR_Incomplete,IF(COUNTIF(AX1424:AZ1424,TRUE)&gt;0,EUconst_ERR_Inconsistent,""))</f>
        <v/>
      </c>
      <c r="N1424" s="486"/>
      <c r="O1424" s="1305"/>
      <c r="P1424" s="33"/>
      <c r="Q1424" s="33"/>
      <c r="R1424" s="33"/>
      <c r="S1424" s="30"/>
      <c r="T1424" s="521" t="str">
        <f>EUconst_CNTR_EF&amp;E1413</f>
        <v>EF_</v>
      </c>
      <c r="U1424" s="488"/>
      <c r="V1424" s="522" t="str">
        <f>V1422</f>
        <v/>
      </c>
      <c r="W1424" s="30"/>
      <c r="X1424" s="488"/>
      <c r="Y1424" s="523" t="str">
        <f>IF(OR(T1413=TRUE,E1413=""),"",IF(F1424=EUconst_NA,EUconst_NA,INDEX(EUwideConstants!$N:$N,MATCH(T1424,EUwideConstants!$Q:$Q,0))))</f>
        <v/>
      </c>
      <c r="Z1424" s="524" t="str">
        <f>IF(ISBLANK(F1424),"",IF(F1424=EUconst_NA,"",INDEX(EUwideConstants!$H:$M,MATCH(T1424,EUwideConstants!$Q:$Q,0),MATCH(F1424,CNTR_TierList,0))))</f>
        <v/>
      </c>
      <c r="AA1424" s="525" t="str">
        <f>IF(COUNTIF(EUconst_DefaultValues,Z1424)&gt;0,MATCH(Z1424,EUconst_DefaultValues,0),"")</f>
        <v/>
      </c>
      <c r="AB1424" s="30"/>
      <c r="AC1424" s="526" t="b">
        <f>AND(AC1422,Y1424&lt;&gt;EUconst_NA)</f>
        <v>0</v>
      </c>
      <c r="AD1424" s="30"/>
      <c r="AE1424" s="510" t="str">
        <f>EUconst_CNTR_EF&amp;EUconst_Unit</f>
        <v>EF_Vienetas</v>
      </c>
      <c r="AF1424" s="527" t="str">
        <f>IF(AC1424=TRUE, IF(COUNTIF(MSPara_SourceStreamCategory,V1424)=0,"",INDEX(MSPara_CalcFactorsMatrix,MATCH(V1424,MSPara_SourceStreamCategory,0),MATCH(AE1424&amp;"_"&amp;2,MSPara_CalcFactors,0))),"")</f>
        <v/>
      </c>
      <c r="AG1424" s="528" t="str">
        <f>IF(AC1424=TRUE, IF(COUNTIF(MSPara_SourceStreamCategory,V1424)=0,"",INDEX(MSPara_CalcFactorsMatrix,MATCH(V1424,MSPara_SourceStreamCategory,0),MATCH(AE1424&amp;"_"&amp;1,MSPara_CalcFactors,0))),"")</f>
        <v/>
      </c>
      <c r="AH1424" s="529" t="str">
        <f>IF(AA1424="","",INDEX(AF1424:AG1424,3-AA1424))</f>
        <v/>
      </c>
      <c r="AI1424" s="530" t="str">
        <f>IF(AC1424=TRUE,IF(OR(AH1424="",AH1424=EUconst_NA),IF(K1412=EUconst_Fuel,EUconst_tCO2pTJ,EUconst_tCO2pt),AH1424),"")</f>
        <v/>
      </c>
      <c r="AJ1424" s="526" t="str">
        <f>IF(J1424="",AI1424,J1424)</f>
        <v/>
      </c>
      <c r="AK1424" s="531" t="b">
        <f>IF(K1412=EUconst_Fuel,J1424&lt;&gt;"",FALSE)</f>
        <v>0</v>
      </c>
      <c r="AL1424" s="333"/>
      <c r="AM1424" s="510" t="str">
        <f>EUconst_CNTR_EF&amp;EUconst_Value</f>
        <v>EF_Vertė</v>
      </c>
      <c r="AN1424" s="532" t="str">
        <f>IF(AC1424=TRUE,IF(COUNTIF(MSPara_SourceStreamCategory,V1424)=0,"",INDEX(MSPara_CalcFactorsMatrix,MATCH(V1424,MSPara_SourceStreamCategory,0),MATCH(AM1424&amp;"_"&amp;2,MSPara_CalcFactors,0))),"")</f>
        <v/>
      </c>
      <c r="AO1424" s="533" t="str">
        <f>IF(AC1424=TRUE,IF(COUNTIF(MSPara_SourceStreamCategory,V1424)=0,"",INDEX(MSPara_CalcFactorsMatrix,MATCH(V1424,MSPara_SourceStreamCategory,0),MATCH(AM1424&amp;"_"&amp;1,MSPara_CalcFactors,0))),"")</f>
        <v/>
      </c>
      <c r="AP1424" s="526" t="b">
        <f>AND(AND(AH1424&lt;&gt;"",AJ1424&lt;&gt;""),AJ1424=AH1424)</f>
        <v>0</v>
      </c>
      <c r="AQ1424" s="534" t="str">
        <f>IF(AND(AA1424&lt;&gt;"",AP1424=TRUE),IF(OR(INDEX(AN1424:AO1424,3-AA1424)=EUconst_NA,INDEX(AN1424:AO1424,3-AA1424)=0),"",INDEX(AN1424:AO1424,3-AA1424)),"")</f>
        <v/>
      </c>
      <c r="AR1424" s="526">
        <f>IF(AC1424=TRUE,IF(COUNT(K1424:L1424)=0,0,IF(L1424="",K1424,L1424)),0)</f>
        <v>0</v>
      </c>
      <c r="AS1424" s="522" t="b">
        <f>AND(AC1424=TRUE,OR(AND(F1424&lt;&gt;"",NOT(ISNUMBER(AA1424))),L1424&lt;&gt;"",F1424="",AQ1424=""))</f>
        <v>0</v>
      </c>
      <c r="AT1424" s="522" t="b">
        <f t="shared" ref="AT1424:AT1430" si="352">AND(AC1424=TRUE,NOT(AS1424))</f>
        <v>0</v>
      </c>
      <c r="AU1424" s="30"/>
      <c r="AV1424" s="535" t="b">
        <f t="shared" ref="AV1424:AV1430" si="353">AND(ISNUMBER(AA1424),AQ1424="")</f>
        <v>0</v>
      </c>
      <c r="AW1424" s="536" t="b">
        <f t="shared" ref="AW1424:AW1430" si="354">AND(ISNUMBER(AA1424),AQ1424&lt;&gt;AR1424)</f>
        <v>0</v>
      </c>
      <c r="AX1424" s="537" t="b">
        <f>OR(AND(AJ1422=EUconst_kNm3,AJ1424=EUconst_tCO2pt),AND(AJ1422=EUconst_t,AJ1424=EUconst_tCO2pkNm3))</f>
        <v>0</v>
      </c>
      <c r="AY1424" s="522" t="b">
        <f t="shared" ref="AY1424:AY1430" si="355">AND(L1424&lt;&gt;"",Y1424=EUconst_NA)</f>
        <v>0</v>
      </c>
      <c r="AZ1424" s="30"/>
      <c r="BA1424" s="30"/>
      <c r="BB1424" s="538" t="s">
        <v>588</v>
      </c>
      <c r="BC1424" s="537" t="str">
        <f>IF(K1412=BC1422,AR1422*IF(AJ1424=EUconst_tCO2pTJ,(AR1425/1000),1)*AR1424*AR1426*AR1430,"")</f>
        <v/>
      </c>
      <c r="BD1424" s="515" t="str">
        <f>IF(K1412=BD1422,AR1422*AR1424*AR1427*AR1430,"")</f>
        <v/>
      </c>
      <c r="BE1424" s="514" t="str">
        <f>IF(K1412=BE1422,3.664*AR1422*AR1428*AR1430,"")</f>
        <v/>
      </c>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522" t="b">
        <f>OR(BZ1422,Y1424=EUconst_NA)</f>
        <v>1</v>
      </c>
    </row>
    <row r="1425" spans="1:78" s="140" customFormat="1" ht="12.75" customHeight="1" thickBot="1" x14ac:dyDescent="0.25">
      <c r="A1425" s="777"/>
      <c r="B1425" s="1248"/>
      <c r="C1425" s="783" t="s">
        <v>196</v>
      </c>
      <c r="D1425" s="503" t="str">
        <f>Translations!$B$636</f>
        <v>GŠV:</v>
      </c>
      <c r="E1425" s="504"/>
      <c r="F1425" s="539"/>
      <c r="G1425" s="1603" t="str">
        <f t="shared" si="350"/>
        <v/>
      </c>
      <c r="H1425" s="1604"/>
      <c r="I1425" s="1112" t="str">
        <f>AJ1425</f>
        <v/>
      </c>
      <c r="J1425" s="540"/>
      <c r="K1425" s="541" t="str">
        <f t="shared" si="351"/>
        <v/>
      </c>
      <c r="L1425" s="542"/>
      <c r="M1425" s="700" t="str">
        <f>IF(AND(E1413&lt;&gt;"",OR(F1425="",COUNT(K1425:L1425)=0),Y1425&lt;&gt;EUconst_NA,T1413&lt;&gt;TRUE),EUconst_ERR_Incomplete,IF(COUNTIF(AX1425:AZ1425,TRUE)&gt;0,EUconst_ERR_Inconsistent,""))</f>
        <v/>
      </c>
      <c r="O1425" s="1305"/>
      <c r="P1425" s="33"/>
      <c r="Q1425" s="33"/>
      <c r="R1425" s="33"/>
      <c r="S1425" s="30"/>
      <c r="T1425" s="543" t="str">
        <f>EUconst_CNTR_NCV&amp;E1413</f>
        <v>NCV_</v>
      </c>
      <c r="U1425" s="488"/>
      <c r="V1425" s="544" t="str">
        <f t="shared" ref="V1425:V1430" si="356">V1424</f>
        <v/>
      </c>
      <c r="W1425" s="30"/>
      <c r="X1425" s="488"/>
      <c r="Y1425" s="545" t="str">
        <f>IF(OR(T1413=TRUE,E1413=""),"",IF(F1425=EUconst_NA,EUconst_NA,INDEX(EUwideConstants!$N:$N,MATCH(T1425,EUwideConstants!$Q:$Q,0))))</f>
        <v/>
      </c>
      <c r="Z1425" s="546" t="str">
        <f>IF(ISBLANK(F1425),"",IF(F1425=EUconst_NA,"",INDEX(EUwideConstants!$H:$M,MATCH(T1425,EUwideConstants!$Q:$Q,0),MATCH(F1425,CNTR_TierList,0))))</f>
        <v/>
      </c>
      <c r="AA1425" s="547" t="str">
        <f>IF(COUNTIF(EUconst_DefaultValues,Z1425)&gt;0,MATCH(Z1425,EUconst_DefaultValues,0),"")</f>
        <v/>
      </c>
      <c r="AB1425" s="30"/>
      <c r="AC1425" s="548" t="b">
        <f>AND(AC1422,Y1425&lt;&gt;EUconst_NA)</f>
        <v>0</v>
      </c>
      <c r="AD1425" s="30"/>
      <c r="AE1425" s="549" t="str">
        <f>EUconst_CNTR_NCV&amp;EUconst_Unit</f>
        <v>NCV_Vienetas</v>
      </c>
      <c r="AF1425" s="550" t="str">
        <f>IF(AC1425=TRUE, IF(COUNTIF(MSPara_SourceStreamCategory,V1425)=0,"",INDEX(MSPara_CalcFactorsMatrix,MATCH(V1425,MSPara_SourceStreamCategory,0),MATCH(AE1425&amp;"_"&amp;2,MSPara_CalcFactors,0))),"")</f>
        <v/>
      </c>
      <c r="AG1425" s="551" t="str">
        <f>IF(AC1425=TRUE, IF(COUNTIF(MSPara_SourceStreamCategory,V1425)=0,"",INDEX(MSPara_CalcFactorsMatrix,MATCH(V1425,MSPara_SourceStreamCategory,0),MATCH(AE1425&amp;"_"&amp;1,MSPara_CalcFactors,0))),"")</f>
        <v/>
      </c>
      <c r="AH1425" s="552" t="str">
        <f>IF(AA1425="","",INDEX(AF1425:AG1425,3-AA1425))</f>
        <v/>
      </c>
      <c r="AI1425" s="553"/>
      <c r="AJ1425" s="548" t="str">
        <f>IF(AC1425=TRUE,IF(AJ1422="","",IF(AJ1422=EUconst_kNm3,EUconst_GJpkNm3,EUconst_GJpt)),"")</f>
        <v/>
      </c>
      <c r="AK1425" s="554"/>
      <c r="AL1425" s="333"/>
      <c r="AM1425" s="549" t="str">
        <f>EUconst_CNTR_NCV&amp;EUconst_Value</f>
        <v>NCV_Vertė</v>
      </c>
      <c r="AN1425" s="555" t="str">
        <f>IF(AC1425=TRUE,IF(COUNTIF(MSPara_SourceStreamCategory,V1425)=0,"",INDEX(MSPara_CalcFactorsMatrix,MATCH(V1425,MSPara_SourceStreamCategory,0),MATCH(AM1425&amp;"_"&amp;2,MSPara_CalcFactors,0))),"")</f>
        <v/>
      </c>
      <c r="AO1425" s="556" t="str">
        <f>IF(AC1425=TRUE,IF(COUNTIF(MSPara_SourceStreamCategory,V1425)=0,"",INDEX(MSPara_CalcFactorsMatrix,MATCH(V1425,MSPara_SourceStreamCategory,0),MATCH(AM1425&amp;"_"&amp;1,MSPara_CalcFactors,0))),"")</f>
        <v/>
      </c>
      <c r="AP1425" s="548" t="b">
        <f>AND(AND(AH1425&lt;&gt;"",AJ1425&lt;&gt;""),AJ1425=AH1425)</f>
        <v>0</v>
      </c>
      <c r="AQ1425" s="557" t="str">
        <f>IF(AND(AA1425&lt;&gt;"",AP1425=TRUE),IF(OR(INDEX(AN1425:AO1425,3-AA1425)=EUconst_NA,INDEX(AN1425:AO1425,3-AA1425)=0),"",INDEX(AN1425:AO1425,3-AA1425)),"")</f>
        <v/>
      </c>
      <c r="AR1425" s="548">
        <f>IF(AC1425=TRUE,IF(COUNT(K1425:L1425)=0,0,IF(L1425="",K1425,L1425)),0)</f>
        <v>0</v>
      </c>
      <c r="AS1425" s="544" t="b">
        <f>AND(AC1425=TRUE,OR(AND(F1425&lt;&gt;"",NOT(ISNUMBER(AA1425))),L1425&lt;&gt;"",F1425="",AQ1425=""))</f>
        <v>0</v>
      </c>
      <c r="AT1425" s="544" t="b">
        <f t="shared" si="352"/>
        <v>0</v>
      </c>
      <c r="AU1425" s="30"/>
      <c r="AV1425" s="558" t="b">
        <f t="shared" si="353"/>
        <v>0</v>
      </c>
      <c r="AW1425" s="559" t="b">
        <f t="shared" si="354"/>
        <v>0</v>
      </c>
      <c r="AX1425" s="30"/>
      <c r="AY1425" s="544" t="b">
        <f t="shared" si="355"/>
        <v>0</v>
      </c>
      <c r="AZ1425" s="30"/>
      <c r="BA1425" s="30"/>
      <c r="BB1425" s="538" t="s">
        <v>589</v>
      </c>
      <c r="BC1425" s="537" t="str">
        <f>IF(K1412=BC1422,AR1422*IF(AJ1424=EUconst_tCO2pTJ,(AR1425/1000),1)*AR1424*AR1426*AR1429,"")</f>
        <v/>
      </c>
      <c r="BD1425" s="515" t="str">
        <f>IF(K1412=BD1422,AR1422*AR1424*AR1427*AR1429,"")</f>
        <v/>
      </c>
      <c r="BE1425" s="514" t="str">
        <f>IF(K1412=BE1422,3.664*AR1422*AR1428*AR1429,"")</f>
        <v/>
      </c>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544" t="b">
        <f>OR(BZ1422,Y1425=EUconst_NA)</f>
        <v>1</v>
      </c>
    </row>
    <row r="1426" spans="1:78" s="140" customFormat="1" ht="12.75" customHeight="1" thickBot="1" x14ac:dyDescent="0.25">
      <c r="A1426" s="777"/>
      <c r="B1426" s="1248"/>
      <c r="C1426" s="783" t="s">
        <v>197</v>
      </c>
      <c r="D1426" s="503" t="str">
        <f>Translations!$B$638</f>
        <v>Oksidacijos koef.:</v>
      </c>
      <c r="E1426" s="504"/>
      <c r="F1426" s="539"/>
      <c r="G1426" s="1603" t="str">
        <f t="shared" si="350"/>
        <v/>
      </c>
      <c r="H1426" s="1604"/>
      <c r="I1426" s="1113" t="str">
        <f>IF(OR(AC1426=FALSE,Y1426=EUconst_NA),"","-")</f>
        <v/>
      </c>
      <c r="J1426" s="560"/>
      <c r="K1426" s="561" t="str">
        <f t="shared" si="351"/>
        <v/>
      </c>
      <c r="L1426" s="694"/>
      <c r="M1426" s="700" t="str">
        <f>IF(AND(E1413&lt;&gt;"",OR(F1426="",COUNT(K1426:L1426)=0),Y1426&lt;&gt;EUconst_NA,T1413&lt;&gt;TRUE),EUconst_ERR_Incomplete,IF(COUNTIF(AX1426:AZ1426,TRUE)&gt;0,EUconst_ERR_Inconsistent,""))</f>
        <v/>
      </c>
      <c r="O1426" s="1305"/>
      <c r="P1426" s="33"/>
      <c r="Q1426" s="33"/>
      <c r="R1426" s="33"/>
      <c r="S1426" s="30"/>
      <c r="T1426" s="543" t="str">
        <f>EUconst_CNTR_OxidationFactor&amp;E1413</f>
        <v>OxF_</v>
      </c>
      <c r="U1426" s="488"/>
      <c r="V1426" s="544" t="str">
        <f t="shared" si="356"/>
        <v/>
      </c>
      <c r="W1426" s="30"/>
      <c r="X1426" s="488"/>
      <c r="Y1426" s="545" t="str">
        <f>IF(OR(T1413=TRUE,E1413=""),"",INDEX(EUwideConstants!$N:$N,MATCH(T1426,EUwideConstants!$Q:$Q,0)))</f>
        <v/>
      </c>
      <c r="Z1426" s="546" t="str">
        <f>IF(ISBLANK(F1426),"",IF(F1426=EUconst_NA,"",INDEX(EUwideConstants!$H:$M,MATCH(T1426,EUwideConstants!$Q:$Q,0),MATCH(F1426,CNTR_TierList,0))))</f>
        <v/>
      </c>
      <c r="AA1426" s="525" t="str">
        <f>IF(F1426=1,1,"")</f>
        <v/>
      </c>
      <c r="AB1426" s="30"/>
      <c r="AC1426" s="548" t="b">
        <f>AND(AC1422,Y1426&lt;&gt;EUconst_NA)</f>
        <v>0</v>
      </c>
      <c r="AD1426" s="30"/>
      <c r="AE1426" s="563"/>
      <c r="AG1426" s="564"/>
      <c r="AH1426" s="553"/>
      <c r="AI1426" s="565"/>
      <c r="AJ1426" s="553"/>
      <c r="AK1426" s="566"/>
      <c r="AL1426" s="333"/>
      <c r="AM1426" s="549" t="str">
        <f>EUconst_CNTR_OxidationFactor&amp;EUconst_Value</f>
        <v>OxF_Vertė</v>
      </c>
      <c r="AN1426" s="567"/>
      <c r="AO1426" s="525">
        <v>1</v>
      </c>
      <c r="AP1426" s="553"/>
      <c r="AQ1426" s="568" t="str">
        <f>IF(AA1426="","",AO1426)</f>
        <v/>
      </c>
      <c r="AR1426" s="548">
        <f>IF(AC1426=TRUE,IF(COUNT(K1426:L1426)=0,0,IF(L1426="",K1426,L1426)),1)</f>
        <v>1</v>
      </c>
      <c r="AS1426" s="544" t="b">
        <f>AND(AC1426=TRUE,OR(ISNUMBER(L1426),NOT(ISNUMBER(AA1426))))</f>
        <v>0</v>
      </c>
      <c r="AT1426" s="544" t="b">
        <f t="shared" si="352"/>
        <v>0</v>
      </c>
      <c r="AU1426" s="30"/>
      <c r="AV1426" s="558" t="b">
        <f t="shared" si="353"/>
        <v>0</v>
      </c>
      <c r="AW1426" s="559" t="b">
        <f t="shared" si="354"/>
        <v>0</v>
      </c>
      <c r="AX1426" s="30"/>
      <c r="AY1426" s="585" t="b">
        <f t="shared" si="355"/>
        <v>0</v>
      </c>
      <c r="AZ1426" s="522" t="b">
        <f>AR1426&gt;100%</f>
        <v>0</v>
      </c>
      <c r="BA1426" s="30"/>
      <c r="BB1426" s="538" t="s">
        <v>287</v>
      </c>
      <c r="BC1426" s="537" t="str">
        <f>IF(K1412=BC1422,AR1422*IF(AJ1424=EUconst_tCO2pTJ,(AR1425/1000),1)*AR1424*AR1426*(1-AR1429),"")</f>
        <v/>
      </c>
      <c r="BD1426" s="515" t="str">
        <f>IF(K1412=BD1422,AR1422*AR1424*AR1427*(1-AR1429),"")</f>
        <v/>
      </c>
      <c r="BE1426" s="514" t="str">
        <f>IF(K1412=BE1422,3.664*AR1422*AR1428*(1-AR1429),"")</f>
        <v/>
      </c>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544" t="b">
        <f>OR(BZ1422,Y1426=EUconst_NA)</f>
        <v>1</v>
      </c>
    </row>
    <row r="1427" spans="1:78" s="140" customFormat="1" ht="12.75" customHeight="1" thickBot="1" x14ac:dyDescent="0.25">
      <c r="A1427" s="777"/>
      <c r="B1427" s="1248"/>
      <c r="C1427" s="783" t="s">
        <v>198</v>
      </c>
      <c r="D1427" s="503" t="str">
        <f>Translations!$B$639</f>
        <v>Konversijos koef.:</v>
      </c>
      <c r="E1427" s="504"/>
      <c r="F1427" s="539"/>
      <c r="G1427" s="1603" t="str">
        <f t="shared" si="350"/>
        <v/>
      </c>
      <c r="H1427" s="1604"/>
      <c r="I1427" s="1113" t="str">
        <f>IF(OR(AC1427=FALSE,Y1427=EUconst_NA),"","-")</f>
        <v/>
      </c>
      <c r="J1427" s="560"/>
      <c r="K1427" s="561" t="str">
        <f t="shared" si="351"/>
        <v/>
      </c>
      <c r="L1427" s="694"/>
      <c r="M1427" s="700" t="str">
        <f>IF(AND(E1413&lt;&gt;"",OR(F1427="",COUNT(K1427:L1427)=0),Y1427&lt;&gt;EUconst_NA,T1413&lt;&gt;TRUE),EUconst_ERR_Incomplete,IF(COUNTIF(AX1427:AZ1427,TRUE)&gt;0,EUconst_ERR_Inconsistent,""))</f>
        <v/>
      </c>
      <c r="O1427" s="1305"/>
      <c r="P1427" s="33"/>
      <c r="Q1427" s="33"/>
      <c r="R1427" s="33"/>
      <c r="S1427" s="30"/>
      <c r="T1427" s="543" t="str">
        <f>EUconst_CNTR_ConversionFactor&amp;E1413</f>
        <v>ConvF_</v>
      </c>
      <c r="U1427" s="488"/>
      <c r="V1427" s="544" t="str">
        <f t="shared" si="356"/>
        <v/>
      </c>
      <c r="W1427" s="30"/>
      <c r="X1427" s="488"/>
      <c r="Y1427" s="545" t="str">
        <f>IF(OR(T1413=TRUE,E1413=""),"",INDEX(EUwideConstants!$N:$N,MATCH(T1427,EUwideConstants!$Q:$Q,0)))</f>
        <v/>
      </c>
      <c r="Z1427" s="546" t="str">
        <f>IF(ISBLANK(F1427),"",IF(F1427=EUconst_NA,"",INDEX(EUwideConstants!$H:$M,MATCH(T1427,EUwideConstants!$Q:$Q,0),MATCH(F1427,CNTR_TierList,0))))</f>
        <v/>
      </c>
      <c r="AA1427" s="573" t="str">
        <f>IF(F1427=1,1,"")</f>
        <v/>
      </c>
      <c r="AB1427" s="30"/>
      <c r="AC1427" s="548" t="b">
        <f>AND(AC1422,Y1427&lt;&gt;EUconst_NA)</f>
        <v>0</v>
      </c>
      <c r="AD1427" s="30"/>
      <c r="AE1427" s="563"/>
      <c r="AG1427" s="564"/>
      <c r="AH1427" s="574"/>
      <c r="AI1427" s="565"/>
      <c r="AJ1427" s="574"/>
      <c r="AK1427" s="566"/>
      <c r="AL1427" s="333"/>
      <c r="AM1427" s="549" t="str">
        <f>EUconst_CNTR_ConversionFactor&amp;EUconst_Value</f>
        <v>ConvF_Vertė</v>
      </c>
      <c r="AN1427" s="575"/>
      <c r="AO1427" s="573">
        <v>1</v>
      </c>
      <c r="AP1427" s="574"/>
      <c r="AQ1427" s="576" t="str">
        <f>IF(AA1427="","",AO1427)</f>
        <v/>
      </c>
      <c r="AR1427" s="548">
        <f>IF(AC1427=TRUE,IF(COUNT(K1427:L1427)=0,0,IF(L1427="",K1427,L1427)),1)</f>
        <v>1</v>
      </c>
      <c r="AS1427" s="544" t="b">
        <f>AND(AC1427=TRUE,OR(ISNUMBER(L1427),NOT(ISNUMBER(AA1427))))</f>
        <v>0</v>
      </c>
      <c r="AT1427" s="544" t="b">
        <f t="shared" si="352"/>
        <v>0</v>
      </c>
      <c r="AU1427" s="30"/>
      <c r="AV1427" s="558" t="b">
        <f t="shared" si="353"/>
        <v>0</v>
      </c>
      <c r="AW1427" s="559" t="b">
        <f t="shared" si="354"/>
        <v>0</v>
      </c>
      <c r="AX1427" s="30"/>
      <c r="AY1427" s="585" t="b">
        <f t="shared" si="355"/>
        <v>0</v>
      </c>
      <c r="AZ1427" s="571" t="b">
        <f>AR1427&gt;100%</f>
        <v>0</v>
      </c>
      <c r="BA1427" s="30"/>
      <c r="BB1427" s="569" t="s">
        <v>481</v>
      </c>
      <c r="BC1427" s="570">
        <f>AR1422*AR1425/1000*(1-AR1429)</f>
        <v>0</v>
      </c>
      <c r="BD1427" s="571">
        <f>BC1427</f>
        <v>0</v>
      </c>
      <c r="BE1427" s="572">
        <f>BC1427</f>
        <v>0</v>
      </c>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544" t="b">
        <f>OR(BZ1422,Y1427=EUconst_NA)</f>
        <v>1</v>
      </c>
    </row>
    <row r="1428" spans="1:78" s="140" customFormat="1" ht="12.75" customHeight="1" thickBot="1" x14ac:dyDescent="0.25">
      <c r="A1428" s="777"/>
      <c r="B1428" s="1248"/>
      <c r="C1428" s="783" t="s">
        <v>324</v>
      </c>
      <c r="D1428" s="503" t="str">
        <f>Translations!$B$640</f>
        <v>Anglies kiekis (C):</v>
      </c>
      <c r="E1428" s="504"/>
      <c r="F1428" s="539"/>
      <c r="G1428" s="1603" t="str">
        <f t="shared" si="350"/>
        <v/>
      </c>
      <c r="H1428" s="1604"/>
      <c r="I1428" s="1113" t="str">
        <f>AJ1428</f>
        <v/>
      </c>
      <c r="J1428" s="577"/>
      <c r="K1428" s="578" t="str">
        <f t="shared" si="351"/>
        <v/>
      </c>
      <c r="L1428" s="579"/>
      <c r="M1428" s="700" t="str">
        <f>IF(AND(E1413&lt;&gt;"",OR(F1428="",COUNT(K1428:L1428)=0),Y1428&lt;&gt;EUconst_NA,T1413&lt;&gt;TRUE),EUconst_ERR_Incomplete,IF(COUNTIF(AX1428:AZ1428,TRUE)&gt;0,EUconst_ERR_Inconsistent,""))</f>
        <v/>
      </c>
      <c r="O1428" s="1305"/>
      <c r="P1428" s="33"/>
      <c r="Q1428" s="33"/>
      <c r="R1428" s="33"/>
      <c r="S1428" s="30"/>
      <c r="T1428" s="543" t="str">
        <f>EUconst_CNTR_CarbonContent&amp;E1413</f>
        <v>CarbC_</v>
      </c>
      <c r="U1428" s="488"/>
      <c r="V1428" s="544" t="str">
        <f t="shared" si="356"/>
        <v/>
      </c>
      <c r="W1428" s="30"/>
      <c r="X1428" s="488"/>
      <c r="Y1428" s="545" t="str">
        <f>IF(OR(T1413=TRUE,E1413=""),"",INDEX(EUwideConstants!$N:$N,MATCH(T1428,EUwideConstants!$Q:$Q,0)))</f>
        <v/>
      </c>
      <c r="Z1428" s="546" t="str">
        <f>IF(ISBLANK(F1428),"",IF(F1428=EUconst_NA,"",INDEX(EUwideConstants!$H:$M,MATCH(T1428,EUwideConstants!$Q:$Q,0),MATCH(F1428,CNTR_TierList,0))))</f>
        <v/>
      </c>
      <c r="AA1428" s="580" t="str">
        <f>IF(COUNTIF(EUconst_DefaultValues,Z1428)&gt;0,MATCH(Z1428,EUconst_DefaultValues,0),"")</f>
        <v/>
      </c>
      <c r="AB1428" s="30"/>
      <c r="AC1428" s="548" t="b">
        <f>AND(AC1422,Y1428&lt;&gt;EUconst_NA)</f>
        <v>0</v>
      </c>
      <c r="AD1428" s="30"/>
      <c r="AE1428" s="549" t="str">
        <f>EUconst_CNTR_CarbonContent&amp;EUconst_Unit</f>
        <v>CarbC_Vienetas</v>
      </c>
      <c r="AF1428" s="550" t="str">
        <f>IF(AC1428=TRUE, IF(COUNTIF(MSPara_SourceStreamCategory,V1428)=0,"",INDEX(MSPara_CalcFactorsMatrix,MATCH(V1428,MSPara_SourceStreamCategory,0),MATCH(AE1428&amp;"_"&amp;2,MSPara_CalcFactors,0))),"")</f>
        <v/>
      </c>
      <c r="AG1428" s="551" t="str">
        <f>IF(AC1428=TRUE, IF(COUNTIF(MSPara_SourceStreamCategory,V1428)=0,"",INDEX(MSPara_CalcFactorsMatrix,MATCH(V1428,MSPara_SourceStreamCategory,0),MATCH(AE1428&amp;"_"&amp;1,MSPara_CalcFactors,0))),"")</f>
        <v/>
      </c>
      <c r="AH1428" s="581" t="str">
        <f>IF(AA1428="","",INDEX(AF1428:AG1428,3-AA1428))</f>
        <v/>
      </c>
      <c r="AI1428" s="565"/>
      <c r="AJ1428" s="582" t="str">
        <f>IF(AC1428=TRUE,IF(AJ1422="","",IF(AJ1422=EUconst_kNm3,EUconst_tCpkNm3,EUconst_tCpt)),"")</f>
        <v/>
      </c>
      <c r="AK1428" s="566"/>
      <c r="AL1428" s="333"/>
      <c r="AM1428" s="549" t="str">
        <f>EUconst_CNTR_CarbonContent&amp;EUconst_Value</f>
        <v>CarbC_Vertė</v>
      </c>
      <c r="AN1428" s="555" t="str">
        <f>IF(AC1428=TRUE,IF(COUNTIF(MSPara_SourceStreamCategory,V1428)=0,"",INDEX(MSPara_CalcFactorsMatrix,MATCH(V1428,MSPara_SourceStreamCategory,0),MATCH(AM1428&amp;"_"&amp;2,MSPara_CalcFactors,0))),"")</f>
        <v/>
      </c>
      <c r="AO1428" s="583" t="str">
        <f>IF(AC1428=TRUE,IF(COUNTIF(MSPara_SourceStreamCategory,V1428)=0,"",INDEX(MSPara_CalcFactorsMatrix,MATCH(V1428,MSPara_SourceStreamCategory,0),MATCH(AM1428&amp;"_"&amp;1,MSPara_CalcFactors,0))),"")</f>
        <v/>
      </c>
      <c r="AP1428" s="548" t="b">
        <f>AND(AND(AH1428&lt;&gt;"",AJ1428&lt;&gt;""),AJ1428=AH1428)</f>
        <v>0</v>
      </c>
      <c r="AQ1428" s="584" t="str">
        <f>IF(AND(AA1428&lt;&gt;"",AP1428=TRUE),IF(OR(INDEX(AN1428:AO1428,3-AA1428)=EUconst_NA,INDEX(AN1428:AO1428,3-AA1428)=0),"",INDEX(AN1428:AO1428,3-AA1428)),"")</f>
        <v/>
      </c>
      <c r="AR1428" s="548">
        <f>IF(AC1428=TRUE,IF(COUNT(K1428:L1428)=0,0,IF(L1428="",K1428,L1428)),0)</f>
        <v>0</v>
      </c>
      <c r="AS1428" s="544" t="b">
        <f>AND(AC1428=TRUE,OR(AND(F1428&lt;&gt;"",NOT(ISNUMBER(AA1428))),L1428&lt;&gt;"",F1428="",AQ1428=""))</f>
        <v>0</v>
      </c>
      <c r="AT1428" s="544" t="b">
        <f t="shared" si="352"/>
        <v>0</v>
      </c>
      <c r="AU1428" s="30"/>
      <c r="AV1428" s="558" t="b">
        <f t="shared" si="353"/>
        <v>0</v>
      </c>
      <c r="AW1428" s="559" t="b">
        <f t="shared" si="354"/>
        <v>0</v>
      </c>
      <c r="AX1428" s="537" t="b">
        <f>OR(AND(AJ1422=EUconst_kNm3,AJ1428=EUconst_tCpt),AND(AJ1422=EUconst_t,AJ1428=EUconst_tCpkNm3))</f>
        <v>0</v>
      </c>
      <c r="AY1428" s="544" t="b">
        <f t="shared" si="355"/>
        <v>0</v>
      </c>
      <c r="AZ1428" s="30"/>
      <c r="BA1428" s="30"/>
      <c r="BB1428" s="569" t="s">
        <v>482</v>
      </c>
      <c r="BC1428" s="570">
        <f>AR1422*AR1425/1000*AR1429</f>
        <v>0</v>
      </c>
      <c r="BD1428" s="571">
        <f>BC1428</f>
        <v>0</v>
      </c>
      <c r="BE1428" s="572">
        <f>BC1428</f>
        <v>0</v>
      </c>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544" t="b">
        <f>OR(BZ1422,Y1428=EUconst_NA)</f>
        <v>1</v>
      </c>
    </row>
    <row r="1429" spans="1:78" s="140" customFormat="1" ht="12.75" customHeight="1" x14ac:dyDescent="0.2">
      <c r="A1429" s="777"/>
      <c r="B1429" s="1248"/>
      <c r="C1429" s="753" t="s">
        <v>325</v>
      </c>
      <c r="D1429" s="503" t="str">
        <f>Translations!$B$641</f>
        <v>Biomasės dalis (BioC):</v>
      </c>
      <c r="E1429" s="504"/>
      <c r="F1429" s="539"/>
      <c r="G1429" s="1603" t="str">
        <f t="shared" si="350"/>
        <v/>
      </c>
      <c r="H1429" s="1604"/>
      <c r="I1429" s="1113" t="str">
        <f>IF(OR(AC1429=FALSE,Y1429=EUconst_NA),"","-")</f>
        <v/>
      </c>
      <c r="J1429" s="560"/>
      <c r="K1429" s="561" t="str">
        <f t="shared" si="351"/>
        <v/>
      </c>
      <c r="L1429" s="694"/>
      <c r="M1429" s="700" t="str">
        <f>IF(AND(E1413&lt;&gt;"",OR(F1429="",COUNT(K1429:L1429)=0),Y1429&lt;&gt;EUconst_NA,T1413&lt;&gt;TRUE),EUconst_ERR_Incomplete,IF(COUNTIF(AX1429:AZ1429,TRUE)&gt;0,EUconst_ERR_Inconsistent,""))</f>
        <v/>
      </c>
      <c r="O1429" s="1305"/>
      <c r="P1429" s="635"/>
      <c r="Q1429" s="635"/>
      <c r="R1429" s="635"/>
      <c r="S1429" s="30"/>
      <c r="T1429" s="543" t="str">
        <f>EUconst_CNTR_BiomassContent&amp;E1413</f>
        <v>BioC_</v>
      </c>
      <c r="U1429" s="488"/>
      <c r="V1429" s="585" t="str">
        <f t="shared" si="356"/>
        <v/>
      </c>
      <c r="W1429" s="522" t="str">
        <f>IF(COUNTIF(MSPara_SourceStreamCategory,V1429)=0,"",INDEX(MSPara_IsFossil,MATCH(V1429,MSPara_SourceStreamCategory,0)))</f>
        <v/>
      </c>
      <c r="X1429" s="488"/>
      <c r="Y1429" s="545" t="str">
        <f>IF(OR(T1413=TRUE,E1413=""),"",IF(OR(W1429=TRUE,F1429=EUconst_NA),EUconst_NA,INDEX(EUwideConstants!$N:$N,MATCH(T1429,EUwideConstants!$Q:$Q,0))))</f>
        <v/>
      </c>
      <c r="Z1429" s="546" t="str">
        <f>IF(ISBLANK(F1429),"",IF(F1429=EUconst_NA,"",INDEX(EUwideConstants!$H:$M,MATCH(T1429,EUwideConstants!$Q:$Q,0),MATCH(F1429,CNTR_TierList,0))))</f>
        <v/>
      </c>
      <c r="AA1429" s="586" t="str">
        <f>IF(F1429=1,1,"")</f>
        <v/>
      </c>
      <c r="AB1429" s="30"/>
      <c r="AC1429" s="548" t="b">
        <f>AND(AC1422,Y1429&lt;&gt;EUconst_NA)</f>
        <v>0</v>
      </c>
      <c r="AD1429" s="30"/>
      <c r="AE1429" s="563"/>
      <c r="AG1429" s="564"/>
      <c r="AH1429" s="553"/>
      <c r="AI1429" s="565"/>
      <c r="AJ1429" s="553"/>
      <c r="AK1429" s="566"/>
      <c r="AL1429" s="333"/>
      <c r="AM1429" s="549" t="str">
        <f>EUconst_CNTR_BiomassContent&amp;EUconst_Value</f>
        <v>BioC_Vertė</v>
      </c>
      <c r="AO1429" s="587" t="str">
        <f>IF(AC1429=TRUE,IF(COUNTIF(MSPara_SourceStreamCategory,V1429)=0,"",INDEX(MSPara_CalcFactorsMatrix,MATCH(V1429,MSPara_SourceStreamCategory,0),MATCH(AM1429&amp;"_"&amp;2,MSPara_CalcFactors,0))),"")</f>
        <v/>
      </c>
      <c r="AP1429" s="553"/>
      <c r="AQ1429" s="568" t="str">
        <f>IF(OR(AA1429="",AO1429=EUconst_NA),"",AO1429)</f>
        <v/>
      </c>
      <c r="AR1429" s="548">
        <f>IF(AC1429=TRUE,IF(COUNT(K1429:L1429)=0,0,IF(L1429="",K1429,L1429)),0)</f>
        <v>0</v>
      </c>
      <c r="AS1429" s="544" t="b">
        <f>AND(AC1429=TRUE,OR(AND(F1429&lt;&gt;"",NOT(ISNUMBER(AA1429))),L1429&lt;&gt;"",F1429="",AQ1429=""))</f>
        <v>0</v>
      </c>
      <c r="AT1429" s="544" t="b">
        <f t="shared" si="352"/>
        <v>0</v>
      </c>
      <c r="AU1429" s="30"/>
      <c r="AV1429" s="558" t="b">
        <f t="shared" si="353"/>
        <v>0</v>
      </c>
      <c r="AW1429" s="559" t="b">
        <f t="shared" si="354"/>
        <v>0</v>
      </c>
      <c r="AX1429" s="30"/>
      <c r="AY1429" s="585" t="b">
        <f t="shared" si="355"/>
        <v>0</v>
      </c>
      <c r="AZ1429" s="522" t="b">
        <f>OR(AR1429&gt;100%,(AR1429+AR1430)&gt;100%)</f>
        <v>0</v>
      </c>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544" t="b">
        <f>OR(BZ1422,Y1429=EUconst_NA)</f>
        <v>1</v>
      </c>
    </row>
    <row r="1430" spans="1:78" s="140" customFormat="1" ht="12.75" customHeight="1" thickBot="1" x14ac:dyDescent="0.25">
      <c r="A1430" s="777"/>
      <c r="B1430" s="1248"/>
      <c r="C1430" s="753" t="s">
        <v>448</v>
      </c>
      <c r="D1430" s="503" t="str">
        <f>Translations!$B$647</f>
        <v>Netvarios BioC dalis:</v>
      </c>
      <c r="E1430" s="504"/>
      <c r="F1430" s="588"/>
      <c r="G1430" s="1603" t="str">
        <f t="shared" si="350"/>
        <v/>
      </c>
      <c r="H1430" s="1604"/>
      <c r="I1430" s="1114" t="str">
        <f>IF(OR(AC1430=FALSE,Y1430=EUconst_NA),"","-")</f>
        <v/>
      </c>
      <c r="J1430" s="560"/>
      <c r="K1430" s="589" t="str">
        <f t="shared" si="351"/>
        <v/>
      </c>
      <c r="L1430" s="1100"/>
      <c r="M1430" s="700" t="str">
        <f>IF(AND(E1413&lt;&gt;"",OR(F1430="",COUNT(K1430:L1430)=0),Y1430&lt;&gt;EUconst_NA,T1413&lt;&gt;TRUE),EUconst_ERR_Incomplete,IF(COUNTIF(AX1430:AZ1430,TRUE)&gt;0,EUconst_ERR_Inconsistent,""))</f>
        <v/>
      </c>
      <c r="O1430" s="1305"/>
      <c r="P1430" s="635"/>
      <c r="Q1430" s="635"/>
      <c r="R1430" s="635"/>
      <c r="S1430" s="30"/>
      <c r="T1430" s="590" t="str">
        <f>EUconst_CNTR_BiomassContent&amp;E1413</f>
        <v>BioC_</v>
      </c>
      <c r="U1430" s="488"/>
      <c r="V1430" s="570" t="str">
        <f t="shared" si="356"/>
        <v/>
      </c>
      <c r="W1430" s="571" t="str">
        <f>IF(COUNTIF(MSPara_SourceStreamCategory,V1430)=0,"",INDEX(MSPara_IsFossil,MATCH(V1430,MSPara_SourceStreamCategory,0)))</f>
        <v/>
      </c>
      <c r="X1430" s="488"/>
      <c r="Y1430" s="591" t="str">
        <f>IF(OR(T1413=TRUE,E1413=""),"",IF(OR(W1430=TRUE,F1430=EUconst_NA),EUconst_NA,INDEX(EUwideConstants!$N:$N,MATCH(T1430,EUwideConstants!$Q:$Q,0))))</f>
        <v/>
      </c>
      <c r="Z1430" s="592" t="str">
        <f>IF(ISBLANK(F1430),"",IF(F1430=EUconst_NA,"",INDEX(EUwideConstants!$H:$M,MATCH(T1430,EUwideConstants!$Q:$Q,0),MATCH(F1430,CNTR_TierList,0))))</f>
        <v/>
      </c>
      <c r="AA1430" s="593" t="str">
        <f>IF(F1430=1,1,"")</f>
        <v/>
      </c>
      <c r="AB1430" s="30"/>
      <c r="AC1430" s="594" t="b">
        <f>AND(AC1422,Y1430&lt;&gt;EUconst_NA)</f>
        <v>0</v>
      </c>
      <c r="AD1430" s="30"/>
      <c r="AE1430" s="595"/>
      <c r="AF1430" s="596"/>
      <c r="AG1430" s="597"/>
      <c r="AH1430" s="598"/>
      <c r="AI1430" s="598"/>
      <c r="AJ1430" s="598"/>
      <c r="AK1430" s="599"/>
      <c r="AL1430" s="333"/>
      <c r="AM1430" s="600" t="str">
        <f>EUconst_CNTR_BiomassContent&amp;EUconst_Value</f>
        <v>BioC_Vertė</v>
      </c>
      <c r="AN1430" s="596"/>
      <c r="AO1430" s="601" t="str">
        <f>IF(AC1430=TRUE,IF(COUNTIF(MSPara_SourceStreamCategory,V1430)=0,"",INDEX(MSPara_CalcFactorsMatrix,MATCH(V1430,MSPara_SourceStreamCategory,0),MATCH(AM1430&amp;"_"&amp;2,MSPara_CalcFactors,0))),"")</f>
        <v/>
      </c>
      <c r="AP1430" s="598"/>
      <c r="AQ1430" s="602" t="str">
        <f>IF(OR(AA1430="",AO1430=EUconst_NA),"",AO1430)</f>
        <v/>
      </c>
      <c r="AR1430" s="594">
        <f>IF(AC1430=TRUE,IF(COUNT(K1430:L1430)=0,0,IF(L1430="",K1430,L1430)),0)</f>
        <v>0</v>
      </c>
      <c r="AS1430" s="603" t="b">
        <f>AND(AC1430=TRUE,OR(AND(F1430&lt;&gt;"",NOT(ISNUMBER(AA1430))),L1430&lt;&gt;"",F1430="",AQ1430=""))</f>
        <v>0</v>
      </c>
      <c r="AT1430" s="603" t="b">
        <f t="shared" si="352"/>
        <v>0</v>
      </c>
      <c r="AU1430" s="30"/>
      <c r="AV1430" s="604" t="b">
        <f t="shared" si="353"/>
        <v>0</v>
      </c>
      <c r="AW1430" s="605" t="b">
        <f t="shared" si="354"/>
        <v>0</v>
      </c>
      <c r="AX1430" s="30"/>
      <c r="AY1430" s="570" t="b">
        <f t="shared" si="355"/>
        <v>0</v>
      </c>
      <c r="AZ1430" s="571" t="b">
        <f>OR(AR1429&gt;100%,(AR1429+AR1430)&gt;100%)</f>
        <v>0</v>
      </c>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571" t="b">
        <f>OR(BZ1422,Y1430=EUconst_NA)</f>
        <v>1</v>
      </c>
    </row>
    <row r="1431" spans="1:78" s="140" customFormat="1" ht="5.0999999999999996" customHeight="1" x14ac:dyDescent="0.2">
      <c r="A1431" s="777"/>
      <c r="B1431" s="1248"/>
      <c r="C1431" s="164"/>
      <c r="D1431" s="178"/>
      <c r="O1431" s="1305"/>
      <c r="P1431" s="33"/>
      <c r="Q1431" s="33"/>
      <c r="R1431" s="33"/>
      <c r="S1431" s="172"/>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row>
    <row r="1432" spans="1:78" s="140" customFormat="1" ht="12.75" customHeight="1" x14ac:dyDescent="0.2">
      <c r="A1432" s="777"/>
      <c r="B1432" s="1248"/>
      <c r="C1432" s="164"/>
      <c r="D1432" s="1629" t="str">
        <f>Translations!$B$674</f>
        <v>Pakopos galioja nuo:</v>
      </c>
      <c r="E1432" s="1629"/>
      <c r="F1432" s="1630"/>
      <c r="G1432" s="1014"/>
      <c r="H1432" s="606" t="str">
        <f>Translations!$B$675</f>
        <v>iki:</v>
      </c>
      <c r="I1432" s="1014"/>
      <c r="J1432" s="1620" t="str">
        <f>Translations!$B$676</f>
        <v>Atliekų katalogo numeris (jeigu taikytina):</v>
      </c>
      <c r="K1432" s="1621"/>
      <c r="L1432" s="1621"/>
      <c r="M1432" s="1622"/>
      <c r="N1432" s="1232"/>
      <c r="O1432" s="1305"/>
      <c r="P1432" s="33"/>
      <c r="Q1432" s="33"/>
      <c r="R1432" s="33"/>
      <c r="S1432" s="1233"/>
      <c r="T1432" s="483"/>
      <c r="U1432" s="483"/>
      <c r="V1432" s="48" t="b">
        <f>IF(V1422="",FALSE,INDEX(CNTR_IsWaste,MATCH(V1422,MSParameters!$A$218:$A$376,0)))</f>
        <v>0</v>
      </c>
      <c r="W1432" s="1233" t="s">
        <v>1689</v>
      </c>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2" t="b">
        <f>BZ1422</f>
        <v>1</v>
      </c>
    </row>
    <row r="1433" spans="1:78" s="140" customFormat="1" ht="5.0999999999999996" customHeight="1" x14ac:dyDescent="0.2">
      <c r="A1433" s="777"/>
      <c r="B1433" s="1248"/>
      <c r="C1433" s="164"/>
      <c r="D1433" s="606"/>
      <c r="E1433" s="486"/>
      <c r="F1433" s="486"/>
      <c r="G1433" s="486"/>
      <c r="H1433" s="486"/>
      <c r="I1433" s="486"/>
      <c r="J1433" s="486"/>
      <c r="K1433" s="486"/>
      <c r="L1433" s="486"/>
      <c r="M1433" s="486"/>
      <c r="N1433" s="486"/>
      <c r="O1433" s="1305"/>
      <c r="P1433" s="33"/>
      <c r="Q1433" s="33"/>
      <c r="R1433" s="33"/>
      <c r="S1433" s="172"/>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row>
    <row r="1434" spans="1:78" s="140" customFormat="1" ht="12.75" customHeight="1" x14ac:dyDescent="0.2">
      <c r="A1434" s="777"/>
      <c r="B1434" s="1248"/>
      <c r="C1434" s="164"/>
      <c r="D1434" s="486"/>
      <c r="E1434" s="486"/>
      <c r="F1434" s="486"/>
      <c r="G1434" s="486"/>
      <c r="H1434" s="486"/>
      <c r="I1434" s="486"/>
      <c r="J1434" s="486"/>
      <c r="K1434" s="486"/>
      <c r="L1434" s="486"/>
      <c r="M1434" s="606" t="str">
        <f>Translations!$B$677</f>
        <v>Stebėsenos plane šiam sukėlikliui suteiktas identifikatorius:</v>
      </c>
      <c r="N1434" s="705"/>
      <c r="O1434" s="1305"/>
      <c r="P1434" s="33"/>
      <c r="Q1434" s="33"/>
      <c r="R1434" s="33"/>
      <c r="S1434" s="172"/>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2" t="b">
        <f>BZ1432</f>
        <v>1</v>
      </c>
    </row>
    <row r="1435" spans="1:78" s="140" customFormat="1" ht="5.0999999999999996" customHeight="1" x14ac:dyDescent="0.2">
      <c r="A1435" s="784"/>
      <c r="B1435" s="1316"/>
      <c r="D1435" s="178"/>
      <c r="O1435" s="1317"/>
      <c r="P1435" s="488"/>
      <c r="Q1435" s="488"/>
      <c r="R1435" s="488"/>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row>
    <row r="1436" spans="1:78" s="140" customFormat="1" x14ac:dyDescent="0.2">
      <c r="A1436" s="784"/>
      <c r="B1436" s="1316"/>
      <c r="D1436" s="1618" t="str">
        <f>Translations!$B$160</f>
        <v>Pastabos:</v>
      </c>
      <c r="E1436" s="1619"/>
      <c r="F1436" s="1605"/>
      <c r="G1436" s="1606"/>
      <c r="H1436" s="1606"/>
      <c r="I1436" s="1606"/>
      <c r="J1436" s="1606"/>
      <c r="K1436" s="1606"/>
      <c r="L1436" s="1606"/>
      <c r="M1436" s="1606"/>
      <c r="N1436" s="1607"/>
      <c r="O1436" s="1317"/>
      <c r="P1436" s="488"/>
      <c r="Q1436" s="488"/>
      <c r="R1436" s="488"/>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2" t="b">
        <f>BZ1432</f>
        <v>1</v>
      </c>
    </row>
    <row r="1437" spans="1:78" s="28" customFormat="1" ht="12.75" customHeight="1" thickBot="1" x14ac:dyDescent="0.25">
      <c r="A1437" s="777"/>
      <c r="B1437" s="1312"/>
      <c r="C1437" s="490"/>
      <c r="D1437" s="491"/>
      <c r="E1437" s="492"/>
      <c r="F1437" s="490"/>
      <c r="G1437" s="493"/>
      <c r="H1437" s="493"/>
      <c r="I1437" s="493"/>
      <c r="J1437" s="493"/>
      <c r="K1437" s="493"/>
      <c r="L1437" s="493"/>
      <c r="M1437" s="493"/>
      <c r="N1437" s="493"/>
      <c r="O1437" s="1313"/>
      <c r="P1437" s="485"/>
      <c r="Q1437" s="485"/>
      <c r="R1437" s="485"/>
      <c r="S1437" s="58"/>
      <c r="T1437" s="58"/>
      <c r="U1437" s="489"/>
      <c r="V1437" s="58"/>
      <c r="W1437" s="58"/>
      <c r="X1437" s="489"/>
      <c r="Y1437" s="58"/>
      <c r="Z1437" s="58"/>
      <c r="AA1437" s="58"/>
      <c r="AB1437" s="58"/>
      <c r="AC1437" s="58"/>
      <c r="AD1437" s="58"/>
      <c r="AE1437" s="58"/>
      <c r="AF1437" s="58"/>
      <c r="AG1437" s="58"/>
      <c r="AH1437" s="58"/>
      <c r="AI1437" s="58"/>
      <c r="AJ1437" s="58"/>
      <c r="AK1437" s="58"/>
      <c r="AL1437" s="58"/>
      <c r="AM1437" s="58"/>
      <c r="AN1437" s="58"/>
      <c r="AO1437" s="58"/>
      <c r="AP1437" s="58"/>
      <c r="AQ1437" s="58"/>
      <c r="AR1437" s="58"/>
      <c r="AS1437" s="58"/>
      <c r="AT1437" s="58"/>
      <c r="AU1437" s="58"/>
      <c r="AV1437" s="58"/>
      <c r="AW1437" s="58"/>
      <c r="AX1437" s="58"/>
      <c r="AY1437" s="58"/>
      <c r="AZ1437" s="58"/>
      <c r="BA1437" s="58"/>
      <c r="BB1437" s="58"/>
      <c r="BC1437" s="58"/>
      <c r="BD1437" s="58"/>
      <c r="BE1437" s="58"/>
      <c r="BF1437" s="58"/>
      <c r="BG1437" s="58"/>
      <c r="BH1437" s="58"/>
      <c r="BI1437" s="30"/>
      <c r="BJ1437" s="30"/>
      <c r="BK1437" s="30"/>
      <c r="BL1437" s="58"/>
      <c r="BM1437" s="58"/>
      <c r="BN1437" s="58"/>
      <c r="BO1437" s="58"/>
      <c r="BP1437" s="58"/>
      <c r="BQ1437" s="58"/>
      <c r="BR1437" s="58"/>
      <c r="BS1437" s="58"/>
      <c r="BT1437" s="58"/>
      <c r="BU1437" s="58"/>
      <c r="BV1437" s="58"/>
      <c r="BW1437" s="58"/>
      <c r="BX1437" s="58"/>
      <c r="BY1437" s="58"/>
      <c r="BZ1437" s="58"/>
    </row>
    <row r="1438" spans="1:78" s="28" customFormat="1" ht="12.75" customHeight="1" thickBot="1" x14ac:dyDescent="0.25">
      <c r="A1438" s="782"/>
      <c r="B1438" s="1312"/>
      <c r="C1438" s="486"/>
      <c r="D1438" s="178"/>
      <c r="E1438" s="487"/>
      <c r="F1438" s="486"/>
      <c r="G1438" s="478"/>
      <c r="H1438" s="478"/>
      <c r="I1438" s="478"/>
      <c r="J1438" s="478"/>
      <c r="K1438" s="486"/>
      <c r="L1438" s="478"/>
      <c r="M1438" s="478"/>
      <c r="N1438" s="478"/>
      <c r="O1438" s="1313"/>
      <c r="P1438" s="485"/>
      <c r="Q1438" s="485"/>
      <c r="R1438" s="485"/>
      <c r="S1438" s="23"/>
      <c r="T1438" s="27" t="str">
        <f>IF(ISBLANK(E1439),"",MATCH(E1439,CNTR_SourceStreamNames,0))</f>
        <v/>
      </c>
      <c r="U1438" s="609" t="str">
        <f>IF(ISBLANK(E1439),"",INDEX(B_InstallationDescription!$D$71:$D$145,MATCH(E1439,CNTR_SourceStreamNames,0)))</f>
        <v/>
      </c>
      <c r="V1438" s="76"/>
      <c r="W1438" s="56"/>
      <c r="X1438" s="56"/>
      <c r="Y1438" s="56"/>
      <c r="Z1438" s="58"/>
      <c r="AA1438" s="58"/>
      <c r="AB1438" s="58"/>
      <c r="AC1438" s="58"/>
      <c r="AD1438" s="58"/>
      <c r="AE1438" s="58"/>
      <c r="AF1438" s="58"/>
      <c r="AG1438" s="58"/>
      <c r="AH1438" s="58"/>
      <c r="AI1438" s="58"/>
      <c r="AJ1438" s="58"/>
      <c r="AK1438" s="482"/>
      <c r="AL1438" s="58"/>
      <c r="AM1438" s="58"/>
      <c r="AN1438" s="58"/>
      <c r="AO1438" s="58"/>
      <c r="AP1438" s="58"/>
      <c r="AQ1438" s="58"/>
      <c r="AR1438" s="58"/>
      <c r="AS1438" s="58"/>
      <c r="AT1438" s="58"/>
      <c r="AU1438" s="58"/>
      <c r="AV1438" s="58"/>
      <c r="AW1438" s="58"/>
      <c r="AX1438" s="58"/>
      <c r="AY1438" s="58"/>
      <c r="AZ1438" s="58"/>
      <c r="BA1438" s="58"/>
      <c r="BB1438" s="58"/>
      <c r="BC1438" s="58"/>
      <c r="BD1438" s="58"/>
      <c r="BE1438" s="58"/>
      <c r="BF1438" s="58"/>
      <c r="BG1438" s="58"/>
      <c r="BH1438" s="56"/>
      <c r="BI1438" s="56"/>
      <c r="BJ1438" s="56"/>
      <c r="BK1438" s="56"/>
      <c r="BL1438" s="56"/>
      <c r="BM1438" s="56"/>
      <c r="BN1438" s="56"/>
      <c r="BO1438" s="56"/>
      <c r="BP1438" s="56"/>
      <c r="BQ1438" s="56"/>
      <c r="BR1438" s="56"/>
      <c r="BS1438" s="56"/>
      <c r="BT1438" s="56"/>
      <c r="BU1438" s="56"/>
      <c r="BV1438" s="56"/>
      <c r="BW1438" s="56"/>
      <c r="BX1438" s="56"/>
      <c r="BY1438" s="56"/>
      <c r="BZ1438" s="484" t="s">
        <v>259</v>
      </c>
    </row>
    <row r="1439" spans="1:78" s="140" customFormat="1" ht="15" customHeight="1" thickBot="1" x14ac:dyDescent="0.25">
      <c r="A1439" s="1302" t="str">
        <f>IF(E1439="","","PRINT")</f>
        <v/>
      </c>
      <c r="B1439" s="1248"/>
      <c r="C1439" s="608">
        <f>C1412+1</f>
        <v>52</v>
      </c>
      <c r="D1439" s="164"/>
      <c r="E1439" s="1610"/>
      <c r="F1439" s="1611"/>
      <c r="G1439" s="1611"/>
      <c r="H1439" s="1611"/>
      <c r="I1439" s="1611"/>
      <c r="J1439" s="1612"/>
      <c r="K1439" s="1623" t="str">
        <f>IF(E1440="","",INDEX(EUwideConstants!$F$353:$F$394,MATCH(E1440,EUConst_TierActivityListNames,0)))</f>
        <v/>
      </c>
      <c r="L1439" s="1624"/>
      <c r="M1439" s="494" t="str">
        <f>Translations!$B$665</f>
        <v>CO2, iškastinio kuro kilmės:</v>
      </c>
      <c r="N1439" s="1012" t="str">
        <f>IF(OR(K1439="",T1440=TRUE),"",INDEX(BC1453:BE1453,MATCH(K1439,BC1449:BE1449,0)))</f>
        <v/>
      </c>
      <c r="O1439" s="1314" t="s">
        <v>257</v>
      </c>
      <c r="P1439" s="1303" t="str">
        <f>IF(AND(E1439&lt;&gt;"",COUNTIF(P1440:$P$2089,"PRINT")=0),"PRINT","")</f>
        <v/>
      </c>
      <c r="Q1439" s="343" t="str">
        <f>EUconst_SumCO2 &amp; "_" &amp; K1439</f>
        <v>SUM_CO2_</v>
      </c>
      <c r="R1439" s="485"/>
      <c r="S1439" s="23"/>
      <c r="T1439" s="500" t="s">
        <v>387</v>
      </c>
      <c r="U1439" s="23"/>
      <c r="V1439" s="76"/>
      <c r="W1439" s="56"/>
      <c r="X1439" s="58"/>
      <c r="Y1439" s="58"/>
      <c r="Z1439" s="58"/>
      <c r="AA1439" s="58"/>
      <c r="AB1439" s="58"/>
      <c r="AC1439" s="58"/>
      <c r="AD1439" s="58"/>
      <c r="AE1439" s="58"/>
      <c r="AF1439" s="58"/>
      <c r="AG1439" s="58"/>
      <c r="AH1439" s="58"/>
      <c r="AI1439" s="333"/>
      <c r="AJ1439" s="333"/>
      <c r="AK1439" s="333"/>
      <c r="AL1439" s="333"/>
      <c r="AM1439" s="333"/>
      <c r="AN1439" s="333"/>
      <c r="AO1439" s="333"/>
      <c r="AP1439" s="333"/>
      <c r="AQ1439" s="333"/>
      <c r="AR1439" s="333"/>
      <c r="AS1439" s="333"/>
      <c r="AT1439" s="333"/>
      <c r="AU1439" s="333"/>
      <c r="AV1439" s="333"/>
      <c r="AW1439" s="333"/>
      <c r="AX1439" s="333"/>
      <c r="AY1439" s="333"/>
      <c r="AZ1439" s="333"/>
      <c r="BA1439" s="333"/>
      <c r="BB1439" s="333"/>
      <c r="BC1439" s="333"/>
      <c r="BD1439" s="333"/>
      <c r="BE1439" s="333"/>
      <c r="BF1439" s="333"/>
      <c r="BG1439" s="333"/>
      <c r="BH1439" s="834">
        <f>AR1449</f>
        <v>0</v>
      </c>
      <c r="BI1439" s="834" t="str">
        <f>AJ1449</f>
        <v/>
      </c>
      <c r="BJ1439" s="834">
        <f>AR1451</f>
        <v>0</v>
      </c>
      <c r="BK1439" s="834" t="str">
        <f>AJ1451</f>
        <v/>
      </c>
      <c r="BL1439" s="834">
        <f>AR1452</f>
        <v>0</v>
      </c>
      <c r="BM1439" s="834" t="str">
        <f>AJ1452</f>
        <v/>
      </c>
      <c r="BN1439" s="834">
        <f>AR1453</f>
        <v>1</v>
      </c>
      <c r="BO1439" s="834">
        <f>AR1454</f>
        <v>1</v>
      </c>
      <c r="BP1439" s="834">
        <f>AR1455</f>
        <v>0</v>
      </c>
      <c r="BQ1439" s="834" t="str">
        <f>AJ1455</f>
        <v/>
      </c>
      <c r="BR1439" s="834">
        <f>AR1456</f>
        <v>0</v>
      </c>
      <c r="BS1439" s="834">
        <f>AR1457</f>
        <v>0</v>
      </c>
      <c r="BT1439" s="834" t="str">
        <f>N1439</f>
        <v/>
      </c>
      <c r="BU1439" s="834" t="str">
        <f>N1440</f>
        <v/>
      </c>
      <c r="BV1439" s="834" t="str">
        <f>R1442</f>
        <v/>
      </c>
      <c r="BW1439" s="834" t="str">
        <f>R1448</f>
        <v/>
      </c>
      <c r="BX1439" s="834" t="str">
        <f>R1449</f>
        <v/>
      </c>
      <c r="BY1439" s="56"/>
      <c r="BZ1439" s="610" t="b">
        <f>CNTR_CalcRelevant=EUconst_NotRelevant</f>
        <v>0</v>
      </c>
    </row>
    <row r="1440" spans="1:78" s="140" customFormat="1" ht="15" customHeight="1" thickBot="1" x14ac:dyDescent="0.25">
      <c r="A1440" s="777"/>
      <c r="B1440" s="1248"/>
      <c r="C1440" s="164"/>
      <c r="D1440" s="164"/>
      <c r="E1440" s="1625" t="str">
        <f>IF(ISBLANK(E1439),"",IF(INDEX(B_InstallationDescription!$E$71:$E$145,MATCH(U1438,B_InstallationDescription!$D$71:$D$145,0))&gt;0,INDEX(B_InstallationDescription!$E$71:$E$145,MATCH(U1438,B_InstallationDescription!$D$71:$D$145,0)),""))</f>
        <v/>
      </c>
      <c r="F1440" s="1626"/>
      <c r="G1440" s="1626"/>
      <c r="H1440" s="1626"/>
      <c r="I1440" s="1626"/>
      <c r="J1440" s="1627"/>
      <c r="M1440" s="337" t="str">
        <f>Translations!$B$666</f>
        <v>CO2, biomasės kilmės.:</v>
      </c>
      <c r="N1440" s="1013" t="str">
        <f>IF(OR(K1439="",T1440=TRUE),"",INDEX(BC1452:BE1452,MATCH(K1439,BC1449:BE1449,0)))</f>
        <v/>
      </c>
      <c r="O1440" s="1315" t="s">
        <v>257</v>
      </c>
      <c r="P1440" s="485"/>
      <c r="Q1440" s="343" t="str">
        <f>EUconst_SumBioCO2 &amp; "_" &amp; K1439</f>
        <v>SUM_bioCO2_</v>
      </c>
      <c r="R1440" s="485"/>
      <c r="S1440" s="23"/>
      <c r="T1440" s="48" t="str">
        <f>IF(E1440="","",MATCH(E1440,EUConst_TierActivityListNames,0)&gt;40)</f>
        <v/>
      </c>
      <c r="U1440" s="23"/>
      <c r="V1440" s="76"/>
      <c r="W1440" s="56"/>
      <c r="X1440" s="58"/>
      <c r="Y1440" s="27" t="s">
        <v>91</v>
      </c>
      <c r="Z1440" s="30"/>
      <c r="AA1440" s="30"/>
      <c r="AB1440" s="30"/>
      <c r="AC1440" s="30"/>
      <c r="AD1440" s="30"/>
      <c r="AE1440" s="27" t="s">
        <v>297</v>
      </c>
      <c r="AF1440" s="58"/>
      <c r="AG1440" s="495"/>
      <c r="AH1440" s="30"/>
      <c r="AI1440" s="30"/>
      <c r="AJ1440" s="495"/>
      <c r="AK1440" s="495"/>
      <c r="AL1440" s="333"/>
      <c r="AM1440" s="27" t="s">
        <v>303</v>
      </c>
      <c r="AN1440" s="496"/>
      <c r="AO1440" s="496"/>
      <c r="AP1440" s="30"/>
      <c r="AQ1440" s="30"/>
      <c r="AR1440" s="30"/>
      <c r="AS1440" s="30"/>
      <c r="AT1440" s="30"/>
      <c r="AU1440" s="30"/>
      <c r="AV1440" s="27" t="s">
        <v>310</v>
      </c>
      <c r="AW1440" s="30"/>
      <c r="AX1440" s="483"/>
      <c r="AY1440" s="30"/>
      <c r="AZ1440" s="30"/>
      <c r="BA1440" s="30"/>
      <c r="BB1440" s="27" t="s">
        <v>217</v>
      </c>
      <c r="BC1440" s="30"/>
      <c r="BD1440" s="30"/>
      <c r="BE1440" s="30"/>
      <c r="BF1440" s="30"/>
      <c r="BG1440" s="27" t="s">
        <v>486</v>
      </c>
      <c r="BH1440" s="833" t="s">
        <v>552</v>
      </c>
      <c r="BI1440" s="833" t="s">
        <v>487</v>
      </c>
      <c r="BJ1440" s="833" t="s">
        <v>211</v>
      </c>
      <c r="BK1440" s="833" t="s">
        <v>488</v>
      </c>
      <c r="BL1440" s="833" t="s">
        <v>68</v>
      </c>
      <c r="BM1440" s="833" t="s">
        <v>489</v>
      </c>
      <c r="BN1440" s="833" t="s">
        <v>490</v>
      </c>
      <c r="BO1440" s="833" t="s">
        <v>491</v>
      </c>
      <c r="BP1440" s="833" t="s">
        <v>214</v>
      </c>
      <c r="BQ1440" s="833" t="s">
        <v>492</v>
      </c>
      <c r="BR1440" s="833" t="s">
        <v>493</v>
      </c>
      <c r="BS1440" s="833" t="s">
        <v>494</v>
      </c>
      <c r="BT1440" s="833" t="s">
        <v>287</v>
      </c>
      <c r="BU1440" s="833" t="s">
        <v>495</v>
      </c>
      <c r="BV1440" s="833" t="s">
        <v>498</v>
      </c>
      <c r="BW1440" s="833" t="s">
        <v>496</v>
      </c>
      <c r="BX1440" s="833" t="s">
        <v>497</v>
      </c>
      <c r="BY1440" s="30"/>
      <c r="BZ1440" s="30"/>
    </row>
    <row r="1441" spans="1:78" s="140" customFormat="1" ht="5.0999999999999996" customHeight="1" thickBot="1" x14ac:dyDescent="0.25">
      <c r="A1441" s="777"/>
      <c r="B1441" s="1248"/>
      <c r="C1441" s="164"/>
      <c r="D1441" s="164"/>
      <c r="E1441" s="164"/>
      <c r="F1441" s="164"/>
      <c r="G1441" s="164"/>
      <c r="M1441" s="141"/>
      <c r="N1441" s="141"/>
      <c r="O1441" s="1305"/>
      <c r="P1441" s="33"/>
      <c r="Q1441" s="33"/>
      <c r="R1441" s="33"/>
      <c r="S1441" s="23"/>
      <c r="T1441" s="23"/>
      <c r="U1441" s="23"/>
      <c r="V1441" s="76"/>
      <c r="W1441" s="30"/>
      <c r="X1441" s="30"/>
      <c r="Y1441" s="485"/>
      <c r="Z1441" s="30"/>
      <c r="AA1441" s="30"/>
      <c r="AB1441" s="30"/>
      <c r="AC1441" s="30"/>
      <c r="AD1441" s="30"/>
      <c r="AE1441" s="30"/>
      <c r="AF1441" s="58"/>
      <c r="AG1441" s="30"/>
      <c r="AH1441" s="30"/>
      <c r="AI1441" s="30"/>
      <c r="AJ1441" s="495"/>
      <c r="AK1441" s="495"/>
      <c r="AL1441" s="333"/>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row>
    <row r="1442" spans="1:78" s="140" customFormat="1" ht="12.75" customHeight="1" thickBot="1" x14ac:dyDescent="0.25">
      <c r="A1442" s="777"/>
      <c r="B1442" s="1248"/>
      <c r="C1442" s="164"/>
      <c r="D1442" s="164"/>
      <c r="E1442" s="1628" t="str">
        <f>IF(E1439="","",IF(T1440=TRUE,HYPERLINK("#JUMP_14",EUconst_MsgGoOnPFC),HYPERLINK("#JUMP_E_8",EUconst_FurtherGuidancePoint1)))</f>
        <v/>
      </c>
      <c r="F1442" s="1628"/>
      <c r="G1442" s="1628"/>
      <c r="H1442" s="1628"/>
      <c r="I1442" s="1628"/>
      <c r="J1442" s="1628"/>
      <c r="K1442" s="1628"/>
      <c r="L1442" s="1628"/>
      <c r="M1442" s="1628"/>
      <c r="N1442" s="141"/>
      <c r="O1442" s="1305"/>
      <c r="P1442" s="33"/>
      <c r="Q1442" s="343" t="str">
        <f>EUconst_SumNonSustBioCO2 &amp; "_" &amp; K1439</f>
        <v>SUM_bioNonSustCO2_</v>
      </c>
      <c r="R1442" s="698" t="str">
        <f>IF(OR(K1439="",T1440=TRUE),"",ROUND(INDEX(BC1451:BE1451,MATCH(K1439,BC1449:BE1449,0)),0))</f>
        <v/>
      </c>
      <c r="S1442" s="23"/>
      <c r="T1442" s="23"/>
      <c r="U1442" s="23"/>
      <c r="V1442" s="30"/>
      <c r="W1442" s="30"/>
      <c r="X1442" s="30"/>
      <c r="Y1442" s="58"/>
      <c r="Z1442" s="30"/>
      <c r="AA1442" s="30"/>
      <c r="AB1442" s="30"/>
      <c r="AC1442" s="30"/>
      <c r="AD1442" s="30"/>
      <c r="AE1442" s="30"/>
      <c r="AF1442" s="58"/>
      <c r="AG1442" s="30"/>
      <c r="AH1442" s="30"/>
      <c r="AI1442" s="30"/>
      <c r="AJ1442" s="495"/>
      <c r="AK1442" s="495"/>
      <c r="AL1442" s="333"/>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row>
    <row r="1443" spans="1:78" s="140" customFormat="1" ht="5.0999999999999996" customHeight="1" thickBot="1" x14ac:dyDescent="0.25">
      <c r="A1443" s="777"/>
      <c r="B1443" s="1248"/>
      <c r="C1443" s="164"/>
      <c r="D1443" s="164"/>
      <c r="E1443" s="164"/>
      <c r="F1443" s="164"/>
      <c r="G1443" s="164"/>
      <c r="M1443" s="141"/>
      <c r="N1443" s="141"/>
      <c r="O1443" s="1305"/>
      <c r="P1443" s="23"/>
      <c r="Q1443" s="23"/>
      <c r="R1443" s="23"/>
      <c r="S1443" s="23"/>
      <c r="T1443" s="23"/>
      <c r="U1443" s="23"/>
      <c r="V1443" s="30"/>
      <c r="W1443" s="30"/>
      <c r="X1443" s="30"/>
      <c r="Y1443" s="485"/>
      <c r="Z1443" s="30"/>
      <c r="AA1443" s="30"/>
      <c r="AB1443" s="30"/>
      <c r="AC1443" s="30"/>
      <c r="AD1443" s="30"/>
      <c r="AE1443" s="30"/>
      <c r="AF1443" s="58"/>
      <c r="AG1443" s="30"/>
      <c r="AH1443" s="30"/>
      <c r="AI1443" s="30"/>
      <c r="AJ1443" s="495"/>
      <c r="AK1443" s="495"/>
      <c r="AL1443" s="333"/>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row>
    <row r="1444" spans="1:78" s="140" customFormat="1" ht="12.75" customHeight="1" thickBot="1" x14ac:dyDescent="0.25">
      <c r="A1444" s="777"/>
      <c r="B1444" s="1248"/>
      <c r="C1444" s="783" t="s">
        <v>4</v>
      </c>
      <c r="D1444" s="503" t="str">
        <f>Translations!$B$622</f>
        <v>VD:</v>
      </c>
      <c r="E1444" s="1631" t="str">
        <f>Translations!$B$667</f>
        <v>Ar veiklos duomenys gaunami sudedant išmatuotus kiekius (t. y. ne atliekant nuolatinius matavimus)?</v>
      </c>
      <c r="F1444" s="1631"/>
      <c r="G1444" s="1631"/>
      <c r="H1444" s="1631"/>
      <c r="I1444" s="1631"/>
      <c r="J1444" s="1631"/>
      <c r="K1444" s="1631"/>
      <c r="L1444" s="1122"/>
      <c r="M1444" s="498"/>
      <c r="O1444" s="1305"/>
      <c r="P1444" s="23"/>
      <c r="Q1444" s="23"/>
      <c r="R1444" s="23"/>
      <c r="S1444" s="23"/>
      <c r="T1444" s="23"/>
      <c r="U1444" s="23"/>
      <c r="V1444" s="30"/>
      <c r="W1444" s="30"/>
      <c r="X1444" s="30"/>
      <c r="Y1444" s="485"/>
      <c r="Z1444" s="30"/>
      <c r="AA1444" s="30"/>
      <c r="AB1444" s="30"/>
      <c r="AC1444" s="1115" t="b">
        <f>AND(E1439&lt;&gt;"",T1440&lt;&gt;TRUE)</f>
        <v>0</v>
      </c>
      <c r="AD1444" s="30"/>
      <c r="AE1444" s="30"/>
      <c r="AF1444" s="58"/>
      <c r="AG1444" s="30"/>
      <c r="AH1444" s="30"/>
      <c r="AI1444" s="30"/>
      <c r="AJ1444" s="495"/>
      <c r="AK1444" s="495"/>
      <c r="AL1444" s="333"/>
      <c r="AM1444" s="30"/>
      <c r="AN1444" s="30"/>
      <c r="AO1444" s="30"/>
      <c r="AP1444" s="30"/>
      <c r="AQ1444" s="30"/>
      <c r="AR1444" s="30"/>
      <c r="AS1444" s="30"/>
      <c r="AT1444" s="1115" t="b">
        <f>MSPara_BatchReportingMandatory&lt;&gt;TRUE</f>
        <v>0</v>
      </c>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1115" t="b">
        <f>OR(CNTR_CalcRelevant=EUconst_NotRelevant,AND(COUNTA(CNTR_ListRelevantSections)&gt;0,OR(T1440=TRUE,E1439="")))</f>
        <v>1</v>
      </c>
    </row>
    <row r="1445" spans="1:78" s="140" customFormat="1" ht="5.0999999999999996" customHeight="1" thickBot="1" x14ac:dyDescent="0.25">
      <c r="A1445" s="777"/>
      <c r="B1445" s="1248"/>
      <c r="C1445" s="164"/>
      <c r="D1445" s="164"/>
      <c r="E1445" s="164"/>
      <c r="F1445" s="164"/>
      <c r="G1445" s="164"/>
      <c r="H1445" s="486"/>
      <c r="I1445" s="486"/>
      <c r="J1445" s="486"/>
      <c r="K1445" s="486"/>
      <c r="L1445" s="486"/>
      <c r="M1445" s="498"/>
      <c r="O1445" s="1305"/>
      <c r="P1445" s="23"/>
      <c r="Q1445" s="23"/>
      <c r="R1445" s="23"/>
      <c r="S1445" s="23"/>
      <c r="T1445" s="23"/>
      <c r="U1445" s="23"/>
      <c r="V1445" s="30"/>
      <c r="W1445" s="30"/>
      <c r="X1445" s="30"/>
      <c r="Y1445" s="485"/>
      <c r="Z1445" s="30"/>
      <c r="AA1445" s="30"/>
      <c r="AB1445" s="30"/>
      <c r="AC1445" s="483"/>
      <c r="AD1445" s="30"/>
      <c r="AE1445" s="30"/>
      <c r="AF1445" s="58"/>
      <c r="AG1445" s="30"/>
      <c r="AH1445" s="30"/>
      <c r="AI1445" s="30"/>
      <c r="AJ1445" s="495"/>
      <c r="AK1445" s="495"/>
      <c r="AL1445" s="333"/>
      <c r="AM1445" s="30"/>
      <c r="AN1445" s="30"/>
      <c r="AO1445" s="30"/>
      <c r="AP1445" s="30"/>
      <c r="AQ1445" s="30"/>
      <c r="AR1445" s="30"/>
      <c r="AS1445" s="30"/>
      <c r="AT1445" s="483"/>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483"/>
    </row>
    <row r="1446" spans="1:78" s="140" customFormat="1" ht="12.75" customHeight="1" thickBot="1" x14ac:dyDescent="0.25">
      <c r="A1446" s="777"/>
      <c r="B1446" s="1248"/>
      <c r="C1446" s="783" t="s">
        <v>5</v>
      </c>
      <c r="D1446" s="503" t="str">
        <f>Translations!$B$622</f>
        <v>VD:</v>
      </c>
      <c r="E1446" s="1105" t="str">
        <f>Translations!$B$668</f>
        <v>Pradinis kiekis:</v>
      </c>
      <c r="F1446" s="1123"/>
      <c r="G1446" s="1106" t="str">
        <f>Translations!$B$669</f>
        <v>Galutinis kiekis:</v>
      </c>
      <c r="H1446" s="1123"/>
      <c r="I1446" s="1106" t="str">
        <f>Translations!$B$670</f>
        <v>Įsigytas kiekis:</v>
      </c>
      <c r="J1446" s="1123"/>
      <c r="K1446" s="1106" t="str">
        <f>Translations!$B$671</f>
        <v>Perduotas kiekis:</v>
      </c>
      <c r="L1446" s="1123"/>
      <c r="M1446" s="1107" t="str">
        <f>IF(AND(L1444=TRUE,COUNT(F1446,H1446,J1446,L1446)&lt;4),EUconst_ERR_Incomplete,"")</f>
        <v/>
      </c>
      <c r="O1446" s="1305"/>
      <c r="P1446" s="23"/>
      <c r="Q1446" s="23"/>
      <c r="R1446" s="23"/>
      <c r="S1446" s="23"/>
      <c r="T1446" s="23"/>
      <c r="U1446" s="23"/>
      <c r="V1446" s="30"/>
      <c r="W1446" s="30"/>
      <c r="X1446" s="30"/>
      <c r="Y1446" s="485"/>
      <c r="Z1446" s="30"/>
      <c r="AA1446" s="30"/>
      <c r="AB1446" s="30"/>
      <c r="AC1446" s="1115" t="b">
        <f>AC1444</f>
        <v>0</v>
      </c>
      <c r="AD1446" s="30"/>
      <c r="AE1446" s="30"/>
      <c r="AF1446" s="58"/>
      <c r="AG1446" s="30"/>
      <c r="AH1446" s="30"/>
      <c r="AI1446" s="30"/>
      <c r="AJ1446" s="495"/>
      <c r="AK1446" s="495"/>
      <c r="AL1446" s="333"/>
      <c r="AM1446" s="30"/>
      <c r="AN1446" s="30"/>
      <c r="AO1446" s="30"/>
      <c r="AP1446" s="30"/>
      <c r="AQ1446" s="30"/>
      <c r="AR1446" s="30"/>
      <c r="AS1446" s="30"/>
      <c r="AT1446" s="1115" t="b">
        <f>AND(AT1444=TRUE,L1444="")</f>
        <v>0</v>
      </c>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1115" t="b">
        <f>OR(BZ1444,AND(NOT(ISBLANK(L1444)),L1444=FALSE))</f>
        <v>1</v>
      </c>
    </row>
    <row r="1447" spans="1:78" s="140" customFormat="1" ht="5.0999999999999996" customHeight="1" thickBot="1" x14ac:dyDescent="0.25">
      <c r="A1447" s="777"/>
      <c r="B1447" s="1248"/>
      <c r="C1447" s="164"/>
      <c r="D1447" s="164"/>
      <c r="E1447" s="164"/>
      <c r="F1447" s="164"/>
      <c r="G1447" s="164"/>
      <c r="M1447" s="141"/>
      <c r="N1447" s="141"/>
      <c r="O1447" s="1305"/>
      <c r="P1447" s="23"/>
      <c r="Q1447" s="23"/>
      <c r="R1447" s="23"/>
      <c r="S1447" s="23"/>
      <c r="T1447" s="23"/>
      <c r="U1447" s="23"/>
      <c r="V1447" s="30"/>
      <c r="W1447" s="30"/>
      <c r="X1447" s="30"/>
      <c r="Y1447" s="485"/>
      <c r="Z1447" s="30"/>
      <c r="AA1447" s="30"/>
      <c r="AB1447" s="30"/>
      <c r="AC1447" s="30"/>
      <c r="AD1447" s="30"/>
      <c r="AE1447" s="30"/>
      <c r="AF1447" s="58"/>
      <c r="AG1447" s="30"/>
      <c r="AH1447" s="30"/>
      <c r="AI1447" s="30"/>
      <c r="AJ1447" s="495"/>
      <c r="AK1447" s="495"/>
      <c r="AL1447" s="333"/>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row>
    <row r="1448" spans="1:78" s="140" customFormat="1" ht="12.75" customHeight="1" thickBot="1" x14ac:dyDescent="0.25">
      <c r="A1448" s="777"/>
      <c r="B1448" s="1248"/>
      <c r="C1448" s="164"/>
      <c r="D1448" s="164"/>
      <c r="E1448" s="164"/>
      <c r="F1448" s="497" t="str">
        <f>Translations!$B$333</f>
        <v>Pakopa</v>
      </c>
      <c r="G1448" s="1613" t="str">
        <f>Translations!$B$672</f>
        <v>pakopos aprašas</v>
      </c>
      <c r="H1448" s="1613"/>
      <c r="I1448" s="1608" t="str">
        <f>Translations!$B$158</f>
        <v>Vienetas</v>
      </c>
      <c r="J1448" s="1608"/>
      <c r="K1448" s="1608" t="str">
        <f>Translations!$B$673</f>
        <v>Vertė</v>
      </c>
      <c r="L1448" s="1608"/>
      <c r="M1448" s="498" t="str">
        <f>Translations!$B$610</f>
        <v>klaida</v>
      </c>
      <c r="O1448" s="1305"/>
      <c r="P1448" s="499"/>
      <c r="Q1448" s="343" t="str">
        <f>EUconst_SumEnergyIN &amp; "_" &amp; K1439</f>
        <v>SUM_EnergyIN_</v>
      </c>
      <c r="R1448" s="390" t="str">
        <f>IF(OR(K1439="",T1440)=TRUE,"",INDEX(BC1454:BE1454,MATCH(K1439,BC1449:BE1449,0)))</f>
        <v/>
      </c>
      <c r="S1448" s="30"/>
      <c r="T1448" s="480"/>
      <c r="U1448" s="30"/>
      <c r="V1448" s="500" t="s">
        <v>298</v>
      </c>
      <c r="W1448" s="30"/>
      <c r="X1448" s="30"/>
      <c r="Y1448" s="485" t="s">
        <v>560</v>
      </c>
      <c r="Z1448" s="485" t="s">
        <v>313</v>
      </c>
      <c r="AA1448" s="30"/>
      <c r="AB1448" s="30"/>
      <c r="AC1448" s="496" t="s">
        <v>304</v>
      </c>
      <c r="AD1448" s="30"/>
      <c r="AE1448" s="30"/>
      <c r="AF1448" s="483" t="s">
        <v>300</v>
      </c>
      <c r="AG1448" s="483" t="s">
        <v>301</v>
      </c>
      <c r="AH1448" s="485" t="s">
        <v>299</v>
      </c>
      <c r="AI1448" s="495" t="s">
        <v>302</v>
      </c>
      <c r="AJ1448" s="495" t="s">
        <v>561</v>
      </c>
      <c r="AK1448" s="501" t="s">
        <v>306</v>
      </c>
      <c r="AL1448" s="333"/>
      <c r="AM1448" s="30"/>
      <c r="AN1448" s="483" t="s">
        <v>300</v>
      </c>
      <c r="AO1448" s="483" t="s">
        <v>301</v>
      </c>
      <c r="AP1448" s="502" t="s">
        <v>305</v>
      </c>
      <c r="AQ1448" s="495" t="s">
        <v>563</v>
      </c>
      <c r="AR1448" s="495" t="s">
        <v>562</v>
      </c>
      <c r="AS1448" s="501" t="s">
        <v>599</v>
      </c>
      <c r="AT1448" s="501" t="s">
        <v>599</v>
      </c>
      <c r="AU1448" s="30"/>
      <c r="AV1448" s="483"/>
      <c r="AW1448" s="483"/>
      <c r="AX1448" s="483" t="s">
        <v>316</v>
      </c>
      <c r="AY1448" s="483"/>
      <c r="AZ1448" s="483"/>
      <c r="BA1448" s="483"/>
      <c r="BB1448" s="483"/>
      <c r="BC1448" s="483"/>
      <c r="BD1448" s="483"/>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484" t="s">
        <v>259</v>
      </c>
    </row>
    <row r="1449" spans="1:78" s="140" customFormat="1" ht="12.75" customHeight="1" thickBot="1" x14ac:dyDescent="0.25">
      <c r="A1449" s="777"/>
      <c r="B1449" s="1248"/>
      <c r="C1449" s="753" t="s">
        <v>194</v>
      </c>
      <c r="D1449" s="503" t="str">
        <f>Translations!$B$622</f>
        <v>VD:</v>
      </c>
      <c r="E1449" s="504"/>
      <c r="F1449" s="393"/>
      <c r="G1449" s="1603" t="str">
        <f>IF(OR(ISBLANK(F1449),F1449=EUconst_NoTier),"",IF(Z1449=0,EUconst_NA,IF(ISERROR(Z1449),"",Z1449)))</f>
        <v/>
      </c>
      <c r="H1449" s="1604"/>
      <c r="I1449" s="1108" t="str">
        <f>IF(J1449&lt;&gt;"","",AI1449)</f>
        <v/>
      </c>
      <c r="J1449" s="1109"/>
      <c r="K1449" s="1116" t="str">
        <f>IF(L1449="",AQ1449,"")</f>
        <v/>
      </c>
      <c r="L1449" s="1199"/>
      <c r="M1449" s="700" t="str">
        <f>IF(AND(E1440&lt;&gt;"",OR(F1449="",COUNT(K1449:L1449)=0),Y1449&lt;&gt;EUconst_NA,T1440&lt;&gt;TRUE),EUconst_ERR_Incomplete,IF(COUNTIF(AX1449:AZ1449,TRUE)&gt;0,EUconst_ERR_Inconsistent,""))</f>
        <v/>
      </c>
      <c r="O1449" s="1305"/>
      <c r="P1449" s="635"/>
      <c r="Q1449" s="343" t="str">
        <f>EUconst_SumBioEnergyIN &amp; "_" &amp; K1439</f>
        <v>SUM_BioEnergyIN_</v>
      </c>
      <c r="R1449" s="390" t="str">
        <f>IF(OR(K1439="",T1440)=TRUE,"",INDEX(BC1455:BE1455,MATCH(K1439,BC1449:BE1449,0)))</f>
        <v/>
      </c>
      <c r="S1449" s="30"/>
      <c r="T1449" s="505" t="str">
        <f>EUconst_CNTR_ActivityData&amp;E1440</f>
        <v>ActivityData_</v>
      </c>
      <c r="U1449" s="488"/>
      <c r="V1449" s="505" t="str">
        <f>IF(E1439="","",INDEX(B_InstallationDescription!$I$71:$I$145,MATCH(U1438,B_InstallationDescription!$D$71:$D$145,0)))</f>
        <v/>
      </c>
      <c r="W1449" s="495" t="s">
        <v>533</v>
      </c>
      <c r="X1449" s="488"/>
      <c r="Y1449" s="506" t="str">
        <f>IF(OR(T1440=TRUE,E1440=""),"",INDEX(EUwideConstants!$N:$N,MATCH(T1449,EUwideConstants!$Q:$Q,0)))</f>
        <v/>
      </c>
      <c r="Z1449" s="507" t="str">
        <f>IF(ISBLANK(F1449),"",IF(F1449=EUconst_NA,"",INDEX(EUwideConstants!$H:$M,MATCH(T1449,EUwideConstants!$Q:$Q,0),MATCH(F1449,CNTR_TierList,0))))</f>
        <v/>
      </c>
      <c r="AA1449" s="508" t="s">
        <v>299</v>
      </c>
      <c r="AB1449" s="495"/>
      <c r="AC1449" s="509" t="b">
        <f>AC1444</f>
        <v>0</v>
      </c>
      <c r="AD1449" s="30"/>
      <c r="AE1449" s="510" t="str">
        <f>EUconst_CNTR_ActivityData&amp;EUconst_Unit</f>
        <v>ActivityData_Vienetas</v>
      </c>
      <c r="AF1449" s="511" t="str">
        <f>IF(AC1449=TRUE, IF(COUNTIF(MSPara_SourceStreamCategory,V1449)=0,"",INDEX(MSPara_CalcFactorsMatrix,MATCH(V1449,MSPara_SourceStreamCategory,0),MATCH(AE1449&amp;"_"&amp;2,MSPara_CalcFactors,0))),"")</f>
        <v/>
      </c>
      <c r="AG1449" s="512" t="str">
        <f>IF(AC1449=TRUE, IF(COUNTIF(MSPara_SourceStreamCategory,V1449)=0,"",INDEX(MSPara_CalcFactorsMatrix,MATCH(V1449,MSPara_SourceStreamCategory,0),MATCH(AE1449&amp;"_"&amp;1,MSPara_CalcFactors,0))),"")</f>
        <v/>
      </c>
      <c r="AH1449" s="509" t="str">
        <f>IF(OR(AF1449="",AF1449=EUconst_NA),IF(OR(AG1449=EUconst_NA,AG1449=""),"",AG1449),AF1449)</f>
        <v/>
      </c>
      <c r="AI1449" s="506" t="str">
        <f>IF(AC1449=TRUE,IF(AH1449="",EUconst_t,AH1449),"")</f>
        <v/>
      </c>
      <c r="AJ1449" s="513" t="str">
        <f>IF(J1449="",AI1449,J1449)</f>
        <v/>
      </c>
      <c r="AK1449" s="514" t="b">
        <f>IF(K1439=EUconst_Fuel,J1449&lt;&gt;"",FALSE)</f>
        <v>0</v>
      </c>
      <c r="AL1449" s="333"/>
      <c r="AM1449" s="505" t="str">
        <f>EUconst_CNTR_ActivityData&amp;EUconst_Value</f>
        <v>ActivityData_Vertė</v>
      </c>
      <c r="AN1449" s="496"/>
      <c r="AO1449" s="496"/>
      <c r="AP1449" s="509" t="b">
        <f>AND(AND(AH1449&lt;&gt;"",AJ1449&lt;&gt;""),AJ1449=AH1449)</f>
        <v>0</v>
      </c>
      <c r="AQ1449" s="610" t="str">
        <f>IF(L1444=TRUE,SUM(F1446)-SUM(H1446)+SUM(J1446)-SUM(L1446),"")</f>
        <v/>
      </c>
      <c r="AR1449" s="509">
        <f>IF(Y1449=EUconst_NA,0,IF(COUNT(K1449:L1449)=0,0,IF(L1449="",K1449,L1449)))</f>
        <v>0</v>
      </c>
      <c r="AS1449" s="1115" t="b">
        <f>AND(AC1449=TRUE,OR(L1449&lt;&gt;"",AQ1449=""))</f>
        <v>0</v>
      </c>
      <c r="AT1449" s="1115" t="b">
        <f>AND(AC1449=TRUE,NOT(AS1449))</f>
        <v>0</v>
      </c>
      <c r="AU1449" s="30"/>
      <c r="AV1449" s="483" t="s">
        <v>309</v>
      </c>
      <c r="AW1449" s="483" t="s">
        <v>314</v>
      </c>
      <c r="AX1449" s="515"/>
      <c r="AY1449" s="30" t="s">
        <v>536</v>
      </c>
      <c r="AZ1449" s="30"/>
      <c r="BA1449" s="30"/>
      <c r="BB1449" s="495"/>
      <c r="BC1449" s="484" t="str">
        <f>EUconst_Fuel</f>
        <v>Degimas</v>
      </c>
      <c r="BD1449" s="484" t="str">
        <f>EUconst_ProcessCarbonate</f>
        <v>Proceso metu išsiskiriančios ŠESD</v>
      </c>
      <c r="BE1449" s="484" t="str">
        <f>EUconst_MassBalance</f>
        <v>Masės balansas</v>
      </c>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515" t="b">
        <f>BZ1444</f>
        <v>1</v>
      </c>
    </row>
    <row r="1450" spans="1:78" s="140" customFormat="1" ht="5.0999999999999996" customHeight="1" thickBot="1" x14ac:dyDescent="0.25">
      <c r="A1450" s="777"/>
      <c r="B1450" s="1248"/>
      <c r="C1450" s="783"/>
      <c r="D1450" s="298"/>
      <c r="F1450" s="141"/>
      <c r="G1450" s="141"/>
      <c r="H1450" s="141" t="s">
        <v>233</v>
      </c>
      <c r="I1450" s="516"/>
      <c r="J1450" s="516"/>
      <c r="K1450" s="141"/>
      <c r="L1450" s="141"/>
      <c r="M1450" s="701"/>
      <c r="O1450" s="1305"/>
      <c r="P1450" s="33"/>
      <c r="Q1450" s="33"/>
      <c r="R1450" s="33"/>
      <c r="S1450" s="30"/>
      <c r="T1450" s="153"/>
      <c r="U1450" s="488"/>
      <c r="V1450" s="30"/>
      <c r="W1450" s="30"/>
      <c r="X1450" s="488"/>
      <c r="Y1450" s="517"/>
      <c r="Z1450" s="30"/>
      <c r="AA1450" s="30"/>
      <c r="AB1450" s="30"/>
      <c r="AC1450" s="30"/>
      <c r="AD1450" s="30"/>
      <c r="AE1450" s="30"/>
      <c r="AF1450" s="30"/>
      <c r="AG1450" s="30"/>
      <c r="AH1450" s="30"/>
      <c r="AI1450" s="30"/>
      <c r="AJ1450" s="30"/>
      <c r="AK1450" s="30"/>
      <c r="AL1450" s="333"/>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484"/>
    </row>
    <row r="1451" spans="1:78" s="140" customFormat="1" ht="12.75" customHeight="1" thickBot="1" x14ac:dyDescent="0.25">
      <c r="A1451" s="777"/>
      <c r="B1451" s="1248"/>
      <c r="C1451" s="783" t="s">
        <v>195</v>
      </c>
      <c r="D1451" s="503" t="str">
        <f>Translations!$B$634</f>
        <v>(prelim.) ITF:</v>
      </c>
      <c r="E1451" s="504"/>
      <c r="F1451" s="518"/>
      <c r="G1451" s="1603" t="str">
        <f t="shared" ref="G1451:G1457" si="357">IF(OR(ISBLANK(F1451),F1451=EUconst_NoTier),"",IF(Z1451=0,EUconst_NotApplicable,IF(ISERROR(Z1451),"",Z1451)))</f>
        <v/>
      </c>
      <c r="H1451" s="1609"/>
      <c r="I1451" s="1110" t="str">
        <f>IF(J1451&lt;&gt;"","",AI1451)</f>
        <v/>
      </c>
      <c r="J1451" s="1111"/>
      <c r="K1451" s="519" t="str">
        <f t="shared" ref="K1451:K1457" si="358">IF(L1451="",AQ1451,"")</f>
        <v/>
      </c>
      <c r="L1451" s="520"/>
      <c r="M1451" s="700" t="str">
        <f>IF(AND(E1440&lt;&gt;"",OR(F1451="",COUNT(K1451:L1451)=0),Y1451&lt;&gt;EUconst_NA,T1440&lt;&gt;TRUE),EUconst_ERR_Incomplete,IF(COUNTIF(AX1451:AZ1451,TRUE)&gt;0,EUconst_ERR_Inconsistent,""))</f>
        <v/>
      </c>
      <c r="N1451" s="486"/>
      <c r="O1451" s="1305"/>
      <c r="P1451" s="33"/>
      <c r="Q1451" s="33"/>
      <c r="R1451" s="33"/>
      <c r="S1451" s="30"/>
      <c r="T1451" s="521" t="str">
        <f>EUconst_CNTR_EF&amp;E1440</f>
        <v>EF_</v>
      </c>
      <c r="U1451" s="488"/>
      <c r="V1451" s="522" t="str">
        <f>V1449</f>
        <v/>
      </c>
      <c r="W1451" s="30"/>
      <c r="X1451" s="488"/>
      <c r="Y1451" s="523" t="str">
        <f>IF(OR(T1440=TRUE,E1440=""),"",IF(F1451=EUconst_NA,EUconst_NA,INDEX(EUwideConstants!$N:$N,MATCH(T1451,EUwideConstants!$Q:$Q,0))))</f>
        <v/>
      </c>
      <c r="Z1451" s="524" t="str">
        <f>IF(ISBLANK(F1451),"",IF(F1451=EUconst_NA,"",INDEX(EUwideConstants!$H:$M,MATCH(T1451,EUwideConstants!$Q:$Q,0),MATCH(F1451,CNTR_TierList,0))))</f>
        <v/>
      </c>
      <c r="AA1451" s="525" t="str">
        <f>IF(COUNTIF(EUconst_DefaultValues,Z1451)&gt;0,MATCH(Z1451,EUconst_DefaultValues,0),"")</f>
        <v/>
      </c>
      <c r="AB1451" s="30"/>
      <c r="AC1451" s="526" t="b">
        <f>AND(AC1449,Y1451&lt;&gt;EUconst_NA)</f>
        <v>0</v>
      </c>
      <c r="AD1451" s="30"/>
      <c r="AE1451" s="510" t="str">
        <f>EUconst_CNTR_EF&amp;EUconst_Unit</f>
        <v>EF_Vienetas</v>
      </c>
      <c r="AF1451" s="527" t="str">
        <f>IF(AC1451=TRUE, IF(COUNTIF(MSPara_SourceStreamCategory,V1451)=0,"",INDEX(MSPara_CalcFactorsMatrix,MATCH(V1451,MSPara_SourceStreamCategory,0),MATCH(AE1451&amp;"_"&amp;2,MSPara_CalcFactors,0))),"")</f>
        <v/>
      </c>
      <c r="AG1451" s="528" t="str">
        <f>IF(AC1451=TRUE, IF(COUNTIF(MSPara_SourceStreamCategory,V1451)=0,"",INDEX(MSPara_CalcFactorsMatrix,MATCH(V1451,MSPara_SourceStreamCategory,0),MATCH(AE1451&amp;"_"&amp;1,MSPara_CalcFactors,0))),"")</f>
        <v/>
      </c>
      <c r="AH1451" s="529" t="str">
        <f>IF(AA1451="","",INDEX(AF1451:AG1451,3-AA1451))</f>
        <v/>
      </c>
      <c r="AI1451" s="530" t="str">
        <f>IF(AC1451=TRUE,IF(OR(AH1451="",AH1451=EUconst_NA),IF(K1439=EUconst_Fuel,EUconst_tCO2pTJ,EUconst_tCO2pt),AH1451),"")</f>
        <v/>
      </c>
      <c r="AJ1451" s="526" t="str">
        <f>IF(J1451="",AI1451,J1451)</f>
        <v/>
      </c>
      <c r="AK1451" s="531" t="b">
        <f>IF(K1439=EUconst_Fuel,J1451&lt;&gt;"",FALSE)</f>
        <v>0</v>
      </c>
      <c r="AL1451" s="333"/>
      <c r="AM1451" s="510" t="str">
        <f>EUconst_CNTR_EF&amp;EUconst_Value</f>
        <v>EF_Vertė</v>
      </c>
      <c r="AN1451" s="532" t="str">
        <f>IF(AC1451=TRUE,IF(COUNTIF(MSPara_SourceStreamCategory,V1451)=0,"",INDEX(MSPara_CalcFactorsMatrix,MATCH(V1451,MSPara_SourceStreamCategory,0),MATCH(AM1451&amp;"_"&amp;2,MSPara_CalcFactors,0))),"")</f>
        <v/>
      </c>
      <c r="AO1451" s="533" t="str">
        <f>IF(AC1451=TRUE,IF(COUNTIF(MSPara_SourceStreamCategory,V1451)=0,"",INDEX(MSPara_CalcFactorsMatrix,MATCH(V1451,MSPara_SourceStreamCategory,0),MATCH(AM1451&amp;"_"&amp;1,MSPara_CalcFactors,0))),"")</f>
        <v/>
      </c>
      <c r="AP1451" s="526" t="b">
        <f>AND(AND(AH1451&lt;&gt;"",AJ1451&lt;&gt;""),AJ1451=AH1451)</f>
        <v>0</v>
      </c>
      <c r="AQ1451" s="534" t="str">
        <f>IF(AND(AA1451&lt;&gt;"",AP1451=TRUE),IF(OR(INDEX(AN1451:AO1451,3-AA1451)=EUconst_NA,INDEX(AN1451:AO1451,3-AA1451)=0),"",INDEX(AN1451:AO1451,3-AA1451)),"")</f>
        <v/>
      </c>
      <c r="AR1451" s="526">
        <f>IF(AC1451=TRUE,IF(COUNT(K1451:L1451)=0,0,IF(L1451="",K1451,L1451)),0)</f>
        <v>0</v>
      </c>
      <c r="AS1451" s="522" t="b">
        <f>AND(AC1451=TRUE,OR(AND(F1451&lt;&gt;"",NOT(ISNUMBER(AA1451))),L1451&lt;&gt;"",F1451="",AQ1451=""))</f>
        <v>0</v>
      </c>
      <c r="AT1451" s="522" t="b">
        <f t="shared" ref="AT1451:AT1457" si="359">AND(AC1451=TRUE,NOT(AS1451))</f>
        <v>0</v>
      </c>
      <c r="AU1451" s="30"/>
      <c r="AV1451" s="535" t="b">
        <f t="shared" ref="AV1451:AV1457" si="360">AND(ISNUMBER(AA1451),AQ1451="")</f>
        <v>0</v>
      </c>
      <c r="AW1451" s="536" t="b">
        <f t="shared" ref="AW1451:AW1457" si="361">AND(ISNUMBER(AA1451),AQ1451&lt;&gt;AR1451)</f>
        <v>0</v>
      </c>
      <c r="AX1451" s="537" t="b">
        <f>OR(AND(AJ1449=EUconst_kNm3,AJ1451=EUconst_tCO2pt),AND(AJ1449=EUconst_t,AJ1451=EUconst_tCO2pkNm3))</f>
        <v>0</v>
      </c>
      <c r="AY1451" s="522" t="b">
        <f t="shared" ref="AY1451:AY1457" si="362">AND(L1451&lt;&gt;"",Y1451=EUconst_NA)</f>
        <v>0</v>
      </c>
      <c r="AZ1451" s="30"/>
      <c r="BA1451" s="30"/>
      <c r="BB1451" s="538" t="s">
        <v>588</v>
      </c>
      <c r="BC1451" s="537" t="str">
        <f>IF(K1439=BC1449,AR1449*IF(AJ1451=EUconst_tCO2pTJ,(AR1452/1000),1)*AR1451*AR1453*AR1457,"")</f>
        <v/>
      </c>
      <c r="BD1451" s="515" t="str">
        <f>IF(K1439=BD1449,AR1449*AR1451*AR1454*AR1457,"")</f>
        <v/>
      </c>
      <c r="BE1451" s="514" t="str">
        <f>IF(K1439=BE1449,3.664*AR1449*AR1455*AR1457,"")</f>
        <v/>
      </c>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522" t="b">
        <f>OR(BZ1449,Y1451=EUconst_NA)</f>
        <v>1</v>
      </c>
    </row>
    <row r="1452" spans="1:78" s="140" customFormat="1" ht="12.75" customHeight="1" thickBot="1" x14ac:dyDescent="0.25">
      <c r="A1452" s="777"/>
      <c r="B1452" s="1248"/>
      <c r="C1452" s="783" t="s">
        <v>196</v>
      </c>
      <c r="D1452" s="503" t="str">
        <f>Translations!$B$636</f>
        <v>GŠV:</v>
      </c>
      <c r="E1452" s="504"/>
      <c r="F1452" s="539"/>
      <c r="G1452" s="1603" t="str">
        <f t="shared" si="357"/>
        <v/>
      </c>
      <c r="H1452" s="1604"/>
      <c r="I1452" s="1112" t="str">
        <f>AJ1452</f>
        <v/>
      </c>
      <c r="J1452" s="540"/>
      <c r="K1452" s="541" t="str">
        <f t="shared" si="358"/>
        <v/>
      </c>
      <c r="L1452" s="542"/>
      <c r="M1452" s="700" t="str">
        <f>IF(AND(E1440&lt;&gt;"",OR(F1452="",COUNT(K1452:L1452)=0),Y1452&lt;&gt;EUconst_NA,T1440&lt;&gt;TRUE),EUconst_ERR_Incomplete,IF(COUNTIF(AX1452:AZ1452,TRUE)&gt;0,EUconst_ERR_Inconsistent,""))</f>
        <v/>
      </c>
      <c r="O1452" s="1305"/>
      <c r="P1452" s="33"/>
      <c r="Q1452" s="33"/>
      <c r="R1452" s="33"/>
      <c r="S1452" s="30"/>
      <c r="T1452" s="543" t="str">
        <f>EUconst_CNTR_NCV&amp;E1440</f>
        <v>NCV_</v>
      </c>
      <c r="U1452" s="488"/>
      <c r="V1452" s="544" t="str">
        <f t="shared" ref="V1452:V1457" si="363">V1451</f>
        <v/>
      </c>
      <c r="W1452" s="30"/>
      <c r="X1452" s="488"/>
      <c r="Y1452" s="545" t="str">
        <f>IF(OR(T1440=TRUE,E1440=""),"",IF(F1452=EUconst_NA,EUconst_NA,INDEX(EUwideConstants!$N:$N,MATCH(T1452,EUwideConstants!$Q:$Q,0))))</f>
        <v/>
      </c>
      <c r="Z1452" s="546" t="str">
        <f>IF(ISBLANK(F1452),"",IF(F1452=EUconst_NA,"",INDEX(EUwideConstants!$H:$M,MATCH(T1452,EUwideConstants!$Q:$Q,0),MATCH(F1452,CNTR_TierList,0))))</f>
        <v/>
      </c>
      <c r="AA1452" s="547" t="str">
        <f>IF(COUNTIF(EUconst_DefaultValues,Z1452)&gt;0,MATCH(Z1452,EUconst_DefaultValues,0),"")</f>
        <v/>
      </c>
      <c r="AB1452" s="30"/>
      <c r="AC1452" s="548" t="b">
        <f>AND(AC1449,Y1452&lt;&gt;EUconst_NA)</f>
        <v>0</v>
      </c>
      <c r="AD1452" s="30"/>
      <c r="AE1452" s="549" t="str">
        <f>EUconst_CNTR_NCV&amp;EUconst_Unit</f>
        <v>NCV_Vienetas</v>
      </c>
      <c r="AF1452" s="550" t="str">
        <f>IF(AC1452=TRUE, IF(COUNTIF(MSPara_SourceStreamCategory,V1452)=0,"",INDEX(MSPara_CalcFactorsMatrix,MATCH(V1452,MSPara_SourceStreamCategory,0),MATCH(AE1452&amp;"_"&amp;2,MSPara_CalcFactors,0))),"")</f>
        <v/>
      </c>
      <c r="AG1452" s="551" t="str">
        <f>IF(AC1452=TRUE, IF(COUNTIF(MSPara_SourceStreamCategory,V1452)=0,"",INDEX(MSPara_CalcFactorsMatrix,MATCH(V1452,MSPara_SourceStreamCategory,0),MATCH(AE1452&amp;"_"&amp;1,MSPara_CalcFactors,0))),"")</f>
        <v/>
      </c>
      <c r="AH1452" s="552" t="str">
        <f>IF(AA1452="","",INDEX(AF1452:AG1452,3-AA1452))</f>
        <v/>
      </c>
      <c r="AI1452" s="553"/>
      <c r="AJ1452" s="548" t="str">
        <f>IF(AC1452=TRUE,IF(AJ1449="","",IF(AJ1449=EUconst_kNm3,EUconst_GJpkNm3,EUconst_GJpt)),"")</f>
        <v/>
      </c>
      <c r="AK1452" s="554"/>
      <c r="AL1452" s="333"/>
      <c r="AM1452" s="549" t="str">
        <f>EUconst_CNTR_NCV&amp;EUconst_Value</f>
        <v>NCV_Vertė</v>
      </c>
      <c r="AN1452" s="555" t="str">
        <f>IF(AC1452=TRUE,IF(COUNTIF(MSPara_SourceStreamCategory,V1452)=0,"",INDEX(MSPara_CalcFactorsMatrix,MATCH(V1452,MSPara_SourceStreamCategory,0),MATCH(AM1452&amp;"_"&amp;2,MSPara_CalcFactors,0))),"")</f>
        <v/>
      </c>
      <c r="AO1452" s="556" t="str">
        <f>IF(AC1452=TRUE,IF(COUNTIF(MSPara_SourceStreamCategory,V1452)=0,"",INDEX(MSPara_CalcFactorsMatrix,MATCH(V1452,MSPara_SourceStreamCategory,0),MATCH(AM1452&amp;"_"&amp;1,MSPara_CalcFactors,0))),"")</f>
        <v/>
      </c>
      <c r="AP1452" s="548" t="b">
        <f>AND(AND(AH1452&lt;&gt;"",AJ1452&lt;&gt;""),AJ1452=AH1452)</f>
        <v>0</v>
      </c>
      <c r="AQ1452" s="557" t="str">
        <f>IF(AND(AA1452&lt;&gt;"",AP1452=TRUE),IF(OR(INDEX(AN1452:AO1452,3-AA1452)=EUconst_NA,INDEX(AN1452:AO1452,3-AA1452)=0),"",INDEX(AN1452:AO1452,3-AA1452)),"")</f>
        <v/>
      </c>
      <c r="AR1452" s="548">
        <f>IF(AC1452=TRUE,IF(COUNT(K1452:L1452)=0,0,IF(L1452="",K1452,L1452)),0)</f>
        <v>0</v>
      </c>
      <c r="AS1452" s="544" t="b">
        <f>AND(AC1452=TRUE,OR(AND(F1452&lt;&gt;"",NOT(ISNUMBER(AA1452))),L1452&lt;&gt;"",F1452="",AQ1452=""))</f>
        <v>0</v>
      </c>
      <c r="AT1452" s="544" t="b">
        <f t="shared" si="359"/>
        <v>0</v>
      </c>
      <c r="AU1452" s="30"/>
      <c r="AV1452" s="558" t="b">
        <f t="shared" si="360"/>
        <v>0</v>
      </c>
      <c r="AW1452" s="559" t="b">
        <f t="shared" si="361"/>
        <v>0</v>
      </c>
      <c r="AX1452" s="30"/>
      <c r="AY1452" s="544" t="b">
        <f t="shared" si="362"/>
        <v>0</v>
      </c>
      <c r="AZ1452" s="30"/>
      <c r="BA1452" s="30"/>
      <c r="BB1452" s="538" t="s">
        <v>589</v>
      </c>
      <c r="BC1452" s="537" t="str">
        <f>IF(K1439=BC1449,AR1449*IF(AJ1451=EUconst_tCO2pTJ,(AR1452/1000),1)*AR1451*AR1453*AR1456,"")</f>
        <v/>
      </c>
      <c r="BD1452" s="515" t="str">
        <f>IF(K1439=BD1449,AR1449*AR1451*AR1454*AR1456,"")</f>
        <v/>
      </c>
      <c r="BE1452" s="514" t="str">
        <f>IF(K1439=BE1449,3.664*AR1449*AR1455*AR1456,"")</f>
        <v/>
      </c>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544" t="b">
        <f>OR(BZ1449,Y1452=EUconst_NA)</f>
        <v>1</v>
      </c>
    </row>
    <row r="1453" spans="1:78" s="140" customFormat="1" ht="12.75" customHeight="1" thickBot="1" x14ac:dyDescent="0.25">
      <c r="A1453" s="777"/>
      <c r="B1453" s="1248"/>
      <c r="C1453" s="783" t="s">
        <v>197</v>
      </c>
      <c r="D1453" s="503" t="str">
        <f>Translations!$B$638</f>
        <v>Oksidacijos koef.:</v>
      </c>
      <c r="E1453" s="504"/>
      <c r="F1453" s="539"/>
      <c r="G1453" s="1603" t="str">
        <f t="shared" si="357"/>
        <v/>
      </c>
      <c r="H1453" s="1604"/>
      <c r="I1453" s="1113" t="str">
        <f>IF(OR(AC1453=FALSE,Y1453=EUconst_NA),"","-")</f>
        <v/>
      </c>
      <c r="J1453" s="560"/>
      <c r="K1453" s="561" t="str">
        <f t="shared" si="358"/>
        <v/>
      </c>
      <c r="L1453" s="694"/>
      <c r="M1453" s="700" t="str">
        <f>IF(AND(E1440&lt;&gt;"",OR(F1453="",COUNT(K1453:L1453)=0),Y1453&lt;&gt;EUconst_NA,T1440&lt;&gt;TRUE),EUconst_ERR_Incomplete,IF(COUNTIF(AX1453:AZ1453,TRUE)&gt;0,EUconst_ERR_Inconsistent,""))</f>
        <v/>
      </c>
      <c r="O1453" s="1305"/>
      <c r="P1453" s="33"/>
      <c r="Q1453" s="33"/>
      <c r="R1453" s="33"/>
      <c r="S1453" s="30"/>
      <c r="T1453" s="543" t="str">
        <f>EUconst_CNTR_OxidationFactor&amp;E1440</f>
        <v>OxF_</v>
      </c>
      <c r="U1453" s="488"/>
      <c r="V1453" s="544" t="str">
        <f t="shared" si="363"/>
        <v/>
      </c>
      <c r="W1453" s="30"/>
      <c r="X1453" s="488"/>
      <c r="Y1453" s="545" t="str">
        <f>IF(OR(T1440=TRUE,E1440=""),"",INDEX(EUwideConstants!$N:$N,MATCH(T1453,EUwideConstants!$Q:$Q,0)))</f>
        <v/>
      </c>
      <c r="Z1453" s="546" t="str">
        <f>IF(ISBLANK(F1453),"",IF(F1453=EUconst_NA,"",INDEX(EUwideConstants!$H:$M,MATCH(T1453,EUwideConstants!$Q:$Q,0),MATCH(F1453,CNTR_TierList,0))))</f>
        <v/>
      </c>
      <c r="AA1453" s="525" t="str">
        <f>IF(F1453=1,1,"")</f>
        <v/>
      </c>
      <c r="AB1453" s="30"/>
      <c r="AC1453" s="548" t="b">
        <f>AND(AC1449,Y1453&lt;&gt;EUconst_NA)</f>
        <v>0</v>
      </c>
      <c r="AD1453" s="30"/>
      <c r="AE1453" s="563"/>
      <c r="AG1453" s="564"/>
      <c r="AH1453" s="553"/>
      <c r="AI1453" s="565"/>
      <c r="AJ1453" s="553"/>
      <c r="AK1453" s="566"/>
      <c r="AL1453" s="333"/>
      <c r="AM1453" s="549" t="str">
        <f>EUconst_CNTR_OxidationFactor&amp;EUconst_Value</f>
        <v>OxF_Vertė</v>
      </c>
      <c r="AN1453" s="567"/>
      <c r="AO1453" s="525">
        <v>1</v>
      </c>
      <c r="AP1453" s="553"/>
      <c r="AQ1453" s="568" t="str">
        <f>IF(AA1453="","",AO1453)</f>
        <v/>
      </c>
      <c r="AR1453" s="548">
        <f>IF(AC1453=TRUE,IF(COUNT(K1453:L1453)=0,0,IF(L1453="",K1453,L1453)),1)</f>
        <v>1</v>
      </c>
      <c r="AS1453" s="544" t="b">
        <f>AND(AC1453=TRUE,OR(ISNUMBER(L1453),NOT(ISNUMBER(AA1453))))</f>
        <v>0</v>
      </c>
      <c r="AT1453" s="544" t="b">
        <f t="shared" si="359"/>
        <v>0</v>
      </c>
      <c r="AU1453" s="30"/>
      <c r="AV1453" s="558" t="b">
        <f t="shared" si="360"/>
        <v>0</v>
      </c>
      <c r="AW1453" s="559" t="b">
        <f t="shared" si="361"/>
        <v>0</v>
      </c>
      <c r="AX1453" s="30"/>
      <c r="AY1453" s="585" t="b">
        <f t="shared" si="362"/>
        <v>0</v>
      </c>
      <c r="AZ1453" s="522" t="b">
        <f>AR1453&gt;100%</f>
        <v>0</v>
      </c>
      <c r="BA1453" s="30"/>
      <c r="BB1453" s="538" t="s">
        <v>287</v>
      </c>
      <c r="BC1453" s="537" t="str">
        <f>IF(K1439=BC1449,AR1449*IF(AJ1451=EUconst_tCO2pTJ,(AR1452/1000),1)*AR1451*AR1453*(1-AR1456),"")</f>
        <v/>
      </c>
      <c r="BD1453" s="515" t="str">
        <f>IF(K1439=BD1449,AR1449*AR1451*AR1454*(1-AR1456),"")</f>
        <v/>
      </c>
      <c r="BE1453" s="514" t="str">
        <f>IF(K1439=BE1449,3.664*AR1449*AR1455*(1-AR1456),"")</f>
        <v/>
      </c>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544" t="b">
        <f>OR(BZ1449,Y1453=EUconst_NA)</f>
        <v>1</v>
      </c>
    </row>
    <row r="1454" spans="1:78" s="140" customFormat="1" ht="12.75" customHeight="1" thickBot="1" x14ac:dyDescent="0.25">
      <c r="A1454" s="777"/>
      <c r="B1454" s="1248"/>
      <c r="C1454" s="783" t="s">
        <v>198</v>
      </c>
      <c r="D1454" s="503" t="str">
        <f>Translations!$B$639</f>
        <v>Konversijos koef.:</v>
      </c>
      <c r="E1454" s="504"/>
      <c r="F1454" s="539"/>
      <c r="G1454" s="1603" t="str">
        <f t="shared" si="357"/>
        <v/>
      </c>
      <c r="H1454" s="1604"/>
      <c r="I1454" s="1113" t="str">
        <f>IF(OR(AC1454=FALSE,Y1454=EUconst_NA),"","-")</f>
        <v/>
      </c>
      <c r="J1454" s="560"/>
      <c r="K1454" s="561" t="str">
        <f t="shared" si="358"/>
        <v/>
      </c>
      <c r="L1454" s="694"/>
      <c r="M1454" s="700" t="str">
        <f>IF(AND(E1440&lt;&gt;"",OR(F1454="",COUNT(K1454:L1454)=0),Y1454&lt;&gt;EUconst_NA,T1440&lt;&gt;TRUE),EUconst_ERR_Incomplete,IF(COUNTIF(AX1454:AZ1454,TRUE)&gt;0,EUconst_ERR_Inconsistent,""))</f>
        <v/>
      </c>
      <c r="O1454" s="1305"/>
      <c r="P1454" s="33"/>
      <c r="Q1454" s="33"/>
      <c r="R1454" s="33"/>
      <c r="S1454" s="30"/>
      <c r="T1454" s="543" t="str">
        <f>EUconst_CNTR_ConversionFactor&amp;E1440</f>
        <v>ConvF_</v>
      </c>
      <c r="U1454" s="488"/>
      <c r="V1454" s="544" t="str">
        <f t="shared" si="363"/>
        <v/>
      </c>
      <c r="W1454" s="30"/>
      <c r="X1454" s="488"/>
      <c r="Y1454" s="545" t="str">
        <f>IF(OR(T1440=TRUE,E1440=""),"",INDEX(EUwideConstants!$N:$N,MATCH(T1454,EUwideConstants!$Q:$Q,0)))</f>
        <v/>
      </c>
      <c r="Z1454" s="546" t="str">
        <f>IF(ISBLANK(F1454),"",IF(F1454=EUconst_NA,"",INDEX(EUwideConstants!$H:$M,MATCH(T1454,EUwideConstants!$Q:$Q,0),MATCH(F1454,CNTR_TierList,0))))</f>
        <v/>
      </c>
      <c r="AA1454" s="573" t="str">
        <f>IF(F1454=1,1,"")</f>
        <v/>
      </c>
      <c r="AB1454" s="30"/>
      <c r="AC1454" s="548" t="b">
        <f>AND(AC1449,Y1454&lt;&gt;EUconst_NA)</f>
        <v>0</v>
      </c>
      <c r="AD1454" s="30"/>
      <c r="AE1454" s="563"/>
      <c r="AG1454" s="564"/>
      <c r="AH1454" s="574"/>
      <c r="AI1454" s="565"/>
      <c r="AJ1454" s="574"/>
      <c r="AK1454" s="566"/>
      <c r="AL1454" s="333"/>
      <c r="AM1454" s="549" t="str">
        <f>EUconst_CNTR_ConversionFactor&amp;EUconst_Value</f>
        <v>ConvF_Vertė</v>
      </c>
      <c r="AN1454" s="575"/>
      <c r="AO1454" s="573">
        <v>1</v>
      </c>
      <c r="AP1454" s="574"/>
      <c r="AQ1454" s="576" t="str">
        <f>IF(AA1454="","",AO1454)</f>
        <v/>
      </c>
      <c r="AR1454" s="548">
        <f>IF(AC1454=TRUE,IF(COUNT(K1454:L1454)=0,0,IF(L1454="",K1454,L1454)),1)</f>
        <v>1</v>
      </c>
      <c r="AS1454" s="544" t="b">
        <f>AND(AC1454=TRUE,OR(ISNUMBER(L1454),NOT(ISNUMBER(AA1454))))</f>
        <v>0</v>
      </c>
      <c r="AT1454" s="544" t="b">
        <f t="shared" si="359"/>
        <v>0</v>
      </c>
      <c r="AU1454" s="30"/>
      <c r="AV1454" s="558" t="b">
        <f t="shared" si="360"/>
        <v>0</v>
      </c>
      <c r="AW1454" s="559" t="b">
        <f t="shared" si="361"/>
        <v>0</v>
      </c>
      <c r="AX1454" s="30"/>
      <c r="AY1454" s="585" t="b">
        <f t="shared" si="362"/>
        <v>0</v>
      </c>
      <c r="AZ1454" s="571" t="b">
        <f>AR1454&gt;100%</f>
        <v>0</v>
      </c>
      <c r="BA1454" s="30"/>
      <c r="BB1454" s="569" t="s">
        <v>481</v>
      </c>
      <c r="BC1454" s="570">
        <f>AR1449*AR1452/1000*(1-AR1456)</f>
        <v>0</v>
      </c>
      <c r="BD1454" s="571">
        <f>BC1454</f>
        <v>0</v>
      </c>
      <c r="BE1454" s="572">
        <f>BC1454</f>
        <v>0</v>
      </c>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544" t="b">
        <f>OR(BZ1449,Y1454=EUconst_NA)</f>
        <v>1</v>
      </c>
    </row>
    <row r="1455" spans="1:78" s="140" customFormat="1" ht="12.75" customHeight="1" thickBot="1" x14ac:dyDescent="0.25">
      <c r="A1455" s="777"/>
      <c r="B1455" s="1248"/>
      <c r="C1455" s="783" t="s">
        <v>324</v>
      </c>
      <c r="D1455" s="503" t="str">
        <f>Translations!$B$640</f>
        <v>Anglies kiekis (C):</v>
      </c>
      <c r="E1455" s="504"/>
      <c r="F1455" s="539"/>
      <c r="G1455" s="1603" t="str">
        <f t="shared" si="357"/>
        <v/>
      </c>
      <c r="H1455" s="1604"/>
      <c r="I1455" s="1113" t="str">
        <f>AJ1455</f>
        <v/>
      </c>
      <c r="J1455" s="577"/>
      <c r="K1455" s="578" t="str">
        <f t="shared" si="358"/>
        <v/>
      </c>
      <c r="L1455" s="579"/>
      <c r="M1455" s="700" t="str">
        <f>IF(AND(E1440&lt;&gt;"",OR(F1455="",COUNT(K1455:L1455)=0),Y1455&lt;&gt;EUconst_NA,T1440&lt;&gt;TRUE),EUconst_ERR_Incomplete,IF(COUNTIF(AX1455:AZ1455,TRUE)&gt;0,EUconst_ERR_Inconsistent,""))</f>
        <v/>
      </c>
      <c r="O1455" s="1305"/>
      <c r="P1455" s="33"/>
      <c r="Q1455" s="33"/>
      <c r="R1455" s="33"/>
      <c r="S1455" s="30"/>
      <c r="T1455" s="543" t="str">
        <f>EUconst_CNTR_CarbonContent&amp;E1440</f>
        <v>CarbC_</v>
      </c>
      <c r="U1455" s="488"/>
      <c r="V1455" s="544" t="str">
        <f t="shared" si="363"/>
        <v/>
      </c>
      <c r="W1455" s="30"/>
      <c r="X1455" s="488"/>
      <c r="Y1455" s="545" t="str">
        <f>IF(OR(T1440=TRUE,E1440=""),"",INDEX(EUwideConstants!$N:$N,MATCH(T1455,EUwideConstants!$Q:$Q,0)))</f>
        <v/>
      </c>
      <c r="Z1455" s="546" t="str">
        <f>IF(ISBLANK(F1455),"",IF(F1455=EUconst_NA,"",INDEX(EUwideConstants!$H:$M,MATCH(T1455,EUwideConstants!$Q:$Q,0),MATCH(F1455,CNTR_TierList,0))))</f>
        <v/>
      </c>
      <c r="AA1455" s="580" t="str">
        <f>IF(COUNTIF(EUconst_DefaultValues,Z1455)&gt;0,MATCH(Z1455,EUconst_DefaultValues,0),"")</f>
        <v/>
      </c>
      <c r="AB1455" s="30"/>
      <c r="AC1455" s="548" t="b">
        <f>AND(AC1449,Y1455&lt;&gt;EUconst_NA)</f>
        <v>0</v>
      </c>
      <c r="AD1455" s="30"/>
      <c r="AE1455" s="549" t="str">
        <f>EUconst_CNTR_CarbonContent&amp;EUconst_Unit</f>
        <v>CarbC_Vienetas</v>
      </c>
      <c r="AF1455" s="550" t="str">
        <f>IF(AC1455=TRUE, IF(COUNTIF(MSPara_SourceStreamCategory,V1455)=0,"",INDEX(MSPara_CalcFactorsMatrix,MATCH(V1455,MSPara_SourceStreamCategory,0),MATCH(AE1455&amp;"_"&amp;2,MSPara_CalcFactors,0))),"")</f>
        <v/>
      </c>
      <c r="AG1455" s="551" t="str">
        <f>IF(AC1455=TRUE, IF(COUNTIF(MSPara_SourceStreamCategory,V1455)=0,"",INDEX(MSPara_CalcFactorsMatrix,MATCH(V1455,MSPara_SourceStreamCategory,0),MATCH(AE1455&amp;"_"&amp;1,MSPara_CalcFactors,0))),"")</f>
        <v/>
      </c>
      <c r="AH1455" s="581" t="str">
        <f>IF(AA1455="","",INDEX(AF1455:AG1455,3-AA1455))</f>
        <v/>
      </c>
      <c r="AI1455" s="565"/>
      <c r="AJ1455" s="582" t="str">
        <f>IF(AC1455=TRUE,IF(AJ1449="","",IF(AJ1449=EUconst_kNm3,EUconst_tCpkNm3,EUconst_tCpt)),"")</f>
        <v/>
      </c>
      <c r="AK1455" s="566"/>
      <c r="AL1455" s="333"/>
      <c r="AM1455" s="549" t="str">
        <f>EUconst_CNTR_CarbonContent&amp;EUconst_Value</f>
        <v>CarbC_Vertė</v>
      </c>
      <c r="AN1455" s="555" t="str">
        <f>IF(AC1455=TRUE,IF(COUNTIF(MSPara_SourceStreamCategory,V1455)=0,"",INDEX(MSPara_CalcFactorsMatrix,MATCH(V1455,MSPara_SourceStreamCategory,0),MATCH(AM1455&amp;"_"&amp;2,MSPara_CalcFactors,0))),"")</f>
        <v/>
      </c>
      <c r="AO1455" s="583" t="str">
        <f>IF(AC1455=TRUE,IF(COUNTIF(MSPara_SourceStreamCategory,V1455)=0,"",INDEX(MSPara_CalcFactorsMatrix,MATCH(V1455,MSPara_SourceStreamCategory,0),MATCH(AM1455&amp;"_"&amp;1,MSPara_CalcFactors,0))),"")</f>
        <v/>
      </c>
      <c r="AP1455" s="548" t="b">
        <f>AND(AND(AH1455&lt;&gt;"",AJ1455&lt;&gt;""),AJ1455=AH1455)</f>
        <v>0</v>
      </c>
      <c r="AQ1455" s="584" t="str">
        <f>IF(AND(AA1455&lt;&gt;"",AP1455=TRUE),IF(OR(INDEX(AN1455:AO1455,3-AA1455)=EUconst_NA,INDEX(AN1455:AO1455,3-AA1455)=0),"",INDEX(AN1455:AO1455,3-AA1455)),"")</f>
        <v/>
      </c>
      <c r="AR1455" s="548">
        <f>IF(AC1455=TRUE,IF(COUNT(K1455:L1455)=0,0,IF(L1455="",K1455,L1455)),0)</f>
        <v>0</v>
      </c>
      <c r="AS1455" s="544" t="b">
        <f>AND(AC1455=TRUE,OR(AND(F1455&lt;&gt;"",NOT(ISNUMBER(AA1455))),L1455&lt;&gt;"",F1455="",AQ1455=""))</f>
        <v>0</v>
      </c>
      <c r="AT1455" s="544" t="b">
        <f t="shared" si="359"/>
        <v>0</v>
      </c>
      <c r="AU1455" s="30"/>
      <c r="AV1455" s="558" t="b">
        <f t="shared" si="360"/>
        <v>0</v>
      </c>
      <c r="AW1455" s="559" t="b">
        <f t="shared" si="361"/>
        <v>0</v>
      </c>
      <c r="AX1455" s="537" t="b">
        <f>OR(AND(AJ1449=EUconst_kNm3,AJ1455=EUconst_tCpt),AND(AJ1449=EUconst_t,AJ1455=EUconst_tCpkNm3))</f>
        <v>0</v>
      </c>
      <c r="AY1455" s="544" t="b">
        <f t="shared" si="362"/>
        <v>0</v>
      </c>
      <c r="AZ1455" s="30"/>
      <c r="BA1455" s="30"/>
      <c r="BB1455" s="569" t="s">
        <v>482</v>
      </c>
      <c r="BC1455" s="570">
        <f>AR1449*AR1452/1000*AR1456</f>
        <v>0</v>
      </c>
      <c r="BD1455" s="571">
        <f>BC1455</f>
        <v>0</v>
      </c>
      <c r="BE1455" s="572">
        <f>BC1455</f>
        <v>0</v>
      </c>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544" t="b">
        <f>OR(BZ1449,Y1455=EUconst_NA)</f>
        <v>1</v>
      </c>
    </row>
    <row r="1456" spans="1:78" s="140" customFormat="1" ht="12.75" customHeight="1" x14ac:dyDescent="0.2">
      <c r="A1456" s="777"/>
      <c r="B1456" s="1248"/>
      <c r="C1456" s="753" t="s">
        <v>325</v>
      </c>
      <c r="D1456" s="503" t="str">
        <f>Translations!$B$641</f>
        <v>Biomasės dalis (BioC):</v>
      </c>
      <c r="E1456" s="504"/>
      <c r="F1456" s="539"/>
      <c r="G1456" s="1603" t="str">
        <f t="shared" si="357"/>
        <v/>
      </c>
      <c r="H1456" s="1604"/>
      <c r="I1456" s="1113" t="str">
        <f>IF(OR(AC1456=FALSE,Y1456=EUconst_NA),"","-")</f>
        <v/>
      </c>
      <c r="J1456" s="560"/>
      <c r="K1456" s="561" t="str">
        <f t="shared" si="358"/>
        <v/>
      </c>
      <c r="L1456" s="694"/>
      <c r="M1456" s="700" t="str">
        <f>IF(AND(E1440&lt;&gt;"",OR(F1456="",COUNT(K1456:L1456)=0),Y1456&lt;&gt;EUconst_NA,T1440&lt;&gt;TRUE),EUconst_ERR_Incomplete,IF(COUNTIF(AX1456:AZ1456,TRUE)&gt;0,EUconst_ERR_Inconsistent,""))</f>
        <v/>
      </c>
      <c r="O1456" s="1305"/>
      <c r="P1456" s="635"/>
      <c r="Q1456" s="635"/>
      <c r="R1456" s="635"/>
      <c r="S1456" s="30"/>
      <c r="T1456" s="543" t="str">
        <f>EUconst_CNTR_BiomassContent&amp;E1440</f>
        <v>BioC_</v>
      </c>
      <c r="U1456" s="488"/>
      <c r="V1456" s="585" t="str">
        <f t="shared" si="363"/>
        <v/>
      </c>
      <c r="W1456" s="522" t="str">
        <f>IF(COUNTIF(MSPara_SourceStreamCategory,V1456)=0,"",INDEX(MSPara_IsFossil,MATCH(V1456,MSPara_SourceStreamCategory,0)))</f>
        <v/>
      </c>
      <c r="X1456" s="488"/>
      <c r="Y1456" s="545" t="str">
        <f>IF(OR(T1440=TRUE,E1440=""),"",IF(OR(W1456=TRUE,F1456=EUconst_NA),EUconst_NA,INDEX(EUwideConstants!$N:$N,MATCH(T1456,EUwideConstants!$Q:$Q,0))))</f>
        <v/>
      </c>
      <c r="Z1456" s="546" t="str">
        <f>IF(ISBLANK(F1456),"",IF(F1456=EUconst_NA,"",INDEX(EUwideConstants!$H:$M,MATCH(T1456,EUwideConstants!$Q:$Q,0),MATCH(F1456,CNTR_TierList,0))))</f>
        <v/>
      </c>
      <c r="AA1456" s="586" t="str">
        <f>IF(F1456=1,1,"")</f>
        <v/>
      </c>
      <c r="AB1456" s="30"/>
      <c r="AC1456" s="548" t="b">
        <f>AND(AC1449,Y1456&lt;&gt;EUconst_NA)</f>
        <v>0</v>
      </c>
      <c r="AD1456" s="30"/>
      <c r="AE1456" s="563"/>
      <c r="AG1456" s="564"/>
      <c r="AH1456" s="553"/>
      <c r="AI1456" s="565"/>
      <c r="AJ1456" s="553"/>
      <c r="AK1456" s="566"/>
      <c r="AL1456" s="333"/>
      <c r="AM1456" s="549" t="str">
        <f>EUconst_CNTR_BiomassContent&amp;EUconst_Value</f>
        <v>BioC_Vertė</v>
      </c>
      <c r="AO1456" s="587" t="str">
        <f>IF(AC1456=TRUE,IF(COUNTIF(MSPara_SourceStreamCategory,V1456)=0,"",INDEX(MSPara_CalcFactorsMatrix,MATCH(V1456,MSPara_SourceStreamCategory,0),MATCH(AM1456&amp;"_"&amp;2,MSPara_CalcFactors,0))),"")</f>
        <v/>
      </c>
      <c r="AP1456" s="553"/>
      <c r="AQ1456" s="568" t="str">
        <f>IF(OR(AA1456="",AO1456=EUconst_NA),"",AO1456)</f>
        <v/>
      </c>
      <c r="AR1456" s="548">
        <f>IF(AC1456=TRUE,IF(COUNT(K1456:L1456)=0,0,IF(L1456="",K1456,L1456)),0)</f>
        <v>0</v>
      </c>
      <c r="AS1456" s="544" t="b">
        <f>AND(AC1456=TRUE,OR(AND(F1456&lt;&gt;"",NOT(ISNUMBER(AA1456))),L1456&lt;&gt;"",F1456="",AQ1456=""))</f>
        <v>0</v>
      </c>
      <c r="AT1456" s="544" t="b">
        <f t="shared" si="359"/>
        <v>0</v>
      </c>
      <c r="AU1456" s="30"/>
      <c r="AV1456" s="558" t="b">
        <f t="shared" si="360"/>
        <v>0</v>
      </c>
      <c r="AW1456" s="559" t="b">
        <f t="shared" si="361"/>
        <v>0</v>
      </c>
      <c r="AX1456" s="30"/>
      <c r="AY1456" s="585" t="b">
        <f t="shared" si="362"/>
        <v>0</v>
      </c>
      <c r="AZ1456" s="522" t="b">
        <f>OR(AR1456&gt;100%,(AR1456+AR1457)&gt;100%)</f>
        <v>0</v>
      </c>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544" t="b">
        <f>OR(BZ1449,Y1456=EUconst_NA)</f>
        <v>1</v>
      </c>
    </row>
    <row r="1457" spans="1:78" s="140" customFormat="1" ht="12.75" customHeight="1" thickBot="1" x14ac:dyDescent="0.25">
      <c r="A1457" s="777"/>
      <c r="B1457" s="1248"/>
      <c r="C1457" s="753" t="s">
        <v>448</v>
      </c>
      <c r="D1457" s="503" t="str">
        <f>Translations!$B$647</f>
        <v>Netvarios BioC dalis:</v>
      </c>
      <c r="E1457" s="504"/>
      <c r="F1457" s="588"/>
      <c r="G1457" s="1603" t="str">
        <f t="shared" si="357"/>
        <v/>
      </c>
      <c r="H1457" s="1604"/>
      <c r="I1457" s="1114" t="str">
        <f>IF(OR(AC1457=FALSE,Y1457=EUconst_NA),"","-")</f>
        <v/>
      </c>
      <c r="J1457" s="560"/>
      <c r="K1457" s="589" t="str">
        <f t="shared" si="358"/>
        <v/>
      </c>
      <c r="L1457" s="1100"/>
      <c r="M1457" s="700" t="str">
        <f>IF(AND(E1440&lt;&gt;"",OR(F1457="",COUNT(K1457:L1457)=0),Y1457&lt;&gt;EUconst_NA,T1440&lt;&gt;TRUE),EUconst_ERR_Incomplete,IF(COUNTIF(AX1457:AZ1457,TRUE)&gt;0,EUconst_ERR_Inconsistent,""))</f>
        <v/>
      </c>
      <c r="O1457" s="1305"/>
      <c r="P1457" s="635"/>
      <c r="Q1457" s="635"/>
      <c r="R1457" s="635"/>
      <c r="S1457" s="30"/>
      <c r="T1457" s="590" t="str">
        <f>EUconst_CNTR_BiomassContent&amp;E1440</f>
        <v>BioC_</v>
      </c>
      <c r="U1457" s="488"/>
      <c r="V1457" s="570" t="str">
        <f t="shared" si="363"/>
        <v/>
      </c>
      <c r="W1457" s="571" t="str">
        <f>IF(COUNTIF(MSPara_SourceStreamCategory,V1457)=0,"",INDEX(MSPara_IsFossil,MATCH(V1457,MSPara_SourceStreamCategory,0)))</f>
        <v/>
      </c>
      <c r="X1457" s="488"/>
      <c r="Y1457" s="591" t="str">
        <f>IF(OR(T1440=TRUE,E1440=""),"",IF(OR(W1457=TRUE,F1457=EUconst_NA),EUconst_NA,INDEX(EUwideConstants!$N:$N,MATCH(T1457,EUwideConstants!$Q:$Q,0))))</f>
        <v/>
      </c>
      <c r="Z1457" s="592" t="str">
        <f>IF(ISBLANK(F1457),"",IF(F1457=EUconst_NA,"",INDEX(EUwideConstants!$H:$M,MATCH(T1457,EUwideConstants!$Q:$Q,0),MATCH(F1457,CNTR_TierList,0))))</f>
        <v/>
      </c>
      <c r="AA1457" s="593" t="str">
        <f>IF(F1457=1,1,"")</f>
        <v/>
      </c>
      <c r="AB1457" s="30"/>
      <c r="AC1457" s="594" t="b">
        <f>AND(AC1449,Y1457&lt;&gt;EUconst_NA)</f>
        <v>0</v>
      </c>
      <c r="AD1457" s="30"/>
      <c r="AE1457" s="595"/>
      <c r="AF1457" s="596"/>
      <c r="AG1457" s="597"/>
      <c r="AH1457" s="598"/>
      <c r="AI1457" s="598"/>
      <c r="AJ1457" s="598"/>
      <c r="AK1457" s="599"/>
      <c r="AL1457" s="333"/>
      <c r="AM1457" s="600" t="str">
        <f>EUconst_CNTR_BiomassContent&amp;EUconst_Value</f>
        <v>BioC_Vertė</v>
      </c>
      <c r="AN1457" s="596"/>
      <c r="AO1457" s="601" t="str">
        <f>IF(AC1457=TRUE,IF(COUNTIF(MSPara_SourceStreamCategory,V1457)=0,"",INDEX(MSPara_CalcFactorsMatrix,MATCH(V1457,MSPara_SourceStreamCategory,0),MATCH(AM1457&amp;"_"&amp;2,MSPara_CalcFactors,0))),"")</f>
        <v/>
      </c>
      <c r="AP1457" s="598"/>
      <c r="AQ1457" s="602" t="str">
        <f>IF(OR(AA1457="",AO1457=EUconst_NA),"",AO1457)</f>
        <v/>
      </c>
      <c r="AR1457" s="594">
        <f>IF(AC1457=TRUE,IF(COUNT(K1457:L1457)=0,0,IF(L1457="",K1457,L1457)),0)</f>
        <v>0</v>
      </c>
      <c r="AS1457" s="603" t="b">
        <f>AND(AC1457=TRUE,OR(AND(F1457&lt;&gt;"",NOT(ISNUMBER(AA1457))),L1457&lt;&gt;"",F1457="",AQ1457=""))</f>
        <v>0</v>
      </c>
      <c r="AT1457" s="603" t="b">
        <f t="shared" si="359"/>
        <v>0</v>
      </c>
      <c r="AU1457" s="30"/>
      <c r="AV1457" s="604" t="b">
        <f t="shared" si="360"/>
        <v>0</v>
      </c>
      <c r="AW1457" s="605" t="b">
        <f t="shared" si="361"/>
        <v>0</v>
      </c>
      <c r="AX1457" s="30"/>
      <c r="AY1457" s="570" t="b">
        <f t="shared" si="362"/>
        <v>0</v>
      </c>
      <c r="AZ1457" s="571" t="b">
        <f>OR(AR1456&gt;100%,(AR1456+AR1457)&gt;100%)</f>
        <v>0</v>
      </c>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571" t="b">
        <f>OR(BZ1449,Y1457=EUconst_NA)</f>
        <v>1</v>
      </c>
    </row>
    <row r="1458" spans="1:78" s="140" customFormat="1" ht="5.0999999999999996" customHeight="1" x14ac:dyDescent="0.2">
      <c r="A1458" s="777"/>
      <c r="B1458" s="1248"/>
      <c r="C1458" s="164"/>
      <c r="D1458" s="178"/>
      <c r="O1458" s="1305"/>
      <c r="P1458" s="33"/>
      <c r="Q1458" s="33"/>
      <c r="R1458" s="33"/>
      <c r="S1458" s="172"/>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row>
    <row r="1459" spans="1:78" s="140" customFormat="1" ht="12.75" customHeight="1" x14ac:dyDescent="0.2">
      <c r="A1459" s="777"/>
      <c r="B1459" s="1248"/>
      <c r="C1459" s="164"/>
      <c r="D1459" s="1629" t="str">
        <f>Translations!$B$674</f>
        <v>Pakopos galioja nuo:</v>
      </c>
      <c r="E1459" s="1629"/>
      <c r="F1459" s="1630"/>
      <c r="G1459" s="1014"/>
      <c r="H1459" s="606" t="str">
        <f>Translations!$B$675</f>
        <v>iki:</v>
      </c>
      <c r="I1459" s="1014"/>
      <c r="J1459" s="1620" t="str">
        <f>Translations!$B$676</f>
        <v>Atliekų katalogo numeris (jeigu taikytina):</v>
      </c>
      <c r="K1459" s="1621"/>
      <c r="L1459" s="1621"/>
      <c r="M1459" s="1622"/>
      <c r="N1459" s="1232"/>
      <c r="O1459" s="1305"/>
      <c r="P1459" s="33"/>
      <c r="Q1459" s="33"/>
      <c r="R1459" s="33"/>
      <c r="S1459" s="1233"/>
      <c r="T1459" s="483"/>
      <c r="U1459" s="483"/>
      <c r="V1459" s="48" t="b">
        <f>IF(V1449="",FALSE,INDEX(CNTR_IsWaste,MATCH(V1449,MSParameters!$A$218:$A$376,0)))</f>
        <v>0</v>
      </c>
      <c r="W1459" s="1233" t="s">
        <v>1689</v>
      </c>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2" t="b">
        <f>BZ1449</f>
        <v>1</v>
      </c>
    </row>
    <row r="1460" spans="1:78" s="140" customFormat="1" ht="5.0999999999999996" customHeight="1" x14ac:dyDescent="0.2">
      <c r="A1460" s="777"/>
      <c r="B1460" s="1248"/>
      <c r="C1460" s="164"/>
      <c r="D1460" s="606"/>
      <c r="E1460" s="486"/>
      <c r="F1460" s="486"/>
      <c r="G1460" s="486"/>
      <c r="H1460" s="486"/>
      <c r="I1460" s="486"/>
      <c r="J1460" s="486"/>
      <c r="K1460" s="486"/>
      <c r="L1460" s="486"/>
      <c r="M1460" s="486"/>
      <c r="N1460" s="486"/>
      <c r="O1460" s="1305"/>
      <c r="P1460" s="33"/>
      <c r="Q1460" s="33"/>
      <c r="R1460" s="33"/>
      <c r="S1460" s="172"/>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row>
    <row r="1461" spans="1:78" s="140" customFormat="1" ht="12.75" customHeight="1" x14ac:dyDescent="0.2">
      <c r="A1461" s="777"/>
      <c r="B1461" s="1248"/>
      <c r="C1461" s="164"/>
      <c r="D1461" s="486"/>
      <c r="E1461" s="486"/>
      <c r="F1461" s="486"/>
      <c r="G1461" s="486"/>
      <c r="H1461" s="486"/>
      <c r="I1461" s="486"/>
      <c r="J1461" s="486"/>
      <c r="K1461" s="486"/>
      <c r="L1461" s="486"/>
      <c r="M1461" s="606" t="str">
        <f>Translations!$B$677</f>
        <v>Stebėsenos plane šiam sukėlikliui suteiktas identifikatorius:</v>
      </c>
      <c r="N1461" s="705"/>
      <c r="O1461" s="1305"/>
      <c r="P1461" s="33"/>
      <c r="Q1461" s="33"/>
      <c r="R1461" s="33"/>
      <c r="S1461" s="172"/>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2" t="b">
        <f>BZ1459</f>
        <v>1</v>
      </c>
    </row>
    <row r="1462" spans="1:78" s="140" customFormat="1" ht="5.0999999999999996" customHeight="1" x14ac:dyDescent="0.2">
      <c r="A1462" s="784"/>
      <c r="B1462" s="1316"/>
      <c r="D1462" s="178"/>
      <c r="O1462" s="1317"/>
      <c r="P1462" s="488"/>
      <c r="Q1462" s="488"/>
      <c r="R1462" s="488"/>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row>
    <row r="1463" spans="1:78" s="140" customFormat="1" x14ac:dyDescent="0.2">
      <c r="A1463" s="784"/>
      <c r="B1463" s="1316"/>
      <c r="D1463" s="1618" t="str">
        <f>Translations!$B$160</f>
        <v>Pastabos:</v>
      </c>
      <c r="E1463" s="1619"/>
      <c r="F1463" s="1605"/>
      <c r="G1463" s="1606"/>
      <c r="H1463" s="1606"/>
      <c r="I1463" s="1606"/>
      <c r="J1463" s="1606"/>
      <c r="K1463" s="1606"/>
      <c r="L1463" s="1606"/>
      <c r="M1463" s="1606"/>
      <c r="N1463" s="1607"/>
      <c r="O1463" s="1317"/>
      <c r="P1463" s="488"/>
      <c r="Q1463" s="488"/>
      <c r="R1463" s="488"/>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2" t="b">
        <f>BZ1459</f>
        <v>1</v>
      </c>
    </row>
    <row r="1464" spans="1:78" s="28" customFormat="1" ht="12.75" customHeight="1" thickBot="1" x14ac:dyDescent="0.25">
      <c r="A1464" s="777"/>
      <c r="B1464" s="1312"/>
      <c r="C1464" s="490"/>
      <c r="D1464" s="491"/>
      <c r="E1464" s="492"/>
      <c r="F1464" s="490"/>
      <c r="G1464" s="493"/>
      <c r="H1464" s="493"/>
      <c r="I1464" s="493"/>
      <c r="J1464" s="493"/>
      <c r="K1464" s="493"/>
      <c r="L1464" s="493"/>
      <c r="M1464" s="493"/>
      <c r="N1464" s="493"/>
      <c r="O1464" s="1313"/>
      <c r="P1464" s="485"/>
      <c r="Q1464" s="485"/>
      <c r="R1464" s="485"/>
      <c r="S1464" s="58"/>
      <c r="T1464" s="58"/>
      <c r="U1464" s="489"/>
      <c r="V1464" s="58"/>
      <c r="W1464" s="58"/>
      <c r="X1464" s="489"/>
      <c r="Y1464" s="58"/>
      <c r="Z1464" s="58"/>
      <c r="AA1464" s="58"/>
      <c r="AB1464" s="58"/>
      <c r="AC1464" s="58"/>
      <c r="AD1464" s="58"/>
      <c r="AE1464" s="58"/>
      <c r="AF1464" s="58"/>
      <c r="AG1464" s="58"/>
      <c r="AH1464" s="58"/>
      <c r="AI1464" s="58"/>
      <c r="AJ1464" s="58"/>
      <c r="AK1464" s="58"/>
      <c r="AL1464" s="58"/>
      <c r="AM1464" s="58"/>
      <c r="AN1464" s="58"/>
      <c r="AO1464" s="58"/>
      <c r="AP1464" s="58"/>
      <c r="AQ1464" s="58"/>
      <c r="AR1464" s="58"/>
      <c r="AS1464" s="58"/>
      <c r="AT1464" s="58"/>
      <c r="AU1464" s="58"/>
      <c r="AV1464" s="58"/>
      <c r="AW1464" s="58"/>
      <c r="AX1464" s="58"/>
      <c r="AY1464" s="58"/>
      <c r="AZ1464" s="58"/>
      <c r="BA1464" s="58"/>
      <c r="BB1464" s="58"/>
      <c r="BC1464" s="58"/>
      <c r="BD1464" s="58"/>
      <c r="BE1464" s="58"/>
      <c r="BF1464" s="58"/>
      <c r="BG1464" s="58"/>
      <c r="BH1464" s="58"/>
      <c r="BI1464" s="30"/>
      <c r="BJ1464" s="30"/>
      <c r="BK1464" s="30"/>
      <c r="BL1464" s="58"/>
      <c r="BM1464" s="58"/>
      <c r="BN1464" s="58"/>
      <c r="BO1464" s="58"/>
      <c r="BP1464" s="58"/>
      <c r="BQ1464" s="58"/>
      <c r="BR1464" s="58"/>
      <c r="BS1464" s="58"/>
      <c r="BT1464" s="58"/>
      <c r="BU1464" s="58"/>
      <c r="BV1464" s="58"/>
      <c r="BW1464" s="58"/>
      <c r="BX1464" s="58"/>
      <c r="BY1464" s="58"/>
      <c r="BZ1464" s="58"/>
    </row>
    <row r="1465" spans="1:78" s="28" customFormat="1" ht="12.75" customHeight="1" thickBot="1" x14ac:dyDescent="0.25">
      <c r="A1465" s="782"/>
      <c r="B1465" s="1312"/>
      <c r="C1465" s="486"/>
      <c r="D1465" s="178"/>
      <c r="E1465" s="487"/>
      <c r="F1465" s="486"/>
      <c r="G1465" s="478"/>
      <c r="H1465" s="478"/>
      <c r="I1465" s="478"/>
      <c r="J1465" s="478"/>
      <c r="K1465" s="486"/>
      <c r="L1465" s="478"/>
      <c r="M1465" s="478"/>
      <c r="N1465" s="478"/>
      <c r="O1465" s="1313"/>
      <c r="P1465" s="485"/>
      <c r="Q1465" s="485"/>
      <c r="R1465" s="485"/>
      <c r="S1465" s="23"/>
      <c r="T1465" s="27" t="str">
        <f>IF(ISBLANK(E1466),"",MATCH(E1466,CNTR_SourceStreamNames,0))</f>
        <v/>
      </c>
      <c r="U1465" s="609" t="str">
        <f>IF(ISBLANK(E1466),"",INDEX(B_InstallationDescription!$D$71:$D$145,MATCH(E1466,CNTR_SourceStreamNames,0)))</f>
        <v/>
      </c>
      <c r="V1465" s="76"/>
      <c r="W1465" s="56"/>
      <c r="X1465" s="56"/>
      <c r="Y1465" s="56"/>
      <c r="Z1465" s="58"/>
      <c r="AA1465" s="58"/>
      <c r="AB1465" s="58"/>
      <c r="AC1465" s="58"/>
      <c r="AD1465" s="58"/>
      <c r="AE1465" s="58"/>
      <c r="AF1465" s="58"/>
      <c r="AG1465" s="58"/>
      <c r="AH1465" s="58"/>
      <c r="AI1465" s="58"/>
      <c r="AJ1465" s="58"/>
      <c r="AK1465" s="482"/>
      <c r="AL1465" s="58"/>
      <c r="AM1465" s="58"/>
      <c r="AN1465" s="58"/>
      <c r="AO1465" s="58"/>
      <c r="AP1465" s="58"/>
      <c r="AQ1465" s="58"/>
      <c r="AR1465" s="58"/>
      <c r="AS1465" s="58"/>
      <c r="AT1465" s="58"/>
      <c r="AU1465" s="58"/>
      <c r="AV1465" s="58"/>
      <c r="AW1465" s="58"/>
      <c r="AX1465" s="58"/>
      <c r="AY1465" s="58"/>
      <c r="AZ1465" s="58"/>
      <c r="BA1465" s="58"/>
      <c r="BB1465" s="58"/>
      <c r="BC1465" s="58"/>
      <c r="BD1465" s="58"/>
      <c r="BE1465" s="58"/>
      <c r="BF1465" s="58"/>
      <c r="BG1465" s="58"/>
      <c r="BH1465" s="56"/>
      <c r="BI1465" s="56"/>
      <c r="BJ1465" s="56"/>
      <c r="BK1465" s="56"/>
      <c r="BL1465" s="56"/>
      <c r="BM1465" s="56"/>
      <c r="BN1465" s="56"/>
      <c r="BO1465" s="56"/>
      <c r="BP1465" s="56"/>
      <c r="BQ1465" s="56"/>
      <c r="BR1465" s="56"/>
      <c r="BS1465" s="56"/>
      <c r="BT1465" s="56"/>
      <c r="BU1465" s="56"/>
      <c r="BV1465" s="56"/>
      <c r="BW1465" s="56"/>
      <c r="BX1465" s="56"/>
      <c r="BY1465" s="56"/>
      <c r="BZ1465" s="484" t="s">
        <v>259</v>
      </c>
    </row>
    <row r="1466" spans="1:78" s="140" customFormat="1" ht="15" customHeight="1" thickBot="1" x14ac:dyDescent="0.25">
      <c r="A1466" s="1302" t="str">
        <f>IF(E1466="","","PRINT")</f>
        <v/>
      </c>
      <c r="B1466" s="1248"/>
      <c r="C1466" s="608">
        <f>C1439+1</f>
        <v>53</v>
      </c>
      <c r="D1466" s="164"/>
      <c r="E1466" s="1610"/>
      <c r="F1466" s="1611"/>
      <c r="G1466" s="1611"/>
      <c r="H1466" s="1611"/>
      <c r="I1466" s="1611"/>
      <c r="J1466" s="1612"/>
      <c r="K1466" s="1623" t="str">
        <f>IF(E1467="","",INDEX(EUwideConstants!$F$353:$F$394,MATCH(E1467,EUConst_TierActivityListNames,0)))</f>
        <v/>
      </c>
      <c r="L1466" s="1624"/>
      <c r="M1466" s="494" t="str">
        <f>Translations!$B$665</f>
        <v>CO2, iškastinio kuro kilmės:</v>
      </c>
      <c r="N1466" s="1012" t="str">
        <f>IF(OR(K1466="",T1467=TRUE),"",INDEX(BC1480:BE1480,MATCH(K1466,BC1476:BE1476,0)))</f>
        <v/>
      </c>
      <c r="O1466" s="1314" t="s">
        <v>257</v>
      </c>
      <c r="P1466" s="1303" t="str">
        <f>IF(AND(E1466&lt;&gt;"",COUNTIF(P1467:$P$2089,"PRINT")=0),"PRINT","")</f>
        <v/>
      </c>
      <c r="Q1466" s="343" t="str">
        <f>EUconst_SumCO2 &amp; "_" &amp; K1466</f>
        <v>SUM_CO2_</v>
      </c>
      <c r="R1466" s="485"/>
      <c r="S1466" s="23"/>
      <c r="T1466" s="500" t="s">
        <v>387</v>
      </c>
      <c r="U1466" s="23"/>
      <c r="V1466" s="76"/>
      <c r="W1466" s="56"/>
      <c r="X1466" s="58"/>
      <c r="Y1466" s="58"/>
      <c r="Z1466" s="58"/>
      <c r="AA1466" s="58"/>
      <c r="AB1466" s="58"/>
      <c r="AC1466" s="58"/>
      <c r="AD1466" s="58"/>
      <c r="AE1466" s="58"/>
      <c r="AF1466" s="58"/>
      <c r="AG1466" s="58"/>
      <c r="AH1466" s="58"/>
      <c r="AI1466" s="333"/>
      <c r="AJ1466" s="333"/>
      <c r="AK1466" s="333"/>
      <c r="AL1466" s="333"/>
      <c r="AM1466" s="333"/>
      <c r="AN1466" s="333"/>
      <c r="AO1466" s="333"/>
      <c r="AP1466" s="333"/>
      <c r="AQ1466" s="333"/>
      <c r="AR1466" s="333"/>
      <c r="AS1466" s="333"/>
      <c r="AT1466" s="333"/>
      <c r="AU1466" s="333"/>
      <c r="AV1466" s="333"/>
      <c r="AW1466" s="333"/>
      <c r="AX1466" s="333"/>
      <c r="AY1466" s="333"/>
      <c r="AZ1466" s="333"/>
      <c r="BA1466" s="333"/>
      <c r="BB1466" s="333"/>
      <c r="BC1466" s="333"/>
      <c r="BD1466" s="333"/>
      <c r="BE1466" s="333"/>
      <c r="BF1466" s="333"/>
      <c r="BG1466" s="333"/>
      <c r="BH1466" s="834">
        <f>AR1476</f>
        <v>0</v>
      </c>
      <c r="BI1466" s="834" t="str">
        <f>AJ1476</f>
        <v/>
      </c>
      <c r="BJ1466" s="834">
        <f>AR1478</f>
        <v>0</v>
      </c>
      <c r="BK1466" s="834" t="str">
        <f>AJ1478</f>
        <v/>
      </c>
      <c r="BL1466" s="834">
        <f>AR1479</f>
        <v>0</v>
      </c>
      <c r="BM1466" s="834" t="str">
        <f>AJ1479</f>
        <v/>
      </c>
      <c r="BN1466" s="834">
        <f>AR1480</f>
        <v>1</v>
      </c>
      <c r="BO1466" s="834">
        <f>AR1481</f>
        <v>1</v>
      </c>
      <c r="BP1466" s="834">
        <f>AR1482</f>
        <v>0</v>
      </c>
      <c r="BQ1466" s="834" t="str">
        <f>AJ1482</f>
        <v/>
      </c>
      <c r="BR1466" s="834">
        <f>AR1483</f>
        <v>0</v>
      </c>
      <c r="BS1466" s="834">
        <f>AR1484</f>
        <v>0</v>
      </c>
      <c r="BT1466" s="834" t="str">
        <f>N1466</f>
        <v/>
      </c>
      <c r="BU1466" s="834" t="str">
        <f>N1467</f>
        <v/>
      </c>
      <c r="BV1466" s="834" t="str">
        <f>R1469</f>
        <v/>
      </c>
      <c r="BW1466" s="834" t="str">
        <f>R1475</f>
        <v/>
      </c>
      <c r="BX1466" s="834" t="str">
        <f>R1476</f>
        <v/>
      </c>
      <c r="BY1466" s="56"/>
      <c r="BZ1466" s="610" t="b">
        <f>CNTR_CalcRelevant=EUconst_NotRelevant</f>
        <v>0</v>
      </c>
    </row>
    <row r="1467" spans="1:78" s="140" customFormat="1" ht="15" customHeight="1" thickBot="1" x14ac:dyDescent="0.25">
      <c r="A1467" s="777"/>
      <c r="B1467" s="1248"/>
      <c r="C1467" s="164"/>
      <c r="D1467" s="164"/>
      <c r="E1467" s="1625" t="str">
        <f>IF(ISBLANK(E1466),"",IF(INDEX(B_InstallationDescription!$E$71:$E$145,MATCH(U1465,B_InstallationDescription!$D$71:$D$145,0))&gt;0,INDEX(B_InstallationDescription!$E$71:$E$145,MATCH(U1465,B_InstallationDescription!$D$71:$D$145,0)),""))</f>
        <v/>
      </c>
      <c r="F1467" s="1626"/>
      <c r="G1467" s="1626"/>
      <c r="H1467" s="1626"/>
      <c r="I1467" s="1626"/>
      <c r="J1467" s="1627"/>
      <c r="M1467" s="337" t="str">
        <f>Translations!$B$666</f>
        <v>CO2, biomasės kilmės.:</v>
      </c>
      <c r="N1467" s="1013" t="str">
        <f>IF(OR(K1466="",T1467=TRUE),"",INDEX(BC1479:BE1479,MATCH(K1466,BC1476:BE1476,0)))</f>
        <v/>
      </c>
      <c r="O1467" s="1315" t="s">
        <v>257</v>
      </c>
      <c r="P1467" s="485"/>
      <c r="Q1467" s="343" t="str">
        <f>EUconst_SumBioCO2 &amp; "_" &amp; K1466</f>
        <v>SUM_bioCO2_</v>
      </c>
      <c r="R1467" s="485"/>
      <c r="S1467" s="23"/>
      <c r="T1467" s="48" t="str">
        <f>IF(E1467="","",MATCH(E1467,EUConst_TierActivityListNames,0)&gt;40)</f>
        <v/>
      </c>
      <c r="U1467" s="23"/>
      <c r="V1467" s="76"/>
      <c r="W1467" s="56"/>
      <c r="X1467" s="58"/>
      <c r="Y1467" s="27" t="s">
        <v>91</v>
      </c>
      <c r="Z1467" s="30"/>
      <c r="AA1467" s="30"/>
      <c r="AB1467" s="30"/>
      <c r="AC1467" s="30"/>
      <c r="AD1467" s="30"/>
      <c r="AE1467" s="27" t="s">
        <v>297</v>
      </c>
      <c r="AF1467" s="58"/>
      <c r="AG1467" s="495"/>
      <c r="AH1467" s="30"/>
      <c r="AI1467" s="30"/>
      <c r="AJ1467" s="495"/>
      <c r="AK1467" s="495"/>
      <c r="AL1467" s="333"/>
      <c r="AM1467" s="27" t="s">
        <v>303</v>
      </c>
      <c r="AN1467" s="496"/>
      <c r="AO1467" s="496"/>
      <c r="AP1467" s="30"/>
      <c r="AQ1467" s="30"/>
      <c r="AR1467" s="30"/>
      <c r="AS1467" s="30"/>
      <c r="AT1467" s="30"/>
      <c r="AU1467" s="30"/>
      <c r="AV1467" s="27" t="s">
        <v>310</v>
      </c>
      <c r="AW1467" s="30"/>
      <c r="AX1467" s="483"/>
      <c r="AY1467" s="30"/>
      <c r="AZ1467" s="30"/>
      <c r="BA1467" s="30"/>
      <c r="BB1467" s="27" t="s">
        <v>217</v>
      </c>
      <c r="BC1467" s="30"/>
      <c r="BD1467" s="30"/>
      <c r="BE1467" s="30"/>
      <c r="BF1467" s="30"/>
      <c r="BG1467" s="27" t="s">
        <v>486</v>
      </c>
      <c r="BH1467" s="833" t="s">
        <v>552</v>
      </c>
      <c r="BI1467" s="833" t="s">
        <v>487</v>
      </c>
      <c r="BJ1467" s="833" t="s">
        <v>211</v>
      </c>
      <c r="BK1467" s="833" t="s">
        <v>488</v>
      </c>
      <c r="BL1467" s="833" t="s">
        <v>68</v>
      </c>
      <c r="BM1467" s="833" t="s">
        <v>489</v>
      </c>
      <c r="BN1467" s="833" t="s">
        <v>490</v>
      </c>
      <c r="BO1467" s="833" t="s">
        <v>491</v>
      </c>
      <c r="BP1467" s="833" t="s">
        <v>214</v>
      </c>
      <c r="BQ1467" s="833" t="s">
        <v>492</v>
      </c>
      <c r="BR1467" s="833" t="s">
        <v>493</v>
      </c>
      <c r="BS1467" s="833" t="s">
        <v>494</v>
      </c>
      <c r="BT1467" s="833" t="s">
        <v>287</v>
      </c>
      <c r="BU1467" s="833" t="s">
        <v>495</v>
      </c>
      <c r="BV1467" s="833" t="s">
        <v>498</v>
      </c>
      <c r="BW1467" s="833" t="s">
        <v>496</v>
      </c>
      <c r="BX1467" s="833" t="s">
        <v>497</v>
      </c>
      <c r="BY1467" s="30"/>
      <c r="BZ1467" s="30"/>
    </row>
    <row r="1468" spans="1:78" s="140" customFormat="1" ht="5.0999999999999996" customHeight="1" thickBot="1" x14ac:dyDescent="0.25">
      <c r="A1468" s="777"/>
      <c r="B1468" s="1248"/>
      <c r="C1468" s="164"/>
      <c r="D1468" s="164"/>
      <c r="E1468" s="164"/>
      <c r="F1468" s="164"/>
      <c r="G1468" s="164"/>
      <c r="M1468" s="141"/>
      <c r="N1468" s="141"/>
      <c r="O1468" s="1305"/>
      <c r="P1468" s="33"/>
      <c r="Q1468" s="33"/>
      <c r="R1468" s="33"/>
      <c r="S1468" s="23"/>
      <c r="T1468" s="23"/>
      <c r="U1468" s="23"/>
      <c r="V1468" s="76"/>
      <c r="W1468" s="30"/>
      <c r="X1468" s="30"/>
      <c r="Y1468" s="485"/>
      <c r="Z1468" s="30"/>
      <c r="AA1468" s="30"/>
      <c r="AB1468" s="30"/>
      <c r="AC1468" s="30"/>
      <c r="AD1468" s="30"/>
      <c r="AE1468" s="30"/>
      <c r="AF1468" s="58"/>
      <c r="AG1468" s="30"/>
      <c r="AH1468" s="30"/>
      <c r="AI1468" s="30"/>
      <c r="AJ1468" s="495"/>
      <c r="AK1468" s="495"/>
      <c r="AL1468" s="333"/>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row>
    <row r="1469" spans="1:78" s="140" customFormat="1" ht="12.75" customHeight="1" thickBot="1" x14ac:dyDescent="0.25">
      <c r="A1469" s="777"/>
      <c r="B1469" s="1248"/>
      <c r="C1469" s="164"/>
      <c r="D1469" s="164"/>
      <c r="E1469" s="1628" t="str">
        <f>IF(E1466="","",IF(T1467=TRUE,HYPERLINK("#JUMP_14",EUconst_MsgGoOnPFC),HYPERLINK("#JUMP_E_8",EUconst_FurtherGuidancePoint1)))</f>
        <v/>
      </c>
      <c r="F1469" s="1628"/>
      <c r="G1469" s="1628"/>
      <c r="H1469" s="1628"/>
      <c r="I1469" s="1628"/>
      <c r="J1469" s="1628"/>
      <c r="K1469" s="1628"/>
      <c r="L1469" s="1628"/>
      <c r="M1469" s="1628"/>
      <c r="N1469" s="141"/>
      <c r="O1469" s="1305"/>
      <c r="P1469" s="33"/>
      <c r="Q1469" s="343" t="str">
        <f>EUconst_SumNonSustBioCO2 &amp; "_" &amp; K1466</f>
        <v>SUM_bioNonSustCO2_</v>
      </c>
      <c r="R1469" s="698" t="str">
        <f>IF(OR(K1466="",T1467=TRUE),"",ROUND(INDEX(BC1478:BE1478,MATCH(K1466,BC1476:BE1476,0)),0))</f>
        <v/>
      </c>
      <c r="S1469" s="23"/>
      <c r="T1469" s="23"/>
      <c r="U1469" s="23"/>
      <c r="V1469" s="30"/>
      <c r="W1469" s="30"/>
      <c r="X1469" s="30"/>
      <c r="Y1469" s="58"/>
      <c r="Z1469" s="30"/>
      <c r="AA1469" s="30"/>
      <c r="AB1469" s="30"/>
      <c r="AC1469" s="30"/>
      <c r="AD1469" s="30"/>
      <c r="AE1469" s="30"/>
      <c r="AF1469" s="58"/>
      <c r="AG1469" s="30"/>
      <c r="AH1469" s="30"/>
      <c r="AI1469" s="30"/>
      <c r="AJ1469" s="495"/>
      <c r="AK1469" s="495"/>
      <c r="AL1469" s="333"/>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row>
    <row r="1470" spans="1:78" s="140" customFormat="1" ht="5.0999999999999996" customHeight="1" thickBot="1" x14ac:dyDescent="0.25">
      <c r="A1470" s="777"/>
      <c r="B1470" s="1248"/>
      <c r="C1470" s="164"/>
      <c r="D1470" s="164"/>
      <c r="E1470" s="164"/>
      <c r="F1470" s="164"/>
      <c r="G1470" s="164"/>
      <c r="M1470" s="141"/>
      <c r="N1470" s="141"/>
      <c r="O1470" s="1305"/>
      <c r="P1470" s="23"/>
      <c r="Q1470" s="23"/>
      <c r="R1470" s="23"/>
      <c r="S1470" s="23"/>
      <c r="T1470" s="23"/>
      <c r="U1470" s="23"/>
      <c r="V1470" s="30"/>
      <c r="W1470" s="30"/>
      <c r="X1470" s="30"/>
      <c r="Y1470" s="485"/>
      <c r="Z1470" s="30"/>
      <c r="AA1470" s="30"/>
      <c r="AB1470" s="30"/>
      <c r="AC1470" s="30"/>
      <c r="AD1470" s="30"/>
      <c r="AE1470" s="30"/>
      <c r="AF1470" s="58"/>
      <c r="AG1470" s="30"/>
      <c r="AH1470" s="30"/>
      <c r="AI1470" s="30"/>
      <c r="AJ1470" s="495"/>
      <c r="AK1470" s="495"/>
      <c r="AL1470" s="333"/>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row>
    <row r="1471" spans="1:78" s="140" customFormat="1" ht="12.75" customHeight="1" thickBot="1" x14ac:dyDescent="0.25">
      <c r="A1471" s="777"/>
      <c r="B1471" s="1248"/>
      <c r="C1471" s="783" t="s">
        <v>4</v>
      </c>
      <c r="D1471" s="503" t="str">
        <f>Translations!$B$622</f>
        <v>VD:</v>
      </c>
      <c r="E1471" s="1631" t="str">
        <f>Translations!$B$667</f>
        <v>Ar veiklos duomenys gaunami sudedant išmatuotus kiekius (t. y. ne atliekant nuolatinius matavimus)?</v>
      </c>
      <c r="F1471" s="1631"/>
      <c r="G1471" s="1631"/>
      <c r="H1471" s="1631"/>
      <c r="I1471" s="1631"/>
      <c r="J1471" s="1631"/>
      <c r="K1471" s="1631"/>
      <c r="L1471" s="1122"/>
      <c r="M1471" s="498"/>
      <c r="O1471" s="1305"/>
      <c r="P1471" s="23"/>
      <c r="Q1471" s="23"/>
      <c r="R1471" s="23"/>
      <c r="S1471" s="23"/>
      <c r="T1471" s="23"/>
      <c r="U1471" s="23"/>
      <c r="V1471" s="30"/>
      <c r="W1471" s="30"/>
      <c r="X1471" s="30"/>
      <c r="Y1471" s="485"/>
      <c r="Z1471" s="30"/>
      <c r="AA1471" s="30"/>
      <c r="AB1471" s="30"/>
      <c r="AC1471" s="1115" t="b">
        <f>AND(E1466&lt;&gt;"",T1467&lt;&gt;TRUE)</f>
        <v>0</v>
      </c>
      <c r="AD1471" s="30"/>
      <c r="AE1471" s="30"/>
      <c r="AF1471" s="58"/>
      <c r="AG1471" s="30"/>
      <c r="AH1471" s="30"/>
      <c r="AI1471" s="30"/>
      <c r="AJ1471" s="495"/>
      <c r="AK1471" s="495"/>
      <c r="AL1471" s="333"/>
      <c r="AM1471" s="30"/>
      <c r="AN1471" s="30"/>
      <c r="AO1471" s="30"/>
      <c r="AP1471" s="30"/>
      <c r="AQ1471" s="30"/>
      <c r="AR1471" s="30"/>
      <c r="AS1471" s="30"/>
      <c r="AT1471" s="1115" t="b">
        <f>MSPara_BatchReportingMandatory&lt;&gt;TRUE</f>
        <v>0</v>
      </c>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1115" t="b">
        <f>OR(CNTR_CalcRelevant=EUconst_NotRelevant,AND(COUNTA(CNTR_ListRelevantSections)&gt;0,OR(T1467=TRUE,E1466="")))</f>
        <v>1</v>
      </c>
    </row>
    <row r="1472" spans="1:78" s="140" customFormat="1" ht="5.0999999999999996" customHeight="1" thickBot="1" x14ac:dyDescent="0.25">
      <c r="A1472" s="777"/>
      <c r="B1472" s="1248"/>
      <c r="C1472" s="164"/>
      <c r="D1472" s="164"/>
      <c r="E1472" s="164"/>
      <c r="F1472" s="164"/>
      <c r="G1472" s="164"/>
      <c r="H1472" s="486"/>
      <c r="I1472" s="486"/>
      <c r="J1472" s="486"/>
      <c r="K1472" s="486"/>
      <c r="L1472" s="486"/>
      <c r="M1472" s="498"/>
      <c r="O1472" s="1305"/>
      <c r="P1472" s="23"/>
      <c r="Q1472" s="23"/>
      <c r="R1472" s="23"/>
      <c r="S1472" s="23"/>
      <c r="T1472" s="23"/>
      <c r="U1472" s="23"/>
      <c r="V1472" s="30"/>
      <c r="W1472" s="30"/>
      <c r="X1472" s="30"/>
      <c r="Y1472" s="485"/>
      <c r="Z1472" s="30"/>
      <c r="AA1472" s="30"/>
      <c r="AB1472" s="30"/>
      <c r="AC1472" s="483"/>
      <c r="AD1472" s="30"/>
      <c r="AE1472" s="30"/>
      <c r="AF1472" s="58"/>
      <c r="AG1472" s="30"/>
      <c r="AH1472" s="30"/>
      <c r="AI1472" s="30"/>
      <c r="AJ1472" s="495"/>
      <c r="AK1472" s="495"/>
      <c r="AL1472" s="333"/>
      <c r="AM1472" s="30"/>
      <c r="AN1472" s="30"/>
      <c r="AO1472" s="30"/>
      <c r="AP1472" s="30"/>
      <c r="AQ1472" s="30"/>
      <c r="AR1472" s="30"/>
      <c r="AS1472" s="30"/>
      <c r="AT1472" s="483"/>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483"/>
    </row>
    <row r="1473" spans="1:78" s="140" customFormat="1" ht="12.75" customHeight="1" thickBot="1" x14ac:dyDescent="0.25">
      <c r="A1473" s="777"/>
      <c r="B1473" s="1248"/>
      <c r="C1473" s="783" t="s">
        <v>5</v>
      </c>
      <c r="D1473" s="503" t="str">
        <f>Translations!$B$622</f>
        <v>VD:</v>
      </c>
      <c r="E1473" s="1105" t="str">
        <f>Translations!$B$668</f>
        <v>Pradinis kiekis:</v>
      </c>
      <c r="F1473" s="1123"/>
      <c r="G1473" s="1106" t="str">
        <f>Translations!$B$669</f>
        <v>Galutinis kiekis:</v>
      </c>
      <c r="H1473" s="1123"/>
      <c r="I1473" s="1106" t="str">
        <f>Translations!$B$670</f>
        <v>Įsigytas kiekis:</v>
      </c>
      <c r="J1473" s="1123"/>
      <c r="K1473" s="1106" t="str">
        <f>Translations!$B$671</f>
        <v>Perduotas kiekis:</v>
      </c>
      <c r="L1473" s="1123"/>
      <c r="M1473" s="1107" t="str">
        <f>IF(AND(L1471=TRUE,COUNT(F1473,H1473,J1473,L1473)&lt;4),EUconst_ERR_Incomplete,"")</f>
        <v/>
      </c>
      <c r="O1473" s="1305"/>
      <c r="P1473" s="23"/>
      <c r="Q1473" s="23"/>
      <c r="R1473" s="23"/>
      <c r="S1473" s="23"/>
      <c r="T1473" s="23"/>
      <c r="U1473" s="23"/>
      <c r="V1473" s="30"/>
      <c r="W1473" s="30"/>
      <c r="X1473" s="30"/>
      <c r="Y1473" s="485"/>
      <c r="Z1473" s="30"/>
      <c r="AA1473" s="30"/>
      <c r="AB1473" s="30"/>
      <c r="AC1473" s="1115" t="b">
        <f>AC1471</f>
        <v>0</v>
      </c>
      <c r="AD1473" s="30"/>
      <c r="AE1473" s="30"/>
      <c r="AF1473" s="58"/>
      <c r="AG1473" s="30"/>
      <c r="AH1473" s="30"/>
      <c r="AI1473" s="30"/>
      <c r="AJ1473" s="495"/>
      <c r="AK1473" s="495"/>
      <c r="AL1473" s="333"/>
      <c r="AM1473" s="30"/>
      <c r="AN1473" s="30"/>
      <c r="AO1473" s="30"/>
      <c r="AP1473" s="30"/>
      <c r="AQ1473" s="30"/>
      <c r="AR1473" s="30"/>
      <c r="AS1473" s="30"/>
      <c r="AT1473" s="1115" t="b">
        <f>AND(AT1471=TRUE,L1471="")</f>
        <v>0</v>
      </c>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1115" t="b">
        <f>OR(BZ1471,AND(NOT(ISBLANK(L1471)),L1471=FALSE))</f>
        <v>1</v>
      </c>
    </row>
    <row r="1474" spans="1:78" s="140" customFormat="1" ht="5.0999999999999996" customHeight="1" thickBot="1" x14ac:dyDescent="0.25">
      <c r="A1474" s="777"/>
      <c r="B1474" s="1248"/>
      <c r="C1474" s="164"/>
      <c r="D1474" s="164"/>
      <c r="E1474" s="164"/>
      <c r="F1474" s="164"/>
      <c r="G1474" s="164"/>
      <c r="M1474" s="141"/>
      <c r="N1474" s="141"/>
      <c r="O1474" s="1305"/>
      <c r="P1474" s="23"/>
      <c r="Q1474" s="23"/>
      <c r="R1474" s="23"/>
      <c r="S1474" s="23"/>
      <c r="T1474" s="23"/>
      <c r="U1474" s="23"/>
      <c r="V1474" s="30"/>
      <c r="W1474" s="30"/>
      <c r="X1474" s="30"/>
      <c r="Y1474" s="485"/>
      <c r="Z1474" s="30"/>
      <c r="AA1474" s="30"/>
      <c r="AB1474" s="30"/>
      <c r="AC1474" s="30"/>
      <c r="AD1474" s="30"/>
      <c r="AE1474" s="30"/>
      <c r="AF1474" s="58"/>
      <c r="AG1474" s="30"/>
      <c r="AH1474" s="30"/>
      <c r="AI1474" s="30"/>
      <c r="AJ1474" s="495"/>
      <c r="AK1474" s="495"/>
      <c r="AL1474" s="333"/>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row>
    <row r="1475" spans="1:78" s="140" customFormat="1" ht="12.75" customHeight="1" thickBot="1" x14ac:dyDescent="0.25">
      <c r="A1475" s="777"/>
      <c r="B1475" s="1248"/>
      <c r="C1475" s="164"/>
      <c r="D1475" s="164"/>
      <c r="E1475" s="164"/>
      <c r="F1475" s="497" t="str">
        <f>Translations!$B$333</f>
        <v>Pakopa</v>
      </c>
      <c r="G1475" s="1613" t="str">
        <f>Translations!$B$672</f>
        <v>pakopos aprašas</v>
      </c>
      <c r="H1475" s="1613"/>
      <c r="I1475" s="1608" t="str">
        <f>Translations!$B$158</f>
        <v>Vienetas</v>
      </c>
      <c r="J1475" s="1608"/>
      <c r="K1475" s="1608" t="str">
        <f>Translations!$B$673</f>
        <v>Vertė</v>
      </c>
      <c r="L1475" s="1608"/>
      <c r="M1475" s="498" t="str">
        <f>Translations!$B$610</f>
        <v>klaida</v>
      </c>
      <c r="O1475" s="1305"/>
      <c r="P1475" s="499"/>
      <c r="Q1475" s="343" t="str">
        <f>EUconst_SumEnergyIN &amp; "_" &amp; K1466</f>
        <v>SUM_EnergyIN_</v>
      </c>
      <c r="R1475" s="390" t="str">
        <f>IF(OR(K1466="",T1467)=TRUE,"",INDEX(BC1481:BE1481,MATCH(K1466,BC1476:BE1476,0)))</f>
        <v/>
      </c>
      <c r="S1475" s="30"/>
      <c r="T1475" s="480"/>
      <c r="U1475" s="30"/>
      <c r="V1475" s="500" t="s">
        <v>298</v>
      </c>
      <c r="W1475" s="30"/>
      <c r="X1475" s="30"/>
      <c r="Y1475" s="485" t="s">
        <v>560</v>
      </c>
      <c r="Z1475" s="485" t="s">
        <v>313</v>
      </c>
      <c r="AA1475" s="30"/>
      <c r="AB1475" s="30"/>
      <c r="AC1475" s="496" t="s">
        <v>304</v>
      </c>
      <c r="AD1475" s="30"/>
      <c r="AE1475" s="30"/>
      <c r="AF1475" s="483" t="s">
        <v>300</v>
      </c>
      <c r="AG1475" s="483" t="s">
        <v>301</v>
      </c>
      <c r="AH1475" s="485" t="s">
        <v>299</v>
      </c>
      <c r="AI1475" s="495" t="s">
        <v>302</v>
      </c>
      <c r="AJ1475" s="495" t="s">
        <v>561</v>
      </c>
      <c r="AK1475" s="501" t="s">
        <v>306</v>
      </c>
      <c r="AL1475" s="333"/>
      <c r="AM1475" s="30"/>
      <c r="AN1475" s="483" t="s">
        <v>300</v>
      </c>
      <c r="AO1475" s="483" t="s">
        <v>301</v>
      </c>
      <c r="AP1475" s="502" t="s">
        <v>305</v>
      </c>
      <c r="AQ1475" s="495" t="s">
        <v>563</v>
      </c>
      <c r="AR1475" s="495" t="s">
        <v>562</v>
      </c>
      <c r="AS1475" s="501" t="s">
        <v>599</v>
      </c>
      <c r="AT1475" s="501" t="s">
        <v>599</v>
      </c>
      <c r="AU1475" s="30"/>
      <c r="AV1475" s="483"/>
      <c r="AW1475" s="483"/>
      <c r="AX1475" s="483" t="s">
        <v>316</v>
      </c>
      <c r="AY1475" s="483"/>
      <c r="AZ1475" s="483"/>
      <c r="BA1475" s="483"/>
      <c r="BB1475" s="483"/>
      <c r="BC1475" s="483"/>
      <c r="BD1475" s="483"/>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484" t="s">
        <v>259</v>
      </c>
    </row>
    <row r="1476" spans="1:78" s="140" customFormat="1" ht="12.75" customHeight="1" thickBot="1" x14ac:dyDescent="0.25">
      <c r="A1476" s="777"/>
      <c r="B1476" s="1248"/>
      <c r="C1476" s="753" t="s">
        <v>194</v>
      </c>
      <c r="D1476" s="503" t="str">
        <f>Translations!$B$622</f>
        <v>VD:</v>
      </c>
      <c r="E1476" s="504"/>
      <c r="F1476" s="393"/>
      <c r="G1476" s="1603" t="str">
        <f>IF(OR(ISBLANK(F1476),F1476=EUconst_NoTier),"",IF(Z1476=0,EUconst_NA,IF(ISERROR(Z1476),"",Z1476)))</f>
        <v/>
      </c>
      <c r="H1476" s="1604"/>
      <c r="I1476" s="1108" t="str">
        <f>IF(J1476&lt;&gt;"","",AI1476)</f>
        <v/>
      </c>
      <c r="J1476" s="1109"/>
      <c r="K1476" s="1116" t="str">
        <f>IF(L1476="",AQ1476,"")</f>
        <v/>
      </c>
      <c r="L1476" s="1199"/>
      <c r="M1476" s="700" t="str">
        <f>IF(AND(E1467&lt;&gt;"",OR(F1476="",COUNT(K1476:L1476)=0),Y1476&lt;&gt;EUconst_NA,T1467&lt;&gt;TRUE),EUconst_ERR_Incomplete,IF(COUNTIF(AX1476:AZ1476,TRUE)&gt;0,EUconst_ERR_Inconsistent,""))</f>
        <v/>
      </c>
      <c r="O1476" s="1305"/>
      <c r="P1476" s="635"/>
      <c r="Q1476" s="343" t="str">
        <f>EUconst_SumBioEnergyIN &amp; "_" &amp; K1466</f>
        <v>SUM_BioEnergyIN_</v>
      </c>
      <c r="R1476" s="390" t="str">
        <f>IF(OR(K1466="",T1467)=TRUE,"",INDEX(BC1482:BE1482,MATCH(K1466,BC1476:BE1476,0)))</f>
        <v/>
      </c>
      <c r="S1476" s="30"/>
      <c r="T1476" s="505" t="str">
        <f>EUconst_CNTR_ActivityData&amp;E1467</f>
        <v>ActivityData_</v>
      </c>
      <c r="U1476" s="488"/>
      <c r="V1476" s="505" t="str">
        <f>IF(E1466="","",INDEX(B_InstallationDescription!$I$71:$I$145,MATCH(U1465,B_InstallationDescription!$D$71:$D$145,0)))</f>
        <v/>
      </c>
      <c r="W1476" s="495" t="s">
        <v>533</v>
      </c>
      <c r="X1476" s="488"/>
      <c r="Y1476" s="506" t="str">
        <f>IF(OR(T1467=TRUE,E1467=""),"",INDEX(EUwideConstants!$N:$N,MATCH(T1476,EUwideConstants!$Q:$Q,0)))</f>
        <v/>
      </c>
      <c r="Z1476" s="507" t="str">
        <f>IF(ISBLANK(F1476),"",IF(F1476=EUconst_NA,"",INDEX(EUwideConstants!$H:$M,MATCH(T1476,EUwideConstants!$Q:$Q,0),MATCH(F1476,CNTR_TierList,0))))</f>
        <v/>
      </c>
      <c r="AA1476" s="508" t="s">
        <v>299</v>
      </c>
      <c r="AB1476" s="495"/>
      <c r="AC1476" s="509" t="b">
        <f>AC1471</f>
        <v>0</v>
      </c>
      <c r="AD1476" s="30"/>
      <c r="AE1476" s="510" t="str">
        <f>EUconst_CNTR_ActivityData&amp;EUconst_Unit</f>
        <v>ActivityData_Vienetas</v>
      </c>
      <c r="AF1476" s="511" t="str">
        <f>IF(AC1476=TRUE, IF(COUNTIF(MSPara_SourceStreamCategory,V1476)=0,"",INDEX(MSPara_CalcFactorsMatrix,MATCH(V1476,MSPara_SourceStreamCategory,0),MATCH(AE1476&amp;"_"&amp;2,MSPara_CalcFactors,0))),"")</f>
        <v/>
      </c>
      <c r="AG1476" s="512" t="str">
        <f>IF(AC1476=TRUE, IF(COUNTIF(MSPara_SourceStreamCategory,V1476)=0,"",INDEX(MSPara_CalcFactorsMatrix,MATCH(V1476,MSPara_SourceStreamCategory,0),MATCH(AE1476&amp;"_"&amp;1,MSPara_CalcFactors,0))),"")</f>
        <v/>
      </c>
      <c r="AH1476" s="509" t="str">
        <f>IF(OR(AF1476="",AF1476=EUconst_NA),IF(OR(AG1476=EUconst_NA,AG1476=""),"",AG1476),AF1476)</f>
        <v/>
      </c>
      <c r="AI1476" s="506" t="str">
        <f>IF(AC1476=TRUE,IF(AH1476="",EUconst_t,AH1476),"")</f>
        <v/>
      </c>
      <c r="AJ1476" s="513" t="str">
        <f>IF(J1476="",AI1476,J1476)</f>
        <v/>
      </c>
      <c r="AK1476" s="514" t="b">
        <f>IF(K1466=EUconst_Fuel,J1476&lt;&gt;"",FALSE)</f>
        <v>0</v>
      </c>
      <c r="AL1476" s="333"/>
      <c r="AM1476" s="505" t="str">
        <f>EUconst_CNTR_ActivityData&amp;EUconst_Value</f>
        <v>ActivityData_Vertė</v>
      </c>
      <c r="AN1476" s="496"/>
      <c r="AO1476" s="496"/>
      <c r="AP1476" s="509" t="b">
        <f>AND(AND(AH1476&lt;&gt;"",AJ1476&lt;&gt;""),AJ1476=AH1476)</f>
        <v>0</v>
      </c>
      <c r="AQ1476" s="610" t="str">
        <f>IF(L1471=TRUE,SUM(F1473)-SUM(H1473)+SUM(J1473)-SUM(L1473),"")</f>
        <v/>
      </c>
      <c r="AR1476" s="509">
        <f>IF(Y1476=EUconst_NA,0,IF(COUNT(K1476:L1476)=0,0,IF(L1476="",K1476,L1476)))</f>
        <v>0</v>
      </c>
      <c r="AS1476" s="1115" t="b">
        <f>AND(AC1476=TRUE,OR(L1476&lt;&gt;"",AQ1476=""))</f>
        <v>0</v>
      </c>
      <c r="AT1476" s="1115" t="b">
        <f>AND(AC1476=TRUE,NOT(AS1476))</f>
        <v>0</v>
      </c>
      <c r="AU1476" s="30"/>
      <c r="AV1476" s="483" t="s">
        <v>309</v>
      </c>
      <c r="AW1476" s="483" t="s">
        <v>314</v>
      </c>
      <c r="AX1476" s="515"/>
      <c r="AY1476" s="30" t="s">
        <v>536</v>
      </c>
      <c r="AZ1476" s="30"/>
      <c r="BA1476" s="30"/>
      <c r="BB1476" s="495"/>
      <c r="BC1476" s="484" t="str">
        <f>EUconst_Fuel</f>
        <v>Degimas</v>
      </c>
      <c r="BD1476" s="484" t="str">
        <f>EUconst_ProcessCarbonate</f>
        <v>Proceso metu išsiskiriančios ŠESD</v>
      </c>
      <c r="BE1476" s="484" t="str">
        <f>EUconst_MassBalance</f>
        <v>Masės balansas</v>
      </c>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515" t="b">
        <f>BZ1471</f>
        <v>1</v>
      </c>
    </row>
    <row r="1477" spans="1:78" s="140" customFormat="1" ht="5.0999999999999996" customHeight="1" thickBot="1" x14ac:dyDescent="0.25">
      <c r="A1477" s="777"/>
      <c r="B1477" s="1248"/>
      <c r="C1477" s="783"/>
      <c r="D1477" s="298"/>
      <c r="F1477" s="141"/>
      <c r="G1477" s="141"/>
      <c r="H1477" s="141" t="s">
        <v>233</v>
      </c>
      <c r="I1477" s="516"/>
      <c r="J1477" s="516"/>
      <c r="K1477" s="141"/>
      <c r="L1477" s="141"/>
      <c r="M1477" s="701"/>
      <c r="O1477" s="1305"/>
      <c r="P1477" s="33"/>
      <c r="Q1477" s="33"/>
      <c r="R1477" s="33"/>
      <c r="S1477" s="30"/>
      <c r="T1477" s="153"/>
      <c r="U1477" s="488"/>
      <c r="V1477" s="30"/>
      <c r="W1477" s="30"/>
      <c r="X1477" s="488"/>
      <c r="Y1477" s="517"/>
      <c r="Z1477" s="30"/>
      <c r="AA1477" s="30"/>
      <c r="AB1477" s="30"/>
      <c r="AC1477" s="30"/>
      <c r="AD1477" s="30"/>
      <c r="AE1477" s="30"/>
      <c r="AF1477" s="30"/>
      <c r="AG1477" s="30"/>
      <c r="AH1477" s="30"/>
      <c r="AI1477" s="30"/>
      <c r="AJ1477" s="30"/>
      <c r="AK1477" s="30"/>
      <c r="AL1477" s="333"/>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484"/>
    </row>
    <row r="1478" spans="1:78" s="140" customFormat="1" ht="12.75" customHeight="1" thickBot="1" x14ac:dyDescent="0.25">
      <c r="A1478" s="777"/>
      <c r="B1478" s="1248"/>
      <c r="C1478" s="783" t="s">
        <v>195</v>
      </c>
      <c r="D1478" s="503" t="str">
        <f>Translations!$B$634</f>
        <v>(prelim.) ITF:</v>
      </c>
      <c r="E1478" s="504"/>
      <c r="F1478" s="518"/>
      <c r="G1478" s="1603" t="str">
        <f t="shared" ref="G1478:G1484" si="364">IF(OR(ISBLANK(F1478),F1478=EUconst_NoTier),"",IF(Z1478=0,EUconst_NotApplicable,IF(ISERROR(Z1478),"",Z1478)))</f>
        <v/>
      </c>
      <c r="H1478" s="1609"/>
      <c r="I1478" s="1110" t="str">
        <f>IF(J1478&lt;&gt;"","",AI1478)</f>
        <v/>
      </c>
      <c r="J1478" s="1111"/>
      <c r="K1478" s="519" t="str">
        <f t="shared" ref="K1478:K1484" si="365">IF(L1478="",AQ1478,"")</f>
        <v/>
      </c>
      <c r="L1478" s="520"/>
      <c r="M1478" s="700" t="str">
        <f>IF(AND(E1467&lt;&gt;"",OR(F1478="",COUNT(K1478:L1478)=0),Y1478&lt;&gt;EUconst_NA,T1467&lt;&gt;TRUE),EUconst_ERR_Incomplete,IF(COUNTIF(AX1478:AZ1478,TRUE)&gt;0,EUconst_ERR_Inconsistent,""))</f>
        <v/>
      </c>
      <c r="N1478" s="486"/>
      <c r="O1478" s="1305"/>
      <c r="P1478" s="33"/>
      <c r="Q1478" s="33"/>
      <c r="R1478" s="33"/>
      <c r="S1478" s="30"/>
      <c r="T1478" s="521" t="str">
        <f>EUconst_CNTR_EF&amp;E1467</f>
        <v>EF_</v>
      </c>
      <c r="U1478" s="488"/>
      <c r="V1478" s="522" t="str">
        <f>V1476</f>
        <v/>
      </c>
      <c r="W1478" s="30"/>
      <c r="X1478" s="488"/>
      <c r="Y1478" s="523" t="str">
        <f>IF(OR(T1467=TRUE,E1467=""),"",IF(F1478=EUconst_NA,EUconst_NA,INDEX(EUwideConstants!$N:$N,MATCH(T1478,EUwideConstants!$Q:$Q,0))))</f>
        <v/>
      </c>
      <c r="Z1478" s="524" t="str">
        <f>IF(ISBLANK(F1478),"",IF(F1478=EUconst_NA,"",INDEX(EUwideConstants!$H:$M,MATCH(T1478,EUwideConstants!$Q:$Q,0),MATCH(F1478,CNTR_TierList,0))))</f>
        <v/>
      </c>
      <c r="AA1478" s="525" t="str">
        <f>IF(COUNTIF(EUconst_DefaultValues,Z1478)&gt;0,MATCH(Z1478,EUconst_DefaultValues,0),"")</f>
        <v/>
      </c>
      <c r="AB1478" s="30"/>
      <c r="AC1478" s="526" t="b">
        <f>AND(AC1476,Y1478&lt;&gt;EUconst_NA)</f>
        <v>0</v>
      </c>
      <c r="AD1478" s="30"/>
      <c r="AE1478" s="510" t="str">
        <f>EUconst_CNTR_EF&amp;EUconst_Unit</f>
        <v>EF_Vienetas</v>
      </c>
      <c r="AF1478" s="527" t="str">
        <f>IF(AC1478=TRUE, IF(COUNTIF(MSPara_SourceStreamCategory,V1478)=0,"",INDEX(MSPara_CalcFactorsMatrix,MATCH(V1478,MSPara_SourceStreamCategory,0),MATCH(AE1478&amp;"_"&amp;2,MSPara_CalcFactors,0))),"")</f>
        <v/>
      </c>
      <c r="AG1478" s="528" t="str">
        <f>IF(AC1478=TRUE, IF(COUNTIF(MSPara_SourceStreamCategory,V1478)=0,"",INDEX(MSPara_CalcFactorsMatrix,MATCH(V1478,MSPara_SourceStreamCategory,0),MATCH(AE1478&amp;"_"&amp;1,MSPara_CalcFactors,0))),"")</f>
        <v/>
      </c>
      <c r="AH1478" s="529" t="str">
        <f>IF(AA1478="","",INDEX(AF1478:AG1478,3-AA1478))</f>
        <v/>
      </c>
      <c r="AI1478" s="530" t="str">
        <f>IF(AC1478=TRUE,IF(OR(AH1478="",AH1478=EUconst_NA),IF(K1466=EUconst_Fuel,EUconst_tCO2pTJ,EUconst_tCO2pt),AH1478),"")</f>
        <v/>
      </c>
      <c r="AJ1478" s="526" t="str">
        <f>IF(J1478="",AI1478,J1478)</f>
        <v/>
      </c>
      <c r="AK1478" s="531" t="b">
        <f>IF(K1466=EUconst_Fuel,J1478&lt;&gt;"",FALSE)</f>
        <v>0</v>
      </c>
      <c r="AL1478" s="333"/>
      <c r="AM1478" s="510" t="str">
        <f>EUconst_CNTR_EF&amp;EUconst_Value</f>
        <v>EF_Vertė</v>
      </c>
      <c r="AN1478" s="532" t="str">
        <f>IF(AC1478=TRUE,IF(COUNTIF(MSPara_SourceStreamCategory,V1478)=0,"",INDEX(MSPara_CalcFactorsMatrix,MATCH(V1478,MSPara_SourceStreamCategory,0),MATCH(AM1478&amp;"_"&amp;2,MSPara_CalcFactors,0))),"")</f>
        <v/>
      </c>
      <c r="AO1478" s="533" t="str">
        <f>IF(AC1478=TRUE,IF(COUNTIF(MSPara_SourceStreamCategory,V1478)=0,"",INDEX(MSPara_CalcFactorsMatrix,MATCH(V1478,MSPara_SourceStreamCategory,0),MATCH(AM1478&amp;"_"&amp;1,MSPara_CalcFactors,0))),"")</f>
        <v/>
      </c>
      <c r="AP1478" s="526" t="b">
        <f>AND(AND(AH1478&lt;&gt;"",AJ1478&lt;&gt;""),AJ1478=AH1478)</f>
        <v>0</v>
      </c>
      <c r="AQ1478" s="534" t="str">
        <f>IF(AND(AA1478&lt;&gt;"",AP1478=TRUE),IF(OR(INDEX(AN1478:AO1478,3-AA1478)=EUconst_NA,INDEX(AN1478:AO1478,3-AA1478)=0),"",INDEX(AN1478:AO1478,3-AA1478)),"")</f>
        <v/>
      </c>
      <c r="AR1478" s="526">
        <f>IF(AC1478=TRUE,IF(COUNT(K1478:L1478)=0,0,IF(L1478="",K1478,L1478)),0)</f>
        <v>0</v>
      </c>
      <c r="AS1478" s="522" t="b">
        <f>AND(AC1478=TRUE,OR(AND(F1478&lt;&gt;"",NOT(ISNUMBER(AA1478))),L1478&lt;&gt;"",F1478="",AQ1478=""))</f>
        <v>0</v>
      </c>
      <c r="AT1478" s="522" t="b">
        <f t="shared" ref="AT1478:AT1484" si="366">AND(AC1478=TRUE,NOT(AS1478))</f>
        <v>0</v>
      </c>
      <c r="AU1478" s="30"/>
      <c r="AV1478" s="535" t="b">
        <f t="shared" ref="AV1478:AV1484" si="367">AND(ISNUMBER(AA1478),AQ1478="")</f>
        <v>0</v>
      </c>
      <c r="AW1478" s="536" t="b">
        <f t="shared" ref="AW1478:AW1484" si="368">AND(ISNUMBER(AA1478),AQ1478&lt;&gt;AR1478)</f>
        <v>0</v>
      </c>
      <c r="AX1478" s="537" t="b">
        <f>OR(AND(AJ1476=EUconst_kNm3,AJ1478=EUconst_tCO2pt),AND(AJ1476=EUconst_t,AJ1478=EUconst_tCO2pkNm3))</f>
        <v>0</v>
      </c>
      <c r="AY1478" s="522" t="b">
        <f t="shared" ref="AY1478:AY1484" si="369">AND(L1478&lt;&gt;"",Y1478=EUconst_NA)</f>
        <v>0</v>
      </c>
      <c r="AZ1478" s="30"/>
      <c r="BA1478" s="30"/>
      <c r="BB1478" s="538" t="s">
        <v>588</v>
      </c>
      <c r="BC1478" s="537" t="str">
        <f>IF(K1466=BC1476,AR1476*IF(AJ1478=EUconst_tCO2pTJ,(AR1479/1000),1)*AR1478*AR1480*AR1484,"")</f>
        <v/>
      </c>
      <c r="BD1478" s="515" t="str">
        <f>IF(K1466=BD1476,AR1476*AR1478*AR1481*AR1484,"")</f>
        <v/>
      </c>
      <c r="BE1478" s="514" t="str">
        <f>IF(K1466=BE1476,3.664*AR1476*AR1482*AR1484,"")</f>
        <v/>
      </c>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522" t="b">
        <f>OR(BZ1476,Y1478=EUconst_NA)</f>
        <v>1</v>
      </c>
    </row>
    <row r="1479" spans="1:78" s="140" customFormat="1" ht="12.75" customHeight="1" thickBot="1" x14ac:dyDescent="0.25">
      <c r="A1479" s="777"/>
      <c r="B1479" s="1248"/>
      <c r="C1479" s="783" t="s">
        <v>196</v>
      </c>
      <c r="D1479" s="503" t="str">
        <f>Translations!$B$636</f>
        <v>GŠV:</v>
      </c>
      <c r="E1479" s="504"/>
      <c r="F1479" s="539"/>
      <c r="G1479" s="1603" t="str">
        <f t="shared" si="364"/>
        <v/>
      </c>
      <c r="H1479" s="1604"/>
      <c r="I1479" s="1112" t="str">
        <f>AJ1479</f>
        <v/>
      </c>
      <c r="J1479" s="540"/>
      <c r="K1479" s="541" t="str">
        <f t="shared" si="365"/>
        <v/>
      </c>
      <c r="L1479" s="542"/>
      <c r="M1479" s="700" t="str">
        <f>IF(AND(E1467&lt;&gt;"",OR(F1479="",COUNT(K1479:L1479)=0),Y1479&lt;&gt;EUconst_NA,T1467&lt;&gt;TRUE),EUconst_ERR_Incomplete,IF(COUNTIF(AX1479:AZ1479,TRUE)&gt;0,EUconst_ERR_Inconsistent,""))</f>
        <v/>
      </c>
      <c r="O1479" s="1305"/>
      <c r="P1479" s="33"/>
      <c r="Q1479" s="33"/>
      <c r="R1479" s="33"/>
      <c r="S1479" s="30"/>
      <c r="T1479" s="543" t="str">
        <f>EUconst_CNTR_NCV&amp;E1467</f>
        <v>NCV_</v>
      </c>
      <c r="U1479" s="488"/>
      <c r="V1479" s="544" t="str">
        <f t="shared" ref="V1479:V1484" si="370">V1478</f>
        <v/>
      </c>
      <c r="W1479" s="30"/>
      <c r="X1479" s="488"/>
      <c r="Y1479" s="545" t="str">
        <f>IF(OR(T1467=TRUE,E1467=""),"",IF(F1479=EUconst_NA,EUconst_NA,INDEX(EUwideConstants!$N:$N,MATCH(T1479,EUwideConstants!$Q:$Q,0))))</f>
        <v/>
      </c>
      <c r="Z1479" s="546" t="str">
        <f>IF(ISBLANK(F1479),"",IF(F1479=EUconst_NA,"",INDEX(EUwideConstants!$H:$M,MATCH(T1479,EUwideConstants!$Q:$Q,0),MATCH(F1479,CNTR_TierList,0))))</f>
        <v/>
      </c>
      <c r="AA1479" s="547" t="str">
        <f>IF(COUNTIF(EUconst_DefaultValues,Z1479)&gt;0,MATCH(Z1479,EUconst_DefaultValues,0),"")</f>
        <v/>
      </c>
      <c r="AB1479" s="30"/>
      <c r="AC1479" s="548" t="b">
        <f>AND(AC1476,Y1479&lt;&gt;EUconst_NA)</f>
        <v>0</v>
      </c>
      <c r="AD1479" s="30"/>
      <c r="AE1479" s="549" t="str">
        <f>EUconst_CNTR_NCV&amp;EUconst_Unit</f>
        <v>NCV_Vienetas</v>
      </c>
      <c r="AF1479" s="550" t="str">
        <f>IF(AC1479=TRUE, IF(COUNTIF(MSPara_SourceStreamCategory,V1479)=0,"",INDEX(MSPara_CalcFactorsMatrix,MATCH(V1479,MSPara_SourceStreamCategory,0),MATCH(AE1479&amp;"_"&amp;2,MSPara_CalcFactors,0))),"")</f>
        <v/>
      </c>
      <c r="AG1479" s="551" t="str">
        <f>IF(AC1479=TRUE, IF(COUNTIF(MSPara_SourceStreamCategory,V1479)=0,"",INDEX(MSPara_CalcFactorsMatrix,MATCH(V1479,MSPara_SourceStreamCategory,0),MATCH(AE1479&amp;"_"&amp;1,MSPara_CalcFactors,0))),"")</f>
        <v/>
      </c>
      <c r="AH1479" s="552" t="str">
        <f>IF(AA1479="","",INDEX(AF1479:AG1479,3-AA1479))</f>
        <v/>
      </c>
      <c r="AI1479" s="553"/>
      <c r="AJ1479" s="548" t="str">
        <f>IF(AC1479=TRUE,IF(AJ1476="","",IF(AJ1476=EUconst_kNm3,EUconst_GJpkNm3,EUconst_GJpt)),"")</f>
        <v/>
      </c>
      <c r="AK1479" s="554"/>
      <c r="AL1479" s="333"/>
      <c r="AM1479" s="549" t="str">
        <f>EUconst_CNTR_NCV&amp;EUconst_Value</f>
        <v>NCV_Vertė</v>
      </c>
      <c r="AN1479" s="555" t="str">
        <f>IF(AC1479=TRUE,IF(COUNTIF(MSPara_SourceStreamCategory,V1479)=0,"",INDEX(MSPara_CalcFactorsMatrix,MATCH(V1479,MSPara_SourceStreamCategory,0),MATCH(AM1479&amp;"_"&amp;2,MSPara_CalcFactors,0))),"")</f>
        <v/>
      </c>
      <c r="AO1479" s="556" t="str">
        <f>IF(AC1479=TRUE,IF(COUNTIF(MSPara_SourceStreamCategory,V1479)=0,"",INDEX(MSPara_CalcFactorsMatrix,MATCH(V1479,MSPara_SourceStreamCategory,0),MATCH(AM1479&amp;"_"&amp;1,MSPara_CalcFactors,0))),"")</f>
        <v/>
      </c>
      <c r="AP1479" s="548" t="b">
        <f>AND(AND(AH1479&lt;&gt;"",AJ1479&lt;&gt;""),AJ1479=AH1479)</f>
        <v>0</v>
      </c>
      <c r="AQ1479" s="557" t="str">
        <f>IF(AND(AA1479&lt;&gt;"",AP1479=TRUE),IF(OR(INDEX(AN1479:AO1479,3-AA1479)=EUconst_NA,INDEX(AN1479:AO1479,3-AA1479)=0),"",INDEX(AN1479:AO1479,3-AA1479)),"")</f>
        <v/>
      </c>
      <c r="AR1479" s="548">
        <f>IF(AC1479=TRUE,IF(COUNT(K1479:L1479)=0,0,IF(L1479="",K1479,L1479)),0)</f>
        <v>0</v>
      </c>
      <c r="AS1479" s="544" t="b">
        <f>AND(AC1479=TRUE,OR(AND(F1479&lt;&gt;"",NOT(ISNUMBER(AA1479))),L1479&lt;&gt;"",F1479="",AQ1479=""))</f>
        <v>0</v>
      </c>
      <c r="AT1479" s="544" t="b">
        <f t="shared" si="366"/>
        <v>0</v>
      </c>
      <c r="AU1479" s="30"/>
      <c r="AV1479" s="558" t="b">
        <f t="shared" si="367"/>
        <v>0</v>
      </c>
      <c r="AW1479" s="559" t="b">
        <f t="shared" si="368"/>
        <v>0</v>
      </c>
      <c r="AX1479" s="30"/>
      <c r="AY1479" s="544" t="b">
        <f t="shared" si="369"/>
        <v>0</v>
      </c>
      <c r="AZ1479" s="30"/>
      <c r="BA1479" s="30"/>
      <c r="BB1479" s="538" t="s">
        <v>589</v>
      </c>
      <c r="BC1479" s="537" t="str">
        <f>IF(K1466=BC1476,AR1476*IF(AJ1478=EUconst_tCO2pTJ,(AR1479/1000),1)*AR1478*AR1480*AR1483,"")</f>
        <v/>
      </c>
      <c r="BD1479" s="515" t="str">
        <f>IF(K1466=BD1476,AR1476*AR1478*AR1481*AR1483,"")</f>
        <v/>
      </c>
      <c r="BE1479" s="514" t="str">
        <f>IF(K1466=BE1476,3.664*AR1476*AR1482*AR1483,"")</f>
        <v/>
      </c>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544" t="b">
        <f>OR(BZ1476,Y1479=EUconst_NA)</f>
        <v>1</v>
      </c>
    </row>
    <row r="1480" spans="1:78" s="140" customFormat="1" ht="12.75" customHeight="1" thickBot="1" x14ac:dyDescent="0.25">
      <c r="A1480" s="777"/>
      <c r="B1480" s="1248"/>
      <c r="C1480" s="783" t="s">
        <v>197</v>
      </c>
      <c r="D1480" s="503" t="str">
        <f>Translations!$B$638</f>
        <v>Oksidacijos koef.:</v>
      </c>
      <c r="E1480" s="504"/>
      <c r="F1480" s="539"/>
      <c r="G1480" s="1603" t="str">
        <f t="shared" si="364"/>
        <v/>
      </c>
      <c r="H1480" s="1604"/>
      <c r="I1480" s="1113" t="str">
        <f>IF(OR(AC1480=FALSE,Y1480=EUconst_NA),"","-")</f>
        <v/>
      </c>
      <c r="J1480" s="560"/>
      <c r="K1480" s="561" t="str">
        <f t="shared" si="365"/>
        <v/>
      </c>
      <c r="L1480" s="694"/>
      <c r="M1480" s="700" t="str">
        <f>IF(AND(E1467&lt;&gt;"",OR(F1480="",COUNT(K1480:L1480)=0),Y1480&lt;&gt;EUconst_NA,T1467&lt;&gt;TRUE),EUconst_ERR_Incomplete,IF(COUNTIF(AX1480:AZ1480,TRUE)&gt;0,EUconst_ERR_Inconsistent,""))</f>
        <v/>
      </c>
      <c r="O1480" s="1305"/>
      <c r="P1480" s="33"/>
      <c r="Q1480" s="33"/>
      <c r="R1480" s="33"/>
      <c r="S1480" s="30"/>
      <c r="T1480" s="543" t="str">
        <f>EUconst_CNTR_OxidationFactor&amp;E1467</f>
        <v>OxF_</v>
      </c>
      <c r="U1480" s="488"/>
      <c r="V1480" s="544" t="str">
        <f t="shared" si="370"/>
        <v/>
      </c>
      <c r="W1480" s="30"/>
      <c r="X1480" s="488"/>
      <c r="Y1480" s="545" t="str">
        <f>IF(OR(T1467=TRUE,E1467=""),"",INDEX(EUwideConstants!$N:$N,MATCH(T1480,EUwideConstants!$Q:$Q,0)))</f>
        <v/>
      </c>
      <c r="Z1480" s="546" t="str">
        <f>IF(ISBLANK(F1480),"",IF(F1480=EUconst_NA,"",INDEX(EUwideConstants!$H:$M,MATCH(T1480,EUwideConstants!$Q:$Q,0),MATCH(F1480,CNTR_TierList,0))))</f>
        <v/>
      </c>
      <c r="AA1480" s="525" t="str">
        <f>IF(F1480=1,1,"")</f>
        <v/>
      </c>
      <c r="AB1480" s="30"/>
      <c r="AC1480" s="548" t="b">
        <f>AND(AC1476,Y1480&lt;&gt;EUconst_NA)</f>
        <v>0</v>
      </c>
      <c r="AD1480" s="30"/>
      <c r="AE1480" s="563"/>
      <c r="AG1480" s="564"/>
      <c r="AH1480" s="553"/>
      <c r="AI1480" s="565"/>
      <c r="AJ1480" s="553"/>
      <c r="AK1480" s="566"/>
      <c r="AL1480" s="333"/>
      <c r="AM1480" s="549" t="str">
        <f>EUconst_CNTR_OxidationFactor&amp;EUconst_Value</f>
        <v>OxF_Vertė</v>
      </c>
      <c r="AN1480" s="567"/>
      <c r="AO1480" s="525">
        <v>1</v>
      </c>
      <c r="AP1480" s="553"/>
      <c r="AQ1480" s="568" t="str">
        <f>IF(AA1480="","",AO1480)</f>
        <v/>
      </c>
      <c r="AR1480" s="548">
        <f>IF(AC1480=TRUE,IF(COUNT(K1480:L1480)=0,0,IF(L1480="",K1480,L1480)),1)</f>
        <v>1</v>
      </c>
      <c r="AS1480" s="544" t="b">
        <f>AND(AC1480=TRUE,OR(ISNUMBER(L1480),NOT(ISNUMBER(AA1480))))</f>
        <v>0</v>
      </c>
      <c r="AT1480" s="544" t="b">
        <f t="shared" si="366"/>
        <v>0</v>
      </c>
      <c r="AU1480" s="30"/>
      <c r="AV1480" s="558" t="b">
        <f t="shared" si="367"/>
        <v>0</v>
      </c>
      <c r="AW1480" s="559" t="b">
        <f t="shared" si="368"/>
        <v>0</v>
      </c>
      <c r="AX1480" s="30"/>
      <c r="AY1480" s="585" t="b">
        <f t="shared" si="369"/>
        <v>0</v>
      </c>
      <c r="AZ1480" s="522" t="b">
        <f>AR1480&gt;100%</f>
        <v>0</v>
      </c>
      <c r="BA1480" s="30"/>
      <c r="BB1480" s="538" t="s">
        <v>287</v>
      </c>
      <c r="BC1480" s="537" t="str">
        <f>IF(K1466=BC1476,AR1476*IF(AJ1478=EUconst_tCO2pTJ,(AR1479/1000),1)*AR1478*AR1480*(1-AR1483),"")</f>
        <v/>
      </c>
      <c r="BD1480" s="515" t="str">
        <f>IF(K1466=BD1476,AR1476*AR1478*AR1481*(1-AR1483),"")</f>
        <v/>
      </c>
      <c r="BE1480" s="514" t="str">
        <f>IF(K1466=BE1476,3.664*AR1476*AR1482*(1-AR1483),"")</f>
        <v/>
      </c>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544" t="b">
        <f>OR(BZ1476,Y1480=EUconst_NA)</f>
        <v>1</v>
      </c>
    </row>
    <row r="1481" spans="1:78" s="140" customFormat="1" ht="12.75" customHeight="1" thickBot="1" x14ac:dyDescent="0.25">
      <c r="A1481" s="777"/>
      <c r="B1481" s="1248"/>
      <c r="C1481" s="783" t="s">
        <v>198</v>
      </c>
      <c r="D1481" s="503" t="str">
        <f>Translations!$B$639</f>
        <v>Konversijos koef.:</v>
      </c>
      <c r="E1481" s="504"/>
      <c r="F1481" s="539"/>
      <c r="G1481" s="1603" t="str">
        <f t="shared" si="364"/>
        <v/>
      </c>
      <c r="H1481" s="1604"/>
      <c r="I1481" s="1113" t="str">
        <f>IF(OR(AC1481=FALSE,Y1481=EUconst_NA),"","-")</f>
        <v/>
      </c>
      <c r="J1481" s="560"/>
      <c r="K1481" s="561" t="str">
        <f t="shared" si="365"/>
        <v/>
      </c>
      <c r="L1481" s="694"/>
      <c r="M1481" s="700" t="str">
        <f>IF(AND(E1467&lt;&gt;"",OR(F1481="",COUNT(K1481:L1481)=0),Y1481&lt;&gt;EUconst_NA,T1467&lt;&gt;TRUE),EUconst_ERR_Incomplete,IF(COUNTIF(AX1481:AZ1481,TRUE)&gt;0,EUconst_ERR_Inconsistent,""))</f>
        <v/>
      </c>
      <c r="O1481" s="1305"/>
      <c r="P1481" s="33"/>
      <c r="Q1481" s="33"/>
      <c r="R1481" s="33"/>
      <c r="S1481" s="30"/>
      <c r="T1481" s="543" t="str">
        <f>EUconst_CNTR_ConversionFactor&amp;E1467</f>
        <v>ConvF_</v>
      </c>
      <c r="U1481" s="488"/>
      <c r="V1481" s="544" t="str">
        <f t="shared" si="370"/>
        <v/>
      </c>
      <c r="W1481" s="30"/>
      <c r="X1481" s="488"/>
      <c r="Y1481" s="545" t="str">
        <f>IF(OR(T1467=TRUE,E1467=""),"",INDEX(EUwideConstants!$N:$N,MATCH(T1481,EUwideConstants!$Q:$Q,0)))</f>
        <v/>
      </c>
      <c r="Z1481" s="546" t="str">
        <f>IF(ISBLANK(F1481),"",IF(F1481=EUconst_NA,"",INDEX(EUwideConstants!$H:$M,MATCH(T1481,EUwideConstants!$Q:$Q,0),MATCH(F1481,CNTR_TierList,0))))</f>
        <v/>
      </c>
      <c r="AA1481" s="573" t="str">
        <f>IF(F1481=1,1,"")</f>
        <v/>
      </c>
      <c r="AB1481" s="30"/>
      <c r="AC1481" s="548" t="b">
        <f>AND(AC1476,Y1481&lt;&gt;EUconst_NA)</f>
        <v>0</v>
      </c>
      <c r="AD1481" s="30"/>
      <c r="AE1481" s="563"/>
      <c r="AG1481" s="564"/>
      <c r="AH1481" s="574"/>
      <c r="AI1481" s="565"/>
      <c r="AJ1481" s="574"/>
      <c r="AK1481" s="566"/>
      <c r="AL1481" s="333"/>
      <c r="AM1481" s="549" t="str">
        <f>EUconst_CNTR_ConversionFactor&amp;EUconst_Value</f>
        <v>ConvF_Vertė</v>
      </c>
      <c r="AN1481" s="575"/>
      <c r="AO1481" s="573">
        <v>1</v>
      </c>
      <c r="AP1481" s="574"/>
      <c r="AQ1481" s="576" t="str">
        <f>IF(AA1481="","",AO1481)</f>
        <v/>
      </c>
      <c r="AR1481" s="548">
        <f>IF(AC1481=TRUE,IF(COUNT(K1481:L1481)=0,0,IF(L1481="",K1481,L1481)),1)</f>
        <v>1</v>
      </c>
      <c r="AS1481" s="544" t="b">
        <f>AND(AC1481=TRUE,OR(ISNUMBER(L1481),NOT(ISNUMBER(AA1481))))</f>
        <v>0</v>
      </c>
      <c r="AT1481" s="544" t="b">
        <f t="shared" si="366"/>
        <v>0</v>
      </c>
      <c r="AU1481" s="30"/>
      <c r="AV1481" s="558" t="b">
        <f t="shared" si="367"/>
        <v>0</v>
      </c>
      <c r="AW1481" s="559" t="b">
        <f t="shared" si="368"/>
        <v>0</v>
      </c>
      <c r="AX1481" s="30"/>
      <c r="AY1481" s="585" t="b">
        <f t="shared" si="369"/>
        <v>0</v>
      </c>
      <c r="AZ1481" s="571" t="b">
        <f>AR1481&gt;100%</f>
        <v>0</v>
      </c>
      <c r="BA1481" s="30"/>
      <c r="BB1481" s="569" t="s">
        <v>481</v>
      </c>
      <c r="BC1481" s="570">
        <f>AR1476*AR1479/1000*(1-AR1483)</f>
        <v>0</v>
      </c>
      <c r="BD1481" s="571">
        <f>BC1481</f>
        <v>0</v>
      </c>
      <c r="BE1481" s="572">
        <f>BC1481</f>
        <v>0</v>
      </c>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544" t="b">
        <f>OR(BZ1476,Y1481=EUconst_NA)</f>
        <v>1</v>
      </c>
    </row>
    <row r="1482" spans="1:78" s="140" customFormat="1" ht="12.75" customHeight="1" thickBot="1" x14ac:dyDescent="0.25">
      <c r="A1482" s="777"/>
      <c r="B1482" s="1248"/>
      <c r="C1482" s="783" t="s">
        <v>324</v>
      </c>
      <c r="D1482" s="503" t="str">
        <f>Translations!$B$640</f>
        <v>Anglies kiekis (C):</v>
      </c>
      <c r="E1482" s="504"/>
      <c r="F1482" s="539"/>
      <c r="G1482" s="1603" t="str">
        <f t="shared" si="364"/>
        <v/>
      </c>
      <c r="H1482" s="1604"/>
      <c r="I1482" s="1113" t="str">
        <f>AJ1482</f>
        <v/>
      </c>
      <c r="J1482" s="577"/>
      <c r="K1482" s="578" t="str">
        <f t="shared" si="365"/>
        <v/>
      </c>
      <c r="L1482" s="579"/>
      <c r="M1482" s="700" t="str">
        <f>IF(AND(E1467&lt;&gt;"",OR(F1482="",COUNT(K1482:L1482)=0),Y1482&lt;&gt;EUconst_NA,T1467&lt;&gt;TRUE),EUconst_ERR_Incomplete,IF(COUNTIF(AX1482:AZ1482,TRUE)&gt;0,EUconst_ERR_Inconsistent,""))</f>
        <v/>
      </c>
      <c r="O1482" s="1305"/>
      <c r="P1482" s="33"/>
      <c r="Q1482" s="33"/>
      <c r="R1482" s="33"/>
      <c r="S1482" s="30"/>
      <c r="T1482" s="543" t="str">
        <f>EUconst_CNTR_CarbonContent&amp;E1467</f>
        <v>CarbC_</v>
      </c>
      <c r="U1482" s="488"/>
      <c r="V1482" s="544" t="str">
        <f t="shared" si="370"/>
        <v/>
      </c>
      <c r="W1482" s="30"/>
      <c r="X1482" s="488"/>
      <c r="Y1482" s="545" t="str">
        <f>IF(OR(T1467=TRUE,E1467=""),"",INDEX(EUwideConstants!$N:$N,MATCH(T1482,EUwideConstants!$Q:$Q,0)))</f>
        <v/>
      </c>
      <c r="Z1482" s="546" t="str">
        <f>IF(ISBLANK(F1482),"",IF(F1482=EUconst_NA,"",INDEX(EUwideConstants!$H:$M,MATCH(T1482,EUwideConstants!$Q:$Q,0),MATCH(F1482,CNTR_TierList,0))))</f>
        <v/>
      </c>
      <c r="AA1482" s="580" t="str">
        <f>IF(COUNTIF(EUconst_DefaultValues,Z1482)&gt;0,MATCH(Z1482,EUconst_DefaultValues,0),"")</f>
        <v/>
      </c>
      <c r="AB1482" s="30"/>
      <c r="AC1482" s="548" t="b">
        <f>AND(AC1476,Y1482&lt;&gt;EUconst_NA)</f>
        <v>0</v>
      </c>
      <c r="AD1482" s="30"/>
      <c r="AE1482" s="549" t="str">
        <f>EUconst_CNTR_CarbonContent&amp;EUconst_Unit</f>
        <v>CarbC_Vienetas</v>
      </c>
      <c r="AF1482" s="550" t="str">
        <f>IF(AC1482=TRUE, IF(COUNTIF(MSPara_SourceStreamCategory,V1482)=0,"",INDEX(MSPara_CalcFactorsMatrix,MATCH(V1482,MSPara_SourceStreamCategory,0),MATCH(AE1482&amp;"_"&amp;2,MSPara_CalcFactors,0))),"")</f>
        <v/>
      </c>
      <c r="AG1482" s="551" t="str">
        <f>IF(AC1482=TRUE, IF(COUNTIF(MSPara_SourceStreamCategory,V1482)=0,"",INDEX(MSPara_CalcFactorsMatrix,MATCH(V1482,MSPara_SourceStreamCategory,0),MATCH(AE1482&amp;"_"&amp;1,MSPara_CalcFactors,0))),"")</f>
        <v/>
      </c>
      <c r="AH1482" s="581" t="str">
        <f>IF(AA1482="","",INDEX(AF1482:AG1482,3-AA1482))</f>
        <v/>
      </c>
      <c r="AI1482" s="565"/>
      <c r="AJ1482" s="582" t="str">
        <f>IF(AC1482=TRUE,IF(AJ1476="","",IF(AJ1476=EUconst_kNm3,EUconst_tCpkNm3,EUconst_tCpt)),"")</f>
        <v/>
      </c>
      <c r="AK1482" s="566"/>
      <c r="AL1482" s="333"/>
      <c r="AM1482" s="549" t="str">
        <f>EUconst_CNTR_CarbonContent&amp;EUconst_Value</f>
        <v>CarbC_Vertė</v>
      </c>
      <c r="AN1482" s="555" t="str">
        <f>IF(AC1482=TRUE,IF(COUNTIF(MSPara_SourceStreamCategory,V1482)=0,"",INDEX(MSPara_CalcFactorsMatrix,MATCH(V1482,MSPara_SourceStreamCategory,0),MATCH(AM1482&amp;"_"&amp;2,MSPara_CalcFactors,0))),"")</f>
        <v/>
      </c>
      <c r="AO1482" s="583" t="str">
        <f>IF(AC1482=TRUE,IF(COUNTIF(MSPara_SourceStreamCategory,V1482)=0,"",INDEX(MSPara_CalcFactorsMatrix,MATCH(V1482,MSPara_SourceStreamCategory,0),MATCH(AM1482&amp;"_"&amp;1,MSPara_CalcFactors,0))),"")</f>
        <v/>
      </c>
      <c r="AP1482" s="548" t="b">
        <f>AND(AND(AH1482&lt;&gt;"",AJ1482&lt;&gt;""),AJ1482=AH1482)</f>
        <v>0</v>
      </c>
      <c r="AQ1482" s="584" t="str">
        <f>IF(AND(AA1482&lt;&gt;"",AP1482=TRUE),IF(OR(INDEX(AN1482:AO1482,3-AA1482)=EUconst_NA,INDEX(AN1482:AO1482,3-AA1482)=0),"",INDEX(AN1482:AO1482,3-AA1482)),"")</f>
        <v/>
      </c>
      <c r="AR1482" s="548">
        <f>IF(AC1482=TRUE,IF(COUNT(K1482:L1482)=0,0,IF(L1482="",K1482,L1482)),0)</f>
        <v>0</v>
      </c>
      <c r="AS1482" s="544" t="b">
        <f>AND(AC1482=TRUE,OR(AND(F1482&lt;&gt;"",NOT(ISNUMBER(AA1482))),L1482&lt;&gt;"",F1482="",AQ1482=""))</f>
        <v>0</v>
      </c>
      <c r="AT1482" s="544" t="b">
        <f t="shared" si="366"/>
        <v>0</v>
      </c>
      <c r="AU1482" s="30"/>
      <c r="AV1482" s="558" t="b">
        <f t="shared" si="367"/>
        <v>0</v>
      </c>
      <c r="AW1482" s="559" t="b">
        <f t="shared" si="368"/>
        <v>0</v>
      </c>
      <c r="AX1482" s="537" t="b">
        <f>OR(AND(AJ1476=EUconst_kNm3,AJ1482=EUconst_tCpt),AND(AJ1476=EUconst_t,AJ1482=EUconst_tCpkNm3))</f>
        <v>0</v>
      </c>
      <c r="AY1482" s="544" t="b">
        <f t="shared" si="369"/>
        <v>0</v>
      </c>
      <c r="AZ1482" s="30"/>
      <c r="BA1482" s="30"/>
      <c r="BB1482" s="569" t="s">
        <v>482</v>
      </c>
      <c r="BC1482" s="570">
        <f>AR1476*AR1479/1000*AR1483</f>
        <v>0</v>
      </c>
      <c r="BD1482" s="571">
        <f>BC1482</f>
        <v>0</v>
      </c>
      <c r="BE1482" s="572">
        <f>BC1482</f>
        <v>0</v>
      </c>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544" t="b">
        <f>OR(BZ1476,Y1482=EUconst_NA)</f>
        <v>1</v>
      </c>
    </row>
    <row r="1483" spans="1:78" s="140" customFormat="1" ht="12.75" customHeight="1" x14ac:dyDescent="0.2">
      <c r="A1483" s="777"/>
      <c r="B1483" s="1248"/>
      <c r="C1483" s="753" t="s">
        <v>325</v>
      </c>
      <c r="D1483" s="503" t="str">
        <f>Translations!$B$641</f>
        <v>Biomasės dalis (BioC):</v>
      </c>
      <c r="E1483" s="504"/>
      <c r="F1483" s="539"/>
      <c r="G1483" s="1603" t="str">
        <f t="shared" si="364"/>
        <v/>
      </c>
      <c r="H1483" s="1604"/>
      <c r="I1483" s="1113" t="str">
        <f>IF(OR(AC1483=FALSE,Y1483=EUconst_NA),"","-")</f>
        <v/>
      </c>
      <c r="J1483" s="560"/>
      <c r="K1483" s="561" t="str">
        <f t="shared" si="365"/>
        <v/>
      </c>
      <c r="L1483" s="694"/>
      <c r="M1483" s="700" t="str">
        <f>IF(AND(E1467&lt;&gt;"",OR(F1483="",COUNT(K1483:L1483)=0),Y1483&lt;&gt;EUconst_NA,T1467&lt;&gt;TRUE),EUconst_ERR_Incomplete,IF(COUNTIF(AX1483:AZ1483,TRUE)&gt;0,EUconst_ERR_Inconsistent,""))</f>
        <v/>
      </c>
      <c r="O1483" s="1305"/>
      <c r="P1483" s="635"/>
      <c r="Q1483" s="635"/>
      <c r="R1483" s="635"/>
      <c r="S1483" s="30"/>
      <c r="T1483" s="543" t="str">
        <f>EUconst_CNTR_BiomassContent&amp;E1467</f>
        <v>BioC_</v>
      </c>
      <c r="U1483" s="488"/>
      <c r="V1483" s="585" t="str">
        <f t="shared" si="370"/>
        <v/>
      </c>
      <c r="W1483" s="522" t="str">
        <f>IF(COUNTIF(MSPara_SourceStreamCategory,V1483)=0,"",INDEX(MSPara_IsFossil,MATCH(V1483,MSPara_SourceStreamCategory,0)))</f>
        <v/>
      </c>
      <c r="X1483" s="488"/>
      <c r="Y1483" s="545" t="str">
        <f>IF(OR(T1467=TRUE,E1467=""),"",IF(OR(W1483=TRUE,F1483=EUconst_NA),EUconst_NA,INDEX(EUwideConstants!$N:$N,MATCH(T1483,EUwideConstants!$Q:$Q,0))))</f>
        <v/>
      </c>
      <c r="Z1483" s="546" t="str">
        <f>IF(ISBLANK(F1483),"",IF(F1483=EUconst_NA,"",INDEX(EUwideConstants!$H:$M,MATCH(T1483,EUwideConstants!$Q:$Q,0),MATCH(F1483,CNTR_TierList,0))))</f>
        <v/>
      </c>
      <c r="AA1483" s="586" t="str">
        <f>IF(F1483=1,1,"")</f>
        <v/>
      </c>
      <c r="AB1483" s="30"/>
      <c r="AC1483" s="548" t="b">
        <f>AND(AC1476,Y1483&lt;&gt;EUconst_NA)</f>
        <v>0</v>
      </c>
      <c r="AD1483" s="30"/>
      <c r="AE1483" s="563"/>
      <c r="AG1483" s="564"/>
      <c r="AH1483" s="553"/>
      <c r="AI1483" s="565"/>
      <c r="AJ1483" s="553"/>
      <c r="AK1483" s="566"/>
      <c r="AL1483" s="333"/>
      <c r="AM1483" s="549" t="str">
        <f>EUconst_CNTR_BiomassContent&amp;EUconst_Value</f>
        <v>BioC_Vertė</v>
      </c>
      <c r="AO1483" s="587" t="str">
        <f>IF(AC1483=TRUE,IF(COUNTIF(MSPara_SourceStreamCategory,V1483)=0,"",INDEX(MSPara_CalcFactorsMatrix,MATCH(V1483,MSPara_SourceStreamCategory,0),MATCH(AM1483&amp;"_"&amp;2,MSPara_CalcFactors,0))),"")</f>
        <v/>
      </c>
      <c r="AP1483" s="553"/>
      <c r="AQ1483" s="568" t="str">
        <f>IF(OR(AA1483="",AO1483=EUconst_NA),"",AO1483)</f>
        <v/>
      </c>
      <c r="AR1483" s="548">
        <f>IF(AC1483=TRUE,IF(COUNT(K1483:L1483)=0,0,IF(L1483="",K1483,L1483)),0)</f>
        <v>0</v>
      </c>
      <c r="AS1483" s="544" t="b">
        <f>AND(AC1483=TRUE,OR(AND(F1483&lt;&gt;"",NOT(ISNUMBER(AA1483))),L1483&lt;&gt;"",F1483="",AQ1483=""))</f>
        <v>0</v>
      </c>
      <c r="AT1483" s="544" t="b">
        <f t="shared" si="366"/>
        <v>0</v>
      </c>
      <c r="AU1483" s="30"/>
      <c r="AV1483" s="558" t="b">
        <f t="shared" si="367"/>
        <v>0</v>
      </c>
      <c r="AW1483" s="559" t="b">
        <f t="shared" si="368"/>
        <v>0</v>
      </c>
      <c r="AX1483" s="30"/>
      <c r="AY1483" s="585" t="b">
        <f t="shared" si="369"/>
        <v>0</v>
      </c>
      <c r="AZ1483" s="522" t="b">
        <f>OR(AR1483&gt;100%,(AR1483+AR1484)&gt;100%)</f>
        <v>0</v>
      </c>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544" t="b">
        <f>OR(BZ1476,Y1483=EUconst_NA)</f>
        <v>1</v>
      </c>
    </row>
    <row r="1484" spans="1:78" s="140" customFormat="1" ht="12.75" customHeight="1" thickBot="1" x14ac:dyDescent="0.25">
      <c r="A1484" s="777"/>
      <c r="B1484" s="1248"/>
      <c r="C1484" s="753" t="s">
        <v>448</v>
      </c>
      <c r="D1484" s="503" t="str">
        <f>Translations!$B$647</f>
        <v>Netvarios BioC dalis:</v>
      </c>
      <c r="E1484" s="504"/>
      <c r="F1484" s="588"/>
      <c r="G1484" s="1603" t="str">
        <f t="shared" si="364"/>
        <v/>
      </c>
      <c r="H1484" s="1604"/>
      <c r="I1484" s="1114" t="str">
        <f>IF(OR(AC1484=FALSE,Y1484=EUconst_NA),"","-")</f>
        <v/>
      </c>
      <c r="J1484" s="560"/>
      <c r="K1484" s="589" t="str">
        <f t="shared" si="365"/>
        <v/>
      </c>
      <c r="L1484" s="1100"/>
      <c r="M1484" s="700" t="str">
        <f>IF(AND(E1467&lt;&gt;"",OR(F1484="",COUNT(K1484:L1484)=0),Y1484&lt;&gt;EUconst_NA,T1467&lt;&gt;TRUE),EUconst_ERR_Incomplete,IF(COUNTIF(AX1484:AZ1484,TRUE)&gt;0,EUconst_ERR_Inconsistent,""))</f>
        <v/>
      </c>
      <c r="O1484" s="1305"/>
      <c r="P1484" s="635"/>
      <c r="Q1484" s="635"/>
      <c r="R1484" s="635"/>
      <c r="S1484" s="30"/>
      <c r="T1484" s="590" t="str">
        <f>EUconst_CNTR_BiomassContent&amp;E1467</f>
        <v>BioC_</v>
      </c>
      <c r="U1484" s="488"/>
      <c r="V1484" s="570" t="str">
        <f t="shared" si="370"/>
        <v/>
      </c>
      <c r="W1484" s="571" t="str">
        <f>IF(COUNTIF(MSPara_SourceStreamCategory,V1484)=0,"",INDEX(MSPara_IsFossil,MATCH(V1484,MSPara_SourceStreamCategory,0)))</f>
        <v/>
      </c>
      <c r="X1484" s="488"/>
      <c r="Y1484" s="591" t="str">
        <f>IF(OR(T1467=TRUE,E1467=""),"",IF(OR(W1484=TRUE,F1484=EUconst_NA),EUconst_NA,INDEX(EUwideConstants!$N:$N,MATCH(T1484,EUwideConstants!$Q:$Q,0))))</f>
        <v/>
      </c>
      <c r="Z1484" s="592" t="str">
        <f>IF(ISBLANK(F1484),"",IF(F1484=EUconst_NA,"",INDEX(EUwideConstants!$H:$M,MATCH(T1484,EUwideConstants!$Q:$Q,0),MATCH(F1484,CNTR_TierList,0))))</f>
        <v/>
      </c>
      <c r="AA1484" s="593" t="str">
        <f>IF(F1484=1,1,"")</f>
        <v/>
      </c>
      <c r="AB1484" s="30"/>
      <c r="AC1484" s="594" t="b">
        <f>AND(AC1476,Y1484&lt;&gt;EUconst_NA)</f>
        <v>0</v>
      </c>
      <c r="AD1484" s="30"/>
      <c r="AE1484" s="595"/>
      <c r="AF1484" s="596"/>
      <c r="AG1484" s="597"/>
      <c r="AH1484" s="598"/>
      <c r="AI1484" s="598"/>
      <c r="AJ1484" s="598"/>
      <c r="AK1484" s="599"/>
      <c r="AL1484" s="333"/>
      <c r="AM1484" s="600" t="str">
        <f>EUconst_CNTR_BiomassContent&amp;EUconst_Value</f>
        <v>BioC_Vertė</v>
      </c>
      <c r="AN1484" s="596"/>
      <c r="AO1484" s="601" t="str">
        <f>IF(AC1484=TRUE,IF(COUNTIF(MSPara_SourceStreamCategory,V1484)=0,"",INDEX(MSPara_CalcFactorsMatrix,MATCH(V1484,MSPara_SourceStreamCategory,0),MATCH(AM1484&amp;"_"&amp;2,MSPara_CalcFactors,0))),"")</f>
        <v/>
      </c>
      <c r="AP1484" s="598"/>
      <c r="AQ1484" s="602" t="str">
        <f>IF(OR(AA1484="",AO1484=EUconst_NA),"",AO1484)</f>
        <v/>
      </c>
      <c r="AR1484" s="594">
        <f>IF(AC1484=TRUE,IF(COUNT(K1484:L1484)=0,0,IF(L1484="",K1484,L1484)),0)</f>
        <v>0</v>
      </c>
      <c r="AS1484" s="603" t="b">
        <f>AND(AC1484=TRUE,OR(AND(F1484&lt;&gt;"",NOT(ISNUMBER(AA1484))),L1484&lt;&gt;"",F1484="",AQ1484=""))</f>
        <v>0</v>
      </c>
      <c r="AT1484" s="603" t="b">
        <f t="shared" si="366"/>
        <v>0</v>
      </c>
      <c r="AU1484" s="30"/>
      <c r="AV1484" s="604" t="b">
        <f t="shared" si="367"/>
        <v>0</v>
      </c>
      <c r="AW1484" s="605" t="b">
        <f t="shared" si="368"/>
        <v>0</v>
      </c>
      <c r="AX1484" s="30"/>
      <c r="AY1484" s="570" t="b">
        <f t="shared" si="369"/>
        <v>0</v>
      </c>
      <c r="AZ1484" s="571" t="b">
        <f>OR(AR1483&gt;100%,(AR1483+AR1484)&gt;100%)</f>
        <v>0</v>
      </c>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571" t="b">
        <f>OR(BZ1476,Y1484=EUconst_NA)</f>
        <v>1</v>
      </c>
    </row>
    <row r="1485" spans="1:78" s="140" customFormat="1" ht="5.0999999999999996" customHeight="1" x14ac:dyDescent="0.2">
      <c r="A1485" s="777"/>
      <c r="B1485" s="1248"/>
      <c r="C1485" s="164"/>
      <c r="D1485" s="178"/>
      <c r="O1485" s="1305"/>
      <c r="P1485" s="33"/>
      <c r="Q1485" s="33"/>
      <c r="R1485" s="33"/>
      <c r="S1485" s="172"/>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row>
    <row r="1486" spans="1:78" s="140" customFormat="1" ht="12.75" customHeight="1" x14ac:dyDescent="0.2">
      <c r="A1486" s="777"/>
      <c r="B1486" s="1248"/>
      <c r="C1486" s="164"/>
      <c r="D1486" s="1629" t="str">
        <f>Translations!$B$674</f>
        <v>Pakopos galioja nuo:</v>
      </c>
      <c r="E1486" s="1629"/>
      <c r="F1486" s="1630"/>
      <c r="G1486" s="1014"/>
      <c r="H1486" s="606" t="str">
        <f>Translations!$B$675</f>
        <v>iki:</v>
      </c>
      <c r="I1486" s="1014"/>
      <c r="J1486" s="1620" t="str">
        <f>Translations!$B$676</f>
        <v>Atliekų katalogo numeris (jeigu taikytina):</v>
      </c>
      <c r="K1486" s="1621"/>
      <c r="L1486" s="1621"/>
      <c r="M1486" s="1622"/>
      <c r="N1486" s="1232"/>
      <c r="O1486" s="1305"/>
      <c r="P1486" s="33"/>
      <c r="Q1486" s="33"/>
      <c r="R1486" s="33"/>
      <c r="S1486" s="1233"/>
      <c r="T1486" s="483"/>
      <c r="U1486" s="483"/>
      <c r="V1486" s="48" t="b">
        <f>IF(V1476="",FALSE,INDEX(CNTR_IsWaste,MATCH(V1476,MSParameters!$A$218:$A$376,0)))</f>
        <v>0</v>
      </c>
      <c r="W1486" s="1233" t="s">
        <v>1689</v>
      </c>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2" t="b">
        <f>BZ1476</f>
        <v>1</v>
      </c>
    </row>
    <row r="1487" spans="1:78" s="140" customFormat="1" ht="5.0999999999999996" customHeight="1" x14ac:dyDescent="0.2">
      <c r="A1487" s="777"/>
      <c r="B1487" s="1248"/>
      <c r="C1487" s="164"/>
      <c r="D1487" s="606"/>
      <c r="E1487" s="486"/>
      <c r="F1487" s="486"/>
      <c r="G1487" s="486"/>
      <c r="H1487" s="486"/>
      <c r="I1487" s="486"/>
      <c r="J1487" s="486"/>
      <c r="K1487" s="486"/>
      <c r="L1487" s="486"/>
      <c r="M1487" s="486"/>
      <c r="N1487" s="486"/>
      <c r="O1487" s="1305"/>
      <c r="P1487" s="33"/>
      <c r="Q1487" s="33"/>
      <c r="R1487" s="33"/>
      <c r="S1487" s="172"/>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row>
    <row r="1488" spans="1:78" s="140" customFormat="1" ht="12.75" customHeight="1" x14ac:dyDescent="0.2">
      <c r="A1488" s="777"/>
      <c r="B1488" s="1248"/>
      <c r="C1488" s="164"/>
      <c r="D1488" s="486"/>
      <c r="E1488" s="486"/>
      <c r="F1488" s="486"/>
      <c r="G1488" s="486"/>
      <c r="H1488" s="486"/>
      <c r="I1488" s="486"/>
      <c r="J1488" s="486"/>
      <c r="K1488" s="486"/>
      <c r="L1488" s="486"/>
      <c r="M1488" s="606" t="str">
        <f>Translations!$B$677</f>
        <v>Stebėsenos plane šiam sukėlikliui suteiktas identifikatorius:</v>
      </c>
      <c r="N1488" s="705"/>
      <c r="O1488" s="1305"/>
      <c r="P1488" s="33"/>
      <c r="Q1488" s="33"/>
      <c r="R1488" s="33"/>
      <c r="S1488" s="172"/>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2" t="b">
        <f>BZ1486</f>
        <v>1</v>
      </c>
    </row>
    <row r="1489" spans="1:78" s="140" customFormat="1" ht="5.0999999999999996" customHeight="1" x14ac:dyDescent="0.2">
      <c r="A1489" s="784"/>
      <c r="B1489" s="1316"/>
      <c r="D1489" s="178"/>
      <c r="O1489" s="1317"/>
      <c r="P1489" s="488"/>
      <c r="Q1489" s="488"/>
      <c r="R1489" s="488"/>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row>
    <row r="1490" spans="1:78" s="140" customFormat="1" x14ac:dyDescent="0.2">
      <c r="A1490" s="784"/>
      <c r="B1490" s="1316"/>
      <c r="D1490" s="1618" t="str">
        <f>Translations!$B$160</f>
        <v>Pastabos:</v>
      </c>
      <c r="E1490" s="1619"/>
      <c r="F1490" s="1605"/>
      <c r="G1490" s="1606"/>
      <c r="H1490" s="1606"/>
      <c r="I1490" s="1606"/>
      <c r="J1490" s="1606"/>
      <c r="K1490" s="1606"/>
      <c r="L1490" s="1606"/>
      <c r="M1490" s="1606"/>
      <c r="N1490" s="1607"/>
      <c r="O1490" s="1317"/>
      <c r="P1490" s="488"/>
      <c r="Q1490" s="488"/>
      <c r="R1490" s="488"/>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2" t="b">
        <f>BZ1486</f>
        <v>1</v>
      </c>
    </row>
    <row r="1491" spans="1:78" s="28" customFormat="1" ht="12.75" customHeight="1" thickBot="1" x14ac:dyDescent="0.25">
      <c r="A1491" s="777"/>
      <c r="B1491" s="1312"/>
      <c r="C1491" s="490"/>
      <c r="D1491" s="491"/>
      <c r="E1491" s="492"/>
      <c r="F1491" s="490"/>
      <c r="G1491" s="493"/>
      <c r="H1491" s="493"/>
      <c r="I1491" s="493"/>
      <c r="J1491" s="493"/>
      <c r="K1491" s="493"/>
      <c r="L1491" s="493"/>
      <c r="M1491" s="493"/>
      <c r="N1491" s="493"/>
      <c r="O1491" s="1313"/>
      <c r="P1491" s="485"/>
      <c r="Q1491" s="485"/>
      <c r="R1491" s="485"/>
      <c r="S1491" s="58"/>
      <c r="T1491" s="58"/>
      <c r="U1491" s="489"/>
      <c r="V1491" s="58"/>
      <c r="W1491" s="58"/>
      <c r="X1491" s="489"/>
      <c r="Y1491" s="58"/>
      <c r="Z1491" s="58"/>
      <c r="AA1491" s="58"/>
      <c r="AB1491" s="58"/>
      <c r="AC1491" s="58"/>
      <c r="AD1491" s="58"/>
      <c r="AE1491" s="58"/>
      <c r="AF1491" s="58"/>
      <c r="AG1491" s="58"/>
      <c r="AH1491" s="58"/>
      <c r="AI1491" s="58"/>
      <c r="AJ1491" s="58"/>
      <c r="AK1491" s="58"/>
      <c r="AL1491" s="58"/>
      <c r="AM1491" s="58"/>
      <c r="AN1491" s="58"/>
      <c r="AO1491" s="58"/>
      <c r="AP1491" s="58"/>
      <c r="AQ1491" s="58"/>
      <c r="AR1491" s="58"/>
      <c r="AS1491" s="58"/>
      <c r="AT1491" s="58"/>
      <c r="AU1491" s="58"/>
      <c r="AV1491" s="58"/>
      <c r="AW1491" s="58"/>
      <c r="AX1491" s="58"/>
      <c r="AY1491" s="58"/>
      <c r="AZ1491" s="58"/>
      <c r="BA1491" s="58"/>
      <c r="BB1491" s="58"/>
      <c r="BC1491" s="58"/>
      <c r="BD1491" s="58"/>
      <c r="BE1491" s="58"/>
      <c r="BF1491" s="58"/>
      <c r="BG1491" s="58"/>
      <c r="BH1491" s="58"/>
      <c r="BI1491" s="30"/>
      <c r="BJ1491" s="30"/>
      <c r="BK1491" s="30"/>
      <c r="BL1491" s="58"/>
      <c r="BM1491" s="58"/>
      <c r="BN1491" s="58"/>
      <c r="BO1491" s="58"/>
      <c r="BP1491" s="58"/>
      <c r="BQ1491" s="58"/>
      <c r="BR1491" s="58"/>
      <c r="BS1491" s="58"/>
      <c r="BT1491" s="58"/>
      <c r="BU1491" s="58"/>
      <c r="BV1491" s="58"/>
      <c r="BW1491" s="58"/>
      <c r="BX1491" s="58"/>
      <c r="BY1491" s="58"/>
      <c r="BZ1491" s="58"/>
    </row>
    <row r="1492" spans="1:78" s="28" customFormat="1" ht="12.75" customHeight="1" thickBot="1" x14ac:dyDescent="0.25">
      <c r="A1492" s="782"/>
      <c r="B1492" s="1312"/>
      <c r="C1492" s="486"/>
      <c r="D1492" s="178"/>
      <c r="E1492" s="487"/>
      <c r="F1492" s="486"/>
      <c r="G1492" s="478"/>
      <c r="H1492" s="478"/>
      <c r="I1492" s="478"/>
      <c r="J1492" s="478"/>
      <c r="K1492" s="486"/>
      <c r="L1492" s="478"/>
      <c r="M1492" s="478"/>
      <c r="N1492" s="478"/>
      <c r="O1492" s="1313"/>
      <c r="P1492" s="485"/>
      <c r="Q1492" s="485"/>
      <c r="R1492" s="485"/>
      <c r="S1492" s="23"/>
      <c r="T1492" s="27" t="str">
        <f>IF(ISBLANK(E1493),"",MATCH(E1493,CNTR_SourceStreamNames,0))</f>
        <v/>
      </c>
      <c r="U1492" s="609" t="str">
        <f>IF(ISBLANK(E1493),"",INDEX(B_InstallationDescription!$D$71:$D$145,MATCH(E1493,CNTR_SourceStreamNames,0)))</f>
        <v/>
      </c>
      <c r="V1492" s="76"/>
      <c r="W1492" s="56"/>
      <c r="X1492" s="56"/>
      <c r="Y1492" s="56"/>
      <c r="Z1492" s="58"/>
      <c r="AA1492" s="58"/>
      <c r="AB1492" s="58"/>
      <c r="AC1492" s="58"/>
      <c r="AD1492" s="58"/>
      <c r="AE1492" s="58"/>
      <c r="AF1492" s="58"/>
      <c r="AG1492" s="58"/>
      <c r="AH1492" s="58"/>
      <c r="AI1492" s="58"/>
      <c r="AJ1492" s="58"/>
      <c r="AK1492" s="482"/>
      <c r="AL1492" s="58"/>
      <c r="AM1492" s="58"/>
      <c r="AN1492" s="58"/>
      <c r="AO1492" s="58"/>
      <c r="AP1492" s="58"/>
      <c r="AQ1492" s="58"/>
      <c r="AR1492" s="58"/>
      <c r="AS1492" s="58"/>
      <c r="AT1492" s="58"/>
      <c r="AU1492" s="58"/>
      <c r="AV1492" s="58"/>
      <c r="AW1492" s="58"/>
      <c r="AX1492" s="58"/>
      <c r="AY1492" s="58"/>
      <c r="AZ1492" s="58"/>
      <c r="BA1492" s="58"/>
      <c r="BB1492" s="58"/>
      <c r="BC1492" s="58"/>
      <c r="BD1492" s="58"/>
      <c r="BE1492" s="58"/>
      <c r="BF1492" s="58"/>
      <c r="BG1492" s="58"/>
      <c r="BH1492" s="56"/>
      <c r="BI1492" s="56"/>
      <c r="BJ1492" s="56"/>
      <c r="BK1492" s="56"/>
      <c r="BL1492" s="56"/>
      <c r="BM1492" s="56"/>
      <c r="BN1492" s="56"/>
      <c r="BO1492" s="56"/>
      <c r="BP1492" s="56"/>
      <c r="BQ1492" s="56"/>
      <c r="BR1492" s="56"/>
      <c r="BS1492" s="56"/>
      <c r="BT1492" s="56"/>
      <c r="BU1492" s="56"/>
      <c r="BV1492" s="56"/>
      <c r="BW1492" s="56"/>
      <c r="BX1492" s="56"/>
      <c r="BY1492" s="56"/>
      <c r="BZ1492" s="484" t="s">
        <v>259</v>
      </c>
    </row>
    <row r="1493" spans="1:78" s="140" customFormat="1" ht="15" customHeight="1" thickBot="1" x14ac:dyDescent="0.25">
      <c r="A1493" s="1302" t="str">
        <f>IF(E1493="","","PRINT")</f>
        <v/>
      </c>
      <c r="B1493" s="1248"/>
      <c r="C1493" s="608">
        <f>C1466+1</f>
        <v>54</v>
      </c>
      <c r="D1493" s="164"/>
      <c r="E1493" s="1610"/>
      <c r="F1493" s="1611"/>
      <c r="G1493" s="1611"/>
      <c r="H1493" s="1611"/>
      <c r="I1493" s="1611"/>
      <c r="J1493" s="1612"/>
      <c r="K1493" s="1623" t="str">
        <f>IF(E1494="","",INDEX(EUwideConstants!$F$353:$F$394,MATCH(E1494,EUConst_TierActivityListNames,0)))</f>
        <v/>
      </c>
      <c r="L1493" s="1624"/>
      <c r="M1493" s="494" t="str">
        <f>Translations!$B$665</f>
        <v>CO2, iškastinio kuro kilmės:</v>
      </c>
      <c r="N1493" s="1012" t="str">
        <f>IF(OR(K1493="",T1494=TRUE),"",INDEX(BC1507:BE1507,MATCH(K1493,BC1503:BE1503,0)))</f>
        <v/>
      </c>
      <c r="O1493" s="1314" t="s">
        <v>257</v>
      </c>
      <c r="P1493" s="1303" t="str">
        <f>IF(AND(E1493&lt;&gt;"",COUNTIF(P1494:$P$2089,"PRINT")=0),"PRINT","")</f>
        <v/>
      </c>
      <c r="Q1493" s="343" t="str">
        <f>EUconst_SumCO2 &amp; "_" &amp; K1493</f>
        <v>SUM_CO2_</v>
      </c>
      <c r="R1493" s="485"/>
      <c r="S1493" s="23"/>
      <c r="T1493" s="500" t="s">
        <v>387</v>
      </c>
      <c r="U1493" s="23"/>
      <c r="V1493" s="76"/>
      <c r="W1493" s="56"/>
      <c r="X1493" s="58"/>
      <c r="Y1493" s="58"/>
      <c r="Z1493" s="58"/>
      <c r="AA1493" s="58"/>
      <c r="AB1493" s="58"/>
      <c r="AC1493" s="58"/>
      <c r="AD1493" s="58"/>
      <c r="AE1493" s="58"/>
      <c r="AF1493" s="58"/>
      <c r="AG1493" s="58"/>
      <c r="AH1493" s="58"/>
      <c r="AI1493" s="333"/>
      <c r="AJ1493" s="333"/>
      <c r="AK1493" s="333"/>
      <c r="AL1493" s="333"/>
      <c r="AM1493" s="333"/>
      <c r="AN1493" s="333"/>
      <c r="AO1493" s="333"/>
      <c r="AP1493" s="333"/>
      <c r="AQ1493" s="333"/>
      <c r="AR1493" s="333"/>
      <c r="AS1493" s="333"/>
      <c r="AT1493" s="333"/>
      <c r="AU1493" s="333"/>
      <c r="AV1493" s="333"/>
      <c r="AW1493" s="333"/>
      <c r="AX1493" s="333"/>
      <c r="AY1493" s="333"/>
      <c r="AZ1493" s="333"/>
      <c r="BA1493" s="333"/>
      <c r="BB1493" s="333"/>
      <c r="BC1493" s="333"/>
      <c r="BD1493" s="333"/>
      <c r="BE1493" s="333"/>
      <c r="BF1493" s="333"/>
      <c r="BG1493" s="333"/>
      <c r="BH1493" s="834">
        <f>AR1503</f>
        <v>0</v>
      </c>
      <c r="BI1493" s="834" t="str">
        <f>AJ1503</f>
        <v/>
      </c>
      <c r="BJ1493" s="834">
        <f>AR1505</f>
        <v>0</v>
      </c>
      <c r="BK1493" s="834" t="str">
        <f>AJ1505</f>
        <v/>
      </c>
      <c r="BL1493" s="834">
        <f>AR1506</f>
        <v>0</v>
      </c>
      <c r="BM1493" s="834" t="str">
        <f>AJ1506</f>
        <v/>
      </c>
      <c r="BN1493" s="834">
        <f>AR1507</f>
        <v>1</v>
      </c>
      <c r="BO1493" s="834">
        <f>AR1508</f>
        <v>1</v>
      </c>
      <c r="BP1493" s="834">
        <f>AR1509</f>
        <v>0</v>
      </c>
      <c r="BQ1493" s="834" t="str">
        <f>AJ1509</f>
        <v/>
      </c>
      <c r="BR1493" s="834">
        <f>AR1510</f>
        <v>0</v>
      </c>
      <c r="BS1493" s="834">
        <f>AR1511</f>
        <v>0</v>
      </c>
      <c r="BT1493" s="834" t="str">
        <f>N1493</f>
        <v/>
      </c>
      <c r="BU1493" s="834" t="str">
        <f>N1494</f>
        <v/>
      </c>
      <c r="BV1493" s="834" t="str">
        <f>R1496</f>
        <v/>
      </c>
      <c r="BW1493" s="834" t="str">
        <f>R1502</f>
        <v/>
      </c>
      <c r="BX1493" s="834" t="str">
        <f>R1503</f>
        <v/>
      </c>
      <c r="BY1493" s="56"/>
      <c r="BZ1493" s="610" t="b">
        <f>CNTR_CalcRelevant=EUconst_NotRelevant</f>
        <v>0</v>
      </c>
    </row>
    <row r="1494" spans="1:78" s="140" customFormat="1" ht="15" customHeight="1" thickBot="1" x14ac:dyDescent="0.25">
      <c r="A1494" s="777"/>
      <c r="B1494" s="1248"/>
      <c r="C1494" s="164"/>
      <c r="D1494" s="164"/>
      <c r="E1494" s="1625" t="str">
        <f>IF(ISBLANK(E1493),"",IF(INDEX(B_InstallationDescription!$E$71:$E$145,MATCH(U1492,B_InstallationDescription!$D$71:$D$145,0))&gt;0,INDEX(B_InstallationDescription!$E$71:$E$145,MATCH(U1492,B_InstallationDescription!$D$71:$D$145,0)),""))</f>
        <v/>
      </c>
      <c r="F1494" s="1626"/>
      <c r="G1494" s="1626"/>
      <c r="H1494" s="1626"/>
      <c r="I1494" s="1626"/>
      <c r="J1494" s="1627"/>
      <c r="M1494" s="337" t="str">
        <f>Translations!$B$666</f>
        <v>CO2, biomasės kilmės.:</v>
      </c>
      <c r="N1494" s="1013" t="str">
        <f>IF(OR(K1493="",T1494=TRUE),"",INDEX(BC1506:BE1506,MATCH(K1493,BC1503:BE1503,0)))</f>
        <v/>
      </c>
      <c r="O1494" s="1315" t="s">
        <v>257</v>
      </c>
      <c r="P1494" s="485"/>
      <c r="Q1494" s="343" t="str">
        <f>EUconst_SumBioCO2 &amp; "_" &amp; K1493</f>
        <v>SUM_bioCO2_</v>
      </c>
      <c r="R1494" s="485"/>
      <c r="S1494" s="23"/>
      <c r="T1494" s="48" t="str">
        <f>IF(E1494="","",MATCH(E1494,EUConst_TierActivityListNames,0)&gt;40)</f>
        <v/>
      </c>
      <c r="U1494" s="23"/>
      <c r="V1494" s="76"/>
      <c r="W1494" s="56"/>
      <c r="X1494" s="58"/>
      <c r="Y1494" s="27" t="s">
        <v>91</v>
      </c>
      <c r="Z1494" s="30"/>
      <c r="AA1494" s="30"/>
      <c r="AB1494" s="30"/>
      <c r="AC1494" s="30"/>
      <c r="AD1494" s="30"/>
      <c r="AE1494" s="27" t="s">
        <v>297</v>
      </c>
      <c r="AF1494" s="58"/>
      <c r="AG1494" s="495"/>
      <c r="AH1494" s="30"/>
      <c r="AI1494" s="30"/>
      <c r="AJ1494" s="495"/>
      <c r="AK1494" s="495"/>
      <c r="AL1494" s="333"/>
      <c r="AM1494" s="27" t="s">
        <v>303</v>
      </c>
      <c r="AN1494" s="496"/>
      <c r="AO1494" s="496"/>
      <c r="AP1494" s="30"/>
      <c r="AQ1494" s="30"/>
      <c r="AR1494" s="30"/>
      <c r="AS1494" s="30"/>
      <c r="AT1494" s="30"/>
      <c r="AU1494" s="30"/>
      <c r="AV1494" s="27" t="s">
        <v>310</v>
      </c>
      <c r="AW1494" s="30"/>
      <c r="AX1494" s="483"/>
      <c r="AY1494" s="30"/>
      <c r="AZ1494" s="30"/>
      <c r="BA1494" s="30"/>
      <c r="BB1494" s="27" t="s">
        <v>217</v>
      </c>
      <c r="BC1494" s="30"/>
      <c r="BD1494" s="30"/>
      <c r="BE1494" s="30"/>
      <c r="BF1494" s="30"/>
      <c r="BG1494" s="27" t="s">
        <v>486</v>
      </c>
      <c r="BH1494" s="833" t="s">
        <v>552</v>
      </c>
      <c r="BI1494" s="833" t="s">
        <v>487</v>
      </c>
      <c r="BJ1494" s="833" t="s">
        <v>211</v>
      </c>
      <c r="BK1494" s="833" t="s">
        <v>488</v>
      </c>
      <c r="BL1494" s="833" t="s">
        <v>68</v>
      </c>
      <c r="BM1494" s="833" t="s">
        <v>489</v>
      </c>
      <c r="BN1494" s="833" t="s">
        <v>490</v>
      </c>
      <c r="BO1494" s="833" t="s">
        <v>491</v>
      </c>
      <c r="BP1494" s="833" t="s">
        <v>214</v>
      </c>
      <c r="BQ1494" s="833" t="s">
        <v>492</v>
      </c>
      <c r="BR1494" s="833" t="s">
        <v>493</v>
      </c>
      <c r="BS1494" s="833" t="s">
        <v>494</v>
      </c>
      <c r="BT1494" s="833" t="s">
        <v>287</v>
      </c>
      <c r="BU1494" s="833" t="s">
        <v>495</v>
      </c>
      <c r="BV1494" s="833" t="s">
        <v>498</v>
      </c>
      <c r="BW1494" s="833" t="s">
        <v>496</v>
      </c>
      <c r="BX1494" s="833" t="s">
        <v>497</v>
      </c>
      <c r="BY1494" s="30"/>
      <c r="BZ1494" s="30"/>
    </row>
    <row r="1495" spans="1:78" s="140" customFormat="1" ht="5.0999999999999996" customHeight="1" thickBot="1" x14ac:dyDescent="0.25">
      <c r="A1495" s="777"/>
      <c r="B1495" s="1248"/>
      <c r="C1495" s="164"/>
      <c r="D1495" s="164"/>
      <c r="E1495" s="164"/>
      <c r="F1495" s="164"/>
      <c r="G1495" s="164"/>
      <c r="M1495" s="141"/>
      <c r="N1495" s="141"/>
      <c r="O1495" s="1305"/>
      <c r="P1495" s="33"/>
      <c r="Q1495" s="33"/>
      <c r="R1495" s="33"/>
      <c r="S1495" s="23"/>
      <c r="T1495" s="23"/>
      <c r="U1495" s="23"/>
      <c r="V1495" s="76"/>
      <c r="W1495" s="30"/>
      <c r="X1495" s="30"/>
      <c r="Y1495" s="485"/>
      <c r="Z1495" s="30"/>
      <c r="AA1495" s="30"/>
      <c r="AB1495" s="30"/>
      <c r="AC1495" s="30"/>
      <c r="AD1495" s="30"/>
      <c r="AE1495" s="30"/>
      <c r="AF1495" s="58"/>
      <c r="AG1495" s="30"/>
      <c r="AH1495" s="30"/>
      <c r="AI1495" s="30"/>
      <c r="AJ1495" s="495"/>
      <c r="AK1495" s="495"/>
      <c r="AL1495" s="333"/>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row>
    <row r="1496" spans="1:78" s="140" customFormat="1" ht="12.75" customHeight="1" thickBot="1" x14ac:dyDescent="0.25">
      <c r="A1496" s="777"/>
      <c r="B1496" s="1248"/>
      <c r="C1496" s="164"/>
      <c r="D1496" s="164"/>
      <c r="E1496" s="1628" t="str">
        <f>IF(E1493="","",IF(T1494=TRUE,HYPERLINK("#JUMP_14",EUconst_MsgGoOnPFC),HYPERLINK("#JUMP_E_8",EUconst_FurtherGuidancePoint1)))</f>
        <v/>
      </c>
      <c r="F1496" s="1628"/>
      <c r="G1496" s="1628"/>
      <c r="H1496" s="1628"/>
      <c r="I1496" s="1628"/>
      <c r="J1496" s="1628"/>
      <c r="K1496" s="1628"/>
      <c r="L1496" s="1628"/>
      <c r="M1496" s="1628"/>
      <c r="N1496" s="141"/>
      <c r="O1496" s="1305"/>
      <c r="P1496" s="33"/>
      <c r="Q1496" s="343" t="str">
        <f>EUconst_SumNonSustBioCO2 &amp; "_" &amp; K1493</f>
        <v>SUM_bioNonSustCO2_</v>
      </c>
      <c r="R1496" s="698" t="str">
        <f>IF(OR(K1493="",T1494=TRUE),"",ROUND(INDEX(BC1505:BE1505,MATCH(K1493,BC1503:BE1503,0)),0))</f>
        <v/>
      </c>
      <c r="S1496" s="23"/>
      <c r="T1496" s="23"/>
      <c r="U1496" s="23"/>
      <c r="V1496" s="30"/>
      <c r="W1496" s="30"/>
      <c r="X1496" s="30"/>
      <c r="Y1496" s="58"/>
      <c r="Z1496" s="30"/>
      <c r="AA1496" s="30"/>
      <c r="AB1496" s="30"/>
      <c r="AC1496" s="30"/>
      <c r="AD1496" s="30"/>
      <c r="AE1496" s="30"/>
      <c r="AF1496" s="58"/>
      <c r="AG1496" s="30"/>
      <c r="AH1496" s="30"/>
      <c r="AI1496" s="30"/>
      <c r="AJ1496" s="495"/>
      <c r="AK1496" s="495"/>
      <c r="AL1496" s="333"/>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row>
    <row r="1497" spans="1:78" s="140" customFormat="1" ht="5.0999999999999996" customHeight="1" thickBot="1" x14ac:dyDescent="0.25">
      <c r="A1497" s="777"/>
      <c r="B1497" s="1248"/>
      <c r="C1497" s="164"/>
      <c r="D1497" s="164"/>
      <c r="E1497" s="164"/>
      <c r="F1497" s="164"/>
      <c r="G1497" s="164"/>
      <c r="M1497" s="141"/>
      <c r="N1497" s="141"/>
      <c r="O1497" s="1305"/>
      <c r="P1497" s="23"/>
      <c r="Q1497" s="23"/>
      <c r="R1497" s="23"/>
      <c r="S1497" s="23"/>
      <c r="T1497" s="23"/>
      <c r="U1497" s="23"/>
      <c r="V1497" s="30"/>
      <c r="W1497" s="30"/>
      <c r="X1497" s="30"/>
      <c r="Y1497" s="485"/>
      <c r="Z1497" s="30"/>
      <c r="AA1497" s="30"/>
      <c r="AB1497" s="30"/>
      <c r="AC1497" s="30"/>
      <c r="AD1497" s="30"/>
      <c r="AE1497" s="30"/>
      <c r="AF1497" s="58"/>
      <c r="AG1497" s="30"/>
      <c r="AH1497" s="30"/>
      <c r="AI1497" s="30"/>
      <c r="AJ1497" s="495"/>
      <c r="AK1497" s="495"/>
      <c r="AL1497" s="333"/>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row>
    <row r="1498" spans="1:78" s="140" customFormat="1" ht="12.75" customHeight="1" thickBot="1" x14ac:dyDescent="0.25">
      <c r="A1498" s="777"/>
      <c r="B1498" s="1248"/>
      <c r="C1498" s="783" t="s">
        <v>4</v>
      </c>
      <c r="D1498" s="503" t="str">
        <f>Translations!$B$622</f>
        <v>VD:</v>
      </c>
      <c r="E1498" s="1631" t="str">
        <f>Translations!$B$667</f>
        <v>Ar veiklos duomenys gaunami sudedant išmatuotus kiekius (t. y. ne atliekant nuolatinius matavimus)?</v>
      </c>
      <c r="F1498" s="1631"/>
      <c r="G1498" s="1631"/>
      <c r="H1498" s="1631"/>
      <c r="I1498" s="1631"/>
      <c r="J1498" s="1631"/>
      <c r="K1498" s="1631"/>
      <c r="L1498" s="1122"/>
      <c r="M1498" s="498"/>
      <c r="O1498" s="1305"/>
      <c r="P1498" s="23"/>
      <c r="Q1498" s="23"/>
      <c r="R1498" s="23"/>
      <c r="S1498" s="23"/>
      <c r="T1498" s="23"/>
      <c r="U1498" s="23"/>
      <c r="V1498" s="30"/>
      <c r="W1498" s="30"/>
      <c r="X1498" s="30"/>
      <c r="Y1498" s="485"/>
      <c r="Z1498" s="30"/>
      <c r="AA1498" s="30"/>
      <c r="AB1498" s="30"/>
      <c r="AC1498" s="1115" t="b">
        <f>AND(E1493&lt;&gt;"",T1494&lt;&gt;TRUE)</f>
        <v>0</v>
      </c>
      <c r="AD1498" s="30"/>
      <c r="AE1498" s="30"/>
      <c r="AF1498" s="58"/>
      <c r="AG1498" s="30"/>
      <c r="AH1498" s="30"/>
      <c r="AI1498" s="30"/>
      <c r="AJ1498" s="495"/>
      <c r="AK1498" s="495"/>
      <c r="AL1498" s="333"/>
      <c r="AM1498" s="30"/>
      <c r="AN1498" s="30"/>
      <c r="AO1498" s="30"/>
      <c r="AP1498" s="30"/>
      <c r="AQ1498" s="30"/>
      <c r="AR1498" s="30"/>
      <c r="AS1498" s="30"/>
      <c r="AT1498" s="1115" t="b">
        <f>MSPara_BatchReportingMandatory&lt;&gt;TRUE</f>
        <v>0</v>
      </c>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1115" t="b">
        <f>OR(CNTR_CalcRelevant=EUconst_NotRelevant,AND(COUNTA(CNTR_ListRelevantSections)&gt;0,OR(T1494=TRUE,E1493="")))</f>
        <v>1</v>
      </c>
    </row>
    <row r="1499" spans="1:78" s="140" customFormat="1" ht="5.0999999999999996" customHeight="1" thickBot="1" x14ac:dyDescent="0.25">
      <c r="A1499" s="777"/>
      <c r="B1499" s="1248"/>
      <c r="C1499" s="164"/>
      <c r="D1499" s="164"/>
      <c r="E1499" s="164"/>
      <c r="F1499" s="164"/>
      <c r="G1499" s="164"/>
      <c r="H1499" s="486"/>
      <c r="I1499" s="486"/>
      <c r="J1499" s="486"/>
      <c r="K1499" s="486"/>
      <c r="L1499" s="486"/>
      <c r="M1499" s="498"/>
      <c r="O1499" s="1305"/>
      <c r="P1499" s="23"/>
      <c r="Q1499" s="23"/>
      <c r="R1499" s="23"/>
      <c r="S1499" s="23"/>
      <c r="T1499" s="23"/>
      <c r="U1499" s="23"/>
      <c r="V1499" s="30"/>
      <c r="W1499" s="30"/>
      <c r="X1499" s="30"/>
      <c r="Y1499" s="485"/>
      <c r="Z1499" s="30"/>
      <c r="AA1499" s="30"/>
      <c r="AB1499" s="30"/>
      <c r="AC1499" s="483"/>
      <c r="AD1499" s="30"/>
      <c r="AE1499" s="30"/>
      <c r="AF1499" s="58"/>
      <c r="AG1499" s="30"/>
      <c r="AH1499" s="30"/>
      <c r="AI1499" s="30"/>
      <c r="AJ1499" s="495"/>
      <c r="AK1499" s="495"/>
      <c r="AL1499" s="333"/>
      <c r="AM1499" s="30"/>
      <c r="AN1499" s="30"/>
      <c r="AO1499" s="30"/>
      <c r="AP1499" s="30"/>
      <c r="AQ1499" s="30"/>
      <c r="AR1499" s="30"/>
      <c r="AS1499" s="30"/>
      <c r="AT1499" s="483"/>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483"/>
    </row>
    <row r="1500" spans="1:78" s="140" customFormat="1" ht="12.75" customHeight="1" thickBot="1" x14ac:dyDescent="0.25">
      <c r="A1500" s="777"/>
      <c r="B1500" s="1248"/>
      <c r="C1500" s="783" t="s">
        <v>5</v>
      </c>
      <c r="D1500" s="503" t="str">
        <f>Translations!$B$622</f>
        <v>VD:</v>
      </c>
      <c r="E1500" s="1105" t="str">
        <f>Translations!$B$668</f>
        <v>Pradinis kiekis:</v>
      </c>
      <c r="F1500" s="1123"/>
      <c r="G1500" s="1106" t="str">
        <f>Translations!$B$669</f>
        <v>Galutinis kiekis:</v>
      </c>
      <c r="H1500" s="1123"/>
      <c r="I1500" s="1106" t="str">
        <f>Translations!$B$670</f>
        <v>Įsigytas kiekis:</v>
      </c>
      <c r="J1500" s="1123"/>
      <c r="K1500" s="1106" t="str">
        <f>Translations!$B$671</f>
        <v>Perduotas kiekis:</v>
      </c>
      <c r="L1500" s="1123"/>
      <c r="M1500" s="1107" t="str">
        <f>IF(AND(L1498=TRUE,COUNT(F1500,H1500,J1500,L1500)&lt;4),EUconst_ERR_Incomplete,"")</f>
        <v/>
      </c>
      <c r="O1500" s="1305"/>
      <c r="P1500" s="23"/>
      <c r="Q1500" s="23"/>
      <c r="R1500" s="23"/>
      <c r="S1500" s="23"/>
      <c r="T1500" s="23"/>
      <c r="U1500" s="23"/>
      <c r="V1500" s="30"/>
      <c r="W1500" s="30"/>
      <c r="X1500" s="30"/>
      <c r="Y1500" s="485"/>
      <c r="Z1500" s="30"/>
      <c r="AA1500" s="30"/>
      <c r="AB1500" s="30"/>
      <c r="AC1500" s="1115" t="b">
        <f>AC1498</f>
        <v>0</v>
      </c>
      <c r="AD1500" s="30"/>
      <c r="AE1500" s="30"/>
      <c r="AF1500" s="58"/>
      <c r="AG1500" s="30"/>
      <c r="AH1500" s="30"/>
      <c r="AI1500" s="30"/>
      <c r="AJ1500" s="495"/>
      <c r="AK1500" s="495"/>
      <c r="AL1500" s="333"/>
      <c r="AM1500" s="30"/>
      <c r="AN1500" s="30"/>
      <c r="AO1500" s="30"/>
      <c r="AP1500" s="30"/>
      <c r="AQ1500" s="30"/>
      <c r="AR1500" s="30"/>
      <c r="AS1500" s="30"/>
      <c r="AT1500" s="1115" t="b">
        <f>AND(AT1498=TRUE,L1498="")</f>
        <v>0</v>
      </c>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1115" t="b">
        <f>OR(BZ1498,AND(NOT(ISBLANK(L1498)),L1498=FALSE))</f>
        <v>1</v>
      </c>
    </row>
    <row r="1501" spans="1:78" s="140" customFormat="1" ht="5.0999999999999996" customHeight="1" thickBot="1" x14ac:dyDescent="0.25">
      <c r="A1501" s="777"/>
      <c r="B1501" s="1248"/>
      <c r="C1501" s="164"/>
      <c r="D1501" s="164"/>
      <c r="E1501" s="164"/>
      <c r="F1501" s="164"/>
      <c r="G1501" s="164"/>
      <c r="M1501" s="141"/>
      <c r="N1501" s="141"/>
      <c r="O1501" s="1305"/>
      <c r="P1501" s="23"/>
      <c r="Q1501" s="23"/>
      <c r="R1501" s="23"/>
      <c r="S1501" s="23"/>
      <c r="T1501" s="23"/>
      <c r="U1501" s="23"/>
      <c r="V1501" s="30"/>
      <c r="W1501" s="30"/>
      <c r="X1501" s="30"/>
      <c r="Y1501" s="485"/>
      <c r="Z1501" s="30"/>
      <c r="AA1501" s="30"/>
      <c r="AB1501" s="30"/>
      <c r="AC1501" s="30"/>
      <c r="AD1501" s="30"/>
      <c r="AE1501" s="30"/>
      <c r="AF1501" s="58"/>
      <c r="AG1501" s="30"/>
      <c r="AH1501" s="30"/>
      <c r="AI1501" s="30"/>
      <c r="AJ1501" s="495"/>
      <c r="AK1501" s="495"/>
      <c r="AL1501" s="333"/>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row>
    <row r="1502" spans="1:78" s="140" customFormat="1" ht="12.75" customHeight="1" thickBot="1" x14ac:dyDescent="0.25">
      <c r="A1502" s="777"/>
      <c r="B1502" s="1248"/>
      <c r="C1502" s="164"/>
      <c r="D1502" s="164"/>
      <c r="E1502" s="164"/>
      <c r="F1502" s="497" t="str">
        <f>Translations!$B$333</f>
        <v>Pakopa</v>
      </c>
      <c r="G1502" s="1613" t="str">
        <f>Translations!$B$672</f>
        <v>pakopos aprašas</v>
      </c>
      <c r="H1502" s="1613"/>
      <c r="I1502" s="1608" t="str">
        <f>Translations!$B$158</f>
        <v>Vienetas</v>
      </c>
      <c r="J1502" s="1608"/>
      <c r="K1502" s="1608" t="str">
        <f>Translations!$B$673</f>
        <v>Vertė</v>
      </c>
      <c r="L1502" s="1608"/>
      <c r="M1502" s="498" t="str">
        <f>Translations!$B$610</f>
        <v>klaida</v>
      </c>
      <c r="O1502" s="1305"/>
      <c r="P1502" s="499"/>
      <c r="Q1502" s="343" t="str">
        <f>EUconst_SumEnergyIN &amp; "_" &amp; K1493</f>
        <v>SUM_EnergyIN_</v>
      </c>
      <c r="R1502" s="390" t="str">
        <f>IF(OR(K1493="",T1494)=TRUE,"",INDEX(BC1508:BE1508,MATCH(K1493,BC1503:BE1503,0)))</f>
        <v/>
      </c>
      <c r="S1502" s="30"/>
      <c r="T1502" s="480"/>
      <c r="U1502" s="30"/>
      <c r="V1502" s="500" t="s">
        <v>298</v>
      </c>
      <c r="W1502" s="30"/>
      <c r="X1502" s="30"/>
      <c r="Y1502" s="485" t="s">
        <v>560</v>
      </c>
      <c r="Z1502" s="485" t="s">
        <v>313</v>
      </c>
      <c r="AA1502" s="30"/>
      <c r="AB1502" s="30"/>
      <c r="AC1502" s="496" t="s">
        <v>304</v>
      </c>
      <c r="AD1502" s="30"/>
      <c r="AE1502" s="30"/>
      <c r="AF1502" s="483" t="s">
        <v>300</v>
      </c>
      <c r="AG1502" s="483" t="s">
        <v>301</v>
      </c>
      <c r="AH1502" s="485" t="s">
        <v>299</v>
      </c>
      <c r="AI1502" s="495" t="s">
        <v>302</v>
      </c>
      <c r="AJ1502" s="495" t="s">
        <v>561</v>
      </c>
      <c r="AK1502" s="501" t="s">
        <v>306</v>
      </c>
      <c r="AL1502" s="333"/>
      <c r="AM1502" s="30"/>
      <c r="AN1502" s="483" t="s">
        <v>300</v>
      </c>
      <c r="AO1502" s="483" t="s">
        <v>301</v>
      </c>
      <c r="AP1502" s="502" t="s">
        <v>305</v>
      </c>
      <c r="AQ1502" s="495" t="s">
        <v>563</v>
      </c>
      <c r="AR1502" s="495" t="s">
        <v>562</v>
      </c>
      <c r="AS1502" s="501" t="s">
        <v>599</v>
      </c>
      <c r="AT1502" s="501" t="s">
        <v>599</v>
      </c>
      <c r="AU1502" s="30"/>
      <c r="AV1502" s="483"/>
      <c r="AW1502" s="483"/>
      <c r="AX1502" s="483" t="s">
        <v>316</v>
      </c>
      <c r="AY1502" s="483"/>
      <c r="AZ1502" s="483"/>
      <c r="BA1502" s="483"/>
      <c r="BB1502" s="483"/>
      <c r="BC1502" s="483"/>
      <c r="BD1502" s="483"/>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484" t="s">
        <v>259</v>
      </c>
    </row>
    <row r="1503" spans="1:78" s="140" customFormat="1" ht="12.75" customHeight="1" thickBot="1" x14ac:dyDescent="0.25">
      <c r="A1503" s="777"/>
      <c r="B1503" s="1248"/>
      <c r="C1503" s="753" t="s">
        <v>194</v>
      </c>
      <c r="D1503" s="503" t="str">
        <f>Translations!$B$622</f>
        <v>VD:</v>
      </c>
      <c r="E1503" s="504"/>
      <c r="F1503" s="393"/>
      <c r="G1503" s="1603" t="str">
        <f>IF(OR(ISBLANK(F1503),F1503=EUconst_NoTier),"",IF(Z1503=0,EUconst_NA,IF(ISERROR(Z1503),"",Z1503)))</f>
        <v/>
      </c>
      <c r="H1503" s="1604"/>
      <c r="I1503" s="1108" t="str">
        <f>IF(J1503&lt;&gt;"","",AI1503)</f>
        <v/>
      </c>
      <c r="J1503" s="1109"/>
      <c r="K1503" s="1116" t="str">
        <f>IF(L1503="",AQ1503,"")</f>
        <v/>
      </c>
      <c r="L1503" s="1199"/>
      <c r="M1503" s="700" t="str">
        <f>IF(AND(E1494&lt;&gt;"",OR(F1503="",COUNT(K1503:L1503)=0),Y1503&lt;&gt;EUconst_NA,T1494&lt;&gt;TRUE),EUconst_ERR_Incomplete,IF(COUNTIF(AX1503:AZ1503,TRUE)&gt;0,EUconst_ERR_Inconsistent,""))</f>
        <v/>
      </c>
      <c r="O1503" s="1305"/>
      <c r="P1503" s="635"/>
      <c r="Q1503" s="343" t="str">
        <f>EUconst_SumBioEnergyIN &amp; "_" &amp; K1493</f>
        <v>SUM_BioEnergyIN_</v>
      </c>
      <c r="R1503" s="390" t="str">
        <f>IF(OR(K1493="",T1494)=TRUE,"",INDEX(BC1509:BE1509,MATCH(K1493,BC1503:BE1503,0)))</f>
        <v/>
      </c>
      <c r="S1503" s="30"/>
      <c r="T1503" s="505" t="str">
        <f>EUconst_CNTR_ActivityData&amp;E1494</f>
        <v>ActivityData_</v>
      </c>
      <c r="U1503" s="488"/>
      <c r="V1503" s="505" t="str">
        <f>IF(E1493="","",INDEX(B_InstallationDescription!$I$71:$I$145,MATCH(U1492,B_InstallationDescription!$D$71:$D$145,0)))</f>
        <v/>
      </c>
      <c r="W1503" s="495" t="s">
        <v>533</v>
      </c>
      <c r="X1503" s="488"/>
      <c r="Y1503" s="506" t="str">
        <f>IF(OR(T1494=TRUE,E1494=""),"",INDEX(EUwideConstants!$N:$N,MATCH(T1503,EUwideConstants!$Q:$Q,0)))</f>
        <v/>
      </c>
      <c r="Z1503" s="507" t="str">
        <f>IF(ISBLANK(F1503),"",IF(F1503=EUconst_NA,"",INDEX(EUwideConstants!$H:$M,MATCH(T1503,EUwideConstants!$Q:$Q,0),MATCH(F1503,CNTR_TierList,0))))</f>
        <v/>
      </c>
      <c r="AA1503" s="508" t="s">
        <v>299</v>
      </c>
      <c r="AB1503" s="495"/>
      <c r="AC1503" s="509" t="b">
        <f>AC1498</f>
        <v>0</v>
      </c>
      <c r="AD1503" s="30"/>
      <c r="AE1503" s="510" t="str">
        <f>EUconst_CNTR_ActivityData&amp;EUconst_Unit</f>
        <v>ActivityData_Vienetas</v>
      </c>
      <c r="AF1503" s="511" t="str">
        <f>IF(AC1503=TRUE, IF(COUNTIF(MSPara_SourceStreamCategory,V1503)=0,"",INDEX(MSPara_CalcFactorsMatrix,MATCH(V1503,MSPara_SourceStreamCategory,0),MATCH(AE1503&amp;"_"&amp;2,MSPara_CalcFactors,0))),"")</f>
        <v/>
      </c>
      <c r="AG1503" s="512" t="str">
        <f>IF(AC1503=TRUE, IF(COUNTIF(MSPara_SourceStreamCategory,V1503)=0,"",INDEX(MSPara_CalcFactorsMatrix,MATCH(V1503,MSPara_SourceStreamCategory,0),MATCH(AE1503&amp;"_"&amp;1,MSPara_CalcFactors,0))),"")</f>
        <v/>
      </c>
      <c r="AH1503" s="509" t="str">
        <f>IF(OR(AF1503="",AF1503=EUconst_NA),IF(OR(AG1503=EUconst_NA,AG1503=""),"",AG1503),AF1503)</f>
        <v/>
      </c>
      <c r="AI1503" s="506" t="str">
        <f>IF(AC1503=TRUE,IF(AH1503="",EUconst_t,AH1503),"")</f>
        <v/>
      </c>
      <c r="AJ1503" s="513" t="str">
        <f>IF(J1503="",AI1503,J1503)</f>
        <v/>
      </c>
      <c r="AK1503" s="514" t="b">
        <f>IF(K1493=EUconst_Fuel,J1503&lt;&gt;"",FALSE)</f>
        <v>0</v>
      </c>
      <c r="AL1503" s="333"/>
      <c r="AM1503" s="505" t="str">
        <f>EUconst_CNTR_ActivityData&amp;EUconst_Value</f>
        <v>ActivityData_Vertė</v>
      </c>
      <c r="AN1503" s="496"/>
      <c r="AO1503" s="496"/>
      <c r="AP1503" s="509" t="b">
        <f>AND(AND(AH1503&lt;&gt;"",AJ1503&lt;&gt;""),AJ1503=AH1503)</f>
        <v>0</v>
      </c>
      <c r="AQ1503" s="610" t="str">
        <f>IF(L1498=TRUE,SUM(F1500)-SUM(H1500)+SUM(J1500)-SUM(L1500),"")</f>
        <v/>
      </c>
      <c r="AR1503" s="509">
        <f>IF(Y1503=EUconst_NA,0,IF(COUNT(K1503:L1503)=0,0,IF(L1503="",K1503,L1503)))</f>
        <v>0</v>
      </c>
      <c r="AS1503" s="1115" t="b">
        <f>AND(AC1503=TRUE,OR(L1503&lt;&gt;"",AQ1503=""))</f>
        <v>0</v>
      </c>
      <c r="AT1503" s="1115" t="b">
        <f>AND(AC1503=TRUE,NOT(AS1503))</f>
        <v>0</v>
      </c>
      <c r="AU1503" s="30"/>
      <c r="AV1503" s="483" t="s">
        <v>309</v>
      </c>
      <c r="AW1503" s="483" t="s">
        <v>314</v>
      </c>
      <c r="AX1503" s="515"/>
      <c r="AY1503" s="30" t="s">
        <v>536</v>
      </c>
      <c r="AZ1503" s="30"/>
      <c r="BA1503" s="30"/>
      <c r="BB1503" s="495"/>
      <c r="BC1503" s="484" t="str">
        <f>EUconst_Fuel</f>
        <v>Degimas</v>
      </c>
      <c r="BD1503" s="484" t="str">
        <f>EUconst_ProcessCarbonate</f>
        <v>Proceso metu išsiskiriančios ŠESD</v>
      </c>
      <c r="BE1503" s="484" t="str">
        <f>EUconst_MassBalance</f>
        <v>Masės balansas</v>
      </c>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515" t="b">
        <f>BZ1498</f>
        <v>1</v>
      </c>
    </row>
    <row r="1504" spans="1:78" s="140" customFormat="1" ht="5.0999999999999996" customHeight="1" thickBot="1" x14ac:dyDescent="0.25">
      <c r="A1504" s="777"/>
      <c r="B1504" s="1248"/>
      <c r="C1504" s="783"/>
      <c r="D1504" s="298"/>
      <c r="F1504" s="141"/>
      <c r="G1504" s="141"/>
      <c r="H1504" s="141" t="s">
        <v>233</v>
      </c>
      <c r="I1504" s="516"/>
      <c r="J1504" s="516"/>
      <c r="K1504" s="141"/>
      <c r="L1504" s="141"/>
      <c r="M1504" s="701"/>
      <c r="O1504" s="1305"/>
      <c r="P1504" s="33"/>
      <c r="Q1504" s="33"/>
      <c r="R1504" s="33"/>
      <c r="S1504" s="30"/>
      <c r="T1504" s="153"/>
      <c r="U1504" s="488"/>
      <c r="V1504" s="30"/>
      <c r="W1504" s="30"/>
      <c r="X1504" s="488"/>
      <c r="Y1504" s="517"/>
      <c r="Z1504" s="30"/>
      <c r="AA1504" s="30"/>
      <c r="AB1504" s="30"/>
      <c r="AC1504" s="30"/>
      <c r="AD1504" s="30"/>
      <c r="AE1504" s="30"/>
      <c r="AF1504" s="30"/>
      <c r="AG1504" s="30"/>
      <c r="AH1504" s="30"/>
      <c r="AI1504" s="30"/>
      <c r="AJ1504" s="30"/>
      <c r="AK1504" s="30"/>
      <c r="AL1504" s="333"/>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484"/>
    </row>
    <row r="1505" spans="1:78" s="140" customFormat="1" ht="12.75" customHeight="1" thickBot="1" x14ac:dyDescent="0.25">
      <c r="A1505" s="777"/>
      <c r="B1505" s="1248"/>
      <c r="C1505" s="783" t="s">
        <v>195</v>
      </c>
      <c r="D1505" s="503" t="str">
        <f>Translations!$B$634</f>
        <v>(prelim.) ITF:</v>
      </c>
      <c r="E1505" s="504"/>
      <c r="F1505" s="518"/>
      <c r="G1505" s="1603" t="str">
        <f t="shared" ref="G1505:G1511" si="371">IF(OR(ISBLANK(F1505),F1505=EUconst_NoTier),"",IF(Z1505=0,EUconst_NotApplicable,IF(ISERROR(Z1505),"",Z1505)))</f>
        <v/>
      </c>
      <c r="H1505" s="1609"/>
      <c r="I1505" s="1110" t="str">
        <f>IF(J1505&lt;&gt;"","",AI1505)</f>
        <v/>
      </c>
      <c r="J1505" s="1111"/>
      <c r="K1505" s="519" t="str">
        <f t="shared" ref="K1505:K1511" si="372">IF(L1505="",AQ1505,"")</f>
        <v/>
      </c>
      <c r="L1505" s="520"/>
      <c r="M1505" s="700" t="str">
        <f>IF(AND(E1494&lt;&gt;"",OR(F1505="",COUNT(K1505:L1505)=0),Y1505&lt;&gt;EUconst_NA,T1494&lt;&gt;TRUE),EUconst_ERR_Incomplete,IF(COUNTIF(AX1505:AZ1505,TRUE)&gt;0,EUconst_ERR_Inconsistent,""))</f>
        <v/>
      </c>
      <c r="N1505" s="486"/>
      <c r="O1505" s="1305"/>
      <c r="P1505" s="33"/>
      <c r="Q1505" s="33"/>
      <c r="R1505" s="33"/>
      <c r="S1505" s="30"/>
      <c r="T1505" s="521" t="str">
        <f>EUconst_CNTR_EF&amp;E1494</f>
        <v>EF_</v>
      </c>
      <c r="U1505" s="488"/>
      <c r="V1505" s="522" t="str">
        <f>V1503</f>
        <v/>
      </c>
      <c r="W1505" s="30"/>
      <c r="X1505" s="488"/>
      <c r="Y1505" s="523" t="str">
        <f>IF(OR(T1494=TRUE,E1494=""),"",IF(F1505=EUconst_NA,EUconst_NA,INDEX(EUwideConstants!$N:$N,MATCH(T1505,EUwideConstants!$Q:$Q,0))))</f>
        <v/>
      </c>
      <c r="Z1505" s="524" t="str">
        <f>IF(ISBLANK(F1505),"",IF(F1505=EUconst_NA,"",INDEX(EUwideConstants!$H:$M,MATCH(T1505,EUwideConstants!$Q:$Q,0),MATCH(F1505,CNTR_TierList,0))))</f>
        <v/>
      </c>
      <c r="AA1505" s="525" t="str">
        <f>IF(COUNTIF(EUconst_DefaultValues,Z1505)&gt;0,MATCH(Z1505,EUconst_DefaultValues,0),"")</f>
        <v/>
      </c>
      <c r="AB1505" s="30"/>
      <c r="AC1505" s="526" t="b">
        <f>AND(AC1503,Y1505&lt;&gt;EUconst_NA)</f>
        <v>0</v>
      </c>
      <c r="AD1505" s="30"/>
      <c r="AE1505" s="510" t="str">
        <f>EUconst_CNTR_EF&amp;EUconst_Unit</f>
        <v>EF_Vienetas</v>
      </c>
      <c r="AF1505" s="527" t="str">
        <f>IF(AC1505=TRUE, IF(COUNTIF(MSPara_SourceStreamCategory,V1505)=0,"",INDEX(MSPara_CalcFactorsMatrix,MATCH(V1505,MSPara_SourceStreamCategory,0),MATCH(AE1505&amp;"_"&amp;2,MSPara_CalcFactors,0))),"")</f>
        <v/>
      </c>
      <c r="AG1505" s="528" t="str">
        <f>IF(AC1505=TRUE, IF(COUNTIF(MSPara_SourceStreamCategory,V1505)=0,"",INDEX(MSPara_CalcFactorsMatrix,MATCH(V1505,MSPara_SourceStreamCategory,0),MATCH(AE1505&amp;"_"&amp;1,MSPara_CalcFactors,0))),"")</f>
        <v/>
      </c>
      <c r="AH1505" s="529" t="str">
        <f>IF(AA1505="","",INDEX(AF1505:AG1505,3-AA1505))</f>
        <v/>
      </c>
      <c r="AI1505" s="530" t="str">
        <f>IF(AC1505=TRUE,IF(OR(AH1505="",AH1505=EUconst_NA),IF(K1493=EUconst_Fuel,EUconst_tCO2pTJ,EUconst_tCO2pt),AH1505),"")</f>
        <v/>
      </c>
      <c r="AJ1505" s="526" t="str">
        <f>IF(J1505="",AI1505,J1505)</f>
        <v/>
      </c>
      <c r="AK1505" s="531" t="b">
        <f>IF(K1493=EUconst_Fuel,J1505&lt;&gt;"",FALSE)</f>
        <v>0</v>
      </c>
      <c r="AL1505" s="333"/>
      <c r="AM1505" s="510" t="str">
        <f>EUconst_CNTR_EF&amp;EUconst_Value</f>
        <v>EF_Vertė</v>
      </c>
      <c r="AN1505" s="532" t="str">
        <f>IF(AC1505=TRUE,IF(COUNTIF(MSPara_SourceStreamCategory,V1505)=0,"",INDEX(MSPara_CalcFactorsMatrix,MATCH(V1505,MSPara_SourceStreamCategory,0),MATCH(AM1505&amp;"_"&amp;2,MSPara_CalcFactors,0))),"")</f>
        <v/>
      </c>
      <c r="AO1505" s="533" t="str">
        <f>IF(AC1505=TRUE,IF(COUNTIF(MSPara_SourceStreamCategory,V1505)=0,"",INDEX(MSPara_CalcFactorsMatrix,MATCH(V1505,MSPara_SourceStreamCategory,0),MATCH(AM1505&amp;"_"&amp;1,MSPara_CalcFactors,0))),"")</f>
        <v/>
      </c>
      <c r="AP1505" s="526" t="b">
        <f>AND(AND(AH1505&lt;&gt;"",AJ1505&lt;&gt;""),AJ1505=AH1505)</f>
        <v>0</v>
      </c>
      <c r="AQ1505" s="534" t="str">
        <f>IF(AND(AA1505&lt;&gt;"",AP1505=TRUE),IF(OR(INDEX(AN1505:AO1505,3-AA1505)=EUconst_NA,INDEX(AN1505:AO1505,3-AA1505)=0),"",INDEX(AN1505:AO1505,3-AA1505)),"")</f>
        <v/>
      </c>
      <c r="AR1505" s="526">
        <f>IF(AC1505=TRUE,IF(COUNT(K1505:L1505)=0,0,IF(L1505="",K1505,L1505)),0)</f>
        <v>0</v>
      </c>
      <c r="AS1505" s="522" t="b">
        <f>AND(AC1505=TRUE,OR(AND(F1505&lt;&gt;"",NOT(ISNUMBER(AA1505))),L1505&lt;&gt;"",F1505="",AQ1505=""))</f>
        <v>0</v>
      </c>
      <c r="AT1505" s="522" t="b">
        <f t="shared" ref="AT1505:AT1511" si="373">AND(AC1505=TRUE,NOT(AS1505))</f>
        <v>0</v>
      </c>
      <c r="AU1505" s="30"/>
      <c r="AV1505" s="535" t="b">
        <f t="shared" ref="AV1505:AV1511" si="374">AND(ISNUMBER(AA1505),AQ1505="")</f>
        <v>0</v>
      </c>
      <c r="AW1505" s="536" t="b">
        <f t="shared" ref="AW1505:AW1511" si="375">AND(ISNUMBER(AA1505),AQ1505&lt;&gt;AR1505)</f>
        <v>0</v>
      </c>
      <c r="AX1505" s="537" t="b">
        <f>OR(AND(AJ1503=EUconst_kNm3,AJ1505=EUconst_tCO2pt),AND(AJ1503=EUconst_t,AJ1505=EUconst_tCO2pkNm3))</f>
        <v>0</v>
      </c>
      <c r="AY1505" s="522" t="b">
        <f t="shared" ref="AY1505:AY1511" si="376">AND(L1505&lt;&gt;"",Y1505=EUconst_NA)</f>
        <v>0</v>
      </c>
      <c r="AZ1505" s="30"/>
      <c r="BA1505" s="30"/>
      <c r="BB1505" s="538" t="s">
        <v>588</v>
      </c>
      <c r="BC1505" s="537" t="str">
        <f>IF(K1493=BC1503,AR1503*IF(AJ1505=EUconst_tCO2pTJ,(AR1506/1000),1)*AR1505*AR1507*AR1511,"")</f>
        <v/>
      </c>
      <c r="BD1505" s="515" t="str">
        <f>IF(K1493=BD1503,AR1503*AR1505*AR1508*AR1511,"")</f>
        <v/>
      </c>
      <c r="BE1505" s="514" t="str">
        <f>IF(K1493=BE1503,3.664*AR1503*AR1509*AR1511,"")</f>
        <v/>
      </c>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522" t="b">
        <f>OR(BZ1503,Y1505=EUconst_NA)</f>
        <v>1</v>
      </c>
    </row>
    <row r="1506" spans="1:78" s="140" customFormat="1" ht="12.75" customHeight="1" thickBot="1" x14ac:dyDescent="0.25">
      <c r="A1506" s="777"/>
      <c r="B1506" s="1248"/>
      <c r="C1506" s="783" t="s">
        <v>196</v>
      </c>
      <c r="D1506" s="503" t="str">
        <f>Translations!$B$636</f>
        <v>GŠV:</v>
      </c>
      <c r="E1506" s="504"/>
      <c r="F1506" s="539"/>
      <c r="G1506" s="1603" t="str">
        <f t="shared" si="371"/>
        <v/>
      </c>
      <c r="H1506" s="1604"/>
      <c r="I1506" s="1112" t="str">
        <f>AJ1506</f>
        <v/>
      </c>
      <c r="J1506" s="540"/>
      <c r="K1506" s="541" t="str">
        <f t="shared" si="372"/>
        <v/>
      </c>
      <c r="L1506" s="542"/>
      <c r="M1506" s="700" t="str">
        <f>IF(AND(E1494&lt;&gt;"",OR(F1506="",COUNT(K1506:L1506)=0),Y1506&lt;&gt;EUconst_NA,T1494&lt;&gt;TRUE),EUconst_ERR_Incomplete,IF(COUNTIF(AX1506:AZ1506,TRUE)&gt;0,EUconst_ERR_Inconsistent,""))</f>
        <v/>
      </c>
      <c r="O1506" s="1305"/>
      <c r="P1506" s="33"/>
      <c r="Q1506" s="33"/>
      <c r="R1506" s="33"/>
      <c r="S1506" s="30"/>
      <c r="T1506" s="543" t="str">
        <f>EUconst_CNTR_NCV&amp;E1494</f>
        <v>NCV_</v>
      </c>
      <c r="U1506" s="488"/>
      <c r="V1506" s="544" t="str">
        <f t="shared" ref="V1506:V1511" si="377">V1505</f>
        <v/>
      </c>
      <c r="W1506" s="30"/>
      <c r="X1506" s="488"/>
      <c r="Y1506" s="545" t="str">
        <f>IF(OR(T1494=TRUE,E1494=""),"",IF(F1506=EUconst_NA,EUconst_NA,INDEX(EUwideConstants!$N:$N,MATCH(T1506,EUwideConstants!$Q:$Q,0))))</f>
        <v/>
      </c>
      <c r="Z1506" s="546" t="str">
        <f>IF(ISBLANK(F1506),"",IF(F1506=EUconst_NA,"",INDEX(EUwideConstants!$H:$M,MATCH(T1506,EUwideConstants!$Q:$Q,0),MATCH(F1506,CNTR_TierList,0))))</f>
        <v/>
      </c>
      <c r="AA1506" s="547" t="str">
        <f>IF(COUNTIF(EUconst_DefaultValues,Z1506)&gt;0,MATCH(Z1506,EUconst_DefaultValues,0),"")</f>
        <v/>
      </c>
      <c r="AB1506" s="30"/>
      <c r="AC1506" s="548" t="b">
        <f>AND(AC1503,Y1506&lt;&gt;EUconst_NA)</f>
        <v>0</v>
      </c>
      <c r="AD1506" s="30"/>
      <c r="AE1506" s="549" t="str">
        <f>EUconst_CNTR_NCV&amp;EUconst_Unit</f>
        <v>NCV_Vienetas</v>
      </c>
      <c r="AF1506" s="550" t="str">
        <f>IF(AC1506=TRUE, IF(COUNTIF(MSPara_SourceStreamCategory,V1506)=0,"",INDEX(MSPara_CalcFactorsMatrix,MATCH(V1506,MSPara_SourceStreamCategory,0),MATCH(AE1506&amp;"_"&amp;2,MSPara_CalcFactors,0))),"")</f>
        <v/>
      </c>
      <c r="AG1506" s="551" t="str">
        <f>IF(AC1506=TRUE, IF(COUNTIF(MSPara_SourceStreamCategory,V1506)=0,"",INDEX(MSPara_CalcFactorsMatrix,MATCH(V1506,MSPara_SourceStreamCategory,0),MATCH(AE1506&amp;"_"&amp;1,MSPara_CalcFactors,0))),"")</f>
        <v/>
      </c>
      <c r="AH1506" s="552" t="str">
        <f>IF(AA1506="","",INDEX(AF1506:AG1506,3-AA1506))</f>
        <v/>
      </c>
      <c r="AI1506" s="553"/>
      <c r="AJ1506" s="548" t="str">
        <f>IF(AC1506=TRUE,IF(AJ1503="","",IF(AJ1503=EUconst_kNm3,EUconst_GJpkNm3,EUconst_GJpt)),"")</f>
        <v/>
      </c>
      <c r="AK1506" s="554"/>
      <c r="AL1506" s="333"/>
      <c r="AM1506" s="549" t="str">
        <f>EUconst_CNTR_NCV&amp;EUconst_Value</f>
        <v>NCV_Vertė</v>
      </c>
      <c r="AN1506" s="555" t="str">
        <f>IF(AC1506=TRUE,IF(COUNTIF(MSPara_SourceStreamCategory,V1506)=0,"",INDEX(MSPara_CalcFactorsMatrix,MATCH(V1506,MSPara_SourceStreamCategory,0),MATCH(AM1506&amp;"_"&amp;2,MSPara_CalcFactors,0))),"")</f>
        <v/>
      </c>
      <c r="AO1506" s="556" t="str">
        <f>IF(AC1506=TRUE,IF(COUNTIF(MSPara_SourceStreamCategory,V1506)=0,"",INDEX(MSPara_CalcFactorsMatrix,MATCH(V1506,MSPara_SourceStreamCategory,0),MATCH(AM1506&amp;"_"&amp;1,MSPara_CalcFactors,0))),"")</f>
        <v/>
      </c>
      <c r="AP1506" s="548" t="b">
        <f>AND(AND(AH1506&lt;&gt;"",AJ1506&lt;&gt;""),AJ1506=AH1506)</f>
        <v>0</v>
      </c>
      <c r="AQ1506" s="557" t="str">
        <f>IF(AND(AA1506&lt;&gt;"",AP1506=TRUE),IF(OR(INDEX(AN1506:AO1506,3-AA1506)=EUconst_NA,INDEX(AN1506:AO1506,3-AA1506)=0),"",INDEX(AN1506:AO1506,3-AA1506)),"")</f>
        <v/>
      </c>
      <c r="AR1506" s="548">
        <f>IF(AC1506=TRUE,IF(COUNT(K1506:L1506)=0,0,IF(L1506="",K1506,L1506)),0)</f>
        <v>0</v>
      </c>
      <c r="AS1506" s="544" t="b">
        <f>AND(AC1506=TRUE,OR(AND(F1506&lt;&gt;"",NOT(ISNUMBER(AA1506))),L1506&lt;&gt;"",F1506="",AQ1506=""))</f>
        <v>0</v>
      </c>
      <c r="AT1506" s="544" t="b">
        <f t="shared" si="373"/>
        <v>0</v>
      </c>
      <c r="AU1506" s="30"/>
      <c r="AV1506" s="558" t="b">
        <f t="shared" si="374"/>
        <v>0</v>
      </c>
      <c r="AW1506" s="559" t="b">
        <f t="shared" si="375"/>
        <v>0</v>
      </c>
      <c r="AX1506" s="30"/>
      <c r="AY1506" s="544" t="b">
        <f t="shared" si="376"/>
        <v>0</v>
      </c>
      <c r="AZ1506" s="30"/>
      <c r="BA1506" s="30"/>
      <c r="BB1506" s="538" t="s">
        <v>589</v>
      </c>
      <c r="BC1506" s="537" t="str">
        <f>IF(K1493=BC1503,AR1503*IF(AJ1505=EUconst_tCO2pTJ,(AR1506/1000),1)*AR1505*AR1507*AR1510,"")</f>
        <v/>
      </c>
      <c r="BD1506" s="515" t="str">
        <f>IF(K1493=BD1503,AR1503*AR1505*AR1508*AR1510,"")</f>
        <v/>
      </c>
      <c r="BE1506" s="514" t="str">
        <f>IF(K1493=BE1503,3.664*AR1503*AR1509*AR1510,"")</f>
        <v/>
      </c>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544" t="b">
        <f>OR(BZ1503,Y1506=EUconst_NA)</f>
        <v>1</v>
      </c>
    </row>
    <row r="1507" spans="1:78" s="140" customFormat="1" ht="12.75" customHeight="1" thickBot="1" x14ac:dyDescent="0.25">
      <c r="A1507" s="777"/>
      <c r="B1507" s="1248"/>
      <c r="C1507" s="783" t="s">
        <v>197</v>
      </c>
      <c r="D1507" s="503" t="str">
        <f>Translations!$B$638</f>
        <v>Oksidacijos koef.:</v>
      </c>
      <c r="E1507" s="504"/>
      <c r="F1507" s="539"/>
      <c r="G1507" s="1603" t="str">
        <f t="shared" si="371"/>
        <v/>
      </c>
      <c r="H1507" s="1604"/>
      <c r="I1507" s="1113" t="str">
        <f>IF(OR(AC1507=FALSE,Y1507=EUconst_NA),"","-")</f>
        <v/>
      </c>
      <c r="J1507" s="560"/>
      <c r="K1507" s="561" t="str">
        <f t="shared" si="372"/>
        <v/>
      </c>
      <c r="L1507" s="694"/>
      <c r="M1507" s="700" t="str">
        <f>IF(AND(E1494&lt;&gt;"",OR(F1507="",COUNT(K1507:L1507)=0),Y1507&lt;&gt;EUconst_NA,T1494&lt;&gt;TRUE),EUconst_ERR_Incomplete,IF(COUNTIF(AX1507:AZ1507,TRUE)&gt;0,EUconst_ERR_Inconsistent,""))</f>
        <v/>
      </c>
      <c r="O1507" s="1305"/>
      <c r="P1507" s="33"/>
      <c r="Q1507" s="33"/>
      <c r="R1507" s="33"/>
      <c r="S1507" s="30"/>
      <c r="T1507" s="543" t="str">
        <f>EUconst_CNTR_OxidationFactor&amp;E1494</f>
        <v>OxF_</v>
      </c>
      <c r="U1507" s="488"/>
      <c r="V1507" s="544" t="str">
        <f t="shared" si="377"/>
        <v/>
      </c>
      <c r="W1507" s="30"/>
      <c r="X1507" s="488"/>
      <c r="Y1507" s="545" t="str">
        <f>IF(OR(T1494=TRUE,E1494=""),"",INDEX(EUwideConstants!$N:$N,MATCH(T1507,EUwideConstants!$Q:$Q,0)))</f>
        <v/>
      </c>
      <c r="Z1507" s="546" t="str">
        <f>IF(ISBLANK(F1507),"",IF(F1507=EUconst_NA,"",INDEX(EUwideConstants!$H:$M,MATCH(T1507,EUwideConstants!$Q:$Q,0),MATCH(F1507,CNTR_TierList,0))))</f>
        <v/>
      </c>
      <c r="AA1507" s="525" t="str">
        <f>IF(F1507=1,1,"")</f>
        <v/>
      </c>
      <c r="AB1507" s="30"/>
      <c r="AC1507" s="548" t="b">
        <f>AND(AC1503,Y1507&lt;&gt;EUconst_NA)</f>
        <v>0</v>
      </c>
      <c r="AD1507" s="30"/>
      <c r="AE1507" s="563"/>
      <c r="AG1507" s="564"/>
      <c r="AH1507" s="553"/>
      <c r="AI1507" s="565"/>
      <c r="AJ1507" s="553"/>
      <c r="AK1507" s="566"/>
      <c r="AL1507" s="333"/>
      <c r="AM1507" s="549" t="str">
        <f>EUconst_CNTR_OxidationFactor&amp;EUconst_Value</f>
        <v>OxF_Vertė</v>
      </c>
      <c r="AN1507" s="567"/>
      <c r="AO1507" s="525">
        <v>1</v>
      </c>
      <c r="AP1507" s="553"/>
      <c r="AQ1507" s="568" t="str">
        <f>IF(AA1507="","",AO1507)</f>
        <v/>
      </c>
      <c r="AR1507" s="548">
        <f>IF(AC1507=TRUE,IF(COUNT(K1507:L1507)=0,0,IF(L1507="",K1507,L1507)),1)</f>
        <v>1</v>
      </c>
      <c r="AS1507" s="544" t="b">
        <f>AND(AC1507=TRUE,OR(ISNUMBER(L1507),NOT(ISNUMBER(AA1507))))</f>
        <v>0</v>
      </c>
      <c r="AT1507" s="544" t="b">
        <f t="shared" si="373"/>
        <v>0</v>
      </c>
      <c r="AU1507" s="30"/>
      <c r="AV1507" s="558" t="b">
        <f t="shared" si="374"/>
        <v>0</v>
      </c>
      <c r="AW1507" s="559" t="b">
        <f t="shared" si="375"/>
        <v>0</v>
      </c>
      <c r="AX1507" s="30"/>
      <c r="AY1507" s="585" t="b">
        <f t="shared" si="376"/>
        <v>0</v>
      </c>
      <c r="AZ1507" s="522" t="b">
        <f>AR1507&gt;100%</f>
        <v>0</v>
      </c>
      <c r="BA1507" s="30"/>
      <c r="BB1507" s="538" t="s">
        <v>287</v>
      </c>
      <c r="BC1507" s="537" t="str">
        <f>IF(K1493=BC1503,AR1503*IF(AJ1505=EUconst_tCO2pTJ,(AR1506/1000),1)*AR1505*AR1507*(1-AR1510),"")</f>
        <v/>
      </c>
      <c r="BD1507" s="515" t="str">
        <f>IF(K1493=BD1503,AR1503*AR1505*AR1508*(1-AR1510),"")</f>
        <v/>
      </c>
      <c r="BE1507" s="514" t="str">
        <f>IF(K1493=BE1503,3.664*AR1503*AR1509*(1-AR1510),"")</f>
        <v/>
      </c>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544" t="b">
        <f>OR(BZ1503,Y1507=EUconst_NA)</f>
        <v>1</v>
      </c>
    </row>
    <row r="1508" spans="1:78" s="140" customFormat="1" ht="12.75" customHeight="1" thickBot="1" x14ac:dyDescent="0.25">
      <c r="A1508" s="777"/>
      <c r="B1508" s="1248"/>
      <c r="C1508" s="783" t="s">
        <v>198</v>
      </c>
      <c r="D1508" s="503" t="str">
        <f>Translations!$B$639</f>
        <v>Konversijos koef.:</v>
      </c>
      <c r="E1508" s="504"/>
      <c r="F1508" s="539"/>
      <c r="G1508" s="1603" t="str">
        <f t="shared" si="371"/>
        <v/>
      </c>
      <c r="H1508" s="1604"/>
      <c r="I1508" s="1113" t="str">
        <f>IF(OR(AC1508=FALSE,Y1508=EUconst_NA),"","-")</f>
        <v/>
      </c>
      <c r="J1508" s="560"/>
      <c r="K1508" s="561" t="str">
        <f t="shared" si="372"/>
        <v/>
      </c>
      <c r="L1508" s="694"/>
      <c r="M1508" s="700" t="str">
        <f>IF(AND(E1494&lt;&gt;"",OR(F1508="",COUNT(K1508:L1508)=0),Y1508&lt;&gt;EUconst_NA,T1494&lt;&gt;TRUE),EUconst_ERR_Incomplete,IF(COUNTIF(AX1508:AZ1508,TRUE)&gt;0,EUconst_ERR_Inconsistent,""))</f>
        <v/>
      </c>
      <c r="O1508" s="1305"/>
      <c r="P1508" s="33"/>
      <c r="Q1508" s="33"/>
      <c r="R1508" s="33"/>
      <c r="S1508" s="30"/>
      <c r="T1508" s="543" t="str">
        <f>EUconst_CNTR_ConversionFactor&amp;E1494</f>
        <v>ConvF_</v>
      </c>
      <c r="U1508" s="488"/>
      <c r="V1508" s="544" t="str">
        <f t="shared" si="377"/>
        <v/>
      </c>
      <c r="W1508" s="30"/>
      <c r="X1508" s="488"/>
      <c r="Y1508" s="545" t="str">
        <f>IF(OR(T1494=TRUE,E1494=""),"",INDEX(EUwideConstants!$N:$N,MATCH(T1508,EUwideConstants!$Q:$Q,0)))</f>
        <v/>
      </c>
      <c r="Z1508" s="546" t="str">
        <f>IF(ISBLANK(F1508),"",IF(F1508=EUconst_NA,"",INDEX(EUwideConstants!$H:$M,MATCH(T1508,EUwideConstants!$Q:$Q,0),MATCH(F1508,CNTR_TierList,0))))</f>
        <v/>
      </c>
      <c r="AA1508" s="573" t="str">
        <f>IF(F1508=1,1,"")</f>
        <v/>
      </c>
      <c r="AB1508" s="30"/>
      <c r="AC1508" s="548" t="b">
        <f>AND(AC1503,Y1508&lt;&gt;EUconst_NA)</f>
        <v>0</v>
      </c>
      <c r="AD1508" s="30"/>
      <c r="AE1508" s="563"/>
      <c r="AG1508" s="564"/>
      <c r="AH1508" s="574"/>
      <c r="AI1508" s="565"/>
      <c r="AJ1508" s="574"/>
      <c r="AK1508" s="566"/>
      <c r="AL1508" s="333"/>
      <c r="AM1508" s="549" t="str">
        <f>EUconst_CNTR_ConversionFactor&amp;EUconst_Value</f>
        <v>ConvF_Vertė</v>
      </c>
      <c r="AN1508" s="575"/>
      <c r="AO1508" s="573">
        <v>1</v>
      </c>
      <c r="AP1508" s="574"/>
      <c r="AQ1508" s="576" t="str">
        <f>IF(AA1508="","",AO1508)</f>
        <v/>
      </c>
      <c r="AR1508" s="548">
        <f>IF(AC1508=TRUE,IF(COUNT(K1508:L1508)=0,0,IF(L1508="",K1508,L1508)),1)</f>
        <v>1</v>
      </c>
      <c r="AS1508" s="544" t="b">
        <f>AND(AC1508=TRUE,OR(ISNUMBER(L1508),NOT(ISNUMBER(AA1508))))</f>
        <v>0</v>
      </c>
      <c r="AT1508" s="544" t="b">
        <f t="shared" si="373"/>
        <v>0</v>
      </c>
      <c r="AU1508" s="30"/>
      <c r="AV1508" s="558" t="b">
        <f t="shared" si="374"/>
        <v>0</v>
      </c>
      <c r="AW1508" s="559" t="b">
        <f t="shared" si="375"/>
        <v>0</v>
      </c>
      <c r="AX1508" s="30"/>
      <c r="AY1508" s="585" t="b">
        <f t="shared" si="376"/>
        <v>0</v>
      </c>
      <c r="AZ1508" s="571" t="b">
        <f>AR1508&gt;100%</f>
        <v>0</v>
      </c>
      <c r="BA1508" s="30"/>
      <c r="BB1508" s="569" t="s">
        <v>481</v>
      </c>
      <c r="BC1508" s="570">
        <f>AR1503*AR1506/1000*(1-AR1510)</f>
        <v>0</v>
      </c>
      <c r="BD1508" s="571">
        <f>BC1508</f>
        <v>0</v>
      </c>
      <c r="BE1508" s="572">
        <f>BC1508</f>
        <v>0</v>
      </c>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544" t="b">
        <f>OR(BZ1503,Y1508=EUconst_NA)</f>
        <v>1</v>
      </c>
    </row>
    <row r="1509" spans="1:78" s="140" customFormat="1" ht="12.75" customHeight="1" thickBot="1" x14ac:dyDescent="0.25">
      <c r="A1509" s="777"/>
      <c r="B1509" s="1248"/>
      <c r="C1509" s="783" t="s">
        <v>324</v>
      </c>
      <c r="D1509" s="503" t="str">
        <f>Translations!$B$640</f>
        <v>Anglies kiekis (C):</v>
      </c>
      <c r="E1509" s="504"/>
      <c r="F1509" s="539"/>
      <c r="G1509" s="1603" t="str">
        <f t="shared" si="371"/>
        <v/>
      </c>
      <c r="H1509" s="1604"/>
      <c r="I1509" s="1113" t="str">
        <f>AJ1509</f>
        <v/>
      </c>
      <c r="J1509" s="577"/>
      <c r="K1509" s="578" t="str">
        <f t="shared" si="372"/>
        <v/>
      </c>
      <c r="L1509" s="579"/>
      <c r="M1509" s="700" t="str">
        <f>IF(AND(E1494&lt;&gt;"",OR(F1509="",COUNT(K1509:L1509)=0),Y1509&lt;&gt;EUconst_NA,T1494&lt;&gt;TRUE),EUconst_ERR_Incomplete,IF(COUNTIF(AX1509:AZ1509,TRUE)&gt;0,EUconst_ERR_Inconsistent,""))</f>
        <v/>
      </c>
      <c r="O1509" s="1305"/>
      <c r="P1509" s="33"/>
      <c r="Q1509" s="33"/>
      <c r="R1509" s="33"/>
      <c r="S1509" s="30"/>
      <c r="T1509" s="543" t="str">
        <f>EUconst_CNTR_CarbonContent&amp;E1494</f>
        <v>CarbC_</v>
      </c>
      <c r="U1509" s="488"/>
      <c r="V1509" s="544" t="str">
        <f t="shared" si="377"/>
        <v/>
      </c>
      <c r="W1509" s="30"/>
      <c r="X1509" s="488"/>
      <c r="Y1509" s="545" t="str">
        <f>IF(OR(T1494=TRUE,E1494=""),"",INDEX(EUwideConstants!$N:$N,MATCH(T1509,EUwideConstants!$Q:$Q,0)))</f>
        <v/>
      </c>
      <c r="Z1509" s="546" t="str">
        <f>IF(ISBLANK(F1509),"",IF(F1509=EUconst_NA,"",INDEX(EUwideConstants!$H:$M,MATCH(T1509,EUwideConstants!$Q:$Q,0),MATCH(F1509,CNTR_TierList,0))))</f>
        <v/>
      </c>
      <c r="AA1509" s="580" t="str">
        <f>IF(COUNTIF(EUconst_DefaultValues,Z1509)&gt;0,MATCH(Z1509,EUconst_DefaultValues,0),"")</f>
        <v/>
      </c>
      <c r="AB1509" s="30"/>
      <c r="AC1509" s="548" t="b">
        <f>AND(AC1503,Y1509&lt;&gt;EUconst_NA)</f>
        <v>0</v>
      </c>
      <c r="AD1509" s="30"/>
      <c r="AE1509" s="549" t="str">
        <f>EUconst_CNTR_CarbonContent&amp;EUconst_Unit</f>
        <v>CarbC_Vienetas</v>
      </c>
      <c r="AF1509" s="550" t="str">
        <f>IF(AC1509=TRUE, IF(COUNTIF(MSPara_SourceStreamCategory,V1509)=0,"",INDEX(MSPara_CalcFactorsMatrix,MATCH(V1509,MSPara_SourceStreamCategory,0),MATCH(AE1509&amp;"_"&amp;2,MSPara_CalcFactors,0))),"")</f>
        <v/>
      </c>
      <c r="AG1509" s="551" t="str">
        <f>IF(AC1509=TRUE, IF(COUNTIF(MSPara_SourceStreamCategory,V1509)=0,"",INDEX(MSPara_CalcFactorsMatrix,MATCH(V1509,MSPara_SourceStreamCategory,0),MATCH(AE1509&amp;"_"&amp;1,MSPara_CalcFactors,0))),"")</f>
        <v/>
      </c>
      <c r="AH1509" s="581" t="str">
        <f>IF(AA1509="","",INDEX(AF1509:AG1509,3-AA1509))</f>
        <v/>
      </c>
      <c r="AI1509" s="565"/>
      <c r="AJ1509" s="582" t="str">
        <f>IF(AC1509=TRUE,IF(AJ1503="","",IF(AJ1503=EUconst_kNm3,EUconst_tCpkNm3,EUconst_tCpt)),"")</f>
        <v/>
      </c>
      <c r="AK1509" s="566"/>
      <c r="AL1509" s="333"/>
      <c r="AM1509" s="549" t="str">
        <f>EUconst_CNTR_CarbonContent&amp;EUconst_Value</f>
        <v>CarbC_Vertė</v>
      </c>
      <c r="AN1509" s="555" t="str">
        <f>IF(AC1509=TRUE,IF(COUNTIF(MSPara_SourceStreamCategory,V1509)=0,"",INDEX(MSPara_CalcFactorsMatrix,MATCH(V1509,MSPara_SourceStreamCategory,0),MATCH(AM1509&amp;"_"&amp;2,MSPara_CalcFactors,0))),"")</f>
        <v/>
      </c>
      <c r="AO1509" s="583" t="str">
        <f>IF(AC1509=TRUE,IF(COUNTIF(MSPara_SourceStreamCategory,V1509)=0,"",INDEX(MSPara_CalcFactorsMatrix,MATCH(V1509,MSPara_SourceStreamCategory,0),MATCH(AM1509&amp;"_"&amp;1,MSPara_CalcFactors,0))),"")</f>
        <v/>
      </c>
      <c r="AP1509" s="548" t="b">
        <f>AND(AND(AH1509&lt;&gt;"",AJ1509&lt;&gt;""),AJ1509=AH1509)</f>
        <v>0</v>
      </c>
      <c r="AQ1509" s="584" t="str">
        <f>IF(AND(AA1509&lt;&gt;"",AP1509=TRUE),IF(OR(INDEX(AN1509:AO1509,3-AA1509)=EUconst_NA,INDEX(AN1509:AO1509,3-AA1509)=0),"",INDEX(AN1509:AO1509,3-AA1509)),"")</f>
        <v/>
      </c>
      <c r="AR1509" s="548">
        <f>IF(AC1509=TRUE,IF(COUNT(K1509:L1509)=0,0,IF(L1509="",K1509,L1509)),0)</f>
        <v>0</v>
      </c>
      <c r="AS1509" s="544" t="b">
        <f>AND(AC1509=TRUE,OR(AND(F1509&lt;&gt;"",NOT(ISNUMBER(AA1509))),L1509&lt;&gt;"",F1509="",AQ1509=""))</f>
        <v>0</v>
      </c>
      <c r="AT1509" s="544" t="b">
        <f t="shared" si="373"/>
        <v>0</v>
      </c>
      <c r="AU1509" s="30"/>
      <c r="AV1509" s="558" t="b">
        <f t="shared" si="374"/>
        <v>0</v>
      </c>
      <c r="AW1509" s="559" t="b">
        <f t="shared" si="375"/>
        <v>0</v>
      </c>
      <c r="AX1509" s="537" t="b">
        <f>OR(AND(AJ1503=EUconst_kNm3,AJ1509=EUconst_tCpt),AND(AJ1503=EUconst_t,AJ1509=EUconst_tCpkNm3))</f>
        <v>0</v>
      </c>
      <c r="AY1509" s="544" t="b">
        <f t="shared" si="376"/>
        <v>0</v>
      </c>
      <c r="AZ1509" s="30"/>
      <c r="BA1509" s="30"/>
      <c r="BB1509" s="569" t="s">
        <v>482</v>
      </c>
      <c r="BC1509" s="570">
        <f>AR1503*AR1506/1000*AR1510</f>
        <v>0</v>
      </c>
      <c r="BD1509" s="571">
        <f>BC1509</f>
        <v>0</v>
      </c>
      <c r="BE1509" s="572">
        <f>BC1509</f>
        <v>0</v>
      </c>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544" t="b">
        <f>OR(BZ1503,Y1509=EUconst_NA)</f>
        <v>1</v>
      </c>
    </row>
    <row r="1510" spans="1:78" s="140" customFormat="1" ht="12.75" customHeight="1" x14ac:dyDescent="0.2">
      <c r="A1510" s="777"/>
      <c r="B1510" s="1248"/>
      <c r="C1510" s="753" t="s">
        <v>325</v>
      </c>
      <c r="D1510" s="503" t="str">
        <f>Translations!$B$641</f>
        <v>Biomasės dalis (BioC):</v>
      </c>
      <c r="E1510" s="504"/>
      <c r="F1510" s="539"/>
      <c r="G1510" s="1603" t="str">
        <f t="shared" si="371"/>
        <v/>
      </c>
      <c r="H1510" s="1604"/>
      <c r="I1510" s="1113" t="str">
        <f>IF(OR(AC1510=FALSE,Y1510=EUconst_NA),"","-")</f>
        <v/>
      </c>
      <c r="J1510" s="560"/>
      <c r="K1510" s="561" t="str">
        <f t="shared" si="372"/>
        <v/>
      </c>
      <c r="L1510" s="694"/>
      <c r="M1510" s="700" t="str">
        <f>IF(AND(E1494&lt;&gt;"",OR(F1510="",COUNT(K1510:L1510)=0),Y1510&lt;&gt;EUconst_NA,T1494&lt;&gt;TRUE),EUconst_ERR_Incomplete,IF(COUNTIF(AX1510:AZ1510,TRUE)&gt;0,EUconst_ERR_Inconsistent,""))</f>
        <v/>
      </c>
      <c r="O1510" s="1305"/>
      <c r="P1510" s="635"/>
      <c r="Q1510" s="635"/>
      <c r="R1510" s="635"/>
      <c r="S1510" s="30"/>
      <c r="T1510" s="543" t="str">
        <f>EUconst_CNTR_BiomassContent&amp;E1494</f>
        <v>BioC_</v>
      </c>
      <c r="U1510" s="488"/>
      <c r="V1510" s="585" t="str">
        <f t="shared" si="377"/>
        <v/>
      </c>
      <c r="W1510" s="522" t="str">
        <f>IF(COUNTIF(MSPara_SourceStreamCategory,V1510)=0,"",INDEX(MSPara_IsFossil,MATCH(V1510,MSPara_SourceStreamCategory,0)))</f>
        <v/>
      </c>
      <c r="X1510" s="488"/>
      <c r="Y1510" s="545" t="str">
        <f>IF(OR(T1494=TRUE,E1494=""),"",IF(OR(W1510=TRUE,F1510=EUconst_NA),EUconst_NA,INDEX(EUwideConstants!$N:$N,MATCH(T1510,EUwideConstants!$Q:$Q,0))))</f>
        <v/>
      </c>
      <c r="Z1510" s="546" t="str">
        <f>IF(ISBLANK(F1510),"",IF(F1510=EUconst_NA,"",INDEX(EUwideConstants!$H:$M,MATCH(T1510,EUwideConstants!$Q:$Q,0),MATCH(F1510,CNTR_TierList,0))))</f>
        <v/>
      </c>
      <c r="AA1510" s="586" t="str">
        <f>IF(F1510=1,1,"")</f>
        <v/>
      </c>
      <c r="AB1510" s="30"/>
      <c r="AC1510" s="548" t="b">
        <f>AND(AC1503,Y1510&lt;&gt;EUconst_NA)</f>
        <v>0</v>
      </c>
      <c r="AD1510" s="30"/>
      <c r="AE1510" s="563"/>
      <c r="AG1510" s="564"/>
      <c r="AH1510" s="553"/>
      <c r="AI1510" s="565"/>
      <c r="AJ1510" s="553"/>
      <c r="AK1510" s="566"/>
      <c r="AL1510" s="333"/>
      <c r="AM1510" s="549" t="str">
        <f>EUconst_CNTR_BiomassContent&amp;EUconst_Value</f>
        <v>BioC_Vertė</v>
      </c>
      <c r="AO1510" s="587" t="str">
        <f>IF(AC1510=TRUE,IF(COUNTIF(MSPara_SourceStreamCategory,V1510)=0,"",INDEX(MSPara_CalcFactorsMatrix,MATCH(V1510,MSPara_SourceStreamCategory,0),MATCH(AM1510&amp;"_"&amp;2,MSPara_CalcFactors,0))),"")</f>
        <v/>
      </c>
      <c r="AP1510" s="553"/>
      <c r="AQ1510" s="568" t="str">
        <f>IF(OR(AA1510="",AO1510=EUconst_NA),"",AO1510)</f>
        <v/>
      </c>
      <c r="AR1510" s="548">
        <f>IF(AC1510=TRUE,IF(COUNT(K1510:L1510)=0,0,IF(L1510="",K1510,L1510)),0)</f>
        <v>0</v>
      </c>
      <c r="AS1510" s="544" t="b">
        <f>AND(AC1510=TRUE,OR(AND(F1510&lt;&gt;"",NOT(ISNUMBER(AA1510))),L1510&lt;&gt;"",F1510="",AQ1510=""))</f>
        <v>0</v>
      </c>
      <c r="AT1510" s="544" t="b">
        <f t="shared" si="373"/>
        <v>0</v>
      </c>
      <c r="AU1510" s="30"/>
      <c r="AV1510" s="558" t="b">
        <f t="shared" si="374"/>
        <v>0</v>
      </c>
      <c r="AW1510" s="559" t="b">
        <f t="shared" si="375"/>
        <v>0</v>
      </c>
      <c r="AX1510" s="30"/>
      <c r="AY1510" s="585" t="b">
        <f t="shared" si="376"/>
        <v>0</v>
      </c>
      <c r="AZ1510" s="522" t="b">
        <f>OR(AR1510&gt;100%,(AR1510+AR1511)&gt;100%)</f>
        <v>0</v>
      </c>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544" t="b">
        <f>OR(BZ1503,Y1510=EUconst_NA)</f>
        <v>1</v>
      </c>
    </row>
    <row r="1511" spans="1:78" s="140" customFormat="1" ht="12.75" customHeight="1" thickBot="1" x14ac:dyDescent="0.25">
      <c r="A1511" s="777"/>
      <c r="B1511" s="1248"/>
      <c r="C1511" s="753" t="s">
        <v>448</v>
      </c>
      <c r="D1511" s="503" t="str">
        <f>Translations!$B$647</f>
        <v>Netvarios BioC dalis:</v>
      </c>
      <c r="E1511" s="504"/>
      <c r="F1511" s="588"/>
      <c r="G1511" s="1603" t="str">
        <f t="shared" si="371"/>
        <v/>
      </c>
      <c r="H1511" s="1604"/>
      <c r="I1511" s="1114" t="str">
        <f>IF(OR(AC1511=FALSE,Y1511=EUconst_NA),"","-")</f>
        <v/>
      </c>
      <c r="J1511" s="560"/>
      <c r="K1511" s="589" t="str">
        <f t="shared" si="372"/>
        <v/>
      </c>
      <c r="L1511" s="1100"/>
      <c r="M1511" s="700" t="str">
        <f>IF(AND(E1494&lt;&gt;"",OR(F1511="",COUNT(K1511:L1511)=0),Y1511&lt;&gt;EUconst_NA,T1494&lt;&gt;TRUE),EUconst_ERR_Incomplete,IF(COUNTIF(AX1511:AZ1511,TRUE)&gt;0,EUconst_ERR_Inconsistent,""))</f>
        <v/>
      </c>
      <c r="O1511" s="1305"/>
      <c r="P1511" s="635"/>
      <c r="Q1511" s="635"/>
      <c r="R1511" s="635"/>
      <c r="S1511" s="30"/>
      <c r="T1511" s="590" t="str">
        <f>EUconst_CNTR_BiomassContent&amp;E1494</f>
        <v>BioC_</v>
      </c>
      <c r="U1511" s="488"/>
      <c r="V1511" s="570" t="str">
        <f t="shared" si="377"/>
        <v/>
      </c>
      <c r="W1511" s="571" t="str">
        <f>IF(COUNTIF(MSPara_SourceStreamCategory,V1511)=0,"",INDEX(MSPara_IsFossil,MATCH(V1511,MSPara_SourceStreamCategory,0)))</f>
        <v/>
      </c>
      <c r="X1511" s="488"/>
      <c r="Y1511" s="591" t="str">
        <f>IF(OR(T1494=TRUE,E1494=""),"",IF(OR(W1511=TRUE,F1511=EUconst_NA),EUconst_NA,INDEX(EUwideConstants!$N:$N,MATCH(T1511,EUwideConstants!$Q:$Q,0))))</f>
        <v/>
      </c>
      <c r="Z1511" s="592" t="str">
        <f>IF(ISBLANK(F1511),"",IF(F1511=EUconst_NA,"",INDEX(EUwideConstants!$H:$M,MATCH(T1511,EUwideConstants!$Q:$Q,0),MATCH(F1511,CNTR_TierList,0))))</f>
        <v/>
      </c>
      <c r="AA1511" s="593" t="str">
        <f>IF(F1511=1,1,"")</f>
        <v/>
      </c>
      <c r="AB1511" s="30"/>
      <c r="AC1511" s="594" t="b">
        <f>AND(AC1503,Y1511&lt;&gt;EUconst_NA)</f>
        <v>0</v>
      </c>
      <c r="AD1511" s="30"/>
      <c r="AE1511" s="595"/>
      <c r="AF1511" s="596"/>
      <c r="AG1511" s="597"/>
      <c r="AH1511" s="598"/>
      <c r="AI1511" s="598"/>
      <c r="AJ1511" s="598"/>
      <c r="AK1511" s="599"/>
      <c r="AL1511" s="333"/>
      <c r="AM1511" s="600" t="str">
        <f>EUconst_CNTR_BiomassContent&amp;EUconst_Value</f>
        <v>BioC_Vertė</v>
      </c>
      <c r="AN1511" s="596"/>
      <c r="AO1511" s="601" t="str">
        <f>IF(AC1511=TRUE,IF(COUNTIF(MSPara_SourceStreamCategory,V1511)=0,"",INDEX(MSPara_CalcFactorsMatrix,MATCH(V1511,MSPara_SourceStreamCategory,0),MATCH(AM1511&amp;"_"&amp;2,MSPara_CalcFactors,0))),"")</f>
        <v/>
      </c>
      <c r="AP1511" s="598"/>
      <c r="AQ1511" s="602" t="str">
        <f>IF(OR(AA1511="",AO1511=EUconst_NA),"",AO1511)</f>
        <v/>
      </c>
      <c r="AR1511" s="594">
        <f>IF(AC1511=TRUE,IF(COUNT(K1511:L1511)=0,0,IF(L1511="",K1511,L1511)),0)</f>
        <v>0</v>
      </c>
      <c r="AS1511" s="603" t="b">
        <f>AND(AC1511=TRUE,OR(AND(F1511&lt;&gt;"",NOT(ISNUMBER(AA1511))),L1511&lt;&gt;"",F1511="",AQ1511=""))</f>
        <v>0</v>
      </c>
      <c r="AT1511" s="603" t="b">
        <f t="shared" si="373"/>
        <v>0</v>
      </c>
      <c r="AU1511" s="30"/>
      <c r="AV1511" s="604" t="b">
        <f t="shared" si="374"/>
        <v>0</v>
      </c>
      <c r="AW1511" s="605" t="b">
        <f t="shared" si="375"/>
        <v>0</v>
      </c>
      <c r="AX1511" s="30"/>
      <c r="AY1511" s="570" t="b">
        <f t="shared" si="376"/>
        <v>0</v>
      </c>
      <c r="AZ1511" s="571" t="b">
        <f>OR(AR1510&gt;100%,(AR1510+AR1511)&gt;100%)</f>
        <v>0</v>
      </c>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571" t="b">
        <f>OR(BZ1503,Y1511=EUconst_NA)</f>
        <v>1</v>
      </c>
    </row>
    <row r="1512" spans="1:78" s="140" customFormat="1" ht="5.0999999999999996" customHeight="1" x14ac:dyDescent="0.2">
      <c r="A1512" s="777"/>
      <c r="B1512" s="1248"/>
      <c r="C1512" s="164"/>
      <c r="D1512" s="178"/>
      <c r="O1512" s="1305"/>
      <c r="P1512" s="33"/>
      <c r="Q1512" s="33"/>
      <c r="R1512" s="33"/>
      <c r="S1512" s="172"/>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row>
    <row r="1513" spans="1:78" s="140" customFormat="1" ht="12.75" customHeight="1" x14ac:dyDescent="0.2">
      <c r="A1513" s="777"/>
      <c r="B1513" s="1248"/>
      <c r="C1513" s="164"/>
      <c r="D1513" s="1629" t="str">
        <f>Translations!$B$674</f>
        <v>Pakopos galioja nuo:</v>
      </c>
      <c r="E1513" s="1629"/>
      <c r="F1513" s="1630"/>
      <c r="G1513" s="1014"/>
      <c r="H1513" s="606" t="str">
        <f>Translations!$B$675</f>
        <v>iki:</v>
      </c>
      <c r="I1513" s="1014"/>
      <c r="J1513" s="1620" t="str">
        <f>Translations!$B$676</f>
        <v>Atliekų katalogo numeris (jeigu taikytina):</v>
      </c>
      <c r="K1513" s="1621"/>
      <c r="L1513" s="1621"/>
      <c r="M1513" s="1622"/>
      <c r="N1513" s="1232"/>
      <c r="O1513" s="1305"/>
      <c r="P1513" s="33"/>
      <c r="Q1513" s="33"/>
      <c r="R1513" s="33"/>
      <c r="S1513" s="1233"/>
      <c r="T1513" s="483"/>
      <c r="U1513" s="483"/>
      <c r="V1513" s="48" t="b">
        <f>IF(V1503="",FALSE,INDEX(CNTR_IsWaste,MATCH(V1503,MSParameters!$A$218:$A$376,0)))</f>
        <v>0</v>
      </c>
      <c r="W1513" s="1233" t="s">
        <v>1689</v>
      </c>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2" t="b">
        <f>BZ1503</f>
        <v>1</v>
      </c>
    </row>
    <row r="1514" spans="1:78" s="140" customFormat="1" ht="5.0999999999999996" customHeight="1" x14ac:dyDescent="0.2">
      <c r="A1514" s="777"/>
      <c r="B1514" s="1248"/>
      <c r="C1514" s="164"/>
      <c r="D1514" s="606"/>
      <c r="E1514" s="486"/>
      <c r="F1514" s="486"/>
      <c r="G1514" s="486"/>
      <c r="H1514" s="486"/>
      <c r="I1514" s="486"/>
      <c r="J1514" s="486"/>
      <c r="K1514" s="486"/>
      <c r="L1514" s="486"/>
      <c r="M1514" s="486"/>
      <c r="N1514" s="486"/>
      <c r="O1514" s="1305"/>
      <c r="P1514" s="33"/>
      <c r="Q1514" s="33"/>
      <c r="R1514" s="33"/>
      <c r="S1514" s="172"/>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row>
    <row r="1515" spans="1:78" s="140" customFormat="1" ht="12.75" customHeight="1" x14ac:dyDescent="0.2">
      <c r="A1515" s="777"/>
      <c r="B1515" s="1248"/>
      <c r="C1515" s="164"/>
      <c r="D1515" s="486"/>
      <c r="E1515" s="486"/>
      <c r="F1515" s="486"/>
      <c r="G1515" s="486"/>
      <c r="H1515" s="486"/>
      <c r="I1515" s="486"/>
      <c r="J1515" s="486"/>
      <c r="K1515" s="486"/>
      <c r="L1515" s="486"/>
      <c r="M1515" s="606" t="str">
        <f>Translations!$B$677</f>
        <v>Stebėsenos plane šiam sukėlikliui suteiktas identifikatorius:</v>
      </c>
      <c r="N1515" s="705"/>
      <c r="O1515" s="1305"/>
      <c r="P1515" s="33"/>
      <c r="Q1515" s="33"/>
      <c r="R1515" s="33"/>
      <c r="S1515" s="172"/>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2" t="b">
        <f>BZ1513</f>
        <v>1</v>
      </c>
    </row>
    <row r="1516" spans="1:78" s="140" customFormat="1" ht="5.0999999999999996" customHeight="1" x14ac:dyDescent="0.2">
      <c r="A1516" s="784"/>
      <c r="B1516" s="1316"/>
      <c r="D1516" s="178"/>
      <c r="O1516" s="1317"/>
      <c r="P1516" s="488"/>
      <c r="Q1516" s="488"/>
      <c r="R1516" s="488"/>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row>
    <row r="1517" spans="1:78" s="140" customFormat="1" x14ac:dyDescent="0.2">
      <c r="A1517" s="784"/>
      <c r="B1517" s="1316"/>
      <c r="D1517" s="1618" t="str">
        <f>Translations!$B$160</f>
        <v>Pastabos:</v>
      </c>
      <c r="E1517" s="1619"/>
      <c r="F1517" s="1605"/>
      <c r="G1517" s="1606"/>
      <c r="H1517" s="1606"/>
      <c r="I1517" s="1606"/>
      <c r="J1517" s="1606"/>
      <c r="K1517" s="1606"/>
      <c r="L1517" s="1606"/>
      <c r="M1517" s="1606"/>
      <c r="N1517" s="1607"/>
      <c r="O1517" s="1317"/>
      <c r="P1517" s="488"/>
      <c r="Q1517" s="488"/>
      <c r="R1517" s="488"/>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2" t="b">
        <f>BZ1513</f>
        <v>1</v>
      </c>
    </row>
    <row r="1518" spans="1:78" s="28" customFormat="1" ht="12.75" customHeight="1" thickBot="1" x14ac:dyDescent="0.25">
      <c r="A1518" s="777"/>
      <c r="B1518" s="1312"/>
      <c r="C1518" s="490"/>
      <c r="D1518" s="491"/>
      <c r="E1518" s="492"/>
      <c r="F1518" s="490"/>
      <c r="G1518" s="493"/>
      <c r="H1518" s="493"/>
      <c r="I1518" s="493"/>
      <c r="J1518" s="493"/>
      <c r="K1518" s="493"/>
      <c r="L1518" s="493"/>
      <c r="M1518" s="493"/>
      <c r="N1518" s="493"/>
      <c r="O1518" s="1313"/>
      <c r="P1518" s="485"/>
      <c r="Q1518" s="485"/>
      <c r="R1518" s="485"/>
      <c r="S1518" s="58"/>
      <c r="T1518" s="58"/>
      <c r="U1518" s="489"/>
      <c r="V1518" s="58"/>
      <c r="W1518" s="58"/>
      <c r="X1518" s="489"/>
      <c r="Y1518" s="58"/>
      <c r="Z1518" s="58"/>
      <c r="AA1518" s="58"/>
      <c r="AB1518" s="58"/>
      <c r="AC1518" s="58"/>
      <c r="AD1518" s="58"/>
      <c r="AE1518" s="58"/>
      <c r="AF1518" s="58"/>
      <c r="AG1518" s="58"/>
      <c r="AH1518" s="58"/>
      <c r="AI1518" s="58"/>
      <c r="AJ1518" s="58"/>
      <c r="AK1518" s="58"/>
      <c r="AL1518" s="58"/>
      <c r="AM1518" s="58"/>
      <c r="AN1518" s="58"/>
      <c r="AO1518" s="58"/>
      <c r="AP1518" s="58"/>
      <c r="AQ1518" s="58"/>
      <c r="AR1518" s="58"/>
      <c r="AS1518" s="58"/>
      <c r="AT1518" s="58"/>
      <c r="AU1518" s="58"/>
      <c r="AV1518" s="58"/>
      <c r="AW1518" s="58"/>
      <c r="AX1518" s="58"/>
      <c r="AY1518" s="58"/>
      <c r="AZ1518" s="58"/>
      <c r="BA1518" s="58"/>
      <c r="BB1518" s="58"/>
      <c r="BC1518" s="58"/>
      <c r="BD1518" s="58"/>
      <c r="BE1518" s="58"/>
      <c r="BF1518" s="58"/>
      <c r="BG1518" s="58"/>
      <c r="BH1518" s="58"/>
      <c r="BI1518" s="30"/>
      <c r="BJ1518" s="30"/>
      <c r="BK1518" s="30"/>
      <c r="BL1518" s="58"/>
      <c r="BM1518" s="58"/>
      <c r="BN1518" s="58"/>
      <c r="BO1518" s="58"/>
      <c r="BP1518" s="58"/>
      <c r="BQ1518" s="58"/>
      <c r="BR1518" s="58"/>
      <c r="BS1518" s="58"/>
      <c r="BT1518" s="58"/>
      <c r="BU1518" s="58"/>
      <c r="BV1518" s="58"/>
      <c r="BW1518" s="58"/>
      <c r="BX1518" s="58"/>
      <c r="BY1518" s="58"/>
      <c r="BZ1518" s="58"/>
    </row>
    <row r="1519" spans="1:78" s="28" customFormat="1" ht="12.75" customHeight="1" thickBot="1" x14ac:dyDescent="0.25">
      <c r="A1519" s="782"/>
      <c r="B1519" s="1312"/>
      <c r="C1519" s="486"/>
      <c r="D1519" s="178"/>
      <c r="E1519" s="487"/>
      <c r="F1519" s="486"/>
      <c r="G1519" s="478"/>
      <c r="H1519" s="478"/>
      <c r="I1519" s="478"/>
      <c r="J1519" s="478"/>
      <c r="K1519" s="486"/>
      <c r="L1519" s="478"/>
      <c r="M1519" s="478"/>
      <c r="N1519" s="478"/>
      <c r="O1519" s="1313"/>
      <c r="P1519" s="485"/>
      <c r="Q1519" s="485"/>
      <c r="R1519" s="485"/>
      <c r="S1519" s="23"/>
      <c r="T1519" s="27" t="str">
        <f>IF(ISBLANK(E1520),"",MATCH(E1520,CNTR_SourceStreamNames,0))</f>
        <v/>
      </c>
      <c r="U1519" s="609" t="str">
        <f>IF(ISBLANK(E1520),"",INDEX(B_InstallationDescription!$D$71:$D$145,MATCH(E1520,CNTR_SourceStreamNames,0)))</f>
        <v/>
      </c>
      <c r="V1519" s="76"/>
      <c r="W1519" s="56"/>
      <c r="X1519" s="56"/>
      <c r="Y1519" s="56"/>
      <c r="Z1519" s="58"/>
      <c r="AA1519" s="58"/>
      <c r="AB1519" s="58"/>
      <c r="AC1519" s="58"/>
      <c r="AD1519" s="58"/>
      <c r="AE1519" s="58"/>
      <c r="AF1519" s="58"/>
      <c r="AG1519" s="58"/>
      <c r="AH1519" s="58"/>
      <c r="AI1519" s="58"/>
      <c r="AJ1519" s="58"/>
      <c r="AK1519" s="482"/>
      <c r="AL1519" s="58"/>
      <c r="AM1519" s="58"/>
      <c r="AN1519" s="58"/>
      <c r="AO1519" s="58"/>
      <c r="AP1519" s="58"/>
      <c r="AQ1519" s="58"/>
      <c r="AR1519" s="58"/>
      <c r="AS1519" s="58"/>
      <c r="AT1519" s="58"/>
      <c r="AU1519" s="58"/>
      <c r="AV1519" s="58"/>
      <c r="AW1519" s="58"/>
      <c r="AX1519" s="58"/>
      <c r="AY1519" s="58"/>
      <c r="AZ1519" s="58"/>
      <c r="BA1519" s="58"/>
      <c r="BB1519" s="58"/>
      <c r="BC1519" s="58"/>
      <c r="BD1519" s="58"/>
      <c r="BE1519" s="58"/>
      <c r="BF1519" s="58"/>
      <c r="BG1519" s="58"/>
      <c r="BH1519" s="56"/>
      <c r="BI1519" s="56"/>
      <c r="BJ1519" s="56"/>
      <c r="BK1519" s="56"/>
      <c r="BL1519" s="56"/>
      <c r="BM1519" s="56"/>
      <c r="BN1519" s="56"/>
      <c r="BO1519" s="56"/>
      <c r="BP1519" s="56"/>
      <c r="BQ1519" s="56"/>
      <c r="BR1519" s="56"/>
      <c r="BS1519" s="56"/>
      <c r="BT1519" s="56"/>
      <c r="BU1519" s="56"/>
      <c r="BV1519" s="56"/>
      <c r="BW1519" s="56"/>
      <c r="BX1519" s="56"/>
      <c r="BY1519" s="56"/>
      <c r="BZ1519" s="484" t="s">
        <v>259</v>
      </c>
    </row>
    <row r="1520" spans="1:78" s="140" customFormat="1" ht="15" customHeight="1" thickBot="1" x14ac:dyDescent="0.25">
      <c r="A1520" s="1302" t="str">
        <f>IF(E1520="","","PRINT")</f>
        <v/>
      </c>
      <c r="B1520" s="1248"/>
      <c r="C1520" s="608">
        <f>C1493+1</f>
        <v>55</v>
      </c>
      <c r="D1520" s="164"/>
      <c r="E1520" s="1610"/>
      <c r="F1520" s="1611"/>
      <c r="G1520" s="1611"/>
      <c r="H1520" s="1611"/>
      <c r="I1520" s="1611"/>
      <c r="J1520" s="1612"/>
      <c r="K1520" s="1623" t="str">
        <f>IF(E1521="","",INDEX(EUwideConstants!$F$353:$F$394,MATCH(E1521,EUConst_TierActivityListNames,0)))</f>
        <v/>
      </c>
      <c r="L1520" s="1624"/>
      <c r="M1520" s="494" t="str">
        <f>Translations!$B$665</f>
        <v>CO2, iškastinio kuro kilmės:</v>
      </c>
      <c r="N1520" s="1012" t="str">
        <f>IF(OR(K1520="",T1521=TRUE),"",INDEX(BC1534:BE1534,MATCH(K1520,BC1530:BE1530,0)))</f>
        <v/>
      </c>
      <c r="O1520" s="1314" t="s">
        <v>257</v>
      </c>
      <c r="P1520" s="1303" t="str">
        <f>IF(AND(E1520&lt;&gt;"",COUNTIF(P1521:$P$2089,"PRINT")=0),"PRINT","")</f>
        <v/>
      </c>
      <c r="Q1520" s="343" t="str">
        <f>EUconst_SumCO2 &amp; "_" &amp; K1520</f>
        <v>SUM_CO2_</v>
      </c>
      <c r="R1520" s="485"/>
      <c r="S1520" s="23"/>
      <c r="T1520" s="500" t="s">
        <v>387</v>
      </c>
      <c r="U1520" s="23"/>
      <c r="V1520" s="76"/>
      <c r="W1520" s="56"/>
      <c r="X1520" s="58"/>
      <c r="Y1520" s="58"/>
      <c r="Z1520" s="58"/>
      <c r="AA1520" s="58"/>
      <c r="AB1520" s="58"/>
      <c r="AC1520" s="58"/>
      <c r="AD1520" s="58"/>
      <c r="AE1520" s="58"/>
      <c r="AF1520" s="58"/>
      <c r="AG1520" s="58"/>
      <c r="AH1520" s="58"/>
      <c r="AI1520" s="333"/>
      <c r="AJ1520" s="333"/>
      <c r="AK1520" s="333"/>
      <c r="AL1520" s="333"/>
      <c r="AM1520" s="333"/>
      <c r="AN1520" s="333"/>
      <c r="AO1520" s="333"/>
      <c r="AP1520" s="333"/>
      <c r="AQ1520" s="333"/>
      <c r="AR1520" s="333"/>
      <c r="AS1520" s="333"/>
      <c r="AT1520" s="333"/>
      <c r="AU1520" s="333"/>
      <c r="AV1520" s="333"/>
      <c r="AW1520" s="333"/>
      <c r="AX1520" s="333"/>
      <c r="AY1520" s="333"/>
      <c r="AZ1520" s="333"/>
      <c r="BA1520" s="333"/>
      <c r="BB1520" s="333"/>
      <c r="BC1520" s="333"/>
      <c r="BD1520" s="333"/>
      <c r="BE1520" s="333"/>
      <c r="BF1520" s="333"/>
      <c r="BG1520" s="333"/>
      <c r="BH1520" s="834">
        <f>AR1530</f>
        <v>0</v>
      </c>
      <c r="BI1520" s="834" t="str">
        <f>AJ1530</f>
        <v/>
      </c>
      <c r="BJ1520" s="834">
        <f>AR1532</f>
        <v>0</v>
      </c>
      <c r="BK1520" s="834" t="str">
        <f>AJ1532</f>
        <v/>
      </c>
      <c r="BL1520" s="834">
        <f>AR1533</f>
        <v>0</v>
      </c>
      <c r="BM1520" s="834" t="str">
        <f>AJ1533</f>
        <v/>
      </c>
      <c r="BN1520" s="834">
        <f>AR1534</f>
        <v>1</v>
      </c>
      <c r="BO1520" s="834">
        <f>AR1535</f>
        <v>1</v>
      </c>
      <c r="BP1520" s="834">
        <f>AR1536</f>
        <v>0</v>
      </c>
      <c r="BQ1520" s="834" t="str">
        <f>AJ1536</f>
        <v/>
      </c>
      <c r="BR1520" s="834">
        <f>AR1537</f>
        <v>0</v>
      </c>
      <c r="BS1520" s="834">
        <f>AR1538</f>
        <v>0</v>
      </c>
      <c r="BT1520" s="834" t="str">
        <f>N1520</f>
        <v/>
      </c>
      <c r="BU1520" s="834" t="str">
        <f>N1521</f>
        <v/>
      </c>
      <c r="BV1520" s="834" t="str">
        <f>R1523</f>
        <v/>
      </c>
      <c r="BW1520" s="834" t="str">
        <f>R1529</f>
        <v/>
      </c>
      <c r="BX1520" s="834" t="str">
        <f>R1530</f>
        <v/>
      </c>
      <c r="BY1520" s="56"/>
      <c r="BZ1520" s="610" t="b">
        <f>CNTR_CalcRelevant=EUconst_NotRelevant</f>
        <v>0</v>
      </c>
    </row>
    <row r="1521" spans="1:78" s="140" customFormat="1" ht="15" customHeight="1" thickBot="1" x14ac:dyDescent="0.25">
      <c r="A1521" s="777"/>
      <c r="B1521" s="1248"/>
      <c r="C1521" s="164"/>
      <c r="D1521" s="164"/>
      <c r="E1521" s="1625" t="str">
        <f>IF(ISBLANK(E1520),"",IF(INDEX(B_InstallationDescription!$E$71:$E$145,MATCH(U1519,B_InstallationDescription!$D$71:$D$145,0))&gt;0,INDEX(B_InstallationDescription!$E$71:$E$145,MATCH(U1519,B_InstallationDescription!$D$71:$D$145,0)),""))</f>
        <v/>
      </c>
      <c r="F1521" s="1626"/>
      <c r="G1521" s="1626"/>
      <c r="H1521" s="1626"/>
      <c r="I1521" s="1626"/>
      <c r="J1521" s="1627"/>
      <c r="M1521" s="337" t="str">
        <f>Translations!$B$666</f>
        <v>CO2, biomasės kilmės.:</v>
      </c>
      <c r="N1521" s="1013" t="str">
        <f>IF(OR(K1520="",T1521=TRUE),"",INDEX(BC1533:BE1533,MATCH(K1520,BC1530:BE1530,0)))</f>
        <v/>
      </c>
      <c r="O1521" s="1315" t="s">
        <v>257</v>
      </c>
      <c r="P1521" s="485"/>
      <c r="Q1521" s="343" t="str">
        <f>EUconst_SumBioCO2 &amp; "_" &amp; K1520</f>
        <v>SUM_bioCO2_</v>
      </c>
      <c r="R1521" s="485"/>
      <c r="S1521" s="23"/>
      <c r="T1521" s="48" t="str">
        <f>IF(E1521="","",MATCH(E1521,EUConst_TierActivityListNames,0)&gt;40)</f>
        <v/>
      </c>
      <c r="U1521" s="23"/>
      <c r="V1521" s="76"/>
      <c r="W1521" s="56"/>
      <c r="X1521" s="58"/>
      <c r="Y1521" s="27" t="s">
        <v>91</v>
      </c>
      <c r="Z1521" s="30"/>
      <c r="AA1521" s="30"/>
      <c r="AB1521" s="30"/>
      <c r="AC1521" s="30"/>
      <c r="AD1521" s="30"/>
      <c r="AE1521" s="27" t="s">
        <v>297</v>
      </c>
      <c r="AF1521" s="58"/>
      <c r="AG1521" s="495"/>
      <c r="AH1521" s="30"/>
      <c r="AI1521" s="30"/>
      <c r="AJ1521" s="495"/>
      <c r="AK1521" s="495"/>
      <c r="AL1521" s="333"/>
      <c r="AM1521" s="27" t="s">
        <v>303</v>
      </c>
      <c r="AN1521" s="496"/>
      <c r="AO1521" s="496"/>
      <c r="AP1521" s="30"/>
      <c r="AQ1521" s="30"/>
      <c r="AR1521" s="30"/>
      <c r="AS1521" s="30"/>
      <c r="AT1521" s="30"/>
      <c r="AU1521" s="30"/>
      <c r="AV1521" s="27" t="s">
        <v>310</v>
      </c>
      <c r="AW1521" s="30"/>
      <c r="AX1521" s="483"/>
      <c r="AY1521" s="30"/>
      <c r="AZ1521" s="30"/>
      <c r="BA1521" s="30"/>
      <c r="BB1521" s="27" t="s">
        <v>217</v>
      </c>
      <c r="BC1521" s="30"/>
      <c r="BD1521" s="30"/>
      <c r="BE1521" s="30"/>
      <c r="BF1521" s="30"/>
      <c r="BG1521" s="27" t="s">
        <v>486</v>
      </c>
      <c r="BH1521" s="833" t="s">
        <v>552</v>
      </c>
      <c r="BI1521" s="833" t="s">
        <v>487</v>
      </c>
      <c r="BJ1521" s="833" t="s">
        <v>211</v>
      </c>
      <c r="BK1521" s="833" t="s">
        <v>488</v>
      </c>
      <c r="BL1521" s="833" t="s">
        <v>68</v>
      </c>
      <c r="BM1521" s="833" t="s">
        <v>489</v>
      </c>
      <c r="BN1521" s="833" t="s">
        <v>490</v>
      </c>
      <c r="BO1521" s="833" t="s">
        <v>491</v>
      </c>
      <c r="BP1521" s="833" t="s">
        <v>214</v>
      </c>
      <c r="BQ1521" s="833" t="s">
        <v>492</v>
      </c>
      <c r="BR1521" s="833" t="s">
        <v>493</v>
      </c>
      <c r="BS1521" s="833" t="s">
        <v>494</v>
      </c>
      <c r="BT1521" s="833" t="s">
        <v>287</v>
      </c>
      <c r="BU1521" s="833" t="s">
        <v>495</v>
      </c>
      <c r="BV1521" s="833" t="s">
        <v>498</v>
      </c>
      <c r="BW1521" s="833" t="s">
        <v>496</v>
      </c>
      <c r="BX1521" s="833" t="s">
        <v>497</v>
      </c>
      <c r="BY1521" s="30"/>
      <c r="BZ1521" s="30"/>
    </row>
    <row r="1522" spans="1:78" s="140" customFormat="1" ht="5.0999999999999996" customHeight="1" thickBot="1" x14ac:dyDescent="0.25">
      <c r="A1522" s="777"/>
      <c r="B1522" s="1248"/>
      <c r="C1522" s="164"/>
      <c r="D1522" s="164"/>
      <c r="E1522" s="164"/>
      <c r="F1522" s="164"/>
      <c r="G1522" s="164"/>
      <c r="M1522" s="141"/>
      <c r="N1522" s="141"/>
      <c r="O1522" s="1305"/>
      <c r="P1522" s="33"/>
      <c r="Q1522" s="33"/>
      <c r="R1522" s="33"/>
      <c r="S1522" s="23"/>
      <c r="T1522" s="23"/>
      <c r="U1522" s="23"/>
      <c r="V1522" s="76"/>
      <c r="W1522" s="30"/>
      <c r="X1522" s="30"/>
      <c r="Y1522" s="485"/>
      <c r="Z1522" s="30"/>
      <c r="AA1522" s="30"/>
      <c r="AB1522" s="30"/>
      <c r="AC1522" s="30"/>
      <c r="AD1522" s="30"/>
      <c r="AE1522" s="30"/>
      <c r="AF1522" s="58"/>
      <c r="AG1522" s="30"/>
      <c r="AH1522" s="30"/>
      <c r="AI1522" s="30"/>
      <c r="AJ1522" s="495"/>
      <c r="AK1522" s="495"/>
      <c r="AL1522" s="333"/>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row>
    <row r="1523" spans="1:78" s="140" customFormat="1" ht="12.75" customHeight="1" thickBot="1" x14ac:dyDescent="0.25">
      <c r="A1523" s="777"/>
      <c r="B1523" s="1248"/>
      <c r="C1523" s="164"/>
      <c r="D1523" s="164"/>
      <c r="E1523" s="1628" t="str">
        <f>IF(E1520="","",IF(T1521=TRUE,HYPERLINK("#JUMP_14",EUconst_MsgGoOnPFC),HYPERLINK("#JUMP_E_8",EUconst_FurtherGuidancePoint1)))</f>
        <v/>
      </c>
      <c r="F1523" s="1628"/>
      <c r="G1523" s="1628"/>
      <c r="H1523" s="1628"/>
      <c r="I1523" s="1628"/>
      <c r="J1523" s="1628"/>
      <c r="K1523" s="1628"/>
      <c r="L1523" s="1628"/>
      <c r="M1523" s="1628"/>
      <c r="N1523" s="141"/>
      <c r="O1523" s="1305"/>
      <c r="P1523" s="33"/>
      <c r="Q1523" s="343" t="str">
        <f>EUconst_SumNonSustBioCO2 &amp; "_" &amp; K1520</f>
        <v>SUM_bioNonSustCO2_</v>
      </c>
      <c r="R1523" s="698" t="str">
        <f>IF(OR(K1520="",T1521=TRUE),"",ROUND(INDEX(BC1532:BE1532,MATCH(K1520,BC1530:BE1530,0)),0))</f>
        <v/>
      </c>
      <c r="S1523" s="23"/>
      <c r="T1523" s="23"/>
      <c r="U1523" s="23"/>
      <c r="V1523" s="30"/>
      <c r="W1523" s="30"/>
      <c r="X1523" s="30"/>
      <c r="Y1523" s="58"/>
      <c r="Z1523" s="30"/>
      <c r="AA1523" s="30"/>
      <c r="AB1523" s="30"/>
      <c r="AC1523" s="30"/>
      <c r="AD1523" s="30"/>
      <c r="AE1523" s="30"/>
      <c r="AF1523" s="58"/>
      <c r="AG1523" s="30"/>
      <c r="AH1523" s="30"/>
      <c r="AI1523" s="30"/>
      <c r="AJ1523" s="495"/>
      <c r="AK1523" s="495"/>
      <c r="AL1523" s="333"/>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row>
    <row r="1524" spans="1:78" s="140" customFormat="1" ht="5.0999999999999996" customHeight="1" thickBot="1" x14ac:dyDescent="0.25">
      <c r="A1524" s="777"/>
      <c r="B1524" s="1248"/>
      <c r="C1524" s="164"/>
      <c r="D1524" s="164"/>
      <c r="E1524" s="164"/>
      <c r="F1524" s="164"/>
      <c r="G1524" s="164"/>
      <c r="M1524" s="141"/>
      <c r="N1524" s="141"/>
      <c r="O1524" s="1305"/>
      <c r="P1524" s="23"/>
      <c r="Q1524" s="23"/>
      <c r="R1524" s="23"/>
      <c r="S1524" s="23"/>
      <c r="T1524" s="23"/>
      <c r="U1524" s="23"/>
      <c r="V1524" s="30"/>
      <c r="W1524" s="30"/>
      <c r="X1524" s="30"/>
      <c r="Y1524" s="485"/>
      <c r="Z1524" s="30"/>
      <c r="AA1524" s="30"/>
      <c r="AB1524" s="30"/>
      <c r="AC1524" s="30"/>
      <c r="AD1524" s="30"/>
      <c r="AE1524" s="30"/>
      <c r="AF1524" s="58"/>
      <c r="AG1524" s="30"/>
      <c r="AH1524" s="30"/>
      <c r="AI1524" s="30"/>
      <c r="AJ1524" s="495"/>
      <c r="AK1524" s="495"/>
      <c r="AL1524" s="333"/>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row>
    <row r="1525" spans="1:78" s="140" customFormat="1" ht="12.75" customHeight="1" thickBot="1" x14ac:dyDescent="0.25">
      <c r="A1525" s="777"/>
      <c r="B1525" s="1248"/>
      <c r="C1525" s="783" t="s">
        <v>4</v>
      </c>
      <c r="D1525" s="503" t="str">
        <f>Translations!$B$622</f>
        <v>VD:</v>
      </c>
      <c r="E1525" s="1631" t="str">
        <f>Translations!$B$667</f>
        <v>Ar veiklos duomenys gaunami sudedant išmatuotus kiekius (t. y. ne atliekant nuolatinius matavimus)?</v>
      </c>
      <c r="F1525" s="1631"/>
      <c r="G1525" s="1631"/>
      <c r="H1525" s="1631"/>
      <c r="I1525" s="1631"/>
      <c r="J1525" s="1631"/>
      <c r="K1525" s="1631"/>
      <c r="L1525" s="1122"/>
      <c r="M1525" s="498"/>
      <c r="O1525" s="1305"/>
      <c r="P1525" s="23"/>
      <c r="Q1525" s="23"/>
      <c r="R1525" s="23"/>
      <c r="S1525" s="23"/>
      <c r="T1525" s="23"/>
      <c r="U1525" s="23"/>
      <c r="V1525" s="30"/>
      <c r="W1525" s="30"/>
      <c r="X1525" s="30"/>
      <c r="Y1525" s="485"/>
      <c r="Z1525" s="30"/>
      <c r="AA1525" s="30"/>
      <c r="AB1525" s="30"/>
      <c r="AC1525" s="1115" t="b">
        <f>AND(E1520&lt;&gt;"",T1521&lt;&gt;TRUE)</f>
        <v>0</v>
      </c>
      <c r="AD1525" s="30"/>
      <c r="AE1525" s="30"/>
      <c r="AF1525" s="58"/>
      <c r="AG1525" s="30"/>
      <c r="AH1525" s="30"/>
      <c r="AI1525" s="30"/>
      <c r="AJ1525" s="495"/>
      <c r="AK1525" s="495"/>
      <c r="AL1525" s="333"/>
      <c r="AM1525" s="30"/>
      <c r="AN1525" s="30"/>
      <c r="AO1525" s="30"/>
      <c r="AP1525" s="30"/>
      <c r="AQ1525" s="30"/>
      <c r="AR1525" s="30"/>
      <c r="AS1525" s="30"/>
      <c r="AT1525" s="1115" t="b">
        <f>MSPara_BatchReportingMandatory&lt;&gt;TRUE</f>
        <v>0</v>
      </c>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1115" t="b">
        <f>OR(CNTR_CalcRelevant=EUconst_NotRelevant,AND(COUNTA(CNTR_ListRelevantSections)&gt;0,OR(T1521=TRUE,E1520="")))</f>
        <v>1</v>
      </c>
    </row>
    <row r="1526" spans="1:78" s="140" customFormat="1" ht="5.0999999999999996" customHeight="1" thickBot="1" x14ac:dyDescent="0.25">
      <c r="A1526" s="777"/>
      <c r="B1526" s="1248"/>
      <c r="C1526" s="164"/>
      <c r="D1526" s="164"/>
      <c r="E1526" s="164"/>
      <c r="F1526" s="164"/>
      <c r="G1526" s="164"/>
      <c r="H1526" s="486"/>
      <c r="I1526" s="486"/>
      <c r="J1526" s="486"/>
      <c r="K1526" s="486"/>
      <c r="L1526" s="486"/>
      <c r="M1526" s="498"/>
      <c r="O1526" s="1305"/>
      <c r="P1526" s="23"/>
      <c r="Q1526" s="23"/>
      <c r="R1526" s="23"/>
      <c r="S1526" s="23"/>
      <c r="T1526" s="23"/>
      <c r="U1526" s="23"/>
      <c r="V1526" s="30"/>
      <c r="W1526" s="30"/>
      <c r="X1526" s="30"/>
      <c r="Y1526" s="485"/>
      <c r="Z1526" s="30"/>
      <c r="AA1526" s="30"/>
      <c r="AB1526" s="30"/>
      <c r="AC1526" s="483"/>
      <c r="AD1526" s="30"/>
      <c r="AE1526" s="30"/>
      <c r="AF1526" s="58"/>
      <c r="AG1526" s="30"/>
      <c r="AH1526" s="30"/>
      <c r="AI1526" s="30"/>
      <c r="AJ1526" s="495"/>
      <c r="AK1526" s="495"/>
      <c r="AL1526" s="333"/>
      <c r="AM1526" s="30"/>
      <c r="AN1526" s="30"/>
      <c r="AO1526" s="30"/>
      <c r="AP1526" s="30"/>
      <c r="AQ1526" s="30"/>
      <c r="AR1526" s="30"/>
      <c r="AS1526" s="30"/>
      <c r="AT1526" s="483"/>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483"/>
    </row>
    <row r="1527" spans="1:78" s="140" customFormat="1" ht="12.75" customHeight="1" thickBot="1" x14ac:dyDescent="0.25">
      <c r="A1527" s="777"/>
      <c r="B1527" s="1248"/>
      <c r="C1527" s="783" t="s">
        <v>5</v>
      </c>
      <c r="D1527" s="503" t="str">
        <f>Translations!$B$622</f>
        <v>VD:</v>
      </c>
      <c r="E1527" s="1105" t="str">
        <f>Translations!$B$668</f>
        <v>Pradinis kiekis:</v>
      </c>
      <c r="F1527" s="1123"/>
      <c r="G1527" s="1106" t="str">
        <f>Translations!$B$669</f>
        <v>Galutinis kiekis:</v>
      </c>
      <c r="H1527" s="1123"/>
      <c r="I1527" s="1106" t="str">
        <f>Translations!$B$670</f>
        <v>Įsigytas kiekis:</v>
      </c>
      <c r="J1527" s="1123"/>
      <c r="K1527" s="1106" t="str">
        <f>Translations!$B$671</f>
        <v>Perduotas kiekis:</v>
      </c>
      <c r="L1527" s="1123"/>
      <c r="M1527" s="1107" t="str">
        <f>IF(AND(L1525=TRUE,COUNT(F1527,H1527,J1527,L1527)&lt;4),EUconst_ERR_Incomplete,"")</f>
        <v/>
      </c>
      <c r="O1527" s="1305"/>
      <c r="P1527" s="23"/>
      <c r="Q1527" s="23"/>
      <c r="R1527" s="23"/>
      <c r="S1527" s="23"/>
      <c r="T1527" s="23"/>
      <c r="U1527" s="23"/>
      <c r="V1527" s="30"/>
      <c r="W1527" s="30"/>
      <c r="X1527" s="30"/>
      <c r="Y1527" s="485"/>
      <c r="Z1527" s="30"/>
      <c r="AA1527" s="30"/>
      <c r="AB1527" s="30"/>
      <c r="AC1527" s="1115" t="b">
        <f>AC1525</f>
        <v>0</v>
      </c>
      <c r="AD1527" s="30"/>
      <c r="AE1527" s="30"/>
      <c r="AF1527" s="58"/>
      <c r="AG1527" s="30"/>
      <c r="AH1527" s="30"/>
      <c r="AI1527" s="30"/>
      <c r="AJ1527" s="495"/>
      <c r="AK1527" s="495"/>
      <c r="AL1527" s="333"/>
      <c r="AM1527" s="30"/>
      <c r="AN1527" s="30"/>
      <c r="AO1527" s="30"/>
      <c r="AP1527" s="30"/>
      <c r="AQ1527" s="30"/>
      <c r="AR1527" s="30"/>
      <c r="AS1527" s="30"/>
      <c r="AT1527" s="1115" t="b">
        <f>AND(AT1525=TRUE,L1525="")</f>
        <v>0</v>
      </c>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1115" t="b">
        <f>OR(BZ1525,AND(NOT(ISBLANK(L1525)),L1525=FALSE))</f>
        <v>1</v>
      </c>
    </row>
    <row r="1528" spans="1:78" s="140" customFormat="1" ht="5.0999999999999996" customHeight="1" thickBot="1" x14ac:dyDescent="0.25">
      <c r="A1528" s="777"/>
      <c r="B1528" s="1248"/>
      <c r="C1528" s="164"/>
      <c r="D1528" s="164"/>
      <c r="E1528" s="164"/>
      <c r="F1528" s="164"/>
      <c r="G1528" s="164"/>
      <c r="M1528" s="141"/>
      <c r="N1528" s="141"/>
      <c r="O1528" s="1305"/>
      <c r="P1528" s="23"/>
      <c r="Q1528" s="23"/>
      <c r="R1528" s="23"/>
      <c r="S1528" s="23"/>
      <c r="T1528" s="23"/>
      <c r="U1528" s="23"/>
      <c r="V1528" s="30"/>
      <c r="W1528" s="30"/>
      <c r="X1528" s="30"/>
      <c r="Y1528" s="485"/>
      <c r="Z1528" s="30"/>
      <c r="AA1528" s="30"/>
      <c r="AB1528" s="30"/>
      <c r="AC1528" s="30"/>
      <c r="AD1528" s="30"/>
      <c r="AE1528" s="30"/>
      <c r="AF1528" s="58"/>
      <c r="AG1528" s="30"/>
      <c r="AH1528" s="30"/>
      <c r="AI1528" s="30"/>
      <c r="AJ1528" s="495"/>
      <c r="AK1528" s="495"/>
      <c r="AL1528" s="333"/>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row>
    <row r="1529" spans="1:78" s="140" customFormat="1" ht="12.75" customHeight="1" thickBot="1" x14ac:dyDescent="0.25">
      <c r="A1529" s="777"/>
      <c r="B1529" s="1248"/>
      <c r="C1529" s="164"/>
      <c r="D1529" s="164"/>
      <c r="E1529" s="164"/>
      <c r="F1529" s="497" t="str">
        <f>Translations!$B$333</f>
        <v>Pakopa</v>
      </c>
      <c r="G1529" s="1613" t="str">
        <f>Translations!$B$672</f>
        <v>pakopos aprašas</v>
      </c>
      <c r="H1529" s="1613"/>
      <c r="I1529" s="1608" t="str">
        <f>Translations!$B$158</f>
        <v>Vienetas</v>
      </c>
      <c r="J1529" s="1608"/>
      <c r="K1529" s="1608" t="str">
        <f>Translations!$B$673</f>
        <v>Vertė</v>
      </c>
      <c r="L1529" s="1608"/>
      <c r="M1529" s="498" t="str">
        <f>Translations!$B$610</f>
        <v>klaida</v>
      </c>
      <c r="O1529" s="1305"/>
      <c r="P1529" s="499"/>
      <c r="Q1529" s="343" t="str">
        <f>EUconst_SumEnergyIN &amp; "_" &amp; K1520</f>
        <v>SUM_EnergyIN_</v>
      </c>
      <c r="R1529" s="390" t="str">
        <f>IF(OR(K1520="",T1521)=TRUE,"",INDEX(BC1535:BE1535,MATCH(K1520,BC1530:BE1530,0)))</f>
        <v/>
      </c>
      <c r="S1529" s="30"/>
      <c r="T1529" s="480"/>
      <c r="U1529" s="30"/>
      <c r="V1529" s="500" t="s">
        <v>298</v>
      </c>
      <c r="W1529" s="30"/>
      <c r="X1529" s="30"/>
      <c r="Y1529" s="485" t="s">
        <v>560</v>
      </c>
      <c r="Z1529" s="485" t="s">
        <v>313</v>
      </c>
      <c r="AA1529" s="30"/>
      <c r="AB1529" s="30"/>
      <c r="AC1529" s="496" t="s">
        <v>304</v>
      </c>
      <c r="AD1529" s="30"/>
      <c r="AE1529" s="30"/>
      <c r="AF1529" s="483" t="s">
        <v>300</v>
      </c>
      <c r="AG1529" s="483" t="s">
        <v>301</v>
      </c>
      <c r="AH1529" s="485" t="s">
        <v>299</v>
      </c>
      <c r="AI1529" s="495" t="s">
        <v>302</v>
      </c>
      <c r="AJ1529" s="495" t="s">
        <v>561</v>
      </c>
      <c r="AK1529" s="501" t="s">
        <v>306</v>
      </c>
      <c r="AL1529" s="333"/>
      <c r="AM1529" s="30"/>
      <c r="AN1529" s="483" t="s">
        <v>300</v>
      </c>
      <c r="AO1529" s="483" t="s">
        <v>301</v>
      </c>
      <c r="AP1529" s="502" t="s">
        <v>305</v>
      </c>
      <c r="AQ1529" s="495" t="s">
        <v>563</v>
      </c>
      <c r="AR1529" s="495" t="s">
        <v>562</v>
      </c>
      <c r="AS1529" s="501" t="s">
        <v>599</v>
      </c>
      <c r="AT1529" s="501" t="s">
        <v>599</v>
      </c>
      <c r="AU1529" s="30"/>
      <c r="AV1529" s="483"/>
      <c r="AW1529" s="483"/>
      <c r="AX1529" s="483" t="s">
        <v>316</v>
      </c>
      <c r="AY1529" s="483"/>
      <c r="AZ1529" s="483"/>
      <c r="BA1529" s="483"/>
      <c r="BB1529" s="483"/>
      <c r="BC1529" s="483"/>
      <c r="BD1529" s="483"/>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484" t="s">
        <v>259</v>
      </c>
    </row>
    <row r="1530" spans="1:78" s="140" customFormat="1" ht="12.75" customHeight="1" thickBot="1" x14ac:dyDescent="0.25">
      <c r="A1530" s="777"/>
      <c r="B1530" s="1248"/>
      <c r="C1530" s="753" t="s">
        <v>194</v>
      </c>
      <c r="D1530" s="503" t="str">
        <f>Translations!$B$622</f>
        <v>VD:</v>
      </c>
      <c r="E1530" s="504"/>
      <c r="F1530" s="393"/>
      <c r="G1530" s="1603" t="str">
        <f>IF(OR(ISBLANK(F1530),F1530=EUconst_NoTier),"",IF(Z1530=0,EUconst_NA,IF(ISERROR(Z1530),"",Z1530)))</f>
        <v/>
      </c>
      <c r="H1530" s="1604"/>
      <c r="I1530" s="1108" t="str">
        <f>IF(J1530&lt;&gt;"","",AI1530)</f>
        <v/>
      </c>
      <c r="J1530" s="1109"/>
      <c r="K1530" s="1116" t="str">
        <f>IF(L1530="",AQ1530,"")</f>
        <v/>
      </c>
      <c r="L1530" s="1199"/>
      <c r="M1530" s="700" t="str">
        <f>IF(AND(E1521&lt;&gt;"",OR(F1530="",COUNT(K1530:L1530)=0),Y1530&lt;&gt;EUconst_NA,T1521&lt;&gt;TRUE),EUconst_ERR_Incomplete,IF(COUNTIF(AX1530:AZ1530,TRUE)&gt;0,EUconst_ERR_Inconsistent,""))</f>
        <v/>
      </c>
      <c r="O1530" s="1305"/>
      <c r="P1530" s="635"/>
      <c r="Q1530" s="343" t="str">
        <f>EUconst_SumBioEnergyIN &amp; "_" &amp; K1520</f>
        <v>SUM_BioEnergyIN_</v>
      </c>
      <c r="R1530" s="390" t="str">
        <f>IF(OR(K1520="",T1521)=TRUE,"",INDEX(BC1536:BE1536,MATCH(K1520,BC1530:BE1530,0)))</f>
        <v/>
      </c>
      <c r="S1530" s="30"/>
      <c r="T1530" s="505" t="str">
        <f>EUconst_CNTR_ActivityData&amp;E1521</f>
        <v>ActivityData_</v>
      </c>
      <c r="U1530" s="488"/>
      <c r="V1530" s="505" t="str">
        <f>IF(E1520="","",INDEX(B_InstallationDescription!$I$71:$I$145,MATCH(U1519,B_InstallationDescription!$D$71:$D$145,0)))</f>
        <v/>
      </c>
      <c r="W1530" s="495" t="s">
        <v>533</v>
      </c>
      <c r="X1530" s="488"/>
      <c r="Y1530" s="506" t="str">
        <f>IF(OR(T1521=TRUE,E1521=""),"",INDEX(EUwideConstants!$N:$N,MATCH(T1530,EUwideConstants!$Q:$Q,0)))</f>
        <v/>
      </c>
      <c r="Z1530" s="507" t="str">
        <f>IF(ISBLANK(F1530),"",IF(F1530=EUconst_NA,"",INDEX(EUwideConstants!$H:$M,MATCH(T1530,EUwideConstants!$Q:$Q,0),MATCH(F1530,CNTR_TierList,0))))</f>
        <v/>
      </c>
      <c r="AA1530" s="508" t="s">
        <v>299</v>
      </c>
      <c r="AB1530" s="495"/>
      <c r="AC1530" s="509" t="b">
        <f>AC1525</f>
        <v>0</v>
      </c>
      <c r="AD1530" s="30"/>
      <c r="AE1530" s="510" t="str">
        <f>EUconst_CNTR_ActivityData&amp;EUconst_Unit</f>
        <v>ActivityData_Vienetas</v>
      </c>
      <c r="AF1530" s="511" t="str">
        <f>IF(AC1530=TRUE, IF(COUNTIF(MSPara_SourceStreamCategory,V1530)=0,"",INDEX(MSPara_CalcFactorsMatrix,MATCH(V1530,MSPara_SourceStreamCategory,0),MATCH(AE1530&amp;"_"&amp;2,MSPara_CalcFactors,0))),"")</f>
        <v/>
      </c>
      <c r="AG1530" s="512" t="str">
        <f>IF(AC1530=TRUE, IF(COUNTIF(MSPara_SourceStreamCategory,V1530)=0,"",INDEX(MSPara_CalcFactorsMatrix,MATCH(V1530,MSPara_SourceStreamCategory,0),MATCH(AE1530&amp;"_"&amp;1,MSPara_CalcFactors,0))),"")</f>
        <v/>
      </c>
      <c r="AH1530" s="509" t="str">
        <f>IF(OR(AF1530="",AF1530=EUconst_NA),IF(OR(AG1530=EUconst_NA,AG1530=""),"",AG1530),AF1530)</f>
        <v/>
      </c>
      <c r="AI1530" s="506" t="str">
        <f>IF(AC1530=TRUE,IF(AH1530="",EUconst_t,AH1530),"")</f>
        <v/>
      </c>
      <c r="AJ1530" s="513" t="str">
        <f>IF(J1530="",AI1530,J1530)</f>
        <v/>
      </c>
      <c r="AK1530" s="514" t="b">
        <f>IF(K1520=EUconst_Fuel,J1530&lt;&gt;"",FALSE)</f>
        <v>0</v>
      </c>
      <c r="AL1530" s="333"/>
      <c r="AM1530" s="505" t="str">
        <f>EUconst_CNTR_ActivityData&amp;EUconst_Value</f>
        <v>ActivityData_Vertė</v>
      </c>
      <c r="AN1530" s="496"/>
      <c r="AO1530" s="496"/>
      <c r="AP1530" s="509" t="b">
        <f>AND(AND(AH1530&lt;&gt;"",AJ1530&lt;&gt;""),AJ1530=AH1530)</f>
        <v>0</v>
      </c>
      <c r="AQ1530" s="610" t="str">
        <f>IF(L1525=TRUE,SUM(F1527)-SUM(H1527)+SUM(J1527)-SUM(L1527),"")</f>
        <v/>
      </c>
      <c r="AR1530" s="509">
        <f>IF(Y1530=EUconst_NA,0,IF(COUNT(K1530:L1530)=0,0,IF(L1530="",K1530,L1530)))</f>
        <v>0</v>
      </c>
      <c r="AS1530" s="1115" t="b">
        <f>AND(AC1530=TRUE,OR(L1530&lt;&gt;"",AQ1530=""))</f>
        <v>0</v>
      </c>
      <c r="AT1530" s="1115" t="b">
        <f>AND(AC1530=TRUE,NOT(AS1530))</f>
        <v>0</v>
      </c>
      <c r="AU1530" s="30"/>
      <c r="AV1530" s="483" t="s">
        <v>309</v>
      </c>
      <c r="AW1530" s="483" t="s">
        <v>314</v>
      </c>
      <c r="AX1530" s="515"/>
      <c r="AY1530" s="30" t="s">
        <v>536</v>
      </c>
      <c r="AZ1530" s="30"/>
      <c r="BA1530" s="30"/>
      <c r="BB1530" s="495"/>
      <c r="BC1530" s="484" t="str">
        <f>EUconst_Fuel</f>
        <v>Degimas</v>
      </c>
      <c r="BD1530" s="484" t="str">
        <f>EUconst_ProcessCarbonate</f>
        <v>Proceso metu išsiskiriančios ŠESD</v>
      </c>
      <c r="BE1530" s="484" t="str">
        <f>EUconst_MassBalance</f>
        <v>Masės balansas</v>
      </c>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515" t="b">
        <f>BZ1525</f>
        <v>1</v>
      </c>
    </row>
    <row r="1531" spans="1:78" s="140" customFormat="1" ht="5.0999999999999996" customHeight="1" thickBot="1" x14ac:dyDescent="0.25">
      <c r="A1531" s="777"/>
      <c r="B1531" s="1248"/>
      <c r="C1531" s="783"/>
      <c r="D1531" s="298"/>
      <c r="F1531" s="141"/>
      <c r="G1531" s="141"/>
      <c r="H1531" s="141" t="s">
        <v>233</v>
      </c>
      <c r="I1531" s="516"/>
      <c r="J1531" s="516"/>
      <c r="K1531" s="141"/>
      <c r="L1531" s="141"/>
      <c r="M1531" s="701"/>
      <c r="O1531" s="1305"/>
      <c r="P1531" s="33"/>
      <c r="Q1531" s="33"/>
      <c r="R1531" s="33"/>
      <c r="S1531" s="30"/>
      <c r="T1531" s="153"/>
      <c r="U1531" s="488"/>
      <c r="V1531" s="30"/>
      <c r="W1531" s="30"/>
      <c r="X1531" s="488"/>
      <c r="Y1531" s="517"/>
      <c r="Z1531" s="30"/>
      <c r="AA1531" s="30"/>
      <c r="AB1531" s="30"/>
      <c r="AC1531" s="30"/>
      <c r="AD1531" s="30"/>
      <c r="AE1531" s="30"/>
      <c r="AF1531" s="30"/>
      <c r="AG1531" s="30"/>
      <c r="AH1531" s="30"/>
      <c r="AI1531" s="30"/>
      <c r="AJ1531" s="30"/>
      <c r="AK1531" s="30"/>
      <c r="AL1531" s="333"/>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484"/>
    </row>
    <row r="1532" spans="1:78" s="140" customFormat="1" ht="12.75" customHeight="1" thickBot="1" x14ac:dyDescent="0.25">
      <c r="A1532" s="777"/>
      <c r="B1532" s="1248"/>
      <c r="C1532" s="783" t="s">
        <v>195</v>
      </c>
      <c r="D1532" s="503" t="str">
        <f>Translations!$B$634</f>
        <v>(prelim.) ITF:</v>
      </c>
      <c r="E1532" s="504"/>
      <c r="F1532" s="518"/>
      <c r="G1532" s="1603" t="str">
        <f t="shared" ref="G1532:G1538" si="378">IF(OR(ISBLANK(F1532),F1532=EUconst_NoTier),"",IF(Z1532=0,EUconst_NotApplicable,IF(ISERROR(Z1532),"",Z1532)))</f>
        <v/>
      </c>
      <c r="H1532" s="1609"/>
      <c r="I1532" s="1110" t="str">
        <f>IF(J1532&lt;&gt;"","",AI1532)</f>
        <v/>
      </c>
      <c r="J1532" s="1111"/>
      <c r="K1532" s="519" t="str">
        <f t="shared" ref="K1532:K1538" si="379">IF(L1532="",AQ1532,"")</f>
        <v/>
      </c>
      <c r="L1532" s="520"/>
      <c r="M1532" s="700" t="str">
        <f>IF(AND(E1521&lt;&gt;"",OR(F1532="",COUNT(K1532:L1532)=0),Y1532&lt;&gt;EUconst_NA,T1521&lt;&gt;TRUE),EUconst_ERR_Incomplete,IF(COUNTIF(AX1532:AZ1532,TRUE)&gt;0,EUconst_ERR_Inconsistent,""))</f>
        <v/>
      </c>
      <c r="N1532" s="486"/>
      <c r="O1532" s="1305"/>
      <c r="P1532" s="33"/>
      <c r="Q1532" s="33"/>
      <c r="R1532" s="33"/>
      <c r="S1532" s="30"/>
      <c r="T1532" s="521" t="str">
        <f>EUconst_CNTR_EF&amp;E1521</f>
        <v>EF_</v>
      </c>
      <c r="U1532" s="488"/>
      <c r="V1532" s="522" t="str">
        <f>V1530</f>
        <v/>
      </c>
      <c r="W1532" s="30"/>
      <c r="X1532" s="488"/>
      <c r="Y1532" s="523" t="str">
        <f>IF(OR(T1521=TRUE,E1521=""),"",IF(F1532=EUconst_NA,EUconst_NA,INDEX(EUwideConstants!$N:$N,MATCH(T1532,EUwideConstants!$Q:$Q,0))))</f>
        <v/>
      </c>
      <c r="Z1532" s="524" t="str">
        <f>IF(ISBLANK(F1532),"",IF(F1532=EUconst_NA,"",INDEX(EUwideConstants!$H:$M,MATCH(T1532,EUwideConstants!$Q:$Q,0),MATCH(F1532,CNTR_TierList,0))))</f>
        <v/>
      </c>
      <c r="AA1532" s="525" t="str">
        <f>IF(COUNTIF(EUconst_DefaultValues,Z1532)&gt;0,MATCH(Z1532,EUconst_DefaultValues,0),"")</f>
        <v/>
      </c>
      <c r="AB1532" s="30"/>
      <c r="AC1532" s="526" t="b">
        <f>AND(AC1530,Y1532&lt;&gt;EUconst_NA)</f>
        <v>0</v>
      </c>
      <c r="AD1532" s="30"/>
      <c r="AE1532" s="510" t="str">
        <f>EUconst_CNTR_EF&amp;EUconst_Unit</f>
        <v>EF_Vienetas</v>
      </c>
      <c r="AF1532" s="527" t="str">
        <f>IF(AC1532=TRUE, IF(COUNTIF(MSPara_SourceStreamCategory,V1532)=0,"",INDEX(MSPara_CalcFactorsMatrix,MATCH(V1532,MSPara_SourceStreamCategory,0),MATCH(AE1532&amp;"_"&amp;2,MSPara_CalcFactors,0))),"")</f>
        <v/>
      </c>
      <c r="AG1532" s="528" t="str">
        <f>IF(AC1532=TRUE, IF(COUNTIF(MSPara_SourceStreamCategory,V1532)=0,"",INDEX(MSPara_CalcFactorsMatrix,MATCH(V1532,MSPara_SourceStreamCategory,0),MATCH(AE1532&amp;"_"&amp;1,MSPara_CalcFactors,0))),"")</f>
        <v/>
      </c>
      <c r="AH1532" s="529" t="str">
        <f>IF(AA1532="","",INDEX(AF1532:AG1532,3-AA1532))</f>
        <v/>
      </c>
      <c r="AI1532" s="530" t="str">
        <f>IF(AC1532=TRUE,IF(OR(AH1532="",AH1532=EUconst_NA),IF(K1520=EUconst_Fuel,EUconst_tCO2pTJ,EUconst_tCO2pt),AH1532),"")</f>
        <v/>
      </c>
      <c r="AJ1532" s="526" t="str">
        <f>IF(J1532="",AI1532,J1532)</f>
        <v/>
      </c>
      <c r="AK1532" s="531" t="b">
        <f>IF(K1520=EUconst_Fuel,J1532&lt;&gt;"",FALSE)</f>
        <v>0</v>
      </c>
      <c r="AL1532" s="333"/>
      <c r="AM1532" s="510" t="str">
        <f>EUconst_CNTR_EF&amp;EUconst_Value</f>
        <v>EF_Vertė</v>
      </c>
      <c r="AN1532" s="532" t="str">
        <f>IF(AC1532=TRUE,IF(COUNTIF(MSPara_SourceStreamCategory,V1532)=0,"",INDEX(MSPara_CalcFactorsMatrix,MATCH(V1532,MSPara_SourceStreamCategory,0),MATCH(AM1532&amp;"_"&amp;2,MSPara_CalcFactors,0))),"")</f>
        <v/>
      </c>
      <c r="AO1532" s="533" t="str">
        <f>IF(AC1532=TRUE,IF(COUNTIF(MSPara_SourceStreamCategory,V1532)=0,"",INDEX(MSPara_CalcFactorsMatrix,MATCH(V1532,MSPara_SourceStreamCategory,0),MATCH(AM1532&amp;"_"&amp;1,MSPara_CalcFactors,0))),"")</f>
        <v/>
      </c>
      <c r="AP1532" s="526" t="b">
        <f>AND(AND(AH1532&lt;&gt;"",AJ1532&lt;&gt;""),AJ1532=AH1532)</f>
        <v>0</v>
      </c>
      <c r="AQ1532" s="534" t="str">
        <f>IF(AND(AA1532&lt;&gt;"",AP1532=TRUE),IF(OR(INDEX(AN1532:AO1532,3-AA1532)=EUconst_NA,INDEX(AN1532:AO1532,3-AA1532)=0),"",INDEX(AN1532:AO1532,3-AA1532)),"")</f>
        <v/>
      </c>
      <c r="AR1532" s="526">
        <f>IF(AC1532=TRUE,IF(COUNT(K1532:L1532)=0,0,IF(L1532="",K1532,L1532)),0)</f>
        <v>0</v>
      </c>
      <c r="AS1532" s="522" t="b">
        <f>AND(AC1532=TRUE,OR(AND(F1532&lt;&gt;"",NOT(ISNUMBER(AA1532))),L1532&lt;&gt;"",F1532="",AQ1532=""))</f>
        <v>0</v>
      </c>
      <c r="AT1532" s="522" t="b">
        <f t="shared" ref="AT1532:AT1538" si="380">AND(AC1532=TRUE,NOT(AS1532))</f>
        <v>0</v>
      </c>
      <c r="AU1532" s="30"/>
      <c r="AV1532" s="535" t="b">
        <f t="shared" ref="AV1532:AV1538" si="381">AND(ISNUMBER(AA1532),AQ1532="")</f>
        <v>0</v>
      </c>
      <c r="AW1532" s="536" t="b">
        <f t="shared" ref="AW1532:AW1538" si="382">AND(ISNUMBER(AA1532),AQ1532&lt;&gt;AR1532)</f>
        <v>0</v>
      </c>
      <c r="AX1532" s="537" t="b">
        <f>OR(AND(AJ1530=EUconst_kNm3,AJ1532=EUconst_tCO2pt),AND(AJ1530=EUconst_t,AJ1532=EUconst_tCO2pkNm3))</f>
        <v>0</v>
      </c>
      <c r="AY1532" s="522" t="b">
        <f t="shared" ref="AY1532:AY1538" si="383">AND(L1532&lt;&gt;"",Y1532=EUconst_NA)</f>
        <v>0</v>
      </c>
      <c r="AZ1532" s="30"/>
      <c r="BA1532" s="30"/>
      <c r="BB1532" s="538" t="s">
        <v>588</v>
      </c>
      <c r="BC1532" s="537" t="str">
        <f>IF(K1520=BC1530,AR1530*IF(AJ1532=EUconst_tCO2pTJ,(AR1533/1000),1)*AR1532*AR1534*AR1538,"")</f>
        <v/>
      </c>
      <c r="BD1532" s="515" t="str">
        <f>IF(K1520=BD1530,AR1530*AR1532*AR1535*AR1538,"")</f>
        <v/>
      </c>
      <c r="BE1532" s="514" t="str">
        <f>IF(K1520=BE1530,3.664*AR1530*AR1536*AR1538,"")</f>
        <v/>
      </c>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522" t="b">
        <f>OR(BZ1530,Y1532=EUconst_NA)</f>
        <v>1</v>
      </c>
    </row>
    <row r="1533" spans="1:78" s="140" customFormat="1" ht="12.75" customHeight="1" thickBot="1" x14ac:dyDescent="0.25">
      <c r="A1533" s="777"/>
      <c r="B1533" s="1248"/>
      <c r="C1533" s="783" t="s">
        <v>196</v>
      </c>
      <c r="D1533" s="503" t="str">
        <f>Translations!$B$636</f>
        <v>GŠV:</v>
      </c>
      <c r="E1533" s="504"/>
      <c r="F1533" s="539"/>
      <c r="G1533" s="1603" t="str">
        <f t="shared" si="378"/>
        <v/>
      </c>
      <c r="H1533" s="1604"/>
      <c r="I1533" s="1112" t="str">
        <f>AJ1533</f>
        <v/>
      </c>
      <c r="J1533" s="540"/>
      <c r="K1533" s="541" t="str">
        <f t="shared" si="379"/>
        <v/>
      </c>
      <c r="L1533" s="542"/>
      <c r="M1533" s="700" t="str">
        <f>IF(AND(E1521&lt;&gt;"",OR(F1533="",COUNT(K1533:L1533)=0),Y1533&lt;&gt;EUconst_NA,T1521&lt;&gt;TRUE),EUconst_ERR_Incomplete,IF(COUNTIF(AX1533:AZ1533,TRUE)&gt;0,EUconst_ERR_Inconsistent,""))</f>
        <v/>
      </c>
      <c r="O1533" s="1305"/>
      <c r="P1533" s="33"/>
      <c r="Q1533" s="33"/>
      <c r="R1533" s="33"/>
      <c r="S1533" s="30"/>
      <c r="T1533" s="543" t="str">
        <f>EUconst_CNTR_NCV&amp;E1521</f>
        <v>NCV_</v>
      </c>
      <c r="U1533" s="488"/>
      <c r="V1533" s="544" t="str">
        <f t="shared" ref="V1533:V1538" si="384">V1532</f>
        <v/>
      </c>
      <c r="W1533" s="30"/>
      <c r="X1533" s="488"/>
      <c r="Y1533" s="545" t="str">
        <f>IF(OR(T1521=TRUE,E1521=""),"",IF(F1533=EUconst_NA,EUconst_NA,INDEX(EUwideConstants!$N:$N,MATCH(T1533,EUwideConstants!$Q:$Q,0))))</f>
        <v/>
      </c>
      <c r="Z1533" s="546" t="str">
        <f>IF(ISBLANK(F1533),"",IF(F1533=EUconst_NA,"",INDEX(EUwideConstants!$H:$M,MATCH(T1533,EUwideConstants!$Q:$Q,0),MATCH(F1533,CNTR_TierList,0))))</f>
        <v/>
      </c>
      <c r="AA1533" s="547" t="str">
        <f>IF(COUNTIF(EUconst_DefaultValues,Z1533)&gt;0,MATCH(Z1533,EUconst_DefaultValues,0),"")</f>
        <v/>
      </c>
      <c r="AB1533" s="30"/>
      <c r="AC1533" s="548" t="b">
        <f>AND(AC1530,Y1533&lt;&gt;EUconst_NA)</f>
        <v>0</v>
      </c>
      <c r="AD1533" s="30"/>
      <c r="AE1533" s="549" t="str">
        <f>EUconst_CNTR_NCV&amp;EUconst_Unit</f>
        <v>NCV_Vienetas</v>
      </c>
      <c r="AF1533" s="550" t="str">
        <f>IF(AC1533=TRUE, IF(COUNTIF(MSPara_SourceStreamCategory,V1533)=0,"",INDEX(MSPara_CalcFactorsMatrix,MATCH(V1533,MSPara_SourceStreamCategory,0),MATCH(AE1533&amp;"_"&amp;2,MSPara_CalcFactors,0))),"")</f>
        <v/>
      </c>
      <c r="AG1533" s="551" t="str">
        <f>IF(AC1533=TRUE, IF(COUNTIF(MSPara_SourceStreamCategory,V1533)=0,"",INDEX(MSPara_CalcFactorsMatrix,MATCH(V1533,MSPara_SourceStreamCategory,0),MATCH(AE1533&amp;"_"&amp;1,MSPara_CalcFactors,0))),"")</f>
        <v/>
      </c>
      <c r="AH1533" s="552" t="str">
        <f>IF(AA1533="","",INDEX(AF1533:AG1533,3-AA1533))</f>
        <v/>
      </c>
      <c r="AI1533" s="553"/>
      <c r="AJ1533" s="548" t="str">
        <f>IF(AC1533=TRUE,IF(AJ1530="","",IF(AJ1530=EUconst_kNm3,EUconst_GJpkNm3,EUconst_GJpt)),"")</f>
        <v/>
      </c>
      <c r="AK1533" s="554"/>
      <c r="AL1533" s="333"/>
      <c r="AM1533" s="549" t="str">
        <f>EUconst_CNTR_NCV&amp;EUconst_Value</f>
        <v>NCV_Vertė</v>
      </c>
      <c r="AN1533" s="555" t="str">
        <f>IF(AC1533=TRUE,IF(COUNTIF(MSPara_SourceStreamCategory,V1533)=0,"",INDEX(MSPara_CalcFactorsMatrix,MATCH(V1533,MSPara_SourceStreamCategory,0),MATCH(AM1533&amp;"_"&amp;2,MSPara_CalcFactors,0))),"")</f>
        <v/>
      </c>
      <c r="AO1533" s="556" t="str">
        <f>IF(AC1533=TRUE,IF(COUNTIF(MSPara_SourceStreamCategory,V1533)=0,"",INDEX(MSPara_CalcFactorsMatrix,MATCH(V1533,MSPara_SourceStreamCategory,0),MATCH(AM1533&amp;"_"&amp;1,MSPara_CalcFactors,0))),"")</f>
        <v/>
      </c>
      <c r="AP1533" s="548" t="b">
        <f>AND(AND(AH1533&lt;&gt;"",AJ1533&lt;&gt;""),AJ1533=AH1533)</f>
        <v>0</v>
      </c>
      <c r="AQ1533" s="557" t="str">
        <f>IF(AND(AA1533&lt;&gt;"",AP1533=TRUE),IF(OR(INDEX(AN1533:AO1533,3-AA1533)=EUconst_NA,INDEX(AN1533:AO1533,3-AA1533)=0),"",INDEX(AN1533:AO1533,3-AA1533)),"")</f>
        <v/>
      </c>
      <c r="AR1533" s="548">
        <f>IF(AC1533=TRUE,IF(COUNT(K1533:L1533)=0,0,IF(L1533="",K1533,L1533)),0)</f>
        <v>0</v>
      </c>
      <c r="AS1533" s="544" t="b">
        <f>AND(AC1533=TRUE,OR(AND(F1533&lt;&gt;"",NOT(ISNUMBER(AA1533))),L1533&lt;&gt;"",F1533="",AQ1533=""))</f>
        <v>0</v>
      </c>
      <c r="AT1533" s="544" t="b">
        <f t="shared" si="380"/>
        <v>0</v>
      </c>
      <c r="AU1533" s="30"/>
      <c r="AV1533" s="558" t="b">
        <f t="shared" si="381"/>
        <v>0</v>
      </c>
      <c r="AW1533" s="559" t="b">
        <f t="shared" si="382"/>
        <v>0</v>
      </c>
      <c r="AX1533" s="30"/>
      <c r="AY1533" s="544" t="b">
        <f t="shared" si="383"/>
        <v>0</v>
      </c>
      <c r="AZ1533" s="30"/>
      <c r="BA1533" s="30"/>
      <c r="BB1533" s="538" t="s">
        <v>589</v>
      </c>
      <c r="BC1533" s="537" t="str">
        <f>IF(K1520=BC1530,AR1530*IF(AJ1532=EUconst_tCO2pTJ,(AR1533/1000),1)*AR1532*AR1534*AR1537,"")</f>
        <v/>
      </c>
      <c r="BD1533" s="515" t="str">
        <f>IF(K1520=BD1530,AR1530*AR1532*AR1535*AR1537,"")</f>
        <v/>
      </c>
      <c r="BE1533" s="514" t="str">
        <f>IF(K1520=BE1530,3.664*AR1530*AR1536*AR1537,"")</f>
        <v/>
      </c>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544" t="b">
        <f>OR(BZ1530,Y1533=EUconst_NA)</f>
        <v>1</v>
      </c>
    </row>
    <row r="1534" spans="1:78" s="140" customFormat="1" ht="12.75" customHeight="1" thickBot="1" x14ac:dyDescent="0.25">
      <c r="A1534" s="777"/>
      <c r="B1534" s="1248"/>
      <c r="C1534" s="783" t="s">
        <v>197</v>
      </c>
      <c r="D1534" s="503" t="str">
        <f>Translations!$B$638</f>
        <v>Oksidacijos koef.:</v>
      </c>
      <c r="E1534" s="504"/>
      <c r="F1534" s="539"/>
      <c r="G1534" s="1603" t="str">
        <f t="shared" si="378"/>
        <v/>
      </c>
      <c r="H1534" s="1604"/>
      <c r="I1534" s="1113" t="str">
        <f>IF(OR(AC1534=FALSE,Y1534=EUconst_NA),"","-")</f>
        <v/>
      </c>
      <c r="J1534" s="560"/>
      <c r="K1534" s="561" t="str">
        <f t="shared" si="379"/>
        <v/>
      </c>
      <c r="L1534" s="694"/>
      <c r="M1534" s="700" t="str">
        <f>IF(AND(E1521&lt;&gt;"",OR(F1534="",COUNT(K1534:L1534)=0),Y1534&lt;&gt;EUconst_NA,T1521&lt;&gt;TRUE),EUconst_ERR_Incomplete,IF(COUNTIF(AX1534:AZ1534,TRUE)&gt;0,EUconst_ERR_Inconsistent,""))</f>
        <v/>
      </c>
      <c r="O1534" s="1305"/>
      <c r="P1534" s="33"/>
      <c r="Q1534" s="33"/>
      <c r="R1534" s="33"/>
      <c r="S1534" s="30"/>
      <c r="T1534" s="543" t="str">
        <f>EUconst_CNTR_OxidationFactor&amp;E1521</f>
        <v>OxF_</v>
      </c>
      <c r="U1534" s="488"/>
      <c r="V1534" s="544" t="str">
        <f t="shared" si="384"/>
        <v/>
      </c>
      <c r="W1534" s="30"/>
      <c r="X1534" s="488"/>
      <c r="Y1534" s="545" t="str">
        <f>IF(OR(T1521=TRUE,E1521=""),"",INDEX(EUwideConstants!$N:$N,MATCH(T1534,EUwideConstants!$Q:$Q,0)))</f>
        <v/>
      </c>
      <c r="Z1534" s="546" t="str">
        <f>IF(ISBLANK(F1534),"",IF(F1534=EUconst_NA,"",INDEX(EUwideConstants!$H:$M,MATCH(T1534,EUwideConstants!$Q:$Q,0),MATCH(F1534,CNTR_TierList,0))))</f>
        <v/>
      </c>
      <c r="AA1534" s="525" t="str">
        <f>IF(F1534=1,1,"")</f>
        <v/>
      </c>
      <c r="AB1534" s="30"/>
      <c r="AC1534" s="548" t="b">
        <f>AND(AC1530,Y1534&lt;&gt;EUconst_NA)</f>
        <v>0</v>
      </c>
      <c r="AD1534" s="30"/>
      <c r="AE1534" s="563"/>
      <c r="AG1534" s="564"/>
      <c r="AH1534" s="553"/>
      <c r="AI1534" s="565"/>
      <c r="AJ1534" s="553"/>
      <c r="AK1534" s="566"/>
      <c r="AL1534" s="333"/>
      <c r="AM1534" s="549" t="str">
        <f>EUconst_CNTR_OxidationFactor&amp;EUconst_Value</f>
        <v>OxF_Vertė</v>
      </c>
      <c r="AN1534" s="567"/>
      <c r="AO1534" s="525">
        <v>1</v>
      </c>
      <c r="AP1534" s="553"/>
      <c r="AQ1534" s="568" t="str">
        <f>IF(AA1534="","",AO1534)</f>
        <v/>
      </c>
      <c r="AR1534" s="548">
        <f>IF(AC1534=TRUE,IF(COUNT(K1534:L1534)=0,0,IF(L1534="",K1534,L1534)),1)</f>
        <v>1</v>
      </c>
      <c r="AS1534" s="544" t="b">
        <f>AND(AC1534=TRUE,OR(ISNUMBER(L1534),NOT(ISNUMBER(AA1534))))</f>
        <v>0</v>
      </c>
      <c r="AT1534" s="544" t="b">
        <f t="shared" si="380"/>
        <v>0</v>
      </c>
      <c r="AU1534" s="30"/>
      <c r="AV1534" s="558" t="b">
        <f t="shared" si="381"/>
        <v>0</v>
      </c>
      <c r="AW1534" s="559" t="b">
        <f t="shared" si="382"/>
        <v>0</v>
      </c>
      <c r="AX1534" s="30"/>
      <c r="AY1534" s="585" t="b">
        <f t="shared" si="383"/>
        <v>0</v>
      </c>
      <c r="AZ1534" s="522" t="b">
        <f>AR1534&gt;100%</f>
        <v>0</v>
      </c>
      <c r="BA1534" s="30"/>
      <c r="BB1534" s="538" t="s">
        <v>287</v>
      </c>
      <c r="BC1534" s="537" t="str">
        <f>IF(K1520=BC1530,AR1530*IF(AJ1532=EUconst_tCO2pTJ,(AR1533/1000),1)*AR1532*AR1534*(1-AR1537),"")</f>
        <v/>
      </c>
      <c r="BD1534" s="515" t="str">
        <f>IF(K1520=BD1530,AR1530*AR1532*AR1535*(1-AR1537),"")</f>
        <v/>
      </c>
      <c r="BE1534" s="514" t="str">
        <f>IF(K1520=BE1530,3.664*AR1530*AR1536*(1-AR1537),"")</f>
        <v/>
      </c>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544" t="b">
        <f>OR(BZ1530,Y1534=EUconst_NA)</f>
        <v>1</v>
      </c>
    </row>
    <row r="1535" spans="1:78" s="140" customFormat="1" ht="12.75" customHeight="1" thickBot="1" x14ac:dyDescent="0.25">
      <c r="A1535" s="777"/>
      <c r="B1535" s="1248"/>
      <c r="C1535" s="783" t="s">
        <v>198</v>
      </c>
      <c r="D1535" s="503" t="str">
        <f>Translations!$B$639</f>
        <v>Konversijos koef.:</v>
      </c>
      <c r="E1535" s="504"/>
      <c r="F1535" s="539"/>
      <c r="G1535" s="1603" t="str">
        <f t="shared" si="378"/>
        <v/>
      </c>
      <c r="H1535" s="1604"/>
      <c r="I1535" s="1113" t="str">
        <f>IF(OR(AC1535=FALSE,Y1535=EUconst_NA),"","-")</f>
        <v/>
      </c>
      <c r="J1535" s="560"/>
      <c r="K1535" s="561" t="str">
        <f t="shared" si="379"/>
        <v/>
      </c>
      <c r="L1535" s="694"/>
      <c r="M1535" s="700" t="str">
        <f>IF(AND(E1521&lt;&gt;"",OR(F1535="",COUNT(K1535:L1535)=0),Y1535&lt;&gt;EUconst_NA,T1521&lt;&gt;TRUE),EUconst_ERR_Incomplete,IF(COUNTIF(AX1535:AZ1535,TRUE)&gt;0,EUconst_ERR_Inconsistent,""))</f>
        <v/>
      </c>
      <c r="O1535" s="1305"/>
      <c r="P1535" s="33"/>
      <c r="Q1535" s="33"/>
      <c r="R1535" s="33"/>
      <c r="S1535" s="30"/>
      <c r="T1535" s="543" t="str">
        <f>EUconst_CNTR_ConversionFactor&amp;E1521</f>
        <v>ConvF_</v>
      </c>
      <c r="U1535" s="488"/>
      <c r="V1535" s="544" t="str">
        <f t="shared" si="384"/>
        <v/>
      </c>
      <c r="W1535" s="30"/>
      <c r="X1535" s="488"/>
      <c r="Y1535" s="545" t="str">
        <f>IF(OR(T1521=TRUE,E1521=""),"",INDEX(EUwideConstants!$N:$N,MATCH(T1535,EUwideConstants!$Q:$Q,0)))</f>
        <v/>
      </c>
      <c r="Z1535" s="546" t="str">
        <f>IF(ISBLANK(F1535),"",IF(F1535=EUconst_NA,"",INDEX(EUwideConstants!$H:$M,MATCH(T1535,EUwideConstants!$Q:$Q,0),MATCH(F1535,CNTR_TierList,0))))</f>
        <v/>
      </c>
      <c r="AA1535" s="573" t="str">
        <f>IF(F1535=1,1,"")</f>
        <v/>
      </c>
      <c r="AB1535" s="30"/>
      <c r="AC1535" s="548" t="b">
        <f>AND(AC1530,Y1535&lt;&gt;EUconst_NA)</f>
        <v>0</v>
      </c>
      <c r="AD1535" s="30"/>
      <c r="AE1535" s="563"/>
      <c r="AG1535" s="564"/>
      <c r="AH1535" s="574"/>
      <c r="AI1535" s="565"/>
      <c r="AJ1535" s="574"/>
      <c r="AK1535" s="566"/>
      <c r="AL1535" s="333"/>
      <c r="AM1535" s="549" t="str">
        <f>EUconst_CNTR_ConversionFactor&amp;EUconst_Value</f>
        <v>ConvF_Vertė</v>
      </c>
      <c r="AN1535" s="575"/>
      <c r="AO1535" s="573">
        <v>1</v>
      </c>
      <c r="AP1535" s="574"/>
      <c r="AQ1535" s="576" t="str">
        <f>IF(AA1535="","",AO1535)</f>
        <v/>
      </c>
      <c r="AR1535" s="548">
        <f>IF(AC1535=TRUE,IF(COUNT(K1535:L1535)=0,0,IF(L1535="",K1535,L1535)),1)</f>
        <v>1</v>
      </c>
      <c r="AS1535" s="544" t="b">
        <f>AND(AC1535=TRUE,OR(ISNUMBER(L1535),NOT(ISNUMBER(AA1535))))</f>
        <v>0</v>
      </c>
      <c r="AT1535" s="544" t="b">
        <f t="shared" si="380"/>
        <v>0</v>
      </c>
      <c r="AU1535" s="30"/>
      <c r="AV1535" s="558" t="b">
        <f t="shared" si="381"/>
        <v>0</v>
      </c>
      <c r="AW1535" s="559" t="b">
        <f t="shared" si="382"/>
        <v>0</v>
      </c>
      <c r="AX1535" s="30"/>
      <c r="AY1535" s="585" t="b">
        <f t="shared" si="383"/>
        <v>0</v>
      </c>
      <c r="AZ1535" s="571" t="b">
        <f>AR1535&gt;100%</f>
        <v>0</v>
      </c>
      <c r="BA1535" s="30"/>
      <c r="BB1535" s="569" t="s">
        <v>481</v>
      </c>
      <c r="BC1535" s="570">
        <f>AR1530*AR1533/1000*(1-AR1537)</f>
        <v>0</v>
      </c>
      <c r="BD1535" s="571">
        <f>BC1535</f>
        <v>0</v>
      </c>
      <c r="BE1535" s="572">
        <f>BC1535</f>
        <v>0</v>
      </c>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544" t="b">
        <f>OR(BZ1530,Y1535=EUconst_NA)</f>
        <v>1</v>
      </c>
    </row>
    <row r="1536" spans="1:78" s="140" customFormat="1" ht="12.75" customHeight="1" thickBot="1" x14ac:dyDescent="0.25">
      <c r="A1536" s="777"/>
      <c r="B1536" s="1248"/>
      <c r="C1536" s="783" t="s">
        <v>324</v>
      </c>
      <c r="D1536" s="503" t="str">
        <f>Translations!$B$640</f>
        <v>Anglies kiekis (C):</v>
      </c>
      <c r="E1536" s="504"/>
      <c r="F1536" s="539"/>
      <c r="G1536" s="1603" t="str">
        <f t="shared" si="378"/>
        <v/>
      </c>
      <c r="H1536" s="1604"/>
      <c r="I1536" s="1113" t="str">
        <f>AJ1536</f>
        <v/>
      </c>
      <c r="J1536" s="577"/>
      <c r="K1536" s="578" t="str">
        <f t="shared" si="379"/>
        <v/>
      </c>
      <c r="L1536" s="579"/>
      <c r="M1536" s="700" t="str">
        <f>IF(AND(E1521&lt;&gt;"",OR(F1536="",COUNT(K1536:L1536)=0),Y1536&lt;&gt;EUconst_NA,T1521&lt;&gt;TRUE),EUconst_ERR_Incomplete,IF(COUNTIF(AX1536:AZ1536,TRUE)&gt;0,EUconst_ERR_Inconsistent,""))</f>
        <v/>
      </c>
      <c r="O1536" s="1305"/>
      <c r="P1536" s="33"/>
      <c r="Q1536" s="33"/>
      <c r="R1536" s="33"/>
      <c r="S1536" s="30"/>
      <c r="T1536" s="543" t="str">
        <f>EUconst_CNTR_CarbonContent&amp;E1521</f>
        <v>CarbC_</v>
      </c>
      <c r="U1536" s="488"/>
      <c r="V1536" s="544" t="str">
        <f t="shared" si="384"/>
        <v/>
      </c>
      <c r="W1536" s="30"/>
      <c r="X1536" s="488"/>
      <c r="Y1536" s="545" t="str">
        <f>IF(OR(T1521=TRUE,E1521=""),"",INDEX(EUwideConstants!$N:$N,MATCH(T1536,EUwideConstants!$Q:$Q,0)))</f>
        <v/>
      </c>
      <c r="Z1536" s="546" t="str">
        <f>IF(ISBLANK(F1536),"",IF(F1536=EUconst_NA,"",INDEX(EUwideConstants!$H:$M,MATCH(T1536,EUwideConstants!$Q:$Q,0),MATCH(F1536,CNTR_TierList,0))))</f>
        <v/>
      </c>
      <c r="AA1536" s="580" t="str">
        <f>IF(COUNTIF(EUconst_DefaultValues,Z1536)&gt;0,MATCH(Z1536,EUconst_DefaultValues,0),"")</f>
        <v/>
      </c>
      <c r="AB1536" s="30"/>
      <c r="AC1536" s="548" t="b">
        <f>AND(AC1530,Y1536&lt;&gt;EUconst_NA)</f>
        <v>0</v>
      </c>
      <c r="AD1536" s="30"/>
      <c r="AE1536" s="549" t="str">
        <f>EUconst_CNTR_CarbonContent&amp;EUconst_Unit</f>
        <v>CarbC_Vienetas</v>
      </c>
      <c r="AF1536" s="550" t="str">
        <f>IF(AC1536=TRUE, IF(COUNTIF(MSPara_SourceStreamCategory,V1536)=0,"",INDEX(MSPara_CalcFactorsMatrix,MATCH(V1536,MSPara_SourceStreamCategory,0),MATCH(AE1536&amp;"_"&amp;2,MSPara_CalcFactors,0))),"")</f>
        <v/>
      </c>
      <c r="AG1536" s="551" t="str">
        <f>IF(AC1536=TRUE, IF(COUNTIF(MSPara_SourceStreamCategory,V1536)=0,"",INDEX(MSPara_CalcFactorsMatrix,MATCH(V1536,MSPara_SourceStreamCategory,0),MATCH(AE1536&amp;"_"&amp;1,MSPara_CalcFactors,0))),"")</f>
        <v/>
      </c>
      <c r="AH1536" s="581" t="str">
        <f>IF(AA1536="","",INDEX(AF1536:AG1536,3-AA1536))</f>
        <v/>
      </c>
      <c r="AI1536" s="565"/>
      <c r="AJ1536" s="582" t="str">
        <f>IF(AC1536=TRUE,IF(AJ1530="","",IF(AJ1530=EUconst_kNm3,EUconst_tCpkNm3,EUconst_tCpt)),"")</f>
        <v/>
      </c>
      <c r="AK1536" s="566"/>
      <c r="AL1536" s="333"/>
      <c r="AM1536" s="549" t="str">
        <f>EUconst_CNTR_CarbonContent&amp;EUconst_Value</f>
        <v>CarbC_Vertė</v>
      </c>
      <c r="AN1536" s="555" t="str">
        <f>IF(AC1536=TRUE,IF(COUNTIF(MSPara_SourceStreamCategory,V1536)=0,"",INDEX(MSPara_CalcFactorsMatrix,MATCH(V1536,MSPara_SourceStreamCategory,0),MATCH(AM1536&amp;"_"&amp;2,MSPara_CalcFactors,0))),"")</f>
        <v/>
      </c>
      <c r="AO1536" s="583" t="str">
        <f>IF(AC1536=TRUE,IF(COUNTIF(MSPara_SourceStreamCategory,V1536)=0,"",INDEX(MSPara_CalcFactorsMatrix,MATCH(V1536,MSPara_SourceStreamCategory,0),MATCH(AM1536&amp;"_"&amp;1,MSPara_CalcFactors,0))),"")</f>
        <v/>
      </c>
      <c r="AP1536" s="548" t="b">
        <f>AND(AND(AH1536&lt;&gt;"",AJ1536&lt;&gt;""),AJ1536=AH1536)</f>
        <v>0</v>
      </c>
      <c r="AQ1536" s="584" t="str">
        <f>IF(AND(AA1536&lt;&gt;"",AP1536=TRUE),IF(OR(INDEX(AN1536:AO1536,3-AA1536)=EUconst_NA,INDEX(AN1536:AO1536,3-AA1536)=0),"",INDEX(AN1536:AO1536,3-AA1536)),"")</f>
        <v/>
      </c>
      <c r="AR1536" s="548">
        <f>IF(AC1536=TRUE,IF(COUNT(K1536:L1536)=0,0,IF(L1536="",K1536,L1536)),0)</f>
        <v>0</v>
      </c>
      <c r="AS1536" s="544" t="b">
        <f>AND(AC1536=TRUE,OR(AND(F1536&lt;&gt;"",NOT(ISNUMBER(AA1536))),L1536&lt;&gt;"",F1536="",AQ1536=""))</f>
        <v>0</v>
      </c>
      <c r="AT1536" s="544" t="b">
        <f t="shared" si="380"/>
        <v>0</v>
      </c>
      <c r="AU1536" s="30"/>
      <c r="AV1536" s="558" t="b">
        <f t="shared" si="381"/>
        <v>0</v>
      </c>
      <c r="AW1536" s="559" t="b">
        <f t="shared" si="382"/>
        <v>0</v>
      </c>
      <c r="AX1536" s="537" t="b">
        <f>OR(AND(AJ1530=EUconst_kNm3,AJ1536=EUconst_tCpt),AND(AJ1530=EUconst_t,AJ1536=EUconst_tCpkNm3))</f>
        <v>0</v>
      </c>
      <c r="AY1536" s="544" t="b">
        <f t="shared" si="383"/>
        <v>0</v>
      </c>
      <c r="AZ1536" s="30"/>
      <c r="BA1536" s="30"/>
      <c r="BB1536" s="569" t="s">
        <v>482</v>
      </c>
      <c r="BC1536" s="570">
        <f>AR1530*AR1533/1000*AR1537</f>
        <v>0</v>
      </c>
      <c r="BD1536" s="571">
        <f>BC1536</f>
        <v>0</v>
      </c>
      <c r="BE1536" s="572">
        <f>BC1536</f>
        <v>0</v>
      </c>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544" t="b">
        <f>OR(BZ1530,Y1536=EUconst_NA)</f>
        <v>1</v>
      </c>
    </row>
    <row r="1537" spans="1:78" s="140" customFormat="1" ht="12.75" customHeight="1" x14ac:dyDescent="0.2">
      <c r="A1537" s="777"/>
      <c r="B1537" s="1248"/>
      <c r="C1537" s="753" t="s">
        <v>325</v>
      </c>
      <c r="D1537" s="503" t="str">
        <f>Translations!$B$641</f>
        <v>Biomasės dalis (BioC):</v>
      </c>
      <c r="E1537" s="504"/>
      <c r="F1537" s="539"/>
      <c r="G1537" s="1603" t="str">
        <f t="shared" si="378"/>
        <v/>
      </c>
      <c r="H1537" s="1604"/>
      <c r="I1537" s="1113" t="str">
        <f>IF(OR(AC1537=FALSE,Y1537=EUconst_NA),"","-")</f>
        <v/>
      </c>
      <c r="J1537" s="560"/>
      <c r="K1537" s="561" t="str">
        <f t="shared" si="379"/>
        <v/>
      </c>
      <c r="L1537" s="694"/>
      <c r="M1537" s="700" t="str">
        <f>IF(AND(E1521&lt;&gt;"",OR(F1537="",COUNT(K1537:L1537)=0),Y1537&lt;&gt;EUconst_NA,T1521&lt;&gt;TRUE),EUconst_ERR_Incomplete,IF(COUNTIF(AX1537:AZ1537,TRUE)&gt;0,EUconst_ERR_Inconsistent,""))</f>
        <v/>
      </c>
      <c r="O1537" s="1305"/>
      <c r="P1537" s="635"/>
      <c r="Q1537" s="635"/>
      <c r="R1537" s="635"/>
      <c r="S1537" s="30"/>
      <c r="T1537" s="543" t="str">
        <f>EUconst_CNTR_BiomassContent&amp;E1521</f>
        <v>BioC_</v>
      </c>
      <c r="U1537" s="488"/>
      <c r="V1537" s="585" t="str">
        <f t="shared" si="384"/>
        <v/>
      </c>
      <c r="W1537" s="522" t="str">
        <f>IF(COUNTIF(MSPara_SourceStreamCategory,V1537)=0,"",INDEX(MSPara_IsFossil,MATCH(V1537,MSPara_SourceStreamCategory,0)))</f>
        <v/>
      </c>
      <c r="X1537" s="488"/>
      <c r="Y1537" s="545" t="str">
        <f>IF(OR(T1521=TRUE,E1521=""),"",IF(OR(W1537=TRUE,F1537=EUconst_NA),EUconst_NA,INDEX(EUwideConstants!$N:$N,MATCH(T1537,EUwideConstants!$Q:$Q,0))))</f>
        <v/>
      </c>
      <c r="Z1537" s="546" t="str">
        <f>IF(ISBLANK(F1537),"",IF(F1537=EUconst_NA,"",INDEX(EUwideConstants!$H:$M,MATCH(T1537,EUwideConstants!$Q:$Q,0),MATCH(F1537,CNTR_TierList,0))))</f>
        <v/>
      </c>
      <c r="AA1537" s="586" t="str">
        <f>IF(F1537=1,1,"")</f>
        <v/>
      </c>
      <c r="AB1537" s="30"/>
      <c r="AC1537" s="548" t="b">
        <f>AND(AC1530,Y1537&lt;&gt;EUconst_NA)</f>
        <v>0</v>
      </c>
      <c r="AD1537" s="30"/>
      <c r="AE1537" s="563"/>
      <c r="AG1537" s="564"/>
      <c r="AH1537" s="553"/>
      <c r="AI1537" s="565"/>
      <c r="AJ1537" s="553"/>
      <c r="AK1537" s="566"/>
      <c r="AL1537" s="333"/>
      <c r="AM1537" s="549" t="str">
        <f>EUconst_CNTR_BiomassContent&amp;EUconst_Value</f>
        <v>BioC_Vertė</v>
      </c>
      <c r="AO1537" s="587" t="str">
        <f>IF(AC1537=TRUE,IF(COUNTIF(MSPara_SourceStreamCategory,V1537)=0,"",INDEX(MSPara_CalcFactorsMatrix,MATCH(V1537,MSPara_SourceStreamCategory,0),MATCH(AM1537&amp;"_"&amp;2,MSPara_CalcFactors,0))),"")</f>
        <v/>
      </c>
      <c r="AP1537" s="553"/>
      <c r="AQ1537" s="568" t="str">
        <f>IF(OR(AA1537="",AO1537=EUconst_NA),"",AO1537)</f>
        <v/>
      </c>
      <c r="AR1537" s="548">
        <f>IF(AC1537=TRUE,IF(COUNT(K1537:L1537)=0,0,IF(L1537="",K1537,L1537)),0)</f>
        <v>0</v>
      </c>
      <c r="AS1537" s="544" t="b">
        <f>AND(AC1537=TRUE,OR(AND(F1537&lt;&gt;"",NOT(ISNUMBER(AA1537))),L1537&lt;&gt;"",F1537="",AQ1537=""))</f>
        <v>0</v>
      </c>
      <c r="AT1537" s="544" t="b">
        <f t="shared" si="380"/>
        <v>0</v>
      </c>
      <c r="AU1537" s="30"/>
      <c r="AV1537" s="558" t="b">
        <f t="shared" si="381"/>
        <v>0</v>
      </c>
      <c r="AW1537" s="559" t="b">
        <f t="shared" si="382"/>
        <v>0</v>
      </c>
      <c r="AX1537" s="30"/>
      <c r="AY1537" s="585" t="b">
        <f t="shared" si="383"/>
        <v>0</v>
      </c>
      <c r="AZ1537" s="522" t="b">
        <f>OR(AR1537&gt;100%,(AR1537+AR1538)&gt;100%)</f>
        <v>0</v>
      </c>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544" t="b">
        <f>OR(BZ1530,Y1537=EUconst_NA)</f>
        <v>1</v>
      </c>
    </row>
    <row r="1538" spans="1:78" s="140" customFormat="1" ht="12.75" customHeight="1" thickBot="1" x14ac:dyDescent="0.25">
      <c r="A1538" s="777"/>
      <c r="B1538" s="1248"/>
      <c r="C1538" s="753" t="s">
        <v>448</v>
      </c>
      <c r="D1538" s="503" t="str">
        <f>Translations!$B$647</f>
        <v>Netvarios BioC dalis:</v>
      </c>
      <c r="E1538" s="504"/>
      <c r="F1538" s="588"/>
      <c r="G1538" s="1603" t="str">
        <f t="shared" si="378"/>
        <v/>
      </c>
      <c r="H1538" s="1604"/>
      <c r="I1538" s="1114" t="str">
        <f>IF(OR(AC1538=FALSE,Y1538=EUconst_NA),"","-")</f>
        <v/>
      </c>
      <c r="J1538" s="560"/>
      <c r="K1538" s="589" t="str">
        <f t="shared" si="379"/>
        <v/>
      </c>
      <c r="L1538" s="1100"/>
      <c r="M1538" s="700" t="str">
        <f>IF(AND(E1521&lt;&gt;"",OR(F1538="",COUNT(K1538:L1538)=0),Y1538&lt;&gt;EUconst_NA,T1521&lt;&gt;TRUE),EUconst_ERR_Incomplete,IF(COUNTIF(AX1538:AZ1538,TRUE)&gt;0,EUconst_ERR_Inconsistent,""))</f>
        <v/>
      </c>
      <c r="O1538" s="1305"/>
      <c r="P1538" s="635"/>
      <c r="Q1538" s="635"/>
      <c r="R1538" s="635"/>
      <c r="S1538" s="30"/>
      <c r="T1538" s="590" t="str">
        <f>EUconst_CNTR_BiomassContent&amp;E1521</f>
        <v>BioC_</v>
      </c>
      <c r="U1538" s="488"/>
      <c r="V1538" s="570" t="str">
        <f t="shared" si="384"/>
        <v/>
      </c>
      <c r="W1538" s="571" t="str">
        <f>IF(COUNTIF(MSPara_SourceStreamCategory,V1538)=0,"",INDEX(MSPara_IsFossil,MATCH(V1538,MSPara_SourceStreamCategory,0)))</f>
        <v/>
      </c>
      <c r="X1538" s="488"/>
      <c r="Y1538" s="591" t="str">
        <f>IF(OR(T1521=TRUE,E1521=""),"",IF(OR(W1538=TRUE,F1538=EUconst_NA),EUconst_NA,INDEX(EUwideConstants!$N:$N,MATCH(T1538,EUwideConstants!$Q:$Q,0))))</f>
        <v/>
      </c>
      <c r="Z1538" s="592" t="str">
        <f>IF(ISBLANK(F1538),"",IF(F1538=EUconst_NA,"",INDEX(EUwideConstants!$H:$M,MATCH(T1538,EUwideConstants!$Q:$Q,0),MATCH(F1538,CNTR_TierList,0))))</f>
        <v/>
      </c>
      <c r="AA1538" s="593" t="str">
        <f>IF(F1538=1,1,"")</f>
        <v/>
      </c>
      <c r="AB1538" s="30"/>
      <c r="AC1538" s="594" t="b">
        <f>AND(AC1530,Y1538&lt;&gt;EUconst_NA)</f>
        <v>0</v>
      </c>
      <c r="AD1538" s="30"/>
      <c r="AE1538" s="595"/>
      <c r="AF1538" s="596"/>
      <c r="AG1538" s="597"/>
      <c r="AH1538" s="598"/>
      <c r="AI1538" s="598"/>
      <c r="AJ1538" s="598"/>
      <c r="AK1538" s="599"/>
      <c r="AL1538" s="333"/>
      <c r="AM1538" s="600" t="str">
        <f>EUconst_CNTR_BiomassContent&amp;EUconst_Value</f>
        <v>BioC_Vertė</v>
      </c>
      <c r="AN1538" s="596"/>
      <c r="AO1538" s="601" t="str">
        <f>IF(AC1538=TRUE,IF(COUNTIF(MSPara_SourceStreamCategory,V1538)=0,"",INDEX(MSPara_CalcFactorsMatrix,MATCH(V1538,MSPara_SourceStreamCategory,0),MATCH(AM1538&amp;"_"&amp;2,MSPara_CalcFactors,0))),"")</f>
        <v/>
      </c>
      <c r="AP1538" s="598"/>
      <c r="AQ1538" s="602" t="str">
        <f>IF(OR(AA1538="",AO1538=EUconst_NA),"",AO1538)</f>
        <v/>
      </c>
      <c r="AR1538" s="594">
        <f>IF(AC1538=TRUE,IF(COUNT(K1538:L1538)=0,0,IF(L1538="",K1538,L1538)),0)</f>
        <v>0</v>
      </c>
      <c r="AS1538" s="603" t="b">
        <f>AND(AC1538=TRUE,OR(AND(F1538&lt;&gt;"",NOT(ISNUMBER(AA1538))),L1538&lt;&gt;"",F1538="",AQ1538=""))</f>
        <v>0</v>
      </c>
      <c r="AT1538" s="603" t="b">
        <f t="shared" si="380"/>
        <v>0</v>
      </c>
      <c r="AU1538" s="30"/>
      <c r="AV1538" s="604" t="b">
        <f t="shared" si="381"/>
        <v>0</v>
      </c>
      <c r="AW1538" s="605" t="b">
        <f t="shared" si="382"/>
        <v>0</v>
      </c>
      <c r="AX1538" s="30"/>
      <c r="AY1538" s="570" t="b">
        <f t="shared" si="383"/>
        <v>0</v>
      </c>
      <c r="AZ1538" s="571" t="b">
        <f>OR(AR1537&gt;100%,(AR1537+AR1538)&gt;100%)</f>
        <v>0</v>
      </c>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571" t="b">
        <f>OR(BZ1530,Y1538=EUconst_NA)</f>
        <v>1</v>
      </c>
    </row>
    <row r="1539" spans="1:78" s="140" customFormat="1" ht="5.0999999999999996" customHeight="1" x14ac:dyDescent="0.2">
      <c r="A1539" s="777"/>
      <c r="B1539" s="1248"/>
      <c r="C1539" s="164"/>
      <c r="D1539" s="178"/>
      <c r="O1539" s="1305"/>
      <c r="P1539" s="33"/>
      <c r="Q1539" s="33"/>
      <c r="R1539" s="33"/>
      <c r="S1539" s="172"/>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row>
    <row r="1540" spans="1:78" s="140" customFormat="1" ht="12.75" customHeight="1" x14ac:dyDescent="0.2">
      <c r="A1540" s="777"/>
      <c r="B1540" s="1248"/>
      <c r="C1540" s="164"/>
      <c r="D1540" s="1629" t="str">
        <f>Translations!$B$674</f>
        <v>Pakopos galioja nuo:</v>
      </c>
      <c r="E1540" s="1629"/>
      <c r="F1540" s="1630"/>
      <c r="G1540" s="1014"/>
      <c r="H1540" s="606" t="str">
        <f>Translations!$B$675</f>
        <v>iki:</v>
      </c>
      <c r="I1540" s="1014"/>
      <c r="J1540" s="1620" t="str">
        <f>Translations!$B$676</f>
        <v>Atliekų katalogo numeris (jeigu taikytina):</v>
      </c>
      <c r="K1540" s="1621"/>
      <c r="L1540" s="1621"/>
      <c r="M1540" s="1622"/>
      <c r="N1540" s="1232"/>
      <c r="O1540" s="1305"/>
      <c r="P1540" s="33"/>
      <c r="Q1540" s="33"/>
      <c r="R1540" s="33"/>
      <c r="S1540" s="1233"/>
      <c r="T1540" s="483"/>
      <c r="U1540" s="483"/>
      <c r="V1540" s="48" t="b">
        <f>IF(V1530="",FALSE,INDEX(CNTR_IsWaste,MATCH(V1530,MSParameters!$A$218:$A$376,0)))</f>
        <v>0</v>
      </c>
      <c r="W1540" s="1233" t="s">
        <v>1689</v>
      </c>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2" t="b">
        <f>BZ1530</f>
        <v>1</v>
      </c>
    </row>
    <row r="1541" spans="1:78" s="140" customFormat="1" ht="5.0999999999999996" customHeight="1" x14ac:dyDescent="0.2">
      <c r="A1541" s="777"/>
      <c r="B1541" s="1248"/>
      <c r="C1541" s="164"/>
      <c r="D1541" s="606"/>
      <c r="E1541" s="486"/>
      <c r="F1541" s="486"/>
      <c r="G1541" s="486"/>
      <c r="H1541" s="486"/>
      <c r="I1541" s="486"/>
      <c r="J1541" s="486"/>
      <c r="K1541" s="486"/>
      <c r="L1541" s="486"/>
      <c r="M1541" s="486"/>
      <c r="N1541" s="486"/>
      <c r="O1541" s="1305"/>
      <c r="P1541" s="33"/>
      <c r="Q1541" s="33"/>
      <c r="R1541" s="33"/>
      <c r="S1541" s="172"/>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row>
    <row r="1542" spans="1:78" s="140" customFormat="1" ht="12.75" customHeight="1" x14ac:dyDescent="0.2">
      <c r="A1542" s="777"/>
      <c r="B1542" s="1248"/>
      <c r="C1542" s="164"/>
      <c r="D1542" s="486"/>
      <c r="E1542" s="486"/>
      <c r="F1542" s="486"/>
      <c r="G1542" s="486"/>
      <c r="H1542" s="486"/>
      <c r="I1542" s="486"/>
      <c r="J1542" s="486"/>
      <c r="K1542" s="486"/>
      <c r="L1542" s="486"/>
      <c r="M1542" s="606" t="str">
        <f>Translations!$B$677</f>
        <v>Stebėsenos plane šiam sukėlikliui suteiktas identifikatorius:</v>
      </c>
      <c r="N1542" s="705"/>
      <c r="O1542" s="1305"/>
      <c r="P1542" s="33"/>
      <c r="Q1542" s="33"/>
      <c r="R1542" s="33"/>
      <c r="S1542" s="172"/>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2" t="b">
        <f>BZ1540</f>
        <v>1</v>
      </c>
    </row>
    <row r="1543" spans="1:78" s="140" customFormat="1" ht="5.0999999999999996" customHeight="1" x14ac:dyDescent="0.2">
      <c r="A1543" s="784"/>
      <c r="B1543" s="1316"/>
      <c r="D1543" s="178"/>
      <c r="O1543" s="1317"/>
      <c r="P1543" s="488"/>
      <c r="Q1543" s="488"/>
      <c r="R1543" s="488"/>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row>
    <row r="1544" spans="1:78" s="140" customFormat="1" x14ac:dyDescent="0.2">
      <c r="A1544" s="784"/>
      <c r="B1544" s="1316"/>
      <c r="D1544" s="1618" t="str">
        <f>Translations!$B$160</f>
        <v>Pastabos:</v>
      </c>
      <c r="E1544" s="1619"/>
      <c r="F1544" s="1605"/>
      <c r="G1544" s="1606"/>
      <c r="H1544" s="1606"/>
      <c r="I1544" s="1606"/>
      <c r="J1544" s="1606"/>
      <c r="K1544" s="1606"/>
      <c r="L1544" s="1606"/>
      <c r="M1544" s="1606"/>
      <c r="N1544" s="1607"/>
      <c r="O1544" s="1317"/>
      <c r="P1544" s="488"/>
      <c r="Q1544" s="488"/>
      <c r="R1544" s="488"/>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2" t="b">
        <f>BZ1540</f>
        <v>1</v>
      </c>
    </row>
    <row r="1545" spans="1:78" s="28" customFormat="1" ht="12.75" customHeight="1" thickBot="1" x14ac:dyDescent="0.25">
      <c r="A1545" s="777"/>
      <c r="B1545" s="1312"/>
      <c r="C1545" s="490"/>
      <c r="D1545" s="491"/>
      <c r="E1545" s="492"/>
      <c r="F1545" s="490"/>
      <c r="G1545" s="493"/>
      <c r="H1545" s="493"/>
      <c r="I1545" s="493"/>
      <c r="J1545" s="493"/>
      <c r="K1545" s="493"/>
      <c r="L1545" s="493"/>
      <c r="M1545" s="493"/>
      <c r="N1545" s="493"/>
      <c r="O1545" s="1313"/>
      <c r="P1545" s="485"/>
      <c r="Q1545" s="485"/>
      <c r="R1545" s="485"/>
      <c r="S1545" s="58"/>
      <c r="T1545" s="58"/>
      <c r="U1545" s="489"/>
      <c r="V1545" s="58"/>
      <c r="W1545" s="58"/>
      <c r="X1545" s="489"/>
      <c r="Y1545" s="58"/>
      <c r="Z1545" s="58"/>
      <c r="AA1545" s="58"/>
      <c r="AB1545" s="58"/>
      <c r="AC1545" s="58"/>
      <c r="AD1545" s="58"/>
      <c r="AE1545" s="58"/>
      <c r="AF1545" s="58"/>
      <c r="AG1545" s="58"/>
      <c r="AH1545" s="58"/>
      <c r="AI1545" s="58"/>
      <c r="AJ1545" s="58"/>
      <c r="AK1545" s="58"/>
      <c r="AL1545" s="58"/>
      <c r="AM1545" s="58"/>
      <c r="AN1545" s="58"/>
      <c r="AO1545" s="58"/>
      <c r="AP1545" s="58"/>
      <c r="AQ1545" s="58"/>
      <c r="AR1545" s="58"/>
      <c r="AS1545" s="58"/>
      <c r="AT1545" s="58"/>
      <c r="AU1545" s="58"/>
      <c r="AV1545" s="58"/>
      <c r="AW1545" s="58"/>
      <c r="AX1545" s="58"/>
      <c r="AY1545" s="58"/>
      <c r="AZ1545" s="58"/>
      <c r="BA1545" s="58"/>
      <c r="BB1545" s="58"/>
      <c r="BC1545" s="58"/>
      <c r="BD1545" s="58"/>
      <c r="BE1545" s="58"/>
      <c r="BF1545" s="58"/>
      <c r="BG1545" s="58"/>
      <c r="BH1545" s="58"/>
      <c r="BI1545" s="30"/>
      <c r="BJ1545" s="30"/>
      <c r="BK1545" s="30"/>
      <c r="BL1545" s="58"/>
      <c r="BM1545" s="58"/>
      <c r="BN1545" s="58"/>
      <c r="BO1545" s="58"/>
      <c r="BP1545" s="58"/>
      <c r="BQ1545" s="58"/>
      <c r="BR1545" s="58"/>
      <c r="BS1545" s="58"/>
      <c r="BT1545" s="58"/>
      <c r="BU1545" s="58"/>
      <c r="BV1545" s="58"/>
      <c r="BW1545" s="58"/>
      <c r="BX1545" s="58"/>
      <c r="BY1545" s="58"/>
      <c r="BZ1545" s="58"/>
    </row>
    <row r="1546" spans="1:78" s="28" customFormat="1" ht="12.75" customHeight="1" thickBot="1" x14ac:dyDescent="0.25">
      <c r="A1546" s="782"/>
      <c r="B1546" s="1312"/>
      <c r="C1546" s="486"/>
      <c r="D1546" s="178"/>
      <c r="E1546" s="487"/>
      <c r="F1546" s="486"/>
      <c r="G1546" s="478"/>
      <c r="H1546" s="478"/>
      <c r="I1546" s="478"/>
      <c r="J1546" s="478"/>
      <c r="K1546" s="486"/>
      <c r="L1546" s="478"/>
      <c r="M1546" s="478"/>
      <c r="N1546" s="478"/>
      <c r="O1546" s="1313"/>
      <c r="P1546" s="485"/>
      <c r="Q1546" s="485"/>
      <c r="R1546" s="485"/>
      <c r="S1546" s="23"/>
      <c r="T1546" s="27" t="str">
        <f>IF(ISBLANK(E1547),"",MATCH(E1547,CNTR_SourceStreamNames,0))</f>
        <v/>
      </c>
      <c r="U1546" s="609" t="str">
        <f>IF(ISBLANK(E1547),"",INDEX(B_InstallationDescription!$D$71:$D$145,MATCH(E1547,CNTR_SourceStreamNames,0)))</f>
        <v/>
      </c>
      <c r="V1546" s="76"/>
      <c r="W1546" s="56"/>
      <c r="X1546" s="56"/>
      <c r="Y1546" s="56"/>
      <c r="Z1546" s="58"/>
      <c r="AA1546" s="58"/>
      <c r="AB1546" s="58"/>
      <c r="AC1546" s="58"/>
      <c r="AD1546" s="58"/>
      <c r="AE1546" s="58"/>
      <c r="AF1546" s="58"/>
      <c r="AG1546" s="58"/>
      <c r="AH1546" s="58"/>
      <c r="AI1546" s="58"/>
      <c r="AJ1546" s="58"/>
      <c r="AK1546" s="482"/>
      <c r="AL1546" s="58"/>
      <c r="AM1546" s="58"/>
      <c r="AN1546" s="58"/>
      <c r="AO1546" s="58"/>
      <c r="AP1546" s="58"/>
      <c r="AQ1546" s="58"/>
      <c r="AR1546" s="58"/>
      <c r="AS1546" s="58"/>
      <c r="AT1546" s="58"/>
      <c r="AU1546" s="58"/>
      <c r="AV1546" s="58"/>
      <c r="AW1546" s="58"/>
      <c r="AX1546" s="58"/>
      <c r="AY1546" s="58"/>
      <c r="AZ1546" s="58"/>
      <c r="BA1546" s="58"/>
      <c r="BB1546" s="58"/>
      <c r="BC1546" s="58"/>
      <c r="BD1546" s="58"/>
      <c r="BE1546" s="58"/>
      <c r="BF1546" s="58"/>
      <c r="BG1546" s="58"/>
      <c r="BH1546" s="56"/>
      <c r="BI1546" s="56"/>
      <c r="BJ1546" s="56"/>
      <c r="BK1546" s="56"/>
      <c r="BL1546" s="56"/>
      <c r="BM1546" s="56"/>
      <c r="BN1546" s="56"/>
      <c r="BO1546" s="56"/>
      <c r="BP1546" s="56"/>
      <c r="BQ1546" s="56"/>
      <c r="BR1546" s="56"/>
      <c r="BS1546" s="56"/>
      <c r="BT1546" s="56"/>
      <c r="BU1546" s="56"/>
      <c r="BV1546" s="56"/>
      <c r="BW1546" s="56"/>
      <c r="BX1546" s="56"/>
      <c r="BY1546" s="56"/>
      <c r="BZ1546" s="484" t="s">
        <v>259</v>
      </c>
    </row>
    <row r="1547" spans="1:78" s="140" customFormat="1" ht="15" customHeight="1" thickBot="1" x14ac:dyDescent="0.25">
      <c r="A1547" s="1302" t="str">
        <f>IF(E1547="","","PRINT")</f>
        <v/>
      </c>
      <c r="B1547" s="1248"/>
      <c r="C1547" s="608">
        <f>C1520+1</f>
        <v>56</v>
      </c>
      <c r="D1547" s="164"/>
      <c r="E1547" s="1610"/>
      <c r="F1547" s="1611"/>
      <c r="G1547" s="1611"/>
      <c r="H1547" s="1611"/>
      <c r="I1547" s="1611"/>
      <c r="J1547" s="1612"/>
      <c r="K1547" s="1623" t="str">
        <f>IF(E1548="","",INDEX(EUwideConstants!$F$353:$F$394,MATCH(E1548,EUConst_TierActivityListNames,0)))</f>
        <v/>
      </c>
      <c r="L1547" s="1624"/>
      <c r="M1547" s="494" t="str">
        <f>Translations!$B$665</f>
        <v>CO2, iškastinio kuro kilmės:</v>
      </c>
      <c r="N1547" s="1012" t="str">
        <f>IF(OR(K1547="",T1548=TRUE),"",INDEX(BC1561:BE1561,MATCH(K1547,BC1557:BE1557,0)))</f>
        <v/>
      </c>
      <c r="O1547" s="1314" t="s">
        <v>257</v>
      </c>
      <c r="P1547" s="1303" t="str">
        <f>IF(AND(E1547&lt;&gt;"",COUNTIF(P1548:$P$2089,"PRINT")=0),"PRINT","")</f>
        <v/>
      </c>
      <c r="Q1547" s="343" t="str">
        <f>EUconst_SumCO2 &amp; "_" &amp; K1547</f>
        <v>SUM_CO2_</v>
      </c>
      <c r="R1547" s="485"/>
      <c r="S1547" s="23"/>
      <c r="T1547" s="500" t="s">
        <v>387</v>
      </c>
      <c r="U1547" s="23"/>
      <c r="V1547" s="76"/>
      <c r="W1547" s="56"/>
      <c r="X1547" s="58"/>
      <c r="Y1547" s="58"/>
      <c r="Z1547" s="58"/>
      <c r="AA1547" s="58"/>
      <c r="AB1547" s="58"/>
      <c r="AC1547" s="58"/>
      <c r="AD1547" s="58"/>
      <c r="AE1547" s="58"/>
      <c r="AF1547" s="58"/>
      <c r="AG1547" s="58"/>
      <c r="AH1547" s="58"/>
      <c r="AI1547" s="333"/>
      <c r="AJ1547" s="333"/>
      <c r="AK1547" s="333"/>
      <c r="AL1547" s="333"/>
      <c r="AM1547" s="333"/>
      <c r="AN1547" s="333"/>
      <c r="AO1547" s="333"/>
      <c r="AP1547" s="333"/>
      <c r="AQ1547" s="333"/>
      <c r="AR1547" s="333"/>
      <c r="AS1547" s="333"/>
      <c r="AT1547" s="333"/>
      <c r="AU1547" s="333"/>
      <c r="AV1547" s="333"/>
      <c r="AW1547" s="333"/>
      <c r="AX1547" s="333"/>
      <c r="AY1547" s="333"/>
      <c r="AZ1547" s="333"/>
      <c r="BA1547" s="333"/>
      <c r="BB1547" s="333"/>
      <c r="BC1547" s="333"/>
      <c r="BD1547" s="333"/>
      <c r="BE1547" s="333"/>
      <c r="BF1547" s="333"/>
      <c r="BG1547" s="333"/>
      <c r="BH1547" s="834">
        <f>AR1557</f>
        <v>0</v>
      </c>
      <c r="BI1547" s="834" t="str">
        <f>AJ1557</f>
        <v/>
      </c>
      <c r="BJ1547" s="834">
        <f>AR1559</f>
        <v>0</v>
      </c>
      <c r="BK1547" s="834" t="str">
        <f>AJ1559</f>
        <v/>
      </c>
      <c r="BL1547" s="834">
        <f>AR1560</f>
        <v>0</v>
      </c>
      <c r="BM1547" s="834" t="str">
        <f>AJ1560</f>
        <v/>
      </c>
      <c r="BN1547" s="834">
        <f>AR1561</f>
        <v>1</v>
      </c>
      <c r="BO1547" s="834">
        <f>AR1562</f>
        <v>1</v>
      </c>
      <c r="BP1547" s="834">
        <f>AR1563</f>
        <v>0</v>
      </c>
      <c r="BQ1547" s="834" t="str">
        <f>AJ1563</f>
        <v/>
      </c>
      <c r="BR1547" s="834">
        <f>AR1564</f>
        <v>0</v>
      </c>
      <c r="BS1547" s="834">
        <f>AR1565</f>
        <v>0</v>
      </c>
      <c r="BT1547" s="834" t="str">
        <f>N1547</f>
        <v/>
      </c>
      <c r="BU1547" s="834" t="str">
        <f>N1548</f>
        <v/>
      </c>
      <c r="BV1547" s="834" t="str">
        <f>R1550</f>
        <v/>
      </c>
      <c r="BW1547" s="834" t="str">
        <f>R1556</f>
        <v/>
      </c>
      <c r="BX1547" s="834" t="str">
        <f>R1557</f>
        <v/>
      </c>
      <c r="BY1547" s="56"/>
      <c r="BZ1547" s="610" t="b">
        <f>CNTR_CalcRelevant=EUconst_NotRelevant</f>
        <v>0</v>
      </c>
    </row>
    <row r="1548" spans="1:78" s="140" customFormat="1" ht="15" customHeight="1" thickBot="1" x14ac:dyDescent="0.25">
      <c r="A1548" s="777"/>
      <c r="B1548" s="1248"/>
      <c r="C1548" s="164"/>
      <c r="D1548" s="164"/>
      <c r="E1548" s="1625" t="str">
        <f>IF(ISBLANK(E1547),"",IF(INDEX(B_InstallationDescription!$E$71:$E$145,MATCH(U1546,B_InstallationDescription!$D$71:$D$145,0))&gt;0,INDEX(B_InstallationDescription!$E$71:$E$145,MATCH(U1546,B_InstallationDescription!$D$71:$D$145,0)),""))</f>
        <v/>
      </c>
      <c r="F1548" s="1626"/>
      <c r="G1548" s="1626"/>
      <c r="H1548" s="1626"/>
      <c r="I1548" s="1626"/>
      <c r="J1548" s="1627"/>
      <c r="M1548" s="337" t="str">
        <f>Translations!$B$666</f>
        <v>CO2, biomasės kilmės.:</v>
      </c>
      <c r="N1548" s="1013" t="str">
        <f>IF(OR(K1547="",T1548=TRUE),"",INDEX(BC1560:BE1560,MATCH(K1547,BC1557:BE1557,0)))</f>
        <v/>
      </c>
      <c r="O1548" s="1315" t="s">
        <v>257</v>
      </c>
      <c r="P1548" s="485"/>
      <c r="Q1548" s="343" t="str">
        <f>EUconst_SumBioCO2 &amp; "_" &amp; K1547</f>
        <v>SUM_bioCO2_</v>
      </c>
      <c r="R1548" s="485"/>
      <c r="S1548" s="23"/>
      <c r="T1548" s="48" t="str">
        <f>IF(E1548="","",MATCH(E1548,EUConst_TierActivityListNames,0)&gt;40)</f>
        <v/>
      </c>
      <c r="U1548" s="23"/>
      <c r="V1548" s="76"/>
      <c r="W1548" s="56"/>
      <c r="X1548" s="58"/>
      <c r="Y1548" s="27" t="s">
        <v>91</v>
      </c>
      <c r="Z1548" s="30"/>
      <c r="AA1548" s="30"/>
      <c r="AB1548" s="30"/>
      <c r="AC1548" s="30"/>
      <c r="AD1548" s="30"/>
      <c r="AE1548" s="27" t="s">
        <v>297</v>
      </c>
      <c r="AF1548" s="58"/>
      <c r="AG1548" s="495"/>
      <c r="AH1548" s="30"/>
      <c r="AI1548" s="30"/>
      <c r="AJ1548" s="495"/>
      <c r="AK1548" s="495"/>
      <c r="AL1548" s="333"/>
      <c r="AM1548" s="27" t="s">
        <v>303</v>
      </c>
      <c r="AN1548" s="496"/>
      <c r="AO1548" s="496"/>
      <c r="AP1548" s="30"/>
      <c r="AQ1548" s="30"/>
      <c r="AR1548" s="30"/>
      <c r="AS1548" s="30"/>
      <c r="AT1548" s="30"/>
      <c r="AU1548" s="30"/>
      <c r="AV1548" s="27" t="s">
        <v>310</v>
      </c>
      <c r="AW1548" s="30"/>
      <c r="AX1548" s="483"/>
      <c r="AY1548" s="30"/>
      <c r="AZ1548" s="30"/>
      <c r="BA1548" s="30"/>
      <c r="BB1548" s="27" t="s">
        <v>217</v>
      </c>
      <c r="BC1548" s="30"/>
      <c r="BD1548" s="30"/>
      <c r="BE1548" s="30"/>
      <c r="BF1548" s="30"/>
      <c r="BG1548" s="27" t="s">
        <v>486</v>
      </c>
      <c r="BH1548" s="833" t="s">
        <v>552</v>
      </c>
      <c r="BI1548" s="833" t="s">
        <v>487</v>
      </c>
      <c r="BJ1548" s="833" t="s">
        <v>211</v>
      </c>
      <c r="BK1548" s="833" t="s">
        <v>488</v>
      </c>
      <c r="BL1548" s="833" t="s">
        <v>68</v>
      </c>
      <c r="BM1548" s="833" t="s">
        <v>489</v>
      </c>
      <c r="BN1548" s="833" t="s">
        <v>490</v>
      </c>
      <c r="BO1548" s="833" t="s">
        <v>491</v>
      </c>
      <c r="BP1548" s="833" t="s">
        <v>214</v>
      </c>
      <c r="BQ1548" s="833" t="s">
        <v>492</v>
      </c>
      <c r="BR1548" s="833" t="s">
        <v>493</v>
      </c>
      <c r="BS1548" s="833" t="s">
        <v>494</v>
      </c>
      <c r="BT1548" s="833" t="s">
        <v>287</v>
      </c>
      <c r="BU1548" s="833" t="s">
        <v>495</v>
      </c>
      <c r="BV1548" s="833" t="s">
        <v>498</v>
      </c>
      <c r="BW1548" s="833" t="s">
        <v>496</v>
      </c>
      <c r="BX1548" s="833" t="s">
        <v>497</v>
      </c>
      <c r="BY1548" s="30"/>
      <c r="BZ1548" s="30"/>
    </row>
    <row r="1549" spans="1:78" s="140" customFormat="1" ht="5.0999999999999996" customHeight="1" thickBot="1" x14ac:dyDescent="0.25">
      <c r="A1549" s="777"/>
      <c r="B1549" s="1248"/>
      <c r="C1549" s="164"/>
      <c r="D1549" s="164"/>
      <c r="E1549" s="164"/>
      <c r="F1549" s="164"/>
      <c r="G1549" s="164"/>
      <c r="M1549" s="141"/>
      <c r="N1549" s="141"/>
      <c r="O1549" s="1305"/>
      <c r="P1549" s="33"/>
      <c r="Q1549" s="33"/>
      <c r="R1549" s="33"/>
      <c r="S1549" s="23"/>
      <c r="T1549" s="23"/>
      <c r="U1549" s="23"/>
      <c r="V1549" s="76"/>
      <c r="W1549" s="30"/>
      <c r="X1549" s="30"/>
      <c r="Y1549" s="485"/>
      <c r="Z1549" s="30"/>
      <c r="AA1549" s="30"/>
      <c r="AB1549" s="30"/>
      <c r="AC1549" s="30"/>
      <c r="AD1549" s="30"/>
      <c r="AE1549" s="30"/>
      <c r="AF1549" s="58"/>
      <c r="AG1549" s="30"/>
      <c r="AH1549" s="30"/>
      <c r="AI1549" s="30"/>
      <c r="AJ1549" s="495"/>
      <c r="AK1549" s="495"/>
      <c r="AL1549" s="333"/>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row>
    <row r="1550" spans="1:78" s="140" customFormat="1" ht="12.75" customHeight="1" thickBot="1" x14ac:dyDescent="0.25">
      <c r="A1550" s="777"/>
      <c r="B1550" s="1248"/>
      <c r="C1550" s="164"/>
      <c r="D1550" s="164"/>
      <c r="E1550" s="1628" t="str">
        <f>IF(E1547="","",IF(T1548=TRUE,HYPERLINK("#JUMP_14",EUconst_MsgGoOnPFC),HYPERLINK("#JUMP_E_8",EUconst_FurtherGuidancePoint1)))</f>
        <v/>
      </c>
      <c r="F1550" s="1628"/>
      <c r="G1550" s="1628"/>
      <c r="H1550" s="1628"/>
      <c r="I1550" s="1628"/>
      <c r="J1550" s="1628"/>
      <c r="K1550" s="1628"/>
      <c r="L1550" s="1628"/>
      <c r="M1550" s="1628"/>
      <c r="N1550" s="141"/>
      <c r="O1550" s="1305"/>
      <c r="P1550" s="33"/>
      <c r="Q1550" s="343" t="str">
        <f>EUconst_SumNonSustBioCO2 &amp; "_" &amp; K1547</f>
        <v>SUM_bioNonSustCO2_</v>
      </c>
      <c r="R1550" s="698" t="str">
        <f>IF(OR(K1547="",T1548=TRUE),"",ROUND(INDEX(BC1559:BE1559,MATCH(K1547,BC1557:BE1557,0)),0))</f>
        <v/>
      </c>
      <c r="S1550" s="23"/>
      <c r="T1550" s="23"/>
      <c r="U1550" s="23"/>
      <c r="V1550" s="30"/>
      <c r="W1550" s="30"/>
      <c r="X1550" s="30"/>
      <c r="Y1550" s="58"/>
      <c r="Z1550" s="30"/>
      <c r="AA1550" s="30"/>
      <c r="AB1550" s="30"/>
      <c r="AC1550" s="30"/>
      <c r="AD1550" s="30"/>
      <c r="AE1550" s="30"/>
      <c r="AF1550" s="58"/>
      <c r="AG1550" s="30"/>
      <c r="AH1550" s="30"/>
      <c r="AI1550" s="30"/>
      <c r="AJ1550" s="495"/>
      <c r="AK1550" s="495"/>
      <c r="AL1550" s="333"/>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row>
    <row r="1551" spans="1:78" s="140" customFormat="1" ht="5.0999999999999996" customHeight="1" thickBot="1" x14ac:dyDescent="0.25">
      <c r="A1551" s="777"/>
      <c r="B1551" s="1248"/>
      <c r="C1551" s="164"/>
      <c r="D1551" s="164"/>
      <c r="E1551" s="164"/>
      <c r="F1551" s="164"/>
      <c r="G1551" s="164"/>
      <c r="M1551" s="141"/>
      <c r="N1551" s="141"/>
      <c r="O1551" s="1305"/>
      <c r="P1551" s="23"/>
      <c r="Q1551" s="23"/>
      <c r="R1551" s="23"/>
      <c r="S1551" s="23"/>
      <c r="T1551" s="23"/>
      <c r="U1551" s="23"/>
      <c r="V1551" s="30"/>
      <c r="W1551" s="30"/>
      <c r="X1551" s="30"/>
      <c r="Y1551" s="485"/>
      <c r="Z1551" s="30"/>
      <c r="AA1551" s="30"/>
      <c r="AB1551" s="30"/>
      <c r="AC1551" s="30"/>
      <c r="AD1551" s="30"/>
      <c r="AE1551" s="30"/>
      <c r="AF1551" s="58"/>
      <c r="AG1551" s="30"/>
      <c r="AH1551" s="30"/>
      <c r="AI1551" s="30"/>
      <c r="AJ1551" s="495"/>
      <c r="AK1551" s="495"/>
      <c r="AL1551" s="333"/>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row>
    <row r="1552" spans="1:78" s="140" customFormat="1" ht="12.75" customHeight="1" thickBot="1" x14ac:dyDescent="0.25">
      <c r="A1552" s="777"/>
      <c r="B1552" s="1248"/>
      <c r="C1552" s="783" t="s">
        <v>4</v>
      </c>
      <c r="D1552" s="503" t="str">
        <f>Translations!$B$622</f>
        <v>VD:</v>
      </c>
      <c r="E1552" s="1631" t="str">
        <f>Translations!$B$667</f>
        <v>Ar veiklos duomenys gaunami sudedant išmatuotus kiekius (t. y. ne atliekant nuolatinius matavimus)?</v>
      </c>
      <c r="F1552" s="1631"/>
      <c r="G1552" s="1631"/>
      <c r="H1552" s="1631"/>
      <c r="I1552" s="1631"/>
      <c r="J1552" s="1631"/>
      <c r="K1552" s="1631"/>
      <c r="L1552" s="1122"/>
      <c r="M1552" s="498"/>
      <c r="O1552" s="1305"/>
      <c r="P1552" s="23"/>
      <c r="Q1552" s="23"/>
      <c r="R1552" s="23"/>
      <c r="S1552" s="23"/>
      <c r="T1552" s="23"/>
      <c r="U1552" s="23"/>
      <c r="V1552" s="30"/>
      <c r="W1552" s="30"/>
      <c r="X1552" s="30"/>
      <c r="Y1552" s="485"/>
      <c r="Z1552" s="30"/>
      <c r="AA1552" s="30"/>
      <c r="AB1552" s="30"/>
      <c r="AC1552" s="1115" t="b">
        <f>AND(E1547&lt;&gt;"",T1548&lt;&gt;TRUE)</f>
        <v>0</v>
      </c>
      <c r="AD1552" s="30"/>
      <c r="AE1552" s="30"/>
      <c r="AF1552" s="58"/>
      <c r="AG1552" s="30"/>
      <c r="AH1552" s="30"/>
      <c r="AI1552" s="30"/>
      <c r="AJ1552" s="495"/>
      <c r="AK1552" s="495"/>
      <c r="AL1552" s="333"/>
      <c r="AM1552" s="30"/>
      <c r="AN1552" s="30"/>
      <c r="AO1552" s="30"/>
      <c r="AP1552" s="30"/>
      <c r="AQ1552" s="30"/>
      <c r="AR1552" s="30"/>
      <c r="AS1552" s="30"/>
      <c r="AT1552" s="1115" t="b">
        <f>MSPara_BatchReportingMandatory&lt;&gt;TRUE</f>
        <v>0</v>
      </c>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1115" t="b">
        <f>OR(CNTR_CalcRelevant=EUconst_NotRelevant,AND(COUNTA(CNTR_ListRelevantSections)&gt;0,OR(T1548=TRUE,E1547="")))</f>
        <v>1</v>
      </c>
    </row>
    <row r="1553" spans="1:78" s="140" customFormat="1" ht="5.0999999999999996" customHeight="1" thickBot="1" x14ac:dyDescent="0.25">
      <c r="A1553" s="777"/>
      <c r="B1553" s="1248"/>
      <c r="C1553" s="164"/>
      <c r="D1553" s="164"/>
      <c r="E1553" s="164"/>
      <c r="F1553" s="164"/>
      <c r="G1553" s="164"/>
      <c r="H1553" s="486"/>
      <c r="I1553" s="486"/>
      <c r="J1553" s="486"/>
      <c r="K1553" s="486"/>
      <c r="L1553" s="486"/>
      <c r="M1553" s="498"/>
      <c r="O1553" s="1305"/>
      <c r="P1553" s="23"/>
      <c r="Q1553" s="23"/>
      <c r="R1553" s="23"/>
      <c r="S1553" s="23"/>
      <c r="T1553" s="23"/>
      <c r="U1553" s="23"/>
      <c r="V1553" s="30"/>
      <c r="W1553" s="30"/>
      <c r="X1553" s="30"/>
      <c r="Y1553" s="485"/>
      <c r="Z1553" s="30"/>
      <c r="AA1553" s="30"/>
      <c r="AB1553" s="30"/>
      <c r="AC1553" s="483"/>
      <c r="AD1553" s="30"/>
      <c r="AE1553" s="30"/>
      <c r="AF1553" s="58"/>
      <c r="AG1553" s="30"/>
      <c r="AH1553" s="30"/>
      <c r="AI1553" s="30"/>
      <c r="AJ1553" s="495"/>
      <c r="AK1553" s="495"/>
      <c r="AL1553" s="333"/>
      <c r="AM1553" s="30"/>
      <c r="AN1553" s="30"/>
      <c r="AO1553" s="30"/>
      <c r="AP1553" s="30"/>
      <c r="AQ1553" s="30"/>
      <c r="AR1553" s="30"/>
      <c r="AS1553" s="30"/>
      <c r="AT1553" s="483"/>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483"/>
    </row>
    <row r="1554" spans="1:78" s="140" customFormat="1" ht="12.75" customHeight="1" thickBot="1" x14ac:dyDescent="0.25">
      <c r="A1554" s="777"/>
      <c r="B1554" s="1248"/>
      <c r="C1554" s="783" t="s">
        <v>5</v>
      </c>
      <c r="D1554" s="503" t="str">
        <f>Translations!$B$622</f>
        <v>VD:</v>
      </c>
      <c r="E1554" s="1105" t="str">
        <f>Translations!$B$668</f>
        <v>Pradinis kiekis:</v>
      </c>
      <c r="F1554" s="1123"/>
      <c r="G1554" s="1106" t="str">
        <f>Translations!$B$669</f>
        <v>Galutinis kiekis:</v>
      </c>
      <c r="H1554" s="1123"/>
      <c r="I1554" s="1106" t="str">
        <f>Translations!$B$670</f>
        <v>Įsigytas kiekis:</v>
      </c>
      <c r="J1554" s="1123"/>
      <c r="K1554" s="1106" t="str">
        <f>Translations!$B$671</f>
        <v>Perduotas kiekis:</v>
      </c>
      <c r="L1554" s="1123"/>
      <c r="M1554" s="1107" t="str">
        <f>IF(AND(L1552=TRUE,COUNT(F1554,H1554,J1554,L1554)&lt;4),EUconst_ERR_Incomplete,"")</f>
        <v/>
      </c>
      <c r="O1554" s="1305"/>
      <c r="P1554" s="23"/>
      <c r="Q1554" s="23"/>
      <c r="R1554" s="23"/>
      <c r="S1554" s="23"/>
      <c r="T1554" s="23"/>
      <c r="U1554" s="23"/>
      <c r="V1554" s="30"/>
      <c r="W1554" s="30"/>
      <c r="X1554" s="30"/>
      <c r="Y1554" s="485"/>
      <c r="Z1554" s="30"/>
      <c r="AA1554" s="30"/>
      <c r="AB1554" s="30"/>
      <c r="AC1554" s="1115" t="b">
        <f>AC1552</f>
        <v>0</v>
      </c>
      <c r="AD1554" s="30"/>
      <c r="AE1554" s="30"/>
      <c r="AF1554" s="58"/>
      <c r="AG1554" s="30"/>
      <c r="AH1554" s="30"/>
      <c r="AI1554" s="30"/>
      <c r="AJ1554" s="495"/>
      <c r="AK1554" s="495"/>
      <c r="AL1554" s="333"/>
      <c r="AM1554" s="30"/>
      <c r="AN1554" s="30"/>
      <c r="AO1554" s="30"/>
      <c r="AP1554" s="30"/>
      <c r="AQ1554" s="30"/>
      <c r="AR1554" s="30"/>
      <c r="AS1554" s="30"/>
      <c r="AT1554" s="1115" t="b">
        <f>AND(AT1552=TRUE,L1552="")</f>
        <v>0</v>
      </c>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1115" t="b">
        <f>OR(BZ1552,AND(NOT(ISBLANK(L1552)),L1552=FALSE))</f>
        <v>1</v>
      </c>
    </row>
    <row r="1555" spans="1:78" s="140" customFormat="1" ht="5.0999999999999996" customHeight="1" thickBot="1" x14ac:dyDescent="0.25">
      <c r="A1555" s="777"/>
      <c r="B1555" s="1248"/>
      <c r="C1555" s="164"/>
      <c r="D1555" s="164"/>
      <c r="E1555" s="164"/>
      <c r="F1555" s="164"/>
      <c r="G1555" s="164"/>
      <c r="M1555" s="141"/>
      <c r="N1555" s="141"/>
      <c r="O1555" s="1305"/>
      <c r="P1555" s="23"/>
      <c r="Q1555" s="23"/>
      <c r="R1555" s="23"/>
      <c r="S1555" s="23"/>
      <c r="T1555" s="23"/>
      <c r="U1555" s="23"/>
      <c r="V1555" s="30"/>
      <c r="W1555" s="30"/>
      <c r="X1555" s="30"/>
      <c r="Y1555" s="485"/>
      <c r="Z1555" s="30"/>
      <c r="AA1555" s="30"/>
      <c r="AB1555" s="30"/>
      <c r="AC1555" s="30"/>
      <c r="AD1555" s="30"/>
      <c r="AE1555" s="30"/>
      <c r="AF1555" s="58"/>
      <c r="AG1555" s="30"/>
      <c r="AH1555" s="30"/>
      <c r="AI1555" s="30"/>
      <c r="AJ1555" s="495"/>
      <c r="AK1555" s="495"/>
      <c r="AL1555" s="333"/>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row>
    <row r="1556" spans="1:78" s="140" customFormat="1" ht="12.75" customHeight="1" thickBot="1" x14ac:dyDescent="0.25">
      <c r="A1556" s="777"/>
      <c r="B1556" s="1248"/>
      <c r="C1556" s="164"/>
      <c r="D1556" s="164"/>
      <c r="E1556" s="164"/>
      <c r="F1556" s="497" t="str">
        <f>Translations!$B$333</f>
        <v>Pakopa</v>
      </c>
      <c r="G1556" s="1613" t="str">
        <f>Translations!$B$672</f>
        <v>pakopos aprašas</v>
      </c>
      <c r="H1556" s="1613"/>
      <c r="I1556" s="1608" t="str">
        <f>Translations!$B$158</f>
        <v>Vienetas</v>
      </c>
      <c r="J1556" s="1608"/>
      <c r="K1556" s="1608" t="str">
        <f>Translations!$B$673</f>
        <v>Vertė</v>
      </c>
      <c r="L1556" s="1608"/>
      <c r="M1556" s="498" t="str">
        <f>Translations!$B$610</f>
        <v>klaida</v>
      </c>
      <c r="O1556" s="1305"/>
      <c r="P1556" s="499"/>
      <c r="Q1556" s="343" t="str">
        <f>EUconst_SumEnergyIN &amp; "_" &amp; K1547</f>
        <v>SUM_EnergyIN_</v>
      </c>
      <c r="R1556" s="390" t="str">
        <f>IF(OR(K1547="",T1548)=TRUE,"",INDEX(BC1562:BE1562,MATCH(K1547,BC1557:BE1557,0)))</f>
        <v/>
      </c>
      <c r="S1556" s="30"/>
      <c r="T1556" s="480"/>
      <c r="U1556" s="30"/>
      <c r="V1556" s="500" t="s">
        <v>298</v>
      </c>
      <c r="W1556" s="30"/>
      <c r="X1556" s="30"/>
      <c r="Y1556" s="485" t="s">
        <v>560</v>
      </c>
      <c r="Z1556" s="485" t="s">
        <v>313</v>
      </c>
      <c r="AA1556" s="30"/>
      <c r="AB1556" s="30"/>
      <c r="AC1556" s="496" t="s">
        <v>304</v>
      </c>
      <c r="AD1556" s="30"/>
      <c r="AE1556" s="30"/>
      <c r="AF1556" s="483" t="s">
        <v>300</v>
      </c>
      <c r="AG1556" s="483" t="s">
        <v>301</v>
      </c>
      <c r="AH1556" s="485" t="s">
        <v>299</v>
      </c>
      <c r="AI1556" s="495" t="s">
        <v>302</v>
      </c>
      <c r="AJ1556" s="495" t="s">
        <v>561</v>
      </c>
      <c r="AK1556" s="501" t="s">
        <v>306</v>
      </c>
      <c r="AL1556" s="333"/>
      <c r="AM1556" s="30"/>
      <c r="AN1556" s="483" t="s">
        <v>300</v>
      </c>
      <c r="AO1556" s="483" t="s">
        <v>301</v>
      </c>
      <c r="AP1556" s="502" t="s">
        <v>305</v>
      </c>
      <c r="AQ1556" s="495" t="s">
        <v>563</v>
      </c>
      <c r="AR1556" s="495" t="s">
        <v>562</v>
      </c>
      <c r="AS1556" s="501" t="s">
        <v>599</v>
      </c>
      <c r="AT1556" s="501" t="s">
        <v>599</v>
      </c>
      <c r="AU1556" s="30"/>
      <c r="AV1556" s="483"/>
      <c r="AW1556" s="483"/>
      <c r="AX1556" s="483" t="s">
        <v>316</v>
      </c>
      <c r="AY1556" s="483"/>
      <c r="AZ1556" s="483"/>
      <c r="BA1556" s="483"/>
      <c r="BB1556" s="483"/>
      <c r="BC1556" s="483"/>
      <c r="BD1556" s="483"/>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484" t="s">
        <v>259</v>
      </c>
    </row>
    <row r="1557" spans="1:78" s="140" customFormat="1" ht="12.75" customHeight="1" thickBot="1" x14ac:dyDescent="0.25">
      <c r="A1557" s="777"/>
      <c r="B1557" s="1248"/>
      <c r="C1557" s="753" t="s">
        <v>194</v>
      </c>
      <c r="D1557" s="503" t="str">
        <f>Translations!$B$622</f>
        <v>VD:</v>
      </c>
      <c r="E1557" s="504"/>
      <c r="F1557" s="393"/>
      <c r="G1557" s="1603" t="str">
        <f>IF(OR(ISBLANK(F1557),F1557=EUconst_NoTier),"",IF(Z1557=0,EUconst_NA,IF(ISERROR(Z1557),"",Z1557)))</f>
        <v/>
      </c>
      <c r="H1557" s="1604"/>
      <c r="I1557" s="1108" t="str">
        <f>IF(J1557&lt;&gt;"","",AI1557)</f>
        <v/>
      </c>
      <c r="J1557" s="1109"/>
      <c r="K1557" s="1116" t="str">
        <f>IF(L1557="",AQ1557,"")</f>
        <v/>
      </c>
      <c r="L1557" s="1199"/>
      <c r="M1557" s="700" t="str">
        <f>IF(AND(E1548&lt;&gt;"",OR(F1557="",COUNT(K1557:L1557)=0),Y1557&lt;&gt;EUconst_NA,T1548&lt;&gt;TRUE),EUconst_ERR_Incomplete,IF(COUNTIF(AX1557:AZ1557,TRUE)&gt;0,EUconst_ERR_Inconsistent,""))</f>
        <v/>
      </c>
      <c r="O1557" s="1305"/>
      <c r="P1557" s="635"/>
      <c r="Q1557" s="343" t="str">
        <f>EUconst_SumBioEnergyIN &amp; "_" &amp; K1547</f>
        <v>SUM_BioEnergyIN_</v>
      </c>
      <c r="R1557" s="390" t="str">
        <f>IF(OR(K1547="",T1548)=TRUE,"",INDEX(BC1563:BE1563,MATCH(K1547,BC1557:BE1557,0)))</f>
        <v/>
      </c>
      <c r="S1557" s="30"/>
      <c r="T1557" s="505" t="str">
        <f>EUconst_CNTR_ActivityData&amp;E1548</f>
        <v>ActivityData_</v>
      </c>
      <c r="U1557" s="488"/>
      <c r="V1557" s="505" t="str">
        <f>IF(E1547="","",INDEX(B_InstallationDescription!$I$71:$I$145,MATCH(U1546,B_InstallationDescription!$D$71:$D$145,0)))</f>
        <v/>
      </c>
      <c r="W1557" s="495" t="s">
        <v>533</v>
      </c>
      <c r="X1557" s="488"/>
      <c r="Y1557" s="506" t="str">
        <f>IF(OR(T1548=TRUE,E1548=""),"",INDEX(EUwideConstants!$N:$N,MATCH(T1557,EUwideConstants!$Q:$Q,0)))</f>
        <v/>
      </c>
      <c r="Z1557" s="507" t="str">
        <f>IF(ISBLANK(F1557),"",IF(F1557=EUconst_NA,"",INDEX(EUwideConstants!$H:$M,MATCH(T1557,EUwideConstants!$Q:$Q,0),MATCH(F1557,CNTR_TierList,0))))</f>
        <v/>
      </c>
      <c r="AA1557" s="508" t="s">
        <v>299</v>
      </c>
      <c r="AB1557" s="495"/>
      <c r="AC1557" s="509" t="b">
        <f>AC1552</f>
        <v>0</v>
      </c>
      <c r="AD1557" s="30"/>
      <c r="AE1557" s="510" t="str">
        <f>EUconst_CNTR_ActivityData&amp;EUconst_Unit</f>
        <v>ActivityData_Vienetas</v>
      </c>
      <c r="AF1557" s="511" t="str">
        <f>IF(AC1557=TRUE, IF(COUNTIF(MSPara_SourceStreamCategory,V1557)=0,"",INDEX(MSPara_CalcFactorsMatrix,MATCH(V1557,MSPara_SourceStreamCategory,0),MATCH(AE1557&amp;"_"&amp;2,MSPara_CalcFactors,0))),"")</f>
        <v/>
      </c>
      <c r="AG1557" s="512" t="str">
        <f>IF(AC1557=TRUE, IF(COUNTIF(MSPara_SourceStreamCategory,V1557)=0,"",INDEX(MSPara_CalcFactorsMatrix,MATCH(V1557,MSPara_SourceStreamCategory,0),MATCH(AE1557&amp;"_"&amp;1,MSPara_CalcFactors,0))),"")</f>
        <v/>
      </c>
      <c r="AH1557" s="509" t="str">
        <f>IF(OR(AF1557="",AF1557=EUconst_NA),IF(OR(AG1557=EUconst_NA,AG1557=""),"",AG1557),AF1557)</f>
        <v/>
      </c>
      <c r="AI1557" s="506" t="str">
        <f>IF(AC1557=TRUE,IF(AH1557="",EUconst_t,AH1557),"")</f>
        <v/>
      </c>
      <c r="AJ1557" s="513" t="str">
        <f>IF(J1557="",AI1557,J1557)</f>
        <v/>
      </c>
      <c r="AK1557" s="514" t="b">
        <f>IF(K1547=EUconst_Fuel,J1557&lt;&gt;"",FALSE)</f>
        <v>0</v>
      </c>
      <c r="AL1557" s="333"/>
      <c r="AM1557" s="505" t="str">
        <f>EUconst_CNTR_ActivityData&amp;EUconst_Value</f>
        <v>ActivityData_Vertė</v>
      </c>
      <c r="AN1557" s="496"/>
      <c r="AO1557" s="496"/>
      <c r="AP1557" s="509" t="b">
        <f>AND(AND(AH1557&lt;&gt;"",AJ1557&lt;&gt;""),AJ1557=AH1557)</f>
        <v>0</v>
      </c>
      <c r="AQ1557" s="610" t="str">
        <f>IF(L1552=TRUE,SUM(F1554)-SUM(H1554)+SUM(J1554)-SUM(L1554),"")</f>
        <v/>
      </c>
      <c r="AR1557" s="509">
        <f>IF(Y1557=EUconst_NA,0,IF(COUNT(K1557:L1557)=0,0,IF(L1557="",K1557,L1557)))</f>
        <v>0</v>
      </c>
      <c r="AS1557" s="1115" t="b">
        <f>AND(AC1557=TRUE,OR(L1557&lt;&gt;"",AQ1557=""))</f>
        <v>0</v>
      </c>
      <c r="AT1557" s="1115" t="b">
        <f>AND(AC1557=TRUE,NOT(AS1557))</f>
        <v>0</v>
      </c>
      <c r="AU1557" s="30"/>
      <c r="AV1557" s="483" t="s">
        <v>309</v>
      </c>
      <c r="AW1557" s="483" t="s">
        <v>314</v>
      </c>
      <c r="AX1557" s="515"/>
      <c r="AY1557" s="30" t="s">
        <v>536</v>
      </c>
      <c r="AZ1557" s="30"/>
      <c r="BA1557" s="30"/>
      <c r="BB1557" s="495"/>
      <c r="BC1557" s="484" t="str">
        <f>EUconst_Fuel</f>
        <v>Degimas</v>
      </c>
      <c r="BD1557" s="484" t="str">
        <f>EUconst_ProcessCarbonate</f>
        <v>Proceso metu išsiskiriančios ŠESD</v>
      </c>
      <c r="BE1557" s="484" t="str">
        <f>EUconst_MassBalance</f>
        <v>Masės balansas</v>
      </c>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515" t="b">
        <f>BZ1552</f>
        <v>1</v>
      </c>
    </row>
    <row r="1558" spans="1:78" s="140" customFormat="1" ht="5.0999999999999996" customHeight="1" thickBot="1" x14ac:dyDescent="0.25">
      <c r="A1558" s="777"/>
      <c r="B1558" s="1248"/>
      <c r="C1558" s="783"/>
      <c r="D1558" s="298"/>
      <c r="F1558" s="141"/>
      <c r="G1558" s="141"/>
      <c r="H1558" s="141" t="s">
        <v>233</v>
      </c>
      <c r="I1558" s="516"/>
      <c r="J1558" s="516"/>
      <c r="K1558" s="141"/>
      <c r="L1558" s="141"/>
      <c r="M1558" s="701"/>
      <c r="O1558" s="1305"/>
      <c r="P1558" s="33"/>
      <c r="Q1558" s="33"/>
      <c r="R1558" s="33"/>
      <c r="S1558" s="30"/>
      <c r="T1558" s="153"/>
      <c r="U1558" s="488"/>
      <c r="V1558" s="30"/>
      <c r="W1558" s="30"/>
      <c r="X1558" s="488"/>
      <c r="Y1558" s="517"/>
      <c r="Z1558" s="30"/>
      <c r="AA1558" s="30"/>
      <c r="AB1558" s="30"/>
      <c r="AC1558" s="30"/>
      <c r="AD1558" s="30"/>
      <c r="AE1558" s="30"/>
      <c r="AF1558" s="30"/>
      <c r="AG1558" s="30"/>
      <c r="AH1558" s="30"/>
      <c r="AI1558" s="30"/>
      <c r="AJ1558" s="30"/>
      <c r="AK1558" s="30"/>
      <c r="AL1558" s="333"/>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484"/>
    </row>
    <row r="1559" spans="1:78" s="140" customFormat="1" ht="12.75" customHeight="1" thickBot="1" x14ac:dyDescent="0.25">
      <c r="A1559" s="777"/>
      <c r="B1559" s="1248"/>
      <c r="C1559" s="783" t="s">
        <v>195</v>
      </c>
      <c r="D1559" s="503" t="str">
        <f>Translations!$B$634</f>
        <v>(prelim.) ITF:</v>
      </c>
      <c r="E1559" s="504"/>
      <c r="F1559" s="518"/>
      <c r="G1559" s="1603" t="str">
        <f t="shared" ref="G1559:G1565" si="385">IF(OR(ISBLANK(F1559),F1559=EUconst_NoTier),"",IF(Z1559=0,EUconst_NotApplicable,IF(ISERROR(Z1559),"",Z1559)))</f>
        <v/>
      </c>
      <c r="H1559" s="1609"/>
      <c r="I1559" s="1110" t="str">
        <f>IF(J1559&lt;&gt;"","",AI1559)</f>
        <v/>
      </c>
      <c r="J1559" s="1111"/>
      <c r="K1559" s="519" t="str">
        <f t="shared" ref="K1559:K1565" si="386">IF(L1559="",AQ1559,"")</f>
        <v/>
      </c>
      <c r="L1559" s="520"/>
      <c r="M1559" s="700" t="str">
        <f>IF(AND(E1548&lt;&gt;"",OR(F1559="",COUNT(K1559:L1559)=0),Y1559&lt;&gt;EUconst_NA,T1548&lt;&gt;TRUE),EUconst_ERR_Incomplete,IF(COUNTIF(AX1559:AZ1559,TRUE)&gt;0,EUconst_ERR_Inconsistent,""))</f>
        <v/>
      </c>
      <c r="N1559" s="486"/>
      <c r="O1559" s="1305"/>
      <c r="P1559" s="33"/>
      <c r="Q1559" s="33"/>
      <c r="R1559" s="33"/>
      <c r="S1559" s="30"/>
      <c r="T1559" s="521" t="str">
        <f>EUconst_CNTR_EF&amp;E1548</f>
        <v>EF_</v>
      </c>
      <c r="U1559" s="488"/>
      <c r="V1559" s="522" t="str">
        <f>V1557</f>
        <v/>
      </c>
      <c r="W1559" s="30"/>
      <c r="X1559" s="488"/>
      <c r="Y1559" s="523" t="str">
        <f>IF(OR(T1548=TRUE,E1548=""),"",IF(F1559=EUconst_NA,EUconst_NA,INDEX(EUwideConstants!$N:$N,MATCH(T1559,EUwideConstants!$Q:$Q,0))))</f>
        <v/>
      </c>
      <c r="Z1559" s="524" t="str">
        <f>IF(ISBLANK(F1559),"",IF(F1559=EUconst_NA,"",INDEX(EUwideConstants!$H:$M,MATCH(T1559,EUwideConstants!$Q:$Q,0),MATCH(F1559,CNTR_TierList,0))))</f>
        <v/>
      </c>
      <c r="AA1559" s="525" t="str">
        <f>IF(COUNTIF(EUconst_DefaultValues,Z1559)&gt;0,MATCH(Z1559,EUconst_DefaultValues,0),"")</f>
        <v/>
      </c>
      <c r="AB1559" s="30"/>
      <c r="AC1559" s="526" t="b">
        <f>AND(AC1557,Y1559&lt;&gt;EUconst_NA)</f>
        <v>0</v>
      </c>
      <c r="AD1559" s="30"/>
      <c r="AE1559" s="510" t="str">
        <f>EUconst_CNTR_EF&amp;EUconst_Unit</f>
        <v>EF_Vienetas</v>
      </c>
      <c r="AF1559" s="527" t="str">
        <f>IF(AC1559=TRUE, IF(COUNTIF(MSPara_SourceStreamCategory,V1559)=0,"",INDEX(MSPara_CalcFactorsMatrix,MATCH(V1559,MSPara_SourceStreamCategory,0),MATCH(AE1559&amp;"_"&amp;2,MSPara_CalcFactors,0))),"")</f>
        <v/>
      </c>
      <c r="AG1559" s="528" t="str">
        <f>IF(AC1559=TRUE, IF(COUNTIF(MSPara_SourceStreamCategory,V1559)=0,"",INDEX(MSPara_CalcFactorsMatrix,MATCH(V1559,MSPara_SourceStreamCategory,0),MATCH(AE1559&amp;"_"&amp;1,MSPara_CalcFactors,0))),"")</f>
        <v/>
      </c>
      <c r="AH1559" s="529" t="str">
        <f>IF(AA1559="","",INDEX(AF1559:AG1559,3-AA1559))</f>
        <v/>
      </c>
      <c r="AI1559" s="530" t="str">
        <f>IF(AC1559=TRUE,IF(OR(AH1559="",AH1559=EUconst_NA),IF(K1547=EUconst_Fuel,EUconst_tCO2pTJ,EUconst_tCO2pt),AH1559),"")</f>
        <v/>
      </c>
      <c r="AJ1559" s="526" t="str">
        <f>IF(J1559="",AI1559,J1559)</f>
        <v/>
      </c>
      <c r="AK1559" s="531" t="b">
        <f>IF(K1547=EUconst_Fuel,J1559&lt;&gt;"",FALSE)</f>
        <v>0</v>
      </c>
      <c r="AL1559" s="333"/>
      <c r="AM1559" s="510" t="str">
        <f>EUconst_CNTR_EF&amp;EUconst_Value</f>
        <v>EF_Vertė</v>
      </c>
      <c r="AN1559" s="532" t="str">
        <f>IF(AC1559=TRUE,IF(COUNTIF(MSPara_SourceStreamCategory,V1559)=0,"",INDEX(MSPara_CalcFactorsMatrix,MATCH(V1559,MSPara_SourceStreamCategory,0),MATCH(AM1559&amp;"_"&amp;2,MSPara_CalcFactors,0))),"")</f>
        <v/>
      </c>
      <c r="AO1559" s="533" t="str">
        <f>IF(AC1559=TRUE,IF(COUNTIF(MSPara_SourceStreamCategory,V1559)=0,"",INDEX(MSPara_CalcFactorsMatrix,MATCH(V1559,MSPara_SourceStreamCategory,0),MATCH(AM1559&amp;"_"&amp;1,MSPara_CalcFactors,0))),"")</f>
        <v/>
      </c>
      <c r="AP1559" s="526" t="b">
        <f>AND(AND(AH1559&lt;&gt;"",AJ1559&lt;&gt;""),AJ1559=AH1559)</f>
        <v>0</v>
      </c>
      <c r="AQ1559" s="534" t="str">
        <f>IF(AND(AA1559&lt;&gt;"",AP1559=TRUE),IF(OR(INDEX(AN1559:AO1559,3-AA1559)=EUconst_NA,INDEX(AN1559:AO1559,3-AA1559)=0),"",INDEX(AN1559:AO1559,3-AA1559)),"")</f>
        <v/>
      </c>
      <c r="AR1559" s="526">
        <f>IF(AC1559=TRUE,IF(COUNT(K1559:L1559)=0,0,IF(L1559="",K1559,L1559)),0)</f>
        <v>0</v>
      </c>
      <c r="AS1559" s="522" t="b">
        <f>AND(AC1559=TRUE,OR(AND(F1559&lt;&gt;"",NOT(ISNUMBER(AA1559))),L1559&lt;&gt;"",F1559="",AQ1559=""))</f>
        <v>0</v>
      </c>
      <c r="AT1559" s="522" t="b">
        <f t="shared" ref="AT1559:AT1565" si="387">AND(AC1559=TRUE,NOT(AS1559))</f>
        <v>0</v>
      </c>
      <c r="AU1559" s="30"/>
      <c r="AV1559" s="535" t="b">
        <f t="shared" ref="AV1559:AV1565" si="388">AND(ISNUMBER(AA1559),AQ1559="")</f>
        <v>0</v>
      </c>
      <c r="AW1559" s="536" t="b">
        <f t="shared" ref="AW1559:AW1565" si="389">AND(ISNUMBER(AA1559),AQ1559&lt;&gt;AR1559)</f>
        <v>0</v>
      </c>
      <c r="AX1559" s="537" t="b">
        <f>OR(AND(AJ1557=EUconst_kNm3,AJ1559=EUconst_tCO2pt),AND(AJ1557=EUconst_t,AJ1559=EUconst_tCO2pkNm3))</f>
        <v>0</v>
      </c>
      <c r="AY1559" s="522" t="b">
        <f t="shared" ref="AY1559:AY1565" si="390">AND(L1559&lt;&gt;"",Y1559=EUconst_NA)</f>
        <v>0</v>
      </c>
      <c r="AZ1559" s="30"/>
      <c r="BA1559" s="30"/>
      <c r="BB1559" s="538" t="s">
        <v>588</v>
      </c>
      <c r="BC1559" s="537" t="str">
        <f>IF(K1547=BC1557,AR1557*IF(AJ1559=EUconst_tCO2pTJ,(AR1560/1000),1)*AR1559*AR1561*AR1565,"")</f>
        <v/>
      </c>
      <c r="BD1559" s="515" t="str">
        <f>IF(K1547=BD1557,AR1557*AR1559*AR1562*AR1565,"")</f>
        <v/>
      </c>
      <c r="BE1559" s="514" t="str">
        <f>IF(K1547=BE1557,3.664*AR1557*AR1563*AR1565,"")</f>
        <v/>
      </c>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522" t="b">
        <f>OR(BZ1557,Y1559=EUconst_NA)</f>
        <v>1</v>
      </c>
    </row>
    <row r="1560" spans="1:78" s="140" customFormat="1" ht="12.75" customHeight="1" thickBot="1" x14ac:dyDescent="0.25">
      <c r="A1560" s="777"/>
      <c r="B1560" s="1248"/>
      <c r="C1560" s="783" t="s">
        <v>196</v>
      </c>
      <c r="D1560" s="503" t="str">
        <f>Translations!$B$636</f>
        <v>GŠV:</v>
      </c>
      <c r="E1560" s="504"/>
      <c r="F1560" s="539"/>
      <c r="G1560" s="1603" t="str">
        <f t="shared" si="385"/>
        <v/>
      </c>
      <c r="H1560" s="1604"/>
      <c r="I1560" s="1112" t="str">
        <f>AJ1560</f>
        <v/>
      </c>
      <c r="J1560" s="540"/>
      <c r="K1560" s="541" t="str">
        <f t="shared" si="386"/>
        <v/>
      </c>
      <c r="L1560" s="542"/>
      <c r="M1560" s="700" t="str">
        <f>IF(AND(E1548&lt;&gt;"",OR(F1560="",COUNT(K1560:L1560)=0),Y1560&lt;&gt;EUconst_NA,T1548&lt;&gt;TRUE),EUconst_ERR_Incomplete,IF(COUNTIF(AX1560:AZ1560,TRUE)&gt;0,EUconst_ERR_Inconsistent,""))</f>
        <v/>
      </c>
      <c r="O1560" s="1305"/>
      <c r="P1560" s="33"/>
      <c r="Q1560" s="33"/>
      <c r="R1560" s="33"/>
      <c r="S1560" s="30"/>
      <c r="T1560" s="543" t="str">
        <f>EUconst_CNTR_NCV&amp;E1548</f>
        <v>NCV_</v>
      </c>
      <c r="U1560" s="488"/>
      <c r="V1560" s="544" t="str">
        <f t="shared" ref="V1560:V1565" si="391">V1559</f>
        <v/>
      </c>
      <c r="W1560" s="30"/>
      <c r="X1560" s="488"/>
      <c r="Y1560" s="545" t="str">
        <f>IF(OR(T1548=TRUE,E1548=""),"",IF(F1560=EUconst_NA,EUconst_NA,INDEX(EUwideConstants!$N:$N,MATCH(T1560,EUwideConstants!$Q:$Q,0))))</f>
        <v/>
      </c>
      <c r="Z1560" s="546" t="str">
        <f>IF(ISBLANK(F1560),"",IF(F1560=EUconst_NA,"",INDEX(EUwideConstants!$H:$M,MATCH(T1560,EUwideConstants!$Q:$Q,0),MATCH(F1560,CNTR_TierList,0))))</f>
        <v/>
      </c>
      <c r="AA1560" s="547" t="str">
        <f>IF(COUNTIF(EUconst_DefaultValues,Z1560)&gt;0,MATCH(Z1560,EUconst_DefaultValues,0),"")</f>
        <v/>
      </c>
      <c r="AB1560" s="30"/>
      <c r="AC1560" s="548" t="b">
        <f>AND(AC1557,Y1560&lt;&gt;EUconst_NA)</f>
        <v>0</v>
      </c>
      <c r="AD1560" s="30"/>
      <c r="AE1560" s="549" t="str">
        <f>EUconst_CNTR_NCV&amp;EUconst_Unit</f>
        <v>NCV_Vienetas</v>
      </c>
      <c r="AF1560" s="550" t="str">
        <f>IF(AC1560=TRUE, IF(COUNTIF(MSPara_SourceStreamCategory,V1560)=0,"",INDEX(MSPara_CalcFactorsMatrix,MATCH(V1560,MSPara_SourceStreamCategory,0),MATCH(AE1560&amp;"_"&amp;2,MSPara_CalcFactors,0))),"")</f>
        <v/>
      </c>
      <c r="AG1560" s="551" t="str">
        <f>IF(AC1560=TRUE, IF(COUNTIF(MSPara_SourceStreamCategory,V1560)=0,"",INDEX(MSPara_CalcFactorsMatrix,MATCH(V1560,MSPara_SourceStreamCategory,0),MATCH(AE1560&amp;"_"&amp;1,MSPara_CalcFactors,0))),"")</f>
        <v/>
      </c>
      <c r="AH1560" s="552" t="str">
        <f>IF(AA1560="","",INDEX(AF1560:AG1560,3-AA1560))</f>
        <v/>
      </c>
      <c r="AI1560" s="553"/>
      <c r="AJ1560" s="548" t="str">
        <f>IF(AC1560=TRUE,IF(AJ1557="","",IF(AJ1557=EUconst_kNm3,EUconst_GJpkNm3,EUconst_GJpt)),"")</f>
        <v/>
      </c>
      <c r="AK1560" s="554"/>
      <c r="AL1560" s="333"/>
      <c r="AM1560" s="549" t="str">
        <f>EUconst_CNTR_NCV&amp;EUconst_Value</f>
        <v>NCV_Vertė</v>
      </c>
      <c r="AN1560" s="555" t="str">
        <f>IF(AC1560=TRUE,IF(COUNTIF(MSPara_SourceStreamCategory,V1560)=0,"",INDEX(MSPara_CalcFactorsMatrix,MATCH(V1560,MSPara_SourceStreamCategory,0),MATCH(AM1560&amp;"_"&amp;2,MSPara_CalcFactors,0))),"")</f>
        <v/>
      </c>
      <c r="AO1560" s="556" t="str">
        <f>IF(AC1560=TRUE,IF(COUNTIF(MSPara_SourceStreamCategory,V1560)=0,"",INDEX(MSPara_CalcFactorsMatrix,MATCH(V1560,MSPara_SourceStreamCategory,0),MATCH(AM1560&amp;"_"&amp;1,MSPara_CalcFactors,0))),"")</f>
        <v/>
      </c>
      <c r="AP1560" s="548" t="b">
        <f>AND(AND(AH1560&lt;&gt;"",AJ1560&lt;&gt;""),AJ1560=AH1560)</f>
        <v>0</v>
      </c>
      <c r="AQ1560" s="557" t="str">
        <f>IF(AND(AA1560&lt;&gt;"",AP1560=TRUE),IF(OR(INDEX(AN1560:AO1560,3-AA1560)=EUconst_NA,INDEX(AN1560:AO1560,3-AA1560)=0),"",INDEX(AN1560:AO1560,3-AA1560)),"")</f>
        <v/>
      </c>
      <c r="AR1560" s="548">
        <f>IF(AC1560=TRUE,IF(COUNT(K1560:L1560)=0,0,IF(L1560="",K1560,L1560)),0)</f>
        <v>0</v>
      </c>
      <c r="AS1560" s="544" t="b">
        <f>AND(AC1560=TRUE,OR(AND(F1560&lt;&gt;"",NOT(ISNUMBER(AA1560))),L1560&lt;&gt;"",F1560="",AQ1560=""))</f>
        <v>0</v>
      </c>
      <c r="AT1560" s="544" t="b">
        <f t="shared" si="387"/>
        <v>0</v>
      </c>
      <c r="AU1560" s="30"/>
      <c r="AV1560" s="558" t="b">
        <f t="shared" si="388"/>
        <v>0</v>
      </c>
      <c r="AW1560" s="559" t="b">
        <f t="shared" si="389"/>
        <v>0</v>
      </c>
      <c r="AX1560" s="30"/>
      <c r="AY1560" s="544" t="b">
        <f t="shared" si="390"/>
        <v>0</v>
      </c>
      <c r="AZ1560" s="30"/>
      <c r="BA1560" s="30"/>
      <c r="BB1560" s="538" t="s">
        <v>589</v>
      </c>
      <c r="BC1560" s="537" t="str">
        <f>IF(K1547=BC1557,AR1557*IF(AJ1559=EUconst_tCO2pTJ,(AR1560/1000),1)*AR1559*AR1561*AR1564,"")</f>
        <v/>
      </c>
      <c r="BD1560" s="515" t="str">
        <f>IF(K1547=BD1557,AR1557*AR1559*AR1562*AR1564,"")</f>
        <v/>
      </c>
      <c r="BE1560" s="514" t="str">
        <f>IF(K1547=BE1557,3.664*AR1557*AR1563*AR1564,"")</f>
        <v/>
      </c>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544" t="b">
        <f>OR(BZ1557,Y1560=EUconst_NA)</f>
        <v>1</v>
      </c>
    </row>
    <row r="1561" spans="1:78" s="140" customFormat="1" ht="12.75" customHeight="1" thickBot="1" x14ac:dyDescent="0.25">
      <c r="A1561" s="777"/>
      <c r="B1561" s="1248"/>
      <c r="C1561" s="783" t="s">
        <v>197</v>
      </c>
      <c r="D1561" s="503" t="str">
        <f>Translations!$B$638</f>
        <v>Oksidacijos koef.:</v>
      </c>
      <c r="E1561" s="504"/>
      <c r="F1561" s="539"/>
      <c r="G1561" s="1603" t="str">
        <f t="shared" si="385"/>
        <v/>
      </c>
      <c r="H1561" s="1604"/>
      <c r="I1561" s="1113" t="str">
        <f>IF(OR(AC1561=FALSE,Y1561=EUconst_NA),"","-")</f>
        <v/>
      </c>
      <c r="J1561" s="560"/>
      <c r="K1561" s="561" t="str">
        <f t="shared" si="386"/>
        <v/>
      </c>
      <c r="L1561" s="694"/>
      <c r="M1561" s="700" t="str">
        <f>IF(AND(E1548&lt;&gt;"",OR(F1561="",COUNT(K1561:L1561)=0),Y1561&lt;&gt;EUconst_NA,T1548&lt;&gt;TRUE),EUconst_ERR_Incomplete,IF(COUNTIF(AX1561:AZ1561,TRUE)&gt;0,EUconst_ERR_Inconsistent,""))</f>
        <v/>
      </c>
      <c r="O1561" s="1305"/>
      <c r="P1561" s="33"/>
      <c r="Q1561" s="33"/>
      <c r="R1561" s="33"/>
      <c r="S1561" s="30"/>
      <c r="T1561" s="543" t="str">
        <f>EUconst_CNTR_OxidationFactor&amp;E1548</f>
        <v>OxF_</v>
      </c>
      <c r="U1561" s="488"/>
      <c r="V1561" s="544" t="str">
        <f t="shared" si="391"/>
        <v/>
      </c>
      <c r="W1561" s="30"/>
      <c r="X1561" s="488"/>
      <c r="Y1561" s="545" t="str">
        <f>IF(OR(T1548=TRUE,E1548=""),"",INDEX(EUwideConstants!$N:$N,MATCH(T1561,EUwideConstants!$Q:$Q,0)))</f>
        <v/>
      </c>
      <c r="Z1561" s="546" t="str">
        <f>IF(ISBLANK(F1561),"",IF(F1561=EUconst_NA,"",INDEX(EUwideConstants!$H:$M,MATCH(T1561,EUwideConstants!$Q:$Q,0),MATCH(F1561,CNTR_TierList,0))))</f>
        <v/>
      </c>
      <c r="AA1561" s="525" t="str">
        <f>IF(F1561=1,1,"")</f>
        <v/>
      </c>
      <c r="AB1561" s="30"/>
      <c r="AC1561" s="548" t="b">
        <f>AND(AC1557,Y1561&lt;&gt;EUconst_NA)</f>
        <v>0</v>
      </c>
      <c r="AD1561" s="30"/>
      <c r="AE1561" s="563"/>
      <c r="AG1561" s="564"/>
      <c r="AH1561" s="553"/>
      <c r="AI1561" s="565"/>
      <c r="AJ1561" s="553"/>
      <c r="AK1561" s="566"/>
      <c r="AL1561" s="333"/>
      <c r="AM1561" s="549" t="str">
        <f>EUconst_CNTR_OxidationFactor&amp;EUconst_Value</f>
        <v>OxF_Vertė</v>
      </c>
      <c r="AN1561" s="567"/>
      <c r="AO1561" s="525">
        <v>1</v>
      </c>
      <c r="AP1561" s="553"/>
      <c r="AQ1561" s="568" t="str">
        <f>IF(AA1561="","",AO1561)</f>
        <v/>
      </c>
      <c r="AR1561" s="548">
        <f>IF(AC1561=TRUE,IF(COUNT(K1561:L1561)=0,0,IF(L1561="",K1561,L1561)),1)</f>
        <v>1</v>
      </c>
      <c r="AS1561" s="544" t="b">
        <f>AND(AC1561=TRUE,OR(ISNUMBER(L1561),NOT(ISNUMBER(AA1561))))</f>
        <v>0</v>
      </c>
      <c r="AT1561" s="544" t="b">
        <f t="shared" si="387"/>
        <v>0</v>
      </c>
      <c r="AU1561" s="30"/>
      <c r="AV1561" s="558" t="b">
        <f t="shared" si="388"/>
        <v>0</v>
      </c>
      <c r="AW1561" s="559" t="b">
        <f t="shared" si="389"/>
        <v>0</v>
      </c>
      <c r="AX1561" s="30"/>
      <c r="AY1561" s="585" t="b">
        <f t="shared" si="390"/>
        <v>0</v>
      </c>
      <c r="AZ1561" s="522" t="b">
        <f>AR1561&gt;100%</f>
        <v>0</v>
      </c>
      <c r="BA1561" s="30"/>
      <c r="BB1561" s="538" t="s">
        <v>287</v>
      </c>
      <c r="BC1561" s="537" t="str">
        <f>IF(K1547=BC1557,AR1557*IF(AJ1559=EUconst_tCO2pTJ,(AR1560/1000),1)*AR1559*AR1561*(1-AR1564),"")</f>
        <v/>
      </c>
      <c r="BD1561" s="515" t="str">
        <f>IF(K1547=BD1557,AR1557*AR1559*AR1562*(1-AR1564),"")</f>
        <v/>
      </c>
      <c r="BE1561" s="514" t="str">
        <f>IF(K1547=BE1557,3.664*AR1557*AR1563*(1-AR1564),"")</f>
        <v/>
      </c>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544" t="b">
        <f>OR(BZ1557,Y1561=EUconst_NA)</f>
        <v>1</v>
      </c>
    </row>
    <row r="1562" spans="1:78" s="140" customFormat="1" ht="12.75" customHeight="1" thickBot="1" x14ac:dyDescent="0.25">
      <c r="A1562" s="777"/>
      <c r="B1562" s="1248"/>
      <c r="C1562" s="783" t="s">
        <v>198</v>
      </c>
      <c r="D1562" s="503" t="str">
        <f>Translations!$B$639</f>
        <v>Konversijos koef.:</v>
      </c>
      <c r="E1562" s="504"/>
      <c r="F1562" s="539"/>
      <c r="G1562" s="1603" t="str">
        <f t="shared" si="385"/>
        <v/>
      </c>
      <c r="H1562" s="1604"/>
      <c r="I1562" s="1113" t="str">
        <f>IF(OR(AC1562=FALSE,Y1562=EUconst_NA),"","-")</f>
        <v/>
      </c>
      <c r="J1562" s="560"/>
      <c r="K1562" s="561" t="str">
        <f t="shared" si="386"/>
        <v/>
      </c>
      <c r="L1562" s="694"/>
      <c r="M1562" s="700" t="str">
        <f>IF(AND(E1548&lt;&gt;"",OR(F1562="",COUNT(K1562:L1562)=0),Y1562&lt;&gt;EUconst_NA,T1548&lt;&gt;TRUE),EUconst_ERR_Incomplete,IF(COUNTIF(AX1562:AZ1562,TRUE)&gt;0,EUconst_ERR_Inconsistent,""))</f>
        <v/>
      </c>
      <c r="O1562" s="1305"/>
      <c r="P1562" s="33"/>
      <c r="Q1562" s="33"/>
      <c r="R1562" s="33"/>
      <c r="S1562" s="30"/>
      <c r="T1562" s="543" t="str">
        <f>EUconst_CNTR_ConversionFactor&amp;E1548</f>
        <v>ConvF_</v>
      </c>
      <c r="U1562" s="488"/>
      <c r="V1562" s="544" t="str">
        <f t="shared" si="391"/>
        <v/>
      </c>
      <c r="W1562" s="30"/>
      <c r="X1562" s="488"/>
      <c r="Y1562" s="545" t="str">
        <f>IF(OR(T1548=TRUE,E1548=""),"",INDEX(EUwideConstants!$N:$N,MATCH(T1562,EUwideConstants!$Q:$Q,0)))</f>
        <v/>
      </c>
      <c r="Z1562" s="546" t="str">
        <f>IF(ISBLANK(F1562),"",IF(F1562=EUconst_NA,"",INDEX(EUwideConstants!$H:$M,MATCH(T1562,EUwideConstants!$Q:$Q,0),MATCH(F1562,CNTR_TierList,0))))</f>
        <v/>
      </c>
      <c r="AA1562" s="573" t="str">
        <f>IF(F1562=1,1,"")</f>
        <v/>
      </c>
      <c r="AB1562" s="30"/>
      <c r="AC1562" s="548" t="b">
        <f>AND(AC1557,Y1562&lt;&gt;EUconst_NA)</f>
        <v>0</v>
      </c>
      <c r="AD1562" s="30"/>
      <c r="AE1562" s="563"/>
      <c r="AG1562" s="564"/>
      <c r="AH1562" s="574"/>
      <c r="AI1562" s="565"/>
      <c r="AJ1562" s="574"/>
      <c r="AK1562" s="566"/>
      <c r="AL1562" s="333"/>
      <c r="AM1562" s="549" t="str">
        <f>EUconst_CNTR_ConversionFactor&amp;EUconst_Value</f>
        <v>ConvF_Vertė</v>
      </c>
      <c r="AN1562" s="575"/>
      <c r="AO1562" s="573">
        <v>1</v>
      </c>
      <c r="AP1562" s="574"/>
      <c r="AQ1562" s="576" t="str">
        <f>IF(AA1562="","",AO1562)</f>
        <v/>
      </c>
      <c r="AR1562" s="548">
        <f>IF(AC1562=TRUE,IF(COUNT(K1562:L1562)=0,0,IF(L1562="",K1562,L1562)),1)</f>
        <v>1</v>
      </c>
      <c r="AS1562" s="544" t="b">
        <f>AND(AC1562=TRUE,OR(ISNUMBER(L1562),NOT(ISNUMBER(AA1562))))</f>
        <v>0</v>
      </c>
      <c r="AT1562" s="544" t="b">
        <f t="shared" si="387"/>
        <v>0</v>
      </c>
      <c r="AU1562" s="30"/>
      <c r="AV1562" s="558" t="b">
        <f t="shared" si="388"/>
        <v>0</v>
      </c>
      <c r="AW1562" s="559" t="b">
        <f t="shared" si="389"/>
        <v>0</v>
      </c>
      <c r="AX1562" s="30"/>
      <c r="AY1562" s="585" t="b">
        <f t="shared" si="390"/>
        <v>0</v>
      </c>
      <c r="AZ1562" s="571" t="b">
        <f>AR1562&gt;100%</f>
        <v>0</v>
      </c>
      <c r="BA1562" s="30"/>
      <c r="BB1562" s="569" t="s">
        <v>481</v>
      </c>
      <c r="BC1562" s="570">
        <f>AR1557*AR1560/1000*(1-AR1564)</f>
        <v>0</v>
      </c>
      <c r="BD1562" s="571">
        <f>BC1562</f>
        <v>0</v>
      </c>
      <c r="BE1562" s="572">
        <f>BC1562</f>
        <v>0</v>
      </c>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544" t="b">
        <f>OR(BZ1557,Y1562=EUconst_NA)</f>
        <v>1</v>
      </c>
    </row>
    <row r="1563" spans="1:78" s="140" customFormat="1" ht="12.75" customHeight="1" thickBot="1" x14ac:dyDescent="0.25">
      <c r="A1563" s="777"/>
      <c r="B1563" s="1248"/>
      <c r="C1563" s="783" t="s">
        <v>324</v>
      </c>
      <c r="D1563" s="503" t="str">
        <f>Translations!$B$640</f>
        <v>Anglies kiekis (C):</v>
      </c>
      <c r="E1563" s="504"/>
      <c r="F1563" s="539"/>
      <c r="G1563" s="1603" t="str">
        <f t="shared" si="385"/>
        <v/>
      </c>
      <c r="H1563" s="1604"/>
      <c r="I1563" s="1113" t="str">
        <f>AJ1563</f>
        <v/>
      </c>
      <c r="J1563" s="577"/>
      <c r="K1563" s="578" t="str">
        <f t="shared" si="386"/>
        <v/>
      </c>
      <c r="L1563" s="579"/>
      <c r="M1563" s="700" t="str">
        <f>IF(AND(E1548&lt;&gt;"",OR(F1563="",COUNT(K1563:L1563)=0),Y1563&lt;&gt;EUconst_NA,T1548&lt;&gt;TRUE),EUconst_ERR_Incomplete,IF(COUNTIF(AX1563:AZ1563,TRUE)&gt;0,EUconst_ERR_Inconsistent,""))</f>
        <v/>
      </c>
      <c r="O1563" s="1305"/>
      <c r="P1563" s="33"/>
      <c r="Q1563" s="33"/>
      <c r="R1563" s="33"/>
      <c r="S1563" s="30"/>
      <c r="T1563" s="543" t="str">
        <f>EUconst_CNTR_CarbonContent&amp;E1548</f>
        <v>CarbC_</v>
      </c>
      <c r="U1563" s="488"/>
      <c r="V1563" s="544" t="str">
        <f t="shared" si="391"/>
        <v/>
      </c>
      <c r="W1563" s="30"/>
      <c r="X1563" s="488"/>
      <c r="Y1563" s="545" t="str">
        <f>IF(OR(T1548=TRUE,E1548=""),"",INDEX(EUwideConstants!$N:$N,MATCH(T1563,EUwideConstants!$Q:$Q,0)))</f>
        <v/>
      </c>
      <c r="Z1563" s="546" t="str">
        <f>IF(ISBLANK(F1563),"",IF(F1563=EUconst_NA,"",INDEX(EUwideConstants!$H:$M,MATCH(T1563,EUwideConstants!$Q:$Q,0),MATCH(F1563,CNTR_TierList,0))))</f>
        <v/>
      </c>
      <c r="AA1563" s="580" t="str">
        <f>IF(COUNTIF(EUconst_DefaultValues,Z1563)&gt;0,MATCH(Z1563,EUconst_DefaultValues,0),"")</f>
        <v/>
      </c>
      <c r="AB1563" s="30"/>
      <c r="AC1563" s="548" t="b">
        <f>AND(AC1557,Y1563&lt;&gt;EUconst_NA)</f>
        <v>0</v>
      </c>
      <c r="AD1563" s="30"/>
      <c r="AE1563" s="549" t="str">
        <f>EUconst_CNTR_CarbonContent&amp;EUconst_Unit</f>
        <v>CarbC_Vienetas</v>
      </c>
      <c r="AF1563" s="550" t="str">
        <f>IF(AC1563=TRUE, IF(COUNTIF(MSPara_SourceStreamCategory,V1563)=0,"",INDEX(MSPara_CalcFactorsMatrix,MATCH(V1563,MSPara_SourceStreamCategory,0),MATCH(AE1563&amp;"_"&amp;2,MSPara_CalcFactors,0))),"")</f>
        <v/>
      </c>
      <c r="AG1563" s="551" t="str">
        <f>IF(AC1563=TRUE, IF(COUNTIF(MSPara_SourceStreamCategory,V1563)=0,"",INDEX(MSPara_CalcFactorsMatrix,MATCH(V1563,MSPara_SourceStreamCategory,0),MATCH(AE1563&amp;"_"&amp;1,MSPara_CalcFactors,0))),"")</f>
        <v/>
      </c>
      <c r="AH1563" s="581" t="str">
        <f>IF(AA1563="","",INDEX(AF1563:AG1563,3-AA1563))</f>
        <v/>
      </c>
      <c r="AI1563" s="565"/>
      <c r="AJ1563" s="582" t="str">
        <f>IF(AC1563=TRUE,IF(AJ1557="","",IF(AJ1557=EUconst_kNm3,EUconst_tCpkNm3,EUconst_tCpt)),"")</f>
        <v/>
      </c>
      <c r="AK1563" s="566"/>
      <c r="AL1563" s="333"/>
      <c r="AM1563" s="549" t="str">
        <f>EUconst_CNTR_CarbonContent&amp;EUconst_Value</f>
        <v>CarbC_Vertė</v>
      </c>
      <c r="AN1563" s="555" t="str">
        <f>IF(AC1563=TRUE,IF(COUNTIF(MSPara_SourceStreamCategory,V1563)=0,"",INDEX(MSPara_CalcFactorsMatrix,MATCH(V1563,MSPara_SourceStreamCategory,0),MATCH(AM1563&amp;"_"&amp;2,MSPara_CalcFactors,0))),"")</f>
        <v/>
      </c>
      <c r="AO1563" s="583" t="str">
        <f>IF(AC1563=TRUE,IF(COUNTIF(MSPara_SourceStreamCategory,V1563)=0,"",INDEX(MSPara_CalcFactorsMatrix,MATCH(V1563,MSPara_SourceStreamCategory,0),MATCH(AM1563&amp;"_"&amp;1,MSPara_CalcFactors,0))),"")</f>
        <v/>
      </c>
      <c r="AP1563" s="548" t="b">
        <f>AND(AND(AH1563&lt;&gt;"",AJ1563&lt;&gt;""),AJ1563=AH1563)</f>
        <v>0</v>
      </c>
      <c r="AQ1563" s="584" t="str">
        <f>IF(AND(AA1563&lt;&gt;"",AP1563=TRUE),IF(OR(INDEX(AN1563:AO1563,3-AA1563)=EUconst_NA,INDEX(AN1563:AO1563,3-AA1563)=0),"",INDEX(AN1563:AO1563,3-AA1563)),"")</f>
        <v/>
      </c>
      <c r="AR1563" s="548">
        <f>IF(AC1563=TRUE,IF(COUNT(K1563:L1563)=0,0,IF(L1563="",K1563,L1563)),0)</f>
        <v>0</v>
      </c>
      <c r="AS1563" s="544" t="b">
        <f>AND(AC1563=TRUE,OR(AND(F1563&lt;&gt;"",NOT(ISNUMBER(AA1563))),L1563&lt;&gt;"",F1563="",AQ1563=""))</f>
        <v>0</v>
      </c>
      <c r="AT1563" s="544" t="b">
        <f t="shared" si="387"/>
        <v>0</v>
      </c>
      <c r="AU1563" s="30"/>
      <c r="AV1563" s="558" t="b">
        <f t="shared" si="388"/>
        <v>0</v>
      </c>
      <c r="AW1563" s="559" t="b">
        <f t="shared" si="389"/>
        <v>0</v>
      </c>
      <c r="AX1563" s="537" t="b">
        <f>OR(AND(AJ1557=EUconst_kNm3,AJ1563=EUconst_tCpt),AND(AJ1557=EUconst_t,AJ1563=EUconst_tCpkNm3))</f>
        <v>0</v>
      </c>
      <c r="AY1563" s="544" t="b">
        <f t="shared" si="390"/>
        <v>0</v>
      </c>
      <c r="AZ1563" s="30"/>
      <c r="BA1563" s="30"/>
      <c r="BB1563" s="569" t="s">
        <v>482</v>
      </c>
      <c r="BC1563" s="570">
        <f>AR1557*AR1560/1000*AR1564</f>
        <v>0</v>
      </c>
      <c r="BD1563" s="571">
        <f>BC1563</f>
        <v>0</v>
      </c>
      <c r="BE1563" s="572">
        <f>BC1563</f>
        <v>0</v>
      </c>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544" t="b">
        <f>OR(BZ1557,Y1563=EUconst_NA)</f>
        <v>1</v>
      </c>
    </row>
    <row r="1564" spans="1:78" s="140" customFormat="1" ht="12.75" customHeight="1" x14ac:dyDescent="0.2">
      <c r="A1564" s="777"/>
      <c r="B1564" s="1248"/>
      <c r="C1564" s="753" t="s">
        <v>325</v>
      </c>
      <c r="D1564" s="503" t="str">
        <f>Translations!$B$641</f>
        <v>Biomasės dalis (BioC):</v>
      </c>
      <c r="E1564" s="504"/>
      <c r="F1564" s="539"/>
      <c r="G1564" s="1603" t="str">
        <f t="shared" si="385"/>
        <v/>
      </c>
      <c r="H1564" s="1604"/>
      <c r="I1564" s="1113" t="str">
        <f>IF(OR(AC1564=FALSE,Y1564=EUconst_NA),"","-")</f>
        <v/>
      </c>
      <c r="J1564" s="560"/>
      <c r="K1564" s="561" t="str">
        <f t="shared" si="386"/>
        <v/>
      </c>
      <c r="L1564" s="694"/>
      <c r="M1564" s="700" t="str">
        <f>IF(AND(E1548&lt;&gt;"",OR(F1564="",COUNT(K1564:L1564)=0),Y1564&lt;&gt;EUconst_NA,T1548&lt;&gt;TRUE),EUconst_ERR_Incomplete,IF(COUNTIF(AX1564:AZ1564,TRUE)&gt;0,EUconst_ERR_Inconsistent,""))</f>
        <v/>
      </c>
      <c r="O1564" s="1305"/>
      <c r="P1564" s="635"/>
      <c r="Q1564" s="635"/>
      <c r="R1564" s="635"/>
      <c r="S1564" s="30"/>
      <c r="T1564" s="543" t="str">
        <f>EUconst_CNTR_BiomassContent&amp;E1548</f>
        <v>BioC_</v>
      </c>
      <c r="U1564" s="488"/>
      <c r="V1564" s="585" t="str">
        <f t="shared" si="391"/>
        <v/>
      </c>
      <c r="W1564" s="522" t="str">
        <f>IF(COUNTIF(MSPara_SourceStreamCategory,V1564)=0,"",INDEX(MSPara_IsFossil,MATCH(V1564,MSPara_SourceStreamCategory,0)))</f>
        <v/>
      </c>
      <c r="X1564" s="488"/>
      <c r="Y1564" s="545" t="str">
        <f>IF(OR(T1548=TRUE,E1548=""),"",IF(OR(W1564=TRUE,F1564=EUconst_NA),EUconst_NA,INDEX(EUwideConstants!$N:$N,MATCH(T1564,EUwideConstants!$Q:$Q,0))))</f>
        <v/>
      </c>
      <c r="Z1564" s="546" t="str">
        <f>IF(ISBLANK(F1564),"",IF(F1564=EUconst_NA,"",INDEX(EUwideConstants!$H:$M,MATCH(T1564,EUwideConstants!$Q:$Q,0),MATCH(F1564,CNTR_TierList,0))))</f>
        <v/>
      </c>
      <c r="AA1564" s="586" t="str">
        <f>IF(F1564=1,1,"")</f>
        <v/>
      </c>
      <c r="AB1564" s="30"/>
      <c r="AC1564" s="548" t="b">
        <f>AND(AC1557,Y1564&lt;&gt;EUconst_NA)</f>
        <v>0</v>
      </c>
      <c r="AD1564" s="30"/>
      <c r="AE1564" s="563"/>
      <c r="AG1564" s="564"/>
      <c r="AH1564" s="553"/>
      <c r="AI1564" s="565"/>
      <c r="AJ1564" s="553"/>
      <c r="AK1564" s="566"/>
      <c r="AL1564" s="333"/>
      <c r="AM1564" s="549" t="str">
        <f>EUconst_CNTR_BiomassContent&amp;EUconst_Value</f>
        <v>BioC_Vertė</v>
      </c>
      <c r="AO1564" s="587" t="str">
        <f>IF(AC1564=TRUE,IF(COUNTIF(MSPara_SourceStreamCategory,V1564)=0,"",INDEX(MSPara_CalcFactorsMatrix,MATCH(V1564,MSPara_SourceStreamCategory,0),MATCH(AM1564&amp;"_"&amp;2,MSPara_CalcFactors,0))),"")</f>
        <v/>
      </c>
      <c r="AP1564" s="553"/>
      <c r="AQ1564" s="568" t="str">
        <f>IF(OR(AA1564="",AO1564=EUconst_NA),"",AO1564)</f>
        <v/>
      </c>
      <c r="AR1564" s="548">
        <f>IF(AC1564=TRUE,IF(COUNT(K1564:L1564)=0,0,IF(L1564="",K1564,L1564)),0)</f>
        <v>0</v>
      </c>
      <c r="AS1564" s="544" t="b">
        <f>AND(AC1564=TRUE,OR(AND(F1564&lt;&gt;"",NOT(ISNUMBER(AA1564))),L1564&lt;&gt;"",F1564="",AQ1564=""))</f>
        <v>0</v>
      </c>
      <c r="AT1564" s="544" t="b">
        <f t="shared" si="387"/>
        <v>0</v>
      </c>
      <c r="AU1564" s="30"/>
      <c r="AV1564" s="558" t="b">
        <f t="shared" si="388"/>
        <v>0</v>
      </c>
      <c r="AW1564" s="559" t="b">
        <f t="shared" si="389"/>
        <v>0</v>
      </c>
      <c r="AX1564" s="30"/>
      <c r="AY1564" s="585" t="b">
        <f t="shared" si="390"/>
        <v>0</v>
      </c>
      <c r="AZ1564" s="522" t="b">
        <f>OR(AR1564&gt;100%,(AR1564+AR1565)&gt;100%)</f>
        <v>0</v>
      </c>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544" t="b">
        <f>OR(BZ1557,Y1564=EUconst_NA)</f>
        <v>1</v>
      </c>
    </row>
    <row r="1565" spans="1:78" s="140" customFormat="1" ht="12.75" customHeight="1" thickBot="1" x14ac:dyDescent="0.25">
      <c r="A1565" s="777"/>
      <c r="B1565" s="1248"/>
      <c r="C1565" s="753" t="s">
        <v>448</v>
      </c>
      <c r="D1565" s="503" t="str">
        <f>Translations!$B$647</f>
        <v>Netvarios BioC dalis:</v>
      </c>
      <c r="E1565" s="504"/>
      <c r="F1565" s="588"/>
      <c r="G1565" s="1603" t="str">
        <f t="shared" si="385"/>
        <v/>
      </c>
      <c r="H1565" s="1604"/>
      <c r="I1565" s="1114" t="str">
        <f>IF(OR(AC1565=FALSE,Y1565=EUconst_NA),"","-")</f>
        <v/>
      </c>
      <c r="J1565" s="560"/>
      <c r="K1565" s="589" t="str">
        <f t="shared" si="386"/>
        <v/>
      </c>
      <c r="L1565" s="1100"/>
      <c r="M1565" s="700" t="str">
        <f>IF(AND(E1548&lt;&gt;"",OR(F1565="",COUNT(K1565:L1565)=0),Y1565&lt;&gt;EUconst_NA,T1548&lt;&gt;TRUE),EUconst_ERR_Incomplete,IF(COUNTIF(AX1565:AZ1565,TRUE)&gt;0,EUconst_ERR_Inconsistent,""))</f>
        <v/>
      </c>
      <c r="O1565" s="1305"/>
      <c r="P1565" s="635"/>
      <c r="Q1565" s="635"/>
      <c r="R1565" s="635"/>
      <c r="S1565" s="30"/>
      <c r="T1565" s="590" t="str">
        <f>EUconst_CNTR_BiomassContent&amp;E1548</f>
        <v>BioC_</v>
      </c>
      <c r="U1565" s="488"/>
      <c r="V1565" s="570" t="str">
        <f t="shared" si="391"/>
        <v/>
      </c>
      <c r="W1565" s="571" t="str">
        <f>IF(COUNTIF(MSPara_SourceStreamCategory,V1565)=0,"",INDEX(MSPara_IsFossil,MATCH(V1565,MSPara_SourceStreamCategory,0)))</f>
        <v/>
      </c>
      <c r="X1565" s="488"/>
      <c r="Y1565" s="591" t="str">
        <f>IF(OR(T1548=TRUE,E1548=""),"",IF(OR(W1565=TRUE,F1565=EUconst_NA),EUconst_NA,INDEX(EUwideConstants!$N:$N,MATCH(T1565,EUwideConstants!$Q:$Q,0))))</f>
        <v/>
      </c>
      <c r="Z1565" s="592" t="str">
        <f>IF(ISBLANK(F1565),"",IF(F1565=EUconst_NA,"",INDEX(EUwideConstants!$H:$M,MATCH(T1565,EUwideConstants!$Q:$Q,0),MATCH(F1565,CNTR_TierList,0))))</f>
        <v/>
      </c>
      <c r="AA1565" s="593" t="str">
        <f>IF(F1565=1,1,"")</f>
        <v/>
      </c>
      <c r="AB1565" s="30"/>
      <c r="AC1565" s="594" t="b">
        <f>AND(AC1557,Y1565&lt;&gt;EUconst_NA)</f>
        <v>0</v>
      </c>
      <c r="AD1565" s="30"/>
      <c r="AE1565" s="595"/>
      <c r="AF1565" s="596"/>
      <c r="AG1565" s="597"/>
      <c r="AH1565" s="598"/>
      <c r="AI1565" s="598"/>
      <c r="AJ1565" s="598"/>
      <c r="AK1565" s="599"/>
      <c r="AL1565" s="333"/>
      <c r="AM1565" s="600" t="str">
        <f>EUconst_CNTR_BiomassContent&amp;EUconst_Value</f>
        <v>BioC_Vertė</v>
      </c>
      <c r="AN1565" s="596"/>
      <c r="AO1565" s="601" t="str">
        <f>IF(AC1565=TRUE,IF(COUNTIF(MSPara_SourceStreamCategory,V1565)=0,"",INDEX(MSPara_CalcFactorsMatrix,MATCH(V1565,MSPara_SourceStreamCategory,0),MATCH(AM1565&amp;"_"&amp;2,MSPara_CalcFactors,0))),"")</f>
        <v/>
      </c>
      <c r="AP1565" s="598"/>
      <c r="AQ1565" s="602" t="str">
        <f>IF(OR(AA1565="",AO1565=EUconst_NA),"",AO1565)</f>
        <v/>
      </c>
      <c r="AR1565" s="594">
        <f>IF(AC1565=TRUE,IF(COUNT(K1565:L1565)=0,0,IF(L1565="",K1565,L1565)),0)</f>
        <v>0</v>
      </c>
      <c r="AS1565" s="603" t="b">
        <f>AND(AC1565=TRUE,OR(AND(F1565&lt;&gt;"",NOT(ISNUMBER(AA1565))),L1565&lt;&gt;"",F1565="",AQ1565=""))</f>
        <v>0</v>
      </c>
      <c r="AT1565" s="603" t="b">
        <f t="shared" si="387"/>
        <v>0</v>
      </c>
      <c r="AU1565" s="30"/>
      <c r="AV1565" s="604" t="b">
        <f t="shared" si="388"/>
        <v>0</v>
      </c>
      <c r="AW1565" s="605" t="b">
        <f t="shared" si="389"/>
        <v>0</v>
      </c>
      <c r="AX1565" s="30"/>
      <c r="AY1565" s="570" t="b">
        <f t="shared" si="390"/>
        <v>0</v>
      </c>
      <c r="AZ1565" s="571" t="b">
        <f>OR(AR1564&gt;100%,(AR1564+AR1565)&gt;100%)</f>
        <v>0</v>
      </c>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571" t="b">
        <f>OR(BZ1557,Y1565=EUconst_NA)</f>
        <v>1</v>
      </c>
    </row>
    <row r="1566" spans="1:78" s="140" customFormat="1" ht="5.0999999999999996" customHeight="1" x14ac:dyDescent="0.2">
      <c r="A1566" s="777"/>
      <c r="B1566" s="1248"/>
      <c r="C1566" s="164"/>
      <c r="D1566" s="178"/>
      <c r="O1566" s="1305"/>
      <c r="P1566" s="33"/>
      <c r="Q1566" s="33"/>
      <c r="R1566" s="33"/>
      <c r="S1566" s="172"/>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row>
    <row r="1567" spans="1:78" s="140" customFormat="1" ht="12.75" customHeight="1" x14ac:dyDescent="0.2">
      <c r="A1567" s="777"/>
      <c r="B1567" s="1248"/>
      <c r="C1567" s="164"/>
      <c r="D1567" s="1629" t="str">
        <f>Translations!$B$674</f>
        <v>Pakopos galioja nuo:</v>
      </c>
      <c r="E1567" s="1629"/>
      <c r="F1567" s="1630"/>
      <c r="G1567" s="1014"/>
      <c r="H1567" s="606" t="str">
        <f>Translations!$B$675</f>
        <v>iki:</v>
      </c>
      <c r="I1567" s="1014"/>
      <c r="J1567" s="1620" t="str">
        <f>Translations!$B$676</f>
        <v>Atliekų katalogo numeris (jeigu taikytina):</v>
      </c>
      <c r="K1567" s="1621"/>
      <c r="L1567" s="1621"/>
      <c r="M1567" s="1622"/>
      <c r="N1567" s="1232"/>
      <c r="O1567" s="1305"/>
      <c r="P1567" s="33"/>
      <c r="Q1567" s="33"/>
      <c r="R1567" s="33"/>
      <c r="S1567" s="1233"/>
      <c r="T1567" s="483"/>
      <c r="U1567" s="483"/>
      <c r="V1567" s="48" t="b">
        <f>IF(V1557="",FALSE,INDEX(CNTR_IsWaste,MATCH(V1557,MSParameters!$A$218:$A$376,0)))</f>
        <v>0</v>
      </c>
      <c r="W1567" s="1233" t="s">
        <v>1689</v>
      </c>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2" t="b">
        <f>BZ1557</f>
        <v>1</v>
      </c>
    </row>
    <row r="1568" spans="1:78" s="140" customFormat="1" ht="5.0999999999999996" customHeight="1" x14ac:dyDescent="0.2">
      <c r="A1568" s="777"/>
      <c r="B1568" s="1248"/>
      <c r="C1568" s="164"/>
      <c r="D1568" s="606"/>
      <c r="E1568" s="486"/>
      <c r="F1568" s="486"/>
      <c r="G1568" s="486"/>
      <c r="H1568" s="486"/>
      <c r="I1568" s="486"/>
      <c r="J1568" s="486"/>
      <c r="K1568" s="486"/>
      <c r="L1568" s="486"/>
      <c r="M1568" s="486"/>
      <c r="N1568" s="486"/>
      <c r="O1568" s="1305"/>
      <c r="P1568" s="33"/>
      <c r="Q1568" s="33"/>
      <c r="R1568" s="33"/>
      <c r="S1568" s="172"/>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row>
    <row r="1569" spans="1:78" s="140" customFormat="1" ht="12.75" customHeight="1" x14ac:dyDescent="0.2">
      <c r="A1569" s="777"/>
      <c r="B1569" s="1248"/>
      <c r="C1569" s="164"/>
      <c r="D1569" s="486"/>
      <c r="E1569" s="486"/>
      <c r="F1569" s="486"/>
      <c r="G1569" s="486"/>
      <c r="H1569" s="486"/>
      <c r="I1569" s="486"/>
      <c r="J1569" s="486"/>
      <c r="K1569" s="486"/>
      <c r="L1569" s="486"/>
      <c r="M1569" s="606" t="str">
        <f>Translations!$B$677</f>
        <v>Stebėsenos plane šiam sukėlikliui suteiktas identifikatorius:</v>
      </c>
      <c r="N1569" s="705"/>
      <c r="O1569" s="1305"/>
      <c r="P1569" s="33"/>
      <c r="Q1569" s="33"/>
      <c r="R1569" s="33"/>
      <c r="S1569" s="172"/>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2" t="b">
        <f>BZ1567</f>
        <v>1</v>
      </c>
    </row>
    <row r="1570" spans="1:78" s="140" customFormat="1" ht="5.0999999999999996" customHeight="1" x14ac:dyDescent="0.2">
      <c r="A1570" s="784"/>
      <c r="B1570" s="1316"/>
      <c r="D1570" s="178"/>
      <c r="O1570" s="1317"/>
      <c r="P1570" s="488"/>
      <c r="Q1570" s="488"/>
      <c r="R1570" s="488"/>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row>
    <row r="1571" spans="1:78" s="140" customFormat="1" x14ac:dyDescent="0.2">
      <c r="A1571" s="784"/>
      <c r="B1571" s="1316"/>
      <c r="D1571" s="1618" t="str">
        <f>Translations!$B$160</f>
        <v>Pastabos:</v>
      </c>
      <c r="E1571" s="1619"/>
      <c r="F1571" s="1605"/>
      <c r="G1571" s="1606"/>
      <c r="H1571" s="1606"/>
      <c r="I1571" s="1606"/>
      <c r="J1571" s="1606"/>
      <c r="K1571" s="1606"/>
      <c r="L1571" s="1606"/>
      <c r="M1571" s="1606"/>
      <c r="N1571" s="1607"/>
      <c r="O1571" s="1317"/>
      <c r="P1571" s="488"/>
      <c r="Q1571" s="488"/>
      <c r="R1571" s="488"/>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2" t="b">
        <f>BZ1567</f>
        <v>1</v>
      </c>
    </row>
    <row r="1572" spans="1:78" s="28" customFormat="1" ht="12.75" customHeight="1" thickBot="1" x14ac:dyDescent="0.25">
      <c r="A1572" s="777"/>
      <c r="B1572" s="1312"/>
      <c r="C1572" s="490"/>
      <c r="D1572" s="491"/>
      <c r="E1572" s="492"/>
      <c r="F1572" s="490"/>
      <c r="G1572" s="493"/>
      <c r="H1572" s="493"/>
      <c r="I1572" s="493"/>
      <c r="J1572" s="493"/>
      <c r="K1572" s="493"/>
      <c r="L1572" s="493"/>
      <c r="M1572" s="493"/>
      <c r="N1572" s="493"/>
      <c r="O1572" s="1313"/>
      <c r="P1572" s="485"/>
      <c r="Q1572" s="485"/>
      <c r="R1572" s="485"/>
      <c r="S1572" s="58"/>
      <c r="T1572" s="58"/>
      <c r="U1572" s="489"/>
      <c r="V1572" s="58"/>
      <c r="W1572" s="58"/>
      <c r="X1572" s="489"/>
      <c r="Y1572" s="58"/>
      <c r="Z1572" s="58"/>
      <c r="AA1572" s="58"/>
      <c r="AB1572" s="58"/>
      <c r="AC1572" s="58"/>
      <c r="AD1572" s="58"/>
      <c r="AE1572" s="58"/>
      <c r="AF1572" s="58"/>
      <c r="AG1572" s="58"/>
      <c r="AH1572" s="58"/>
      <c r="AI1572" s="58"/>
      <c r="AJ1572" s="58"/>
      <c r="AK1572" s="58"/>
      <c r="AL1572" s="58"/>
      <c r="AM1572" s="58"/>
      <c r="AN1572" s="58"/>
      <c r="AO1572" s="58"/>
      <c r="AP1572" s="58"/>
      <c r="AQ1572" s="58"/>
      <c r="AR1572" s="58"/>
      <c r="AS1572" s="58"/>
      <c r="AT1572" s="58"/>
      <c r="AU1572" s="58"/>
      <c r="AV1572" s="58"/>
      <c r="AW1572" s="58"/>
      <c r="AX1572" s="58"/>
      <c r="AY1572" s="58"/>
      <c r="AZ1572" s="58"/>
      <c r="BA1572" s="58"/>
      <c r="BB1572" s="58"/>
      <c r="BC1572" s="58"/>
      <c r="BD1572" s="58"/>
      <c r="BE1572" s="58"/>
      <c r="BF1572" s="58"/>
      <c r="BG1572" s="58"/>
      <c r="BH1572" s="58"/>
      <c r="BI1572" s="30"/>
      <c r="BJ1572" s="30"/>
      <c r="BK1572" s="30"/>
      <c r="BL1572" s="58"/>
      <c r="BM1572" s="58"/>
      <c r="BN1572" s="58"/>
      <c r="BO1572" s="58"/>
      <c r="BP1572" s="58"/>
      <c r="BQ1572" s="58"/>
      <c r="BR1572" s="58"/>
      <c r="BS1572" s="58"/>
      <c r="BT1572" s="58"/>
      <c r="BU1572" s="58"/>
      <c r="BV1572" s="58"/>
      <c r="BW1572" s="58"/>
      <c r="BX1572" s="58"/>
      <c r="BY1572" s="58"/>
      <c r="BZ1572" s="58"/>
    </row>
    <row r="1573" spans="1:78" s="28" customFormat="1" ht="12.75" customHeight="1" thickBot="1" x14ac:dyDescent="0.25">
      <c r="A1573" s="782"/>
      <c r="B1573" s="1312"/>
      <c r="C1573" s="486"/>
      <c r="D1573" s="178"/>
      <c r="E1573" s="487"/>
      <c r="F1573" s="486"/>
      <c r="G1573" s="478"/>
      <c r="H1573" s="478"/>
      <c r="I1573" s="478"/>
      <c r="J1573" s="478"/>
      <c r="K1573" s="486"/>
      <c r="L1573" s="478"/>
      <c r="M1573" s="478"/>
      <c r="N1573" s="478"/>
      <c r="O1573" s="1313"/>
      <c r="P1573" s="485"/>
      <c r="Q1573" s="485"/>
      <c r="R1573" s="485"/>
      <c r="S1573" s="23"/>
      <c r="T1573" s="27" t="str">
        <f>IF(ISBLANK(E1574),"",MATCH(E1574,CNTR_SourceStreamNames,0))</f>
        <v/>
      </c>
      <c r="U1573" s="609" t="str">
        <f>IF(ISBLANK(E1574),"",INDEX(B_InstallationDescription!$D$71:$D$145,MATCH(E1574,CNTR_SourceStreamNames,0)))</f>
        <v/>
      </c>
      <c r="V1573" s="76"/>
      <c r="W1573" s="56"/>
      <c r="X1573" s="56"/>
      <c r="Y1573" s="56"/>
      <c r="Z1573" s="58"/>
      <c r="AA1573" s="58"/>
      <c r="AB1573" s="58"/>
      <c r="AC1573" s="58"/>
      <c r="AD1573" s="58"/>
      <c r="AE1573" s="58"/>
      <c r="AF1573" s="58"/>
      <c r="AG1573" s="58"/>
      <c r="AH1573" s="58"/>
      <c r="AI1573" s="58"/>
      <c r="AJ1573" s="58"/>
      <c r="AK1573" s="482"/>
      <c r="AL1573" s="58"/>
      <c r="AM1573" s="58"/>
      <c r="AN1573" s="58"/>
      <c r="AO1573" s="58"/>
      <c r="AP1573" s="58"/>
      <c r="AQ1573" s="58"/>
      <c r="AR1573" s="58"/>
      <c r="AS1573" s="58"/>
      <c r="AT1573" s="58"/>
      <c r="AU1573" s="58"/>
      <c r="AV1573" s="58"/>
      <c r="AW1573" s="58"/>
      <c r="AX1573" s="58"/>
      <c r="AY1573" s="58"/>
      <c r="AZ1573" s="58"/>
      <c r="BA1573" s="58"/>
      <c r="BB1573" s="58"/>
      <c r="BC1573" s="58"/>
      <c r="BD1573" s="58"/>
      <c r="BE1573" s="58"/>
      <c r="BF1573" s="58"/>
      <c r="BG1573" s="58"/>
      <c r="BH1573" s="56"/>
      <c r="BI1573" s="56"/>
      <c r="BJ1573" s="56"/>
      <c r="BK1573" s="56"/>
      <c r="BL1573" s="56"/>
      <c r="BM1573" s="56"/>
      <c r="BN1573" s="56"/>
      <c r="BO1573" s="56"/>
      <c r="BP1573" s="56"/>
      <c r="BQ1573" s="56"/>
      <c r="BR1573" s="56"/>
      <c r="BS1573" s="56"/>
      <c r="BT1573" s="56"/>
      <c r="BU1573" s="56"/>
      <c r="BV1573" s="56"/>
      <c r="BW1573" s="56"/>
      <c r="BX1573" s="56"/>
      <c r="BY1573" s="56"/>
      <c r="BZ1573" s="484" t="s">
        <v>259</v>
      </c>
    </row>
    <row r="1574" spans="1:78" s="140" customFormat="1" ht="15" customHeight="1" thickBot="1" x14ac:dyDescent="0.25">
      <c r="A1574" s="1302" t="str">
        <f>IF(E1574="","","PRINT")</f>
        <v/>
      </c>
      <c r="B1574" s="1248"/>
      <c r="C1574" s="608">
        <f>C1547+1</f>
        <v>57</v>
      </c>
      <c r="D1574" s="164"/>
      <c r="E1574" s="1610"/>
      <c r="F1574" s="1611"/>
      <c r="G1574" s="1611"/>
      <c r="H1574" s="1611"/>
      <c r="I1574" s="1611"/>
      <c r="J1574" s="1612"/>
      <c r="K1574" s="1623" t="str">
        <f>IF(E1575="","",INDEX(EUwideConstants!$F$353:$F$394,MATCH(E1575,EUConst_TierActivityListNames,0)))</f>
        <v/>
      </c>
      <c r="L1574" s="1624"/>
      <c r="M1574" s="494" t="str">
        <f>Translations!$B$665</f>
        <v>CO2, iškastinio kuro kilmės:</v>
      </c>
      <c r="N1574" s="1012" t="str">
        <f>IF(OR(K1574="",T1575=TRUE),"",INDEX(BC1588:BE1588,MATCH(K1574,BC1584:BE1584,0)))</f>
        <v/>
      </c>
      <c r="O1574" s="1314" t="s">
        <v>257</v>
      </c>
      <c r="P1574" s="1303" t="str">
        <f>IF(AND(E1574&lt;&gt;"",COUNTIF(P1575:$P$2089,"PRINT")=0),"PRINT","")</f>
        <v/>
      </c>
      <c r="Q1574" s="343" t="str">
        <f>EUconst_SumCO2 &amp; "_" &amp; K1574</f>
        <v>SUM_CO2_</v>
      </c>
      <c r="R1574" s="485"/>
      <c r="S1574" s="23"/>
      <c r="T1574" s="500" t="s">
        <v>387</v>
      </c>
      <c r="U1574" s="23"/>
      <c r="V1574" s="76"/>
      <c r="W1574" s="56"/>
      <c r="X1574" s="58"/>
      <c r="Y1574" s="58"/>
      <c r="Z1574" s="58"/>
      <c r="AA1574" s="58"/>
      <c r="AB1574" s="58"/>
      <c r="AC1574" s="58"/>
      <c r="AD1574" s="58"/>
      <c r="AE1574" s="58"/>
      <c r="AF1574" s="58"/>
      <c r="AG1574" s="58"/>
      <c r="AH1574" s="58"/>
      <c r="AI1574" s="333"/>
      <c r="AJ1574" s="333"/>
      <c r="AK1574" s="333"/>
      <c r="AL1574" s="333"/>
      <c r="AM1574" s="333"/>
      <c r="AN1574" s="333"/>
      <c r="AO1574" s="333"/>
      <c r="AP1574" s="333"/>
      <c r="AQ1574" s="333"/>
      <c r="AR1574" s="333"/>
      <c r="AS1574" s="333"/>
      <c r="AT1574" s="333"/>
      <c r="AU1574" s="333"/>
      <c r="AV1574" s="333"/>
      <c r="AW1574" s="333"/>
      <c r="AX1574" s="333"/>
      <c r="AY1574" s="333"/>
      <c r="AZ1574" s="333"/>
      <c r="BA1574" s="333"/>
      <c r="BB1574" s="333"/>
      <c r="BC1574" s="333"/>
      <c r="BD1574" s="333"/>
      <c r="BE1574" s="333"/>
      <c r="BF1574" s="333"/>
      <c r="BG1574" s="333"/>
      <c r="BH1574" s="834">
        <f>AR1584</f>
        <v>0</v>
      </c>
      <c r="BI1574" s="834" t="str">
        <f>AJ1584</f>
        <v/>
      </c>
      <c r="BJ1574" s="834">
        <f>AR1586</f>
        <v>0</v>
      </c>
      <c r="BK1574" s="834" t="str">
        <f>AJ1586</f>
        <v/>
      </c>
      <c r="BL1574" s="834">
        <f>AR1587</f>
        <v>0</v>
      </c>
      <c r="BM1574" s="834" t="str">
        <f>AJ1587</f>
        <v/>
      </c>
      <c r="BN1574" s="834">
        <f>AR1588</f>
        <v>1</v>
      </c>
      <c r="BO1574" s="834">
        <f>AR1589</f>
        <v>1</v>
      </c>
      <c r="BP1574" s="834">
        <f>AR1590</f>
        <v>0</v>
      </c>
      <c r="BQ1574" s="834" t="str">
        <f>AJ1590</f>
        <v/>
      </c>
      <c r="BR1574" s="834">
        <f>AR1591</f>
        <v>0</v>
      </c>
      <c r="BS1574" s="834">
        <f>AR1592</f>
        <v>0</v>
      </c>
      <c r="BT1574" s="834" t="str">
        <f>N1574</f>
        <v/>
      </c>
      <c r="BU1574" s="834" t="str">
        <f>N1575</f>
        <v/>
      </c>
      <c r="BV1574" s="834" t="str">
        <f>R1577</f>
        <v/>
      </c>
      <c r="BW1574" s="834" t="str">
        <f>R1583</f>
        <v/>
      </c>
      <c r="BX1574" s="834" t="str">
        <f>R1584</f>
        <v/>
      </c>
      <c r="BY1574" s="56"/>
      <c r="BZ1574" s="610" t="b">
        <f>CNTR_CalcRelevant=EUconst_NotRelevant</f>
        <v>0</v>
      </c>
    </row>
    <row r="1575" spans="1:78" s="140" customFormat="1" ht="15" customHeight="1" thickBot="1" x14ac:dyDescent="0.25">
      <c r="A1575" s="777"/>
      <c r="B1575" s="1248"/>
      <c r="C1575" s="164"/>
      <c r="D1575" s="164"/>
      <c r="E1575" s="1625" t="str">
        <f>IF(ISBLANK(E1574),"",IF(INDEX(B_InstallationDescription!$E$71:$E$145,MATCH(U1573,B_InstallationDescription!$D$71:$D$145,0))&gt;0,INDEX(B_InstallationDescription!$E$71:$E$145,MATCH(U1573,B_InstallationDescription!$D$71:$D$145,0)),""))</f>
        <v/>
      </c>
      <c r="F1575" s="1626"/>
      <c r="G1575" s="1626"/>
      <c r="H1575" s="1626"/>
      <c r="I1575" s="1626"/>
      <c r="J1575" s="1627"/>
      <c r="M1575" s="337" t="str">
        <f>Translations!$B$666</f>
        <v>CO2, biomasės kilmės.:</v>
      </c>
      <c r="N1575" s="1013" t="str">
        <f>IF(OR(K1574="",T1575=TRUE),"",INDEX(BC1587:BE1587,MATCH(K1574,BC1584:BE1584,0)))</f>
        <v/>
      </c>
      <c r="O1575" s="1315" t="s">
        <v>257</v>
      </c>
      <c r="P1575" s="485"/>
      <c r="Q1575" s="343" t="str">
        <f>EUconst_SumBioCO2 &amp; "_" &amp; K1574</f>
        <v>SUM_bioCO2_</v>
      </c>
      <c r="R1575" s="485"/>
      <c r="S1575" s="23"/>
      <c r="T1575" s="48" t="str">
        <f>IF(E1575="","",MATCH(E1575,EUConst_TierActivityListNames,0)&gt;40)</f>
        <v/>
      </c>
      <c r="U1575" s="23"/>
      <c r="V1575" s="76"/>
      <c r="W1575" s="56"/>
      <c r="X1575" s="58"/>
      <c r="Y1575" s="27" t="s">
        <v>91</v>
      </c>
      <c r="Z1575" s="30"/>
      <c r="AA1575" s="30"/>
      <c r="AB1575" s="30"/>
      <c r="AC1575" s="30"/>
      <c r="AD1575" s="30"/>
      <c r="AE1575" s="27" t="s">
        <v>297</v>
      </c>
      <c r="AF1575" s="58"/>
      <c r="AG1575" s="495"/>
      <c r="AH1575" s="30"/>
      <c r="AI1575" s="30"/>
      <c r="AJ1575" s="495"/>
      <c r="AK1575" s="495"/>
      <c r="AL1575" s="333"/>
      <c r="AM1575" s="27" t="s">
        <v>303</v>
      </c>
      <c r="AN1575" s="496"/>
      <c r="AO1575" s="496"/>
      <c r="AP1575" s="30"/>
      <c r="AQ1575" s="30"/>
      <c r="AR1575" s="30"/>
      <c r="AS1575" s="30"/>
      <c r="AT1575" s="30"/>
      <c r="AU1575" s="30"/>
      <c r="AV1575" s="27" t="s">
        <v>310</v>
      </c>
      <c r="AW1575" s="30"/>
      <c r="AX1575" s="483"/>
      <c r="AY1575" s="30"/>
      <c r="AZ1575" s="30"/>
      <c r="BA1575" s="30"/>
      <c r="BB1575" s="27" t="s">
        <v>217</v>
      </c>
      <c r="BC1575" s="30"/>
      <c r="BD1575" s="30"/>
      <c r="BE1575" s="30"/>
      <c r="BF1575" s="30"/>
      <c r="BG1575" s="27" t="s">
        <v>486</v>
      </c>
      <c r="BH1575" s="833" t="s">
        <v>552</v>
      </c>
      <c r="BI1575" s="833" t="s">
        <v>487</v>
      </c>
      <c r="BJ1575" s="833" t="s">
        <v>211</v>
      </c>
      <c r="BK1575" s="833" t="s">
        <v>488</v>
      </c>
      <c r="BL1575" s="833" t="s">
        <v>68</v>
      </c>
      <c r="BM1575" s="833" t="s">
        <v>489</v>
      </c>
      <c r="BN1575" s="833" t="s">
        <v>490</v>
      </c>
      <c r="BO1575" s="833" t="s">
        <v>491</v>
      </c>
      <c r="BP1575" s="833" t="s">
        <v>214</v>
      </c>
      <c r="BQ1575" s="833" t="s">
        <v>492</v>
      </c>
      <c r="BR1575" s="833" t="s">
        <v>493</v>
      </c>
      <c r="BS1575" s="833" t="s">
        <v>494</v>
      </c>
      <c r="BT1575" s="833" t="s">
        <v>287</v>
      </c>
      <c r="BU1575" s="833" t="s">
        <v>495</v>
      </c>
      <c r="BV1575" s="833" t="s">
        <v>498</v>
      </c>
      <c r="BW1575" s="833" t="s">
        <v>496</v>
      </c>
      <c r="BX1575" s="833" t="s">
        <v>497</v>
      </c>
      <c r="BY1575" s="30"/>
      <c r="BZ1575" s="30"/>
    </row>
    <row r="1576" spans="1:78" s="140" customFormat="1" ht="5.0999999999999996" customHeight="1" thickBot="1" x14ac:dyDescent="0.25">
      <c r="A1576" s="777"/>
      <c r="B1576" s="1248"/>
      <c r="C1576" s="164"/>
      <c r="D1576" s="164"/>
      <c r="E1576" s="164"/>
      <c r="F1576" s="164"/>
      <c r="G1576" s="164"/>
      <c r="M1576" s="141"/>
      <c r="N1576" s="141"/>
      <c r="O1576" s="1305"/>
      <c r="P1576" s="33"/>
      <c r="Q1576" s="33"/>
      <c r="R1576" s="33"/>
      <c r="S1576" s="23"/>
      <c r="T1576" s="23"/>
      <c r="U1576" s="23"/>
      <c r="V1576" s="76"/>
      <c r="W1576" s="30"/>
      <c r="X1576" s="30"/>
      <c r="Y1576" s="485"/>
      <c r="Z1576" s="30"/>
      <c r="AA1576" s="30"/>
      <c r="AB1576" s="30"/>
      <c r="AC1576" s="30"/>
      <c r="AD1576" s="30"/>
      <c r="AE1576" s="30"/>
      <c r="AF1576" s="58"/>
      <c r="AG1576" s="30"/>
      <c r="AH1576" s="30"/>
      <c r="AI1576" s="30"/>
      <c r="AJ1576" s="495"/>
      <c r="AK1576" s="495"/>
      <c r="AL1576" s="333"/>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row>
    <row r="1577" spans="1:78" s="140" customFormat="1" ht="12.75" customHeight="1" thickBot="1" x14ac:dyDescent="0.25">
      <c r="A1577" s="777"/>
      <c r="B1577" s="1248"/>
      <c r="C1577" s="164"/>
      <c r="D1577" s="164"/>
      <c r="E1577" s="1628" t="str">
        <f>IF(E1574="","",IF(T1575=TRUE,HYPERLINK("#JUMP_14",EUconst_MsgGoOnPFC),HYPERLINK("#JUMP_E_8",EUconst_FurtherGuidancePoint1)))</f>
        <v/>
      </c>
      <c r="F1577" s="1628"/>
      <c r="G1577" s="1628"/>
      <c r="H1577" s="1628"/>
      <c r="I1577" s="1628"/>
      <c r="J1577" s="1628"/>
      <c r="K1577" s="1628"/>
      <c r="L1577" s="1628"/>
      <c r="M1577" s="1628"/>
      <c r="N1577" s="141"/>
      <c r="O1577" s="1305"/>
      <c r="P1577" s="33"/>
      <c r="Q1577" s="343" t="str">
        <f>EUconst_SumNonSustBioCO2 &amp; "_" &amp; K1574</f>
        <v>SUM_bioNonSustCO2_</v>
      </c>
      <c r="R1577" s="698" t="str">
        <f>IF(OR(K1574="",T1575=TRUE),"",ROUND(INDEX(BC1586:BE1586,MATCH(K1574,BC1584:BE1584,0)),0))</f>
        <v/>
      </c>
      <c r="S1577" s="23"/>
      <c r="T1577" s="23"/>
      <c r="U1577" s="23"/>
      <c r="V1577" s="30"/>
      <c r="W1577" s="30"/>
      <c r="X1577" s="30"/>
      <c r="Y1577" s="58"/>
      <c r="Z1577" s="30"/>
      <c r="AA1577" s="30"/>
      <c r="AB1577" s="30"/>
      <c r="AC1577" s="30"/>
      <c r="AD1577" s="30"/>
      <c r="AE1577" s="30"/>
      <c r="AF1577" s="58"/>
      <c r="AG1577" s="30"/>
      <c r="AH1577" s="30"/>
      <c r="AI1577" s="30"/>
      <c r="AJ1577" s="495"/>
      <c r="AK1577" s="495"/>
      <c r="AL1577" s="333"/>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row>
    <row r="1578" spans="1:78" s="140" customFormat="1" ht="5.0999999999999996" customHeight="1" thickBot="1" x14ac:dyDescent="0.25">
      <c r="A1578" s="777"/>
      <c r="B1578" s="1248"/>
      <c r="C1578" s="164"/>
      <c r="D1578" s="164"/>
      <c r="E1578" s="164"/>
      <c r="F1578" s="164"/>
      <c r="G1578" s="164"/>
      <c r="M1578" s="141"/>
      <c r="N1578" s="141"/>
      <c r="O1578" s="1305"/>
      <c r="P1578" s="23"/>
      <c r="Q1578" s="23"/>
      <c r="R1578" s="23"/>
      <c r="S1578" s="23"/>
      <c r="T1578" s="23"/>
      <c r="U1578" s="23"/>
      <c r="V1578" s="30"/>
      <c r="W1578" s="30"/>
      <c r="X1578" s="30"/>
      <c r="Y1578" s="485"/>
      <c r="Z1578" s="30"/>
      <c r="AA1578" s="30"/>
      <c r="AB1578" s="30"/>
      <c r="AC1578" s="30"/>
      <c r="AD1578" s="30"/>
      <c r="AE1578" s="30"/>
      <c r="AF1578" s="58"/>
      <c r="AG1578" s="30"/>
      <c r="AH1578" s="30"/>
      <c r="AI1578" s="30"/>
      <c r="AJ1578" s="495"/>
      <c r="AK1578" s="495"/>
      <c r="AL1578" s="333"/>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row>
    <row r="1579" spans="1:78" s="140" customFormat="1" ht="12.75" customHeight="1" thickBot="1" x14ac:dyDescent="0.25">
      <c r="A1579" s="777"/>
      <c r="B1579" s="1248"/>
      <c r="C1579" s="783" t="s">
        <v>4</v>
      </c>
      <c r="D1579" s="503" t="str">
        <f>Translations!$B$622</f>
        <v>VD:</v>
      </c>
      <c r="E1579" s="1631" t="str">
        <f>Translations!$B$667</f>
        <v>Ar veiklos duomenys gaunami sudedant išmatuotus kiekius (t. y. ne atliekant nuolatinius matavimus)?</v>
      </c>
      <c r="F1579" s="1631"/>
      <c r="G1579" s="1631"/>
      <c r="H1579" s="1631"/>
      <c r="I1579" s="1631"/>
      <c r="J1579" s="1631"/>
      <c r="K1579" s="1631"/>
      <c r="L1579" s="1122"/>
      <c r="M1579" s="498"/>
      <c r="O1579" s="1305"/>
      <c r="P1579" s="23"/>
      <c r="Q1579" s="23"/>
      <c r="R1579" s="23"/>
      <c r="S1579" s="23"/>
      <c r="T1579" s="23"/>
      <c r="U1579" s="23"/>
      <c r="V1579" s="30"/>
      <c r="W1579" s="30"/>
      <c r="X1579" s="30"/>
      <c r="Y1579" s="485"/>
      <c r="Z1579" s="30"/>
      <c r="AA1579" s="30"/>
      <c r="AB1579" s="30"/>
      <c r="AC1579" s="1115" t="b">
        <f>AND(E1574&lt;&gt;"",T1575&lt;&gt;TRUE)</f>
        <v>0</v>
      </c>
      <c r="AD1579" s="30"/>
      <c r="AE1579" s="30"/>
      <c r="AF1579" s="58"/>
      <c r="AG1579" s="30"/>
      <c r="AH1579" s="30"/>
      <c r="AI1579" s="30"/>
      <c r="AJ1579" s="495"/>
      <c r="AK1579" s="495"/>
      <c r="AL1579" s="333"/>
      <c r="AM1579" s="30"/>
      <c r="AN1579" s="30"/>
      <c r="AO1579" s="30"/>
      <c r="AP1579" s="30"/>
      <c r="AQ1579" s="30"/>
      <c r="AR1579" s="30"/>
      <c r="AS1579" s="30"/>
      <c r="AT1579" s="1115" t="b">
        <f>MSPara_BatchReportingMandatory&lt;&gt;TRUE</f>
        <v>0</v>
      </c>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1115" t="b">
        <f>OR(CNTR_CalcRelevant=EUconst_NotRelevant,AND(COUNTA(CNTR_ListRelevantSections)&gt;0,OR(T1575=TRUE,E1574="")))</f>
        <v>1</v>
      </c>
    </row>
    <row r="1580" spans="1:78" s="140" customFormat="1" ht="5.0999999999999996" customHeight="1" thickBot="1" x14ac:dyDescent="0.25">
      <c r="A1580" s="777"/>
      <c r="B1580" s="1248"/>
      <c r="C1580" s="164"/>
      <c r="D1580" s="164"/>
      <c r="E1580" s="164"/>
      <c r="F1580" s="164"/>
      <c r="G1580" s="164"/>
      <c r="H1580" s="486"/>
      <c r="I1580" s="486"/>
      <c r="J1580" s="486"/>
      <c r="K1580" s="486"/>
      <c r="L1580" s="486"/>
      <c r="M1580" s="498"/>
      <c r="O1580" s="1305"/>
      <c r="P1580" s="23"/>
      <c r="Q1580" s="23"/>
      <c r="R1580" s="23"/>
      <c r="S1580" s="23"/>
      <c r="T1580" s="23"/>
      <c r="U1580" s="23"/>
      <c r="V1580" s="30"/>
      <c r="W1580" s="30"/>
      <c r="X1580" s="30"/>
      <c r="Y1580" s="485"/>
      <c r="Z1580" s="30"/>
      <c r="AA1580" s="30"/>
      <c r="AB1580" s="30"/>
      <c r="AC1580" s="483"/>
      <c r="AD1580" s="30"/>
      <c r="AE1580" s="30"/>
      <c r="AF1580" s="58"/>
      <c r="AG1580" s="30"/>
      <c r="AH1580" s="30"/>
      <c r="AI1580" s="30"/>
      <c r="AJ1580" s="495"/>
      <c r="AK1580" s="495"/>
      <c r="AL1580" s="333"/>
      <c r="AM1580" s="30"/>
      <c r="AN1580" s="30"/>
      <c r="AO1580" s="30"/>
      <c r="AP1580" s="30"/>
      <c r="AQ1580" s="30"/>
      <c r="AR1580" s="30"/>
      <c r="AS1580" s="30"/>
      <c r="AT1580" s="483"/>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483"/>
    </row>
    <row r="1581" spans="1:78" s="140" customFormat="1" ht="12.75" customHeight="1" thickBot="1" x14ac:dyDescent="0.25">
      <c r="A1581" s="777"/>
      <c r="B1581" s="1248"/>
      <c r="C1581" s="783" t="s">
        <v>5</v>
      </c>
      <c r="D1581" s="503" t="str">
        <f>Translations!$B$622</f>
        <v>VD:</v>
      </c>
      <c r="E1581" s="1105" t="str">
        <f>Translations!$B$668</f>
        <v>Pradinis kiekis:</v>
      </c>
      <c r="F1581" s="1123"/>
      <c r="G1581" s="1106" t="str">
        <f>Translations!$B$669</f>
        <v>Galutinis kiekis:</v>
      </c>
      <c r="H1581" s="1123"/>
      <c r="I1581" s="1106" t="str">
        <f>Translations!$B$670</f>
        <v>Įsigytas kiekis:</v>
      </c>
      <c r="J1581" s="1123"/>
      <c r="K1581" s="1106" t="str">
        <f>Translations!$B$671</f>
        <v>Perduotas kiekis:</v>
      </c>
      <c r="L1581" s="1123"/>
      <c r="M1581" s="1107" t="str">
        <f>IF(AND(L1579=TRUE,COUNT(F1581,H1581,J1581,L1581)&lt;4),EUconst_ERR_Incomplete,"")</f>
        <v/>
      </c>
      <c r="O1581" s="1305"/>
      <c r="P1581" s="23"/>
      <c r="Q1581" s="23"/>
      <c r="R1581" s="23"/>
      <c r="S1581" s="23"/>
      <c r="T1581" s="23"/>
      <c r="U1581" s="23"/>
      <c r="V1581" s="30"/>
      <c r="W1581" s="30"/>
      <c r="X1581" s="30"/>
      <c r="Y1581" s="485"/>
      <c r="Z1581" s="30"/>
      <c r="AA1581" s="30"/>
      <c r="AB1581" s="30"/>
      <c r="AC1581" s="1115" t="b">
        <f>AC1579</f>
        <v>0</v>
      </c>
      <c r="AD1581" s="30"/>
      <c r="AE1581" s="30"/>
      <c r="AF1581" s="58"/>
      <c r="AG1581" s="30"/>
      <c r="AH1581" s="30"/>
      <c r="AI1581" s="30"/>
      <c r="AJ1581" s="495"/>
      <c r="AK1581" s="495"/>
      <c r="AL1581" s="333"/>
      <c r="AM1581" s="30"/>
      <c r="AN1581" s="30"/>
      <c r="AO1581" s="30"/>
      <c r="AP1581" s="30"/>
      <c r="AQ1581" s="30"/>
      <c r="AR1581" s="30"/>
      <c r="AS1581" s="30"/>
      <c r="AT1581" s="1115" t="b">
        <f>AND(AT1579=TRUE,L1579="")</f>
        <v>0</v>
      </c>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1115" t="b">
        <f>OR(BZ1579,AND(NOT(ISBLANK(L1579)),L1579=FALSE))</f>
        <v>1</v>
      </c>
    </row>
    <row r="1582" spans="1:78" s="140" customFormat="1" ht="5.0999999999999996" customHeight="1" thickBot="1" x14ac:dyDescent="0.25">
      <c r="A1582" s="777"/>
      <c r="B1582" s="1248"/>
      <c r="C1582" s="164"/>
      <c r="D1582" s="164"/>
      <c r="E1582" s="164"/>
      <c r="F1582" s="164"/>
      <c r="G1582" s="164"/>
      <c r="M1582" s="141"/>
      <c r="N1582" s="141"/>
      <c r="O1582" s="1305"/>
      <c r="P1582" s="23"/>
      <c r="Q1582" s="23"/>
      <c r="R1582" s="23"/>
      <c r="S1582" s="23"/>
      <c r="T1582" s="23"/>
      <c r="U1582" s="23"/>
      <c r="V1582" s="30"/>
      <c r="W1582" s="30"/>
      <c r="X1582" s="30"/>
      <c r="Y1582" s="485"/>
      <c r="Z1582" s="30"/>
      <c r="AA1582" s="30"/>
      <c r="AB1582" s="30"/>
      <c r="AC1582" s="30"/>
      <c r="AD1582" s="30"/>
      <c r="AE1582" s="30"/>
      <c r="AF1582" s="58"/>
      <c r="AG1582" s="30"/>
      <c r="AH1582" s="30"/>
      <c r="AI1582" s="30"/>
      <c r="AJ1582" s="495"/>
      <c r="AK1582" s="495"/>
      <c r="AL1582" s="333"/>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row>
    <row r="1583" spans="1:78" s="140" customFormat="1" ht="12.75" customHeight="1" thickBot="1" x14ac:dyDescent="0.25">
      <c r="A1583" s="777"/>
      <c r="B1583" s="1248"/>
      <c r="C1583" s="164"/>
      <c r="D1583" s="164"/>
      <c r="E1583" s="164"/>
      <c r="F1583" s="497" t="str">
        <f>Translations!$B$333</f>
        <v>Pakopa</v>
      </c>
      <c r="G1583" s="1613" t="str">
        <f>Translations!$B$672</f>
        <v>pakopos aprašas</v>
      </c>
      <c r="H1583" s="1613"/>
      <c r="I1583" s="1608" t="str">
        <f>Translations!$B$158</f>
        <v>Vienetas</v>
      </c>
      <c r="J1583" s="1608"/>
      <c r="K1583" s="1608" t="str">
        <f>Translations!$B$673</f>
        <v>Vertė</v>
      </c>
      <c r="L1583" s="1608"/>
      <c r="M1583" s="498" t="str">
        <f>Translations!$B$610</f>
        <v>klaida</v>
      </c>
      <c r="O1583" s="1305"/>
      <c r="P1583" s="499"/>
      <c r="Q1583" s="343" t="str">
        <f>EUconst_SumEnergyIN &amp; "_" &amp; K1574</f>
        <v>SUM_EnergyIN_</v>
      </c>
      <c r="R1583" s="390" t="str">
        <f>IF(OR(K1574="",T1575)=TRUE,"",INDEX(BC1589:BE1589,MATCH(K1574,BC1584:BE1584,0)))</f>
        <v/>
      </c>
      <c r="S1583" s="30"/>
      <c r="T1583" s="480"/>
      <c r="U1583" s="30"/>
      <c r="V1583" s="500" t="s">
        <v>298</v>
      </c>
      <c r="W1583" s="30"/>
      <c r="X1583" s="30"/>
      <c r="Y1583" s="485" t="s">
        <v>560</v>
      </c>
      <c r="Z1583" s="485" t="s">
        <v>313</v>
      </c>
      <c r="AA1583" s="30"/>
      <c r="AB1583" s="30"/>
      <c r="AC1583" s="496" t="s">
        <v>304</v>
      </c>
      <c r="AD1583" s="30"/>
      <c r="AE1583" s="30"/>
      <c r="AF1583" s="483" t="s">
        <v>300</v>
      </c>
      <c r="AG1583" s="483" t="s">
        <v>301</v>
      </c>
      <c r="AH1583" s="485" t="s">
        <v>299</v>
      </c>
      <c r="AI1583" s="495" t="s">
        <v>302</v>
      </c>
      <c r="AJ1583" s="495" t="s">
        <v>561</v>
      </c>
      <c r="AK1583" s="501" t="s">
        <v>306</v>
      </c>
      <c r="AL1583" s="333"/>
      <c r="AM1583" s="30"/>
      <c r="AN1583" s="483" t="s">
        <v>300</v>
      </c>
      <c r="AO1583" s="483" t="s">
        <v>301</v>
      </c>
      <c r="AP1583" s="502" t="s">
        <v>305</v>
      </c>
      <c r="AQ1583" s="495" t="s">
        <v>563</v>
      </c>
      <c r="AR1583" s="495" t="s">
        <v>562</v>
      </c>
      <c r="AS1583" s="501" t="s">
        <v>599</v>
      </c>
      <c r="AT1583" s="501" t="s">
        <v>599</v>
      </c>
      <c r="AU1583" s="30"/>
      <c r="AV1583" s="483"/>
      <c r="AW1583" s="483"/>
      <c r="AX1583" s="483" t="s">
        <v>316</v>
      </c>
      <c r="AY1583" s="483"/>
      <c r="AZ1583" s="483"/>
      <c r="BA1583" s="483"/>
      <c r="BB1583" s="483"/>
      <c r="BC1583" s="483"/>
      <c r="BD1583" s="483"/>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484" t="s">
        <v>259</v>
      </c>
    </row>
    <row r="1584" spans="1:78" s="140" customFormat="1" ht="12.75" customHeight="1" thickBot="1" x14ac:dyDescent="0.25">
      <c r="A1584" s="777"/>
      <c r="B1584" s="1248"/>
      <c r="C1584" s="753" t="s">
        <v>194</v>
      </c>
      <c r="D1584" s="503" t="str">
        <f>Translations!$B$622</f>
        <v>VD:</v>
      </c>
      <c r="E1584" s="504"/>
      <c r="F1584" s="393"/>
      <c r="G1584" s="1603" t="str">
        <f>IF(OR(ISBLANK(F1584),F1584=EUconst_NoTier),"",IF(Z1584=0,EUconst_NA,IF(ISERROR(Z1584),"",Z1584)))</f>
        <v/>
      </c>
      <c r="H1584" s="1604"/>
      <c r="I1584" s="1108" t="str">
        <f>IF(J1584&lt;&gt;"","",AI1584)</f>
        <v/>
      </c>
      <c r="J1584" s="1109"/>
      <c r="K1584" s="1116" t="str">
        <f>IF(L1584="",AQ1584,"")</f>
        <v/>
      </c>
      <c r="L1584" s="1199"/>
      <c r="M1584" s="700" t="str">
        <f>IF(AND(E1575&lt;&gt;"",OR(F1584="",COUNT(K1584:L1584)=0),Y1584&lt;&gt;EUconst_NA,T1575&lt;&gt;TRUE),EUconst_ERR_Incomplete,IF(COUNTIF(AX1584:AZ1584,TRUE)&gt;0,EUconst_ERR_Inconsistent,""))</f>
        <v/>
      </c>
      <c r="O1584" s="1305"/>
      <c r="P1584" s="635"/>
      <c r="Q1584" s="343" t="str">
        <f>EUconst_SumBioEnergyIN &amp; "_" &amp; K1574</f>
        <v>SUM_BioEnergyIN_</v>
      </c>
      <c r="R1584" s="390" t="str">
        <f>IF(OR(K1574="",T1575)=TRUE,"",INDEX(BC1590:BE1590,MATCH(K1574,BC1584:BE1584,0)))</f>
        <v/>
      </c>
      <c r="S1584" s="30"/>
      <c r="T1584" s="505" t="str">
        <f>EUconst_CNTR_ActivityData&amp;E1575</f>
        <v>ActivityData_</v>
      </c>
      <c r="U1584" s="488"/>
      <c r="V1584" s="505" t="str">
        <f>IF(E1574="","",INDEX(B_InstallationDescription!$I$71:$I$145,MATCH(U1573,B_InstallationDescription!$D$71:$D$145,0)))</f>
        <v/>
      </c>
      <c r="W1584" s="495" t="s">
        <v>533</v>
      </c>
      <c r="X1584" s="488"/>
      <c r="Y1584" s="506" t="str">
        <f>IF(OR(T1575=TRUE,E1575=""),"",INDEX(EUwideConstants!$N:$N,MATCH(T1584,EUwideConstants!$Q:$Q,0)))</f>
        <v/>
      </c>
      <c r="Z1584" s="507" t="str">
        <f>IF(ISBLANK(F1584),"",IF(F1584=EUconst_NA,"",INDEX(EUwideConstants!$H:$M,MATCH(T1584,EUwideConstants!$Q:$Q,0),MATCH(F1584,CNTR_TierList,0))))</f>
        <v/>
      </c>
      <c r="AA1584" s="508" t="s">
        <v>299</v>
      </c>
      <c r="AB1584" s="495"/>
      <c r="AC1584" s="509" t="b">
        <f>AC1579</f>
        <v>0</v>
      </c>
      <c r="AD1584" s="30"/>
      <c r="AE1584" s="510" t="str">
        <f>EUconst_CNTR_ActivityData&amp;EUconst_Unit</f>
        <v>ActivityData_Vienetas</v>
      </c>
      <c r="AF1584" s="511" t="str">
        <f>IF(AC1584=TRUE, IF(COUNTIF(MSPara_SourceStreamCategory,V1584)=0,"",INDEX(MSPara_CalcFactorsMatrix,MATCH(V1584,MSPara_SourceStreamCategory,0),MATCH(AE1584&amp;"_"&amp;2,MSPara_CalcFactors,0))),"")</f>
        <v/>
      </c>
      <c r="AG1584" s="512" t="str">
        <f>IF(AC1584=TRUE, IF(COUNTIF(MSPara_SourceStreamCategory,V1584)=0,"",INDEX(MSPara_CalcFactorsMatrix,MATCH(V1584,MSPara_SourceStreamCategory,0),MATCH(AE1584&amp;"_"&amp;1,MSPara_CalcFactors,0))),"")</f>
        <v/>
      </c>
      <c r="AH1584" s="509" t="str">
        <f>IF(OR(AF1584="",AF1584=EUconst_NA),IF(OR(AG1584=EUconst_NA,AG1584=""),"",AG1584),AF1584)</f>
        <v/>
      </c>
      <c r="AI1584" s="506" t="str">
        <f>IF(AC1584=TRUE,IF(AH1584="",EUconst_t,AH1584),"")</f>
        <v/>
      </c>
      <c r="AJ1584" s="513" t="str">
        <f>IF(J1584="",AI1584,J1584)</f>
        <v/>
      </c>
      <c r="AK1584" s="514" t="b">
        <f>IF(K1574=EUconst_Fuel,J1584&lt;&gt;"",FALSE)</f>
        <v>0</v>
      </c>
      <c r="AL1584" s="333"/>
      <c r="AM1584" s="505" t="str">
        <f>EUconst_CNTR_ActivityData&amp;EUconst_Value</f>
        <v>ActivityData_Vertė</v>
      </c>
      <c r="AN1584" s="496"/>
      <c r="AO1584" s="496"/>
      <c r="AP1584" s="509" t="b">
        <f>AND(AND(AH1584&lt;&gt;"",AJ1584&lt;&gt;""),AJ1584=AH1584)</f>
        <v>0</v>
      </c>
      <c r="AQ1584" s="610" t="str">
        <f>IF(L1579=TRUE,SUM(F1581)-SUM(H1581)+SUM(J1581)-SUM(L1581),"")</f>
        <v/>
      </c>
      <c r="AR1584" s="509">
        <f>IF(Y1584=EUconst_NA,0,IF(COUNT(K1584:L1584)=0,0,IF(L1584="",K1584,L1584)))</f>
        <v>0</v>
      </c>
      <c r="AS1584" s="1115" t="b">
        <f>AND(AC1584=TRUE,OR(L1584&lt;&gt;"",AQ1584=""))</f>
        <v>0</v>
      </c>
      <c r="AT1584" s="1115" t="b">
        <f>AND(AC1584=TRUE,NOT(AS1584))</f>
        <v>0</v>
      </c>
      <c r="AU1584" s="30"/>
      <c r="AV1584" s="483" t="s">
        <v>309</v>
      </c>
      <c r="AW1584" s="483" t="s">
        <v>314</v>
      </c>
      <c r="AX1584" s="515"/>
      <c r="AY1584" s="30" t="s">
        <v>536</v>
      </c>
      <c r="AZ1584" s="30"/>
      <c r="BA1584" s="30"/>
      <c r="BB1584" s="495"/>
      <c r="BC1584" s="484" t="str">
        <f>EUconst_Fuel</f>
        <v>Degimas</v>
      </c>
      <c r="BD1584" s="484" t="str">
        <f>EUconst_ProcessCarbonate</f>
        <v>Proceso metu išsiskiriančios ŠESD</v>
      </c>
      <c r="BE1584" s="484" t="str">
        <f>EUconst_MassBalance</f>
        <v>Masės balansas</v>
      </c>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515" t="b">
        <f>BZ1579</f>
        <v>1</v>
      </c>
    </row>
    <row r="1585" spans="1:78" s="140" customFormat="1" ht="5.0999999999999996" customHeight="1" thickBot="1" x14ac:dyDescent="0.25">
      <c r="A1585" s="777"/>
      <c r="B1585" s="1248"/>
      <c r="C1585" s="783"/>
      <c r="D1585" s="298"/>
      <c r="F1585" s="141"/>
      <c r="G1585" s="141"/>
      <c r="H1585" s="141" t="s">
        <v>233</v>
      </c>
      <c r="I1585" s="516"/>
      <c r="J1585" s="516"/>
      <c r="K1585" s="141"/>
      <c r="L1585" s="141"/>
      <c r="M1585" s="701"/>
      <c r="O1585" s="1305"/>
      <c r="P1585" s="33"/>
      <c r="Q1585" s="33"/>
      <c r="R1585" s="33"/>
      <c r="S1585" s="30"/>
      <c r="T1585" s="153"/>
      <c r="U1585" s="488"/>
      <c r="V1585" s="30"/>
      <c r="W1585" s="30"/>
      <c r="X1585" s="488"/>
      <c r="Y1585" s="517"/>
      <c r="Z1585" s="30"/>
      <c r="AA1585" s="30"/>
      <c r="AB1585" s="30"/>
      <c r="AC1585" s="30"/>
      <c r="AD1585" s="30"/>
      <c r="AE1585" s="30"/>
      <c r="AF1585" s="30"/>
      <c r="AG1585" s="30"/>
      <c r="AH1585" s="30"/>
      <c r="AI1585" s="30"/>
      <c r="AJ1585" s="30"/>
      <c r="AK1585" s="30"/>
      <c r="AL1585" s="333"/>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484"/>
    </row>
    <row r="1586" spans="1:78" s="140" customFormat="1" ht="12.75" customHeight="1" thickBot="1" x14ac:dyDescent="0.25">
      <c r="A1586" s="777"/>
      <c r="B1586" s="1248"/>
      <c r="C1586" s="783" t="s">
        <v>195</v>
      </c>
      <c r="D1586" s="503" t="str">
        <f>Translations!$B$634</f>
        <v>(prelim.) ITF:</v>
      </c>
      <c r="E1586" s="504"/>
      <c r="F1586" s="518"/>
      <c r="G1586" s="1603" t="str">
        <f t="shared" ref="G1586:G1592" si="392">IF(OR(ISBLANK(F1586),F1586=EUconst_NoTier),"",IF(Z1586=0,EUconst_NotApplicable,IF(ISERROR(Z1586),"",Z1586)))</f>
        <v/>
      </c>
      <c r="H1586" s="1609"/>
      <c r="I1586" s="1110" t="str">
        <f>IF(J1586&lt;&gt;"","",AI1586)</f>
        <v/>
      </c>
      <c r="J1586" s="1111"/>
      <c r="K1586" s="519" t="str">
        <f t="shared" ref="K1586:K1592" si="393">IF(L1586="",AQ1586,"")</f>
        <v/>
      </c>
      <c r="L1586" s="520"/>
      <c r="M1586" s="700" t="str">
        <f>IF(AND(E1575&lt;&gt;"",OR(F1586="",COUNT(K1586:L1586)=0),Y1586&lt;&gt;EUconst_NA,T1575&lt;&gt;TRUE),EUconst_ERR_Incomplete,IF(COUNTIF(AX1586:AZ1586,TRUE)&gt;0,EUconst_ERR_Inconsistent,""))</f>
        <v/>
      </c>
      <c r="N1586" s="486"/>
      <c r="O1586" s="1305"/>
      <c r="P1586" s="33"/>
      <c r="Q1586" s="33"/>
      <c r="R1586" s="33"/>
      <c r="S1586" s="30"/>
      <c r="T1586" s="521" t="str">
        <f>EUconst_CNTR_EF&amp;E1575</f>
        <v>EF_</v>
      </c>
      <c r="U1586" s="488"/>
      <c r="V1586" s="522" t="str">
        <f>V1584</f>
        <v/>
      </c>
      <c r="W1586" s="30"/>
      <c r="X1586" s="488"/>
      <c r="Y1586" s="523" t="str">
        <f>IF(OR(T1575=TRUE,E1575=""),"",IF(F1586=EUconst_NA,EUconst_NA,INDEX(EUwideConstants!$N:$N,MATCH(T1586,EUwideConstants!$Q:$Q,0))))</f>
        <v/>
      </c>
      <c r="Z1586" s="524" t="str">
        <f>IF(ISBLANK(F1586),"",IF(F1586=EUconst_NA,"",INDEX(EUwideConstants!$H:$M,MATCH(T1586,EUwideConstants!$Q:$Q,0),MATCH(F1586,CNTR_TierList,0))))</f>
        <v/>
      </c>
      <c r="AA1586" s="525" t="str">
        <f>IF(COUNTIF(EUconst_DefaultValues,Z1586)&gt;0,MATCH(Z1586,EUconst_DefaultValues,0),"")</f>
        <v/>
      </c>
      <c r="AB1586" s="30"/>
      <c r="AC1586" s="526" t="b">
        <f>AND(AC1584,Y1586&lt;&gt;EUconst_NA)</f>
        <v>0</v>
      </c>
      <c r="AD1586" s="30"/>
      <c r="AE1586" s="510" t="str">
        <f>EUconst_CNTR_EF&amp;EUconst_Unit</f>
        <v>EF_Vienetas</v>
      </c>
      <c r="AF1586" s="527" t="str">
        <f>IF(AC1586=TRUE, IF(COUNTIF(MSPara_SourceStreamCategory,V1586)=0,"",INDEX(MSPara_CalcFactorsMatrix,MATCH(V1586,MSPara_SourceStreamCategory,0),MATCH(AE1586&amp;"_"&amp;2,MSPara_CalcFactors,0))),"")</f>
        <v/>
      </c>
      <c r="AG1586" s="528" t="str">
        <f>IF(AC1586=TRUE, IF(COUNTIF(MSPara_SourceStreamCategory,V1586)=0,"",INDEX(MSPara_CalcFactorsMatrix,MATCH(V1586,MSPara_SourceStreamCategory,0),MATCH(AE1586&amp;"_"&amp;1,MSPara_CalcFactors,0))),"")</f>
        <v/>
      </c>
      <c r="AH1586" s="529" t="str">
        <f>IF(AA1586="","",INDEX(AF1586:AG1586,3-AA1586))</f>
        <v/>
      </c>
      <c r="AI1586" s="530" t="str">
        <f>IF(AC1586=TRUE,IF(OR(AH1586="",AH1586=EUconst_NA),IF(K1574=EUconst_Fuel,EUconst_tCO2pTJ,EUconst_tCO2pt),AH1586),"")</f>
        <v/>
      </c>
      <c r="AJ1586" s="526" t="str">
        <f>IF(J1586="",AI1586,J1586)</f>
        <v/>
      </c>
      <c r="AK1586" s="531" t="b">
        <f>IF(K1574=EUconst_Fuel,J1586&lt;&gt;"",FALSE)</f>
        <v>0</v>
      </c>
      <c r="AL1586" s="333"/>
      <c r="AM1586" s="510" t="str">
        <f>EUconst_CNTR_EF&amp;EUconst_Value</f>
        <v>EF_Vertė</v>
      </c>
      <c r="AN1586" s="532" t="str">
        <f>IF(AC1586=TRUE,IF(COUNTIF(MSPara_SourceStreamCategory,V1586)=0,"",INDEX(MSPara_CalcFactorsMatrix,MATCH(V1586,MSPara_SourceStreamCategory,0),MATCH(AM1586&amp;"_"&amp;2,MSPara_CalcFactors,0))),"")</f>
        <v/>
      </c>
      <c r="AO1586" s="533" t="str">
        <f>IF(AC1586=TRUE,IF(COUNTIF(MSPara_SourceStreamCategory,V1586)=0,"",INDEX(MSPara_CalcFactorsMatrix,MATCH(V1586,MSPara_SourceStreamCategory,0),MATCH(AM1586&amp;"_"&amp;1,MSPara_CalcFactors,0))),"")</f>
        <v/>
      </c>
      <c r="AP1586" s="526" t="b">
        <f>AND(AND(AH1586&lt;&gt;"",AJ1586&lt;&gt;""),AJ1586=AH1586)</f>
        <v>0</v>
      </c>
      <c r="AQ1586" s="534" t="str">
        <f>IF(AND(AA1586&lt;&gt;"",AP1586=TRUE),IF(OR(INDEX(AN1586:AO1586,3-AA1586)=EUconst_NA,INDEX(AN1586:AO1586,3-AA1586)=0),"",INDEX(AN1586:AO1586,3-AA1586)),"")</f>
        <v/>
      </c>
      <c r="AR1586" s="526">
        <f>IF(AC1586=TRUE,IF(COUNT(K1586:L1586)=0,0,IF(L1586="",K1586,L1586)),0)</f>
        <v>0</v>
      </c>
      <c r="AS1586" s="522" t="b">
        <f>AND(AC1586=TRUE,OR(AND(F1586&lt;&gt;"",NOT(ISNUMBER(AA1586))),L1586&lt;&gt;"",F1586="",AQ1586=""))</f>
        <v>0</v>
      </c>
      <c r="AT1586" s="522" t="b">
        <f t="shared" ref="AT1586:AT1592" si="394">AND(AC1586=TRUE,NOT(AS1586))</f>
        <v>0</v>
      </c>
      <c r="AU1586" s="30"/>
      <c r="AV1586" s="535" t="b">
        <f t="shared" ref="AV1586:AV1592" si="395">AND(ISNUMBER(AA1586),AQ1586="")</f>
        <v>0</v>
      </c>
      <c r="AW1586" s="536" t="b">
        <f t="shared" ref="AW1586:AW1592" si="396">AND(ISNUMBER(AA1586),AQ1586&lt;&gt;AR1586)</f>
        <v>0</v>
      </c>
      <c r="AX1586" s="537" t="b">
        <f>OR(AND(AJ1584=EUconst_kNm3,AJ1586=EUconst_tCO2pt),AND(AJ1584=EUconst_t,AJ1586=EUconst_tCO2pkNm3))</f>
        <v>0</v>
      </c>
      <c r="AY1586" s="522" t="b">
        <f t="shared" ref="AY1586:AY1592" si="397">AND(L1586&lt;&gt;"",Y1586=EUconst_NA)</f>
        <v>0</v>
      </c>
      <c r="AZ1586" s="30"/>
      <c r="BA1586" s="30"/>
      <c r="BB1586" s="538" t="s">
        <v>588</v>
      </c>
      <c r="BC1586" s="537" t="str">
        <f>IF(K1574=BC1584,AR1584*IF(AJ1586=EUconst_tCO2pTJ,(AR1587/1000),1)*AR1586*AR1588*AR1592,"")</f>
        <v/>
      </c>
      <c r="BD1586" s="515" t="str">
        <f>IF(K1574=BD1584,AR1584*AR1586*AR1589*AR1592,"")</f>
        <v/>
      </c>
      <c r="BE1586" s="514" t="str">
        <f>IF(K1574=BE1584,3.664*AR1584*AR1590*AR1592,"")</f>
        <v/>
      </c>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522" t="b">
        <f>OR(BZ1584,Y1586=EUconst_NA)</f>
        <v>1</v>
      </c>
    </row>
    <row r="1587" spans="1:78" s="140" customFormat="1" ht="12.75" customHeight="1" thickBot="1" x14ac:dyDescent="0.25">
      <c r="A1587" s="777"/>
      <c r="B1587" s="1248"/>
      <c r="C1587" s="783" t="s">
        <v>196</v>
      </c>
      <c r="D1587" s="503" t="str">
        <f>Translations!$B$636</f>
        <v>GŠV:</v>
      </c>
      <c r="E1587" s="504"/>
      <c r="F1587" s="539"/>
      <c r="G1587" s="1603" t="str">
        <f t="shared" si="392"/>
        <v/>
      </c>
      <c r="H1587" s="1604"/>
      <c r="I1587" s="1112" t="str">
        <f>AJ1587</f>
        <v/>
      </c>
      <c r="J1587" s="540"/>
      <c r="K1587" s="541" t="str">
        <f t="shared" si="393"/>
        <v/>
      </c>
      <c r="L1587" s="542"/>
      <c r="M1587" s="700" t="str">
        <f>IF(AND(E1575&lt;&gt;"",OR(F1587="",COUNT(K1587:L1587)=0),Y1587&lt;&gt;EUconst_NA,T1575&lt;&gt;TRUE),EUconst_ERR_Incomplete,IF(COUNTIF(AX1587:AZ1587,TRUE)&gt;0,EUconst_ERR_Inconsistent,""))</f>
        <v/>
      </c>
      <c r="O1587" s="1305"/>
      <c r="P1587" s="33"/>
      <c r="Q1587" s="33"/>
      <c r="R1587" s="33"/>
      <c r="S1587" s="30"/>
      <c r="T1587" s="543" t="str">
        <f>EUconst_CNTR_NCV&amp;E1575</f>
        <v>NCV_</v>
      </c>
      <c r="U1587" s="488"/>
      <c r="V1587" s="544" t="str">
        <f t="shared" ref="V1587:V1592" si="398">V1586</f>
        <v/>
      </c>
      <c r="W1587" s="30"/>
      <c r="X1587" s="488"/>
      <c r="Y1587" s="545" t="str">
        <f>IF(OR(T1575=TRUE,E1575=""),"",IF(F1587=EUconst_NA,EUconst_NA,INDEX(EUwideConstants!$N:$N,MATCH(T1587,EUwideConstants!$Q:$Q,0))))</f>
        <v/>
      </c>
      <c r="Z1587" s="546" t="str">
        <f>IF(ISBLANK(F1587),"",IF(F1587=EUconst_NA,"",INDEX(EUwideConstants!$H:$M,MATCH(T1587,EUwideConstants!$Q:$Q,0),MATCH(F1587,CNTR_TierList,0))))</f>
        <v/>
      </c>
      <c r="AA1587" s="547" t="str">
        <f>IF(COUNTIF(EUconst_DefaultValues,Z1587)&gt;0,MATCH(Z1587,EUconst_DefaultValues,0),"")</f>
        <v/>
      </c>
      <c r="AB1587" s="30"/>
      <c r="AC1587" s="548" t="b">
        <f>AND(AC1584,Y1587&lt;&gt;EUconst_NA)</f>
        <v>0</v>
      </c>
      <c r="AD1587" s="30"/>
      <c r="AE1587" s="549" t="str">
        <f>EUconst_CNTR_NCV&amp;EUconst_Unit</f>
        <v>NCV_Vienetas</v>
      </c>
      <c r="AF1587" s="550" t="str">
        <f>IF(AC1587=TRUE, IF(COUNTIF(MSPara_SourceStreamCategory,V1587)=0,"",INDEX(MSPara_CalcFactorsMatrix,MATCH(V1587,MSPara_SourceStreamCategory,0),MATCH(AE1587&amp;"_"&amp;2,MSPara_CalcFactors,0))),"")</f>
        <v/>
      </c>
      <c r="AG1587" s="551" t="str">
        <f>IF(AC1587=TRUE, IF(COUNTIF(MSPara_SourceStreamCategory,V1587)=0,"",INDEX(MSPara_CalcFactorsMatrix,MATCH(V1587,MSPara_SourceStreamCategory,0),MATCH(AE1587&amp;"_"&amp;1,MSPara_CalcFactors,0))),"")</f>
        <v/>
      </c>
      <c r="AH1587" s="552" t="str">
        <f>IF(AA1587="","",INDEX(AF1587:AG1587,3-AA1587))</f>
        <v/>
      </c>
      <c r="AI1587" s="553"/>
      <c r="AJ1587" s="548" t="str">
        <f>IF(AC1587=TRUE,IF(AJ1584="","",IF(AJ1584=EUconst_kNm3,EUconst_GJpkNm3,EUconst_GJpt)),"")</f>
        <v/>
      </c>
      <c r="AK1587" s="554"/>
      <c r="AL1587" s="333"/>
      <c r="AM1587" s="549" t="str">
        <f>EUconst_CNTR_NCV&amp;EUconst_Value</f>
        <v>NCV_Vertė</v>
      </c>
      <c r="AN1587" s="555" t="str">
        <f>IF(AC1587=TRUE,IF(COUNTIF(MSPara_SourceStreamCategory,V1587)=0,"",INDEX(MSPara_CalcFactorsMatrix,MATCH(V1587,MSPara_SourceStreamCategory,0),MATCH(AM1587&amp;"_"&amp;2,MSPara_CalcFactors,0))),"")</f>
        <v/>
      </c>
      <c r="AO1587" s="556" t="str">
        <f>IF(AC1587=TRUE,IF(COUNTIF(MSPara_SourceStreamCategory,V1587)=0,"",INDEX(MSPara_CalcFactorsMatrix,MATCH(V1587,MSPara_SourceStreamCategory,0),MATCH(AM1587&amp;"_"&amp;1,MSPara_CalcFactors,0))),"")</f>
        <v/>
      </c>
      <c r="AP1587" s="548" t="b">
        <f>AND(AND(AH1587&lt;&gt;"",AJ1587&lt;&gt;""),AJ1587=AH1587)</f>
        <v>0</v>
      </c>
      <c r="AQ1587" s="557" t="str">
        <f>IF(AND(AA1587&lt;&gt;"",AP1587=TRUE),IF(OR(INDEX(AN1587:AO1587,3-AA1587)=EUconst_NA,INDEX(AN1587:AO1587,3-AA1587)=0),"",INDEX(AN1587:AO1587,3-AA1587)),"")</f>
        <v/>
      </c>
      <c r="AR1587" s="548">
        <f>IF(AC1587=TRUE,IF(COUNT(K1587:L1587)=0,0,IF(L1587="",K1587,L1587)),0)</f>
        <v>0</v>
      </c>
      <c r="AS1587" s="544" t="b">
        <f>AND(AC1587=TRUE,OR(AND(F1587&lt;&gt;"",NOT(ISNUMBER(AA1587))),L1587&lt;&gt;"",F1587="",AQ1587=""))</f>
        <v>0</v>
      </c>
      <c r="AT1587" s="544" t="b">
        <f t="shared" si="394"/>
        <v>0</v>
      </c>
      <c r="AU1587" s="30"/>
      <c r="AV1587" s="558" t="b">
        <f t="shared" si="395"/>
        <v>0</v>
      </c>
      <c r="AW1587" s="559" t="b">
        <f t="shared" si="396"/>
        <v>0</v>
      </c>
      <c r="AX1587" s="30"/>
      <c r="AY1587" s="544" t="b">
        <f t="shared" si="397"/>
        <v>0</v>
      </c>
      <c r="AZ1587" s="30"/>
      <c r="BA1587" s="30"/>
      <c r="BB1587" s="538" t="s">
        <v>589</v>
      </c>
      <c r="BC1587" s="537" t="str">
        <f>IF(K1574=BC1584,AR1584*IF(AJ1586=EUconst_tCO2pTJ,(AR1587/1000),1)*AR1586*AR1588*AR1591,"")</f>
        <v/>
      </c>
      <c r="BD1587" s="515" t="str">
        <f>IF(K1574=BD1584,AR1584*AR1586*AR1589*AR1591,"")</f>
        <v/>
      </c>
      <c r="BE1587" s="514" t="str">
        <f>IF(K1574=BE1584,3.664*AR1584*AR1590*AR1591,"")</f>
        <v/>
      </c>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544" t="b">
        <f>OR(BZ1584,Y1587=EUconst_NA)</f>
        <v>1</v>
      </c>
    </row>
    <row r="1588" spans="1:78" s="140" customFormat="1" ht="12.75" customHeight="1" thickBot="1" x14ac:dyDescent="0.25">
      <c r="A1588" s="777"/>
      <c r="B1588" s="1248"/>
      <c r="C1588" s="783" t="s">
        <v>197</v>
      </c>
      <c r="D1588" s="503" t="str">
        <f>Translations!$B$638</f>
        <v>Oksidacijos koef.:</v>
      </c>
      <c r="E1588" s="504"/>
      <c r="F1588" s="539"/>
      <c r="G1588" s="1603" t="str">
        <f t="shared" si="392"/>
        <v/>
      </c>
      <c r="H1588" s="1604"/>
      <c r="I1588" s="1113" t="str">
        <f>IF(OR(AC1588=FALSE,Y1588=EUconst_NA),"","-")</f>
        <v/>
      </c>
      <c r="J1588" s="560"/>
      <c r="K1588" s="561" t="str">
        <f t="shared" si="393"/>
        <v/>
      </c>
      <c r="L1588" s="694"/>
      <c r="M1588" s="700" t="str">
        <f>IF(AND(E1575&lt;&gt;"",OR(F1588="",COUNT(K1588:L1588)=0),Y1588&lt;&gt;EUconst_NA,T1575&lt;&gt;TRUE),EUconst_ERR_Incomplete,IF(COUNTIF(AX1588:AZ1588,TRUE)&gt;0,EUconst_ERR_Inconsistent,""))</f>
        <v/>
      </c>
      <c r="O1588" s="1305"/>
      <c r="P1588" s="33"/>
      <c r="Q1588" s="33"/>
      <c r="R1588" s="33"/>
      <c r="S1588" s="30"/>
      <c r="T1588" s="543" t="str">
        <f>EUconst_CNTR_OxidationFactor&amp;E1575</f>
        <v>OxF_</v>
      </c>
      <c r="U1588" s="488"/>
      <c r="V1588" s="544" t="str">
        <f t="shared" si="398"/>
        <v/>
      </c>
      <c r="W1588" s="30"/>
      <c r="X1588" s="488"/>
      <c r="Y1588" s="545" t="str">
        <f>IF(OR(T1575=TRUE,E1575=""),"",INDEX(EUwideConstants!$N:$N,MATCH(T1588,EUwideConstants!$Q:$Q,0)))</f>
        <v/>
      </c>
      <c r="Z1588" s="546" t="str">
        <f>IF(ISBLANK(F1588),"",IF(F1588=EUconst_NA,"",INDEX(EUwideConstants!$H:$M,MATCH(T1588,EUwideConstants!$Q:$Q,0),MATCH(F1588,CNTR_TierList,0))))</f>
        <v/>
      </c>
      <c r="AA1588" s="525" t="str">
        <f>IF(F1588=1,1,"")</f>
        <v/>
      </c>
      <c r="AB1588" s="30"/>
      <c r="AC1588" s="548" t="b">
        <f>AND(AC1584,Y1588&lt;&gt;EUconst_NA)</f>
        <v>0</v>
      </c>
      <c r="AD1588" s="30"/>
      <c r="AE1588" s="563"/>
      <c r="AG1588" s="564"/>
      <c r="AH1588" s="553"/>
      <c r="AI1588" s="565"/>
      <c r="AJ1588" s="553"/>
      <c r="AK1588" s="566"/>
      <c r="AL1588" s="333"/>
      <c r="AM1588" s="549" t="str">
        <f>EUconst_CNTR_OxidationFactor&amp;EUconst_Value</f>
        <v>OxF_Vertė</v>
      </c>
      <c r="AN1588" s="567"/>
      <c r="AO1588" s="525">
        <v>1</v>
      </c>
      <c r="AP1588" s="553"/>
      <c r="AQ1588" s="568" t="str">
        <f>IF(AA1588="","",AO1588)</f>
        <v/>
      </c>
      <c r="AR1588" s="548">
        <f>IF(AC1588=TRUE,IF(COUNT(K1588:L1588)=0,0,IF(L1588="",K1588,L1588)),1)</f>
        <v>1</v>
      </c>
      <c r="AS1588" s="544" t="b">
        <f>AND(AC1588=TRUE,OR(ISNUMBER(L1588),NOT(ISNUMBER(AA1588))))</f>
        <v>0</v>
      </c>
      <c r="AT1588" s="544" t="b">
        <f t="shared" si="394"/>
        <v>0</v>
      </c>
      <c r="AU1588" s="30"/>
      <c r="AV1588" s="558" t="b">
        <f t="shared" si="395"/>
        <v>0</v>
      </c>
      <c r="AW1588" s="559" t="b">
        <f t="shared" si="396"/>
        <v>0</v>
      </c>
      <c r="AX1588" s="30"/>
      <c r="AY1588" s="585" t="b">
        <f t="shared" si="397"/>
        <v>0</v>
      </c>
      <c r="AZ1588" s="522" t="b">
        <f>AR1588&gt;100%</f>
        <v>0</v>
      </c>
      <c r="BA1588" s="30"/>
      <c r="BB1588" s="538" t="s">
        <v>287</v>
      </c>
      <c r="BC1588" s="537" t="str">
        <f>IF(K1574=BC1584,AR1584*IF(AJ1586=EUconst_tCO2pTJ,(AR1587/1000),1)*AR1586*AR1588*(1-AR1591),"")</f>
        <v/>
      </c>
      <c r="BD1588" s="515" t="str">
        <f>IF(K1574=BD1584,AR1584*AR1586*AR1589*(1-AR1591),"")</f>
        <v/>
      </c>
      <c r="BE1588" s="514" t="str">
        <f>IF(K1574=BE1584,3.664*AR1584*AR1590*(1-AR1591),"")</f>
        <v/>
      </c>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544" t="b">
        <f>OR(BZ1584,Y1588=EUconst_NA)</f>
        <v>1</v>
      </c>
    </row>
    <row r="1589" spans="1:78" s="140" customFormat="1" ht="12.75" customHeight="1" thickBot="1" x14ac:dyDescent="0.25">
      <c r="A1589" s="777"/>
      <c r="B1589" s="1248"/>
      <c r="C1589" s="783" t="s">
        <v>198</v>
      </c>
      <c r="D1589" s="503" t="str">
        <f>Translations!$B$639</f>
        <v>Konversijos koef.:</v>
      </c>
      <c r="E1589" s="504"/>
      <c r="F1589" s="539"/>
      <c r="G1589" s="1603" t="str">
        <f t="shared" si="392"/>
        <v/>
      </c>
      <c r="H1589" s="1604"/>
      <c r="I1589" s="1113" t="str">
        <f>IF(OR(AC1589=FALSE,Y1589=EUconst_NA),"","-")</f>
        <v/>
      </c>
      <c r="J1589" s="560"/>
      <c r="K1589" s="561" t="str">
        <f t="shared" si="393"/>
        <v/>
      </c>
      <c r="L1589" s="694"/>
      <c r="M1589" s="700" t="str">
        <f>IF(AND(E1575&lt;&gt;"",OR(F1589="",COUNT(K1589:L1589)=0),Y1589&lt;&gt;EUconst_NA,T1575&lt;&gt;TRUE),EUconst_ERR_Incomplete,IF(COUNTIF(AX1589:AZ1589,TRUE)&gt;0,EUconst_ERR_Inconsistent,""))</f>
        <v/>
      </c>
      <c r="O1589" s="1305"/>
      <c r="P1589" s="33"/>
      <c r="Q1589" s="33"/>
      <c r="R1589" s="33"/>
      <c r="S1589" s="30"/>
      <c r="T1589" s="543" t="str">
        <f>EUconst_CNTR_ConversionFactor&amp;E1575</f>
        <v>ConvF_</v>
      </c>
      <c r="U1589" s="488"/>
      <c r="V1589" s="544" t="str">
        <f t="shared" si="398"/>
        <v/>
      </c>
      <c r="W1589" s="30"/>
      <c r="X1589" s="488"/>
      <c r="Y1589" s="545" t="str">
        <f>IF(OR(T1575=TRUE,E1575=""),"",INDEX(EUwideConstants!$N:$N,MATCH(T1589,EUwideConstants!$Q:$Q,0)))</f>
        <v/>
      </c>
      <c r="Z1589" s="546" t="str">
        <f>IF(ISBLANK(F1589),"",IF(F1589=EUconst_NA,"",INDEX(EUwideConstants!$H:$M,MATCH(T1589,EUwideConstants!$Q:$Q,0),MATCH(F1589,CNTR_TierList,0))))</f>
        <v/>
      </c>
      <c r="AA1589" s="573" t="str">
        <f>IF(F1589=1,1,"")</f>
        <v/>
      </c>
      <c r="AB1589" s="30"/>
      <c r="AC1589" s="548" t="b">
        <f>AND(AC1584,Y1589&lt;&gt;EUconst_NA)</f>
        <v>0</v>
      </c>
      <c r="AD1589" s="30"/>
      <c r="AE1589" s="563"/>
      <c r="AG1589" s="564"/>
      <c r="AH1589" s="574"/>
      <c r="AI1589" s="565"/>
      <c r="AJ1589" s="574"/>
      <c r="AK1589" s="566"/>
      <c r="AL1589" s="333"/>
      <c r="AM1589" s="549" t="str">
        <f>EUconst_CNTR_ConversionFactor&amp;EUconst_Value</f>
        <v>ConvF_Vertė</v>
      </c>
      <c r="AN1589" s="575"/>
      <c r="AO1589" s="573">
        <v>1</v>
      </c>
      <c r="AP1589" s="574"/>
      <c r="AQ1589" s="576" t="str">
        <f>IF(AA1589="","",AO1589)</f>
        <v/>
      </c>
      <c r="AR1589" s="548">
        <f>IF(AC1589=TRUE,IF(COUNT(K1589:L1589)=0,0,IF(L1589="",K1589,L1589)),1)</f>
        <v>1</v>
      </c>
      <c r="AS1589" s="544" t="b">
        <f>AND(AC1589=TRUE,OR(ISNUMBER(L1589),NOT(ISNUMBER(AA1589))))</f>
        <v>0</v>
      </c>
      <c r="AT1589" s="544" t="b">
        <f t="shared" si="394"/>
        <v>0</v>
      </c>
      <c r="AU1589" s="30"/>
      <c r="AV1589" s="558" t="b">
        <f t="shared" si="395"/>
        <v>0</v>
      </c>
      <c r="AW1589" s="559" t="b">
        <f t="shared" si="396"/>
        <v>0</v>
      </c>
      <c r="AX1589" s="30"/>
      <c r="AY1589" s="585" t="b">
        <f t="shared" si="397"/>
        <v>0</v>
      </c>
      <c r="AZ1589" s="571" t="b">
        <f>AR1589&gt;100%</f>
        <v>0</v>
      </c>
      <c r="BA1589" s="30"/>
      <c r="BB1589" s="569" t="s">
        <v>481</v>
      </c>
      <c r="BC1589" s="570">
        <f>AR1584*AR1587/1000*(1-AR1591)</f>
        <v>0</v>
      </c>
      <c r="BD1589" s="571">
        <f>BC1589</f>
        <v>0</v>
      </c>
      <c r="BE1589" s="572">
        <f>BC1589</f>
        <v>0</v>
      </c>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544" t="b">
        <f>OR(BZ1584,Y1589=EUconst_NA)</f>
        <v>1</v>
      </c>
    </row>
    <row r="1590" spans="1:78" s="140" customFormat="1" ht="12.75" customHeight="1" thickBot="1" x14ac:dyDescent="0.25">
      <c r="A1590" s="777"/>
      <c r="B1590" s="1248"/>
      <c r="C1590" s="783" t="s">
        <v>324</v>
      </c>
      <c r="D1590" s="503" t="str">
        <f>Translations!$B$640</f>
        <v>Anglies kiekis (C):</v>
      </c>
      <c r="E1590" s="504"/>
      <c r="F1590" s="539"/>
      <c r="G1590" s="1603" t="str">
        <f t="shared" si="392"/>
        <v/>
      </c>
      <c r="H1590" s="1604"/>
      <c r="I1590" s="1113" t="str">
        <f>AJ1590</f>
        <v/>
      </c>
      <c r="J1590" s="577"/>
      <c r="K1590" s="578" t="str">
        <f t="shared" si="393"/>
        <v/>
      </c>
      <c r="L1590" s="579"/>
      <c r="M1590" s="700" t="str">
        <f>IF(AND(E1575&lt;&gt;"",OR(F1590="",COUNT(K1590:L1590)=0),Y1590&lt;&gt;EUconst_NA,T1575&lt;&gt;TRUE),EUconst_ERR_Incomplete,IF(COUNTIF(AX1590:AZ1590,TRUE)&gt;0,EUconst_ERR_Inconsistent,""))</f>
        <v/>
      </c>
      <c r="O1590" s="1305"/>
      <c r="P1590" s="33"/>
      <c r="Q1590" s="33"/>
      <c r="R1590" s="33"/>
      <c r="S1590" s="30"/>
      <c r="T1590" s="543" t="str">
        <f>EUconst_CNTR_CarbonContent&amp;E1575</f>
        <v>CarbC_</v>
      </c>
      <c r="U1590" s="488"/>
      <c r="V1590" s="544" t="str">
        <f t="shared" si="398"/>
        <v/>
      </c>
      <c r="W1590" s="30"/>
      <c r="X1590" s="488"/>
      <c r="Y1590" s="545" t="str">
        <f>IF(OR(T1575=TRUE,E1575=""),"",INDEX(EUwideConstants!$N:$N,MATCH(T1590,EUwideConstants!$Q:$Q,0)))</f>
        <v/>
      </c>
      <c r="Z1590" s="546" t="str">
        <f>IF(ISBLANK(F1590),"",IF(F1590=EUconst_NA,"",INDEX(EUwideConstants!$H:$M,MATCH(T1590,EUwideConstants!$Q:$Q,0),MATCH(F1590,CNTR_TierList,0))))</f>
        <v/>
      </c>
      <c r="AA1590" s="580" t="str">
        <f>IF(COUNTIF(EUconst_DefaultValues,Z1590)&gt;0,MATCH(Z1590,EUconst_DefaultValues,0),"")</f>
        <v/>
      </c>
      <c r="AB1590" s="30"/>
      <c r="AC1590" s="548" t="b">
        <f>AND(AC1584,Y1590&lt;&gt;EUconst_NA)</f>
        <v>0</v>
      </c>
      <c r="AD1590" s="30"/>
      <c r="AE1590" s="549" t="str">
        <f>EUconst_CNTR_CarbonContent&amp;EUconst_Unit</f>
        <v>CarbC_Vienetas</v>
      </c>
      <c r="AF1590" s="550" t="str">
        <f>IF(AC1590=TRUE, IF(COUNTIF(MSPara_SourceStreamCategory,V1590)=0,"",INDEX(MSPara_CalcFactorsMatrix,MATCH(V1590,MSPara_SourceStreamCategory,0),MATCH(AE1590&amp;"_"&amp;2,MSPara_CalcFactors,0))),"")</f>
        <v/>
      </c>
      <c r="AG1590" s="551" t="str">
        <f>IF(AC1590=TRUE, IF(COUNTIF(MSPara_SourceStreamCategory,V1590)=0,"",INDEX(MSPara_CalcFactorsMatrix,MATCH(V1590,MSPara_SourceStreamCategory,0),MATCH(AE1590&amp;"_"&amp;1,MSPara_CalcFactors,0))),"")</f>
        <v/>
      </c>
      <c r="AH1590" s="581" t="str">
        <f>IF(AA1590="","",INDEX(AF1590:AG1590,3-AA1590))</f>
        <v/>
      </c>
      <c r="AI1590" s="565"/>
      <c r="AJ1590" s="582" t="str">
        <f>IF(AC1590=TRUE,IF(AJ1584="","",IF(AJ1584=EUconst_kNm3,EUconst_tCpkNm3,EUconst_tCpt)),"")</f>
        <v/>
      </c>
      <c r="AK1590" s="566"/>
      <c r="AL1590" s="333"/>
      <c r="AM1590" s="549" t="str">
        <f>EUconst_CNTR_CarbonContent&amp;EUconst_Value</f>
        <v>CarbC_Vertė</v>
      </c>
      <c r="AN1590" s="555" t="str">
        <f>IF(AC1590=TRUE,IF(COUNTIF(MSPara_SourceStreamCategory,V1590)=0,"",INDEX(MSPara_CalcFactorsMatrix,MATCH(V1590,MSPara_SourceStreamCategory,0),MATCH(AM1590&amp;"_"&amp;2,MSPara_CalcFactors,0))),"")</f>
        <v/>
      </c>
      <c r="AO1590" s="583" t="str">
        <f>IF(AC1590=TRUE,IF(COUNTIF(MSPara_SourceStreamCategory,V1590)=0,"",INDEX(MSPara_CalcFactorsMatrix,MATCH(V1590,MSPara_SourceStreamCategory,0),MATCH(AM1590&amp;"_"&amp;1,MSPara_CalcFactors,0))),"")</f>
        <v/>
      </c>
      <c r="AP1590" s="548" t="b">
        <f>AND(AND(AH1590&lt;&gt;"",AJ1590&lt;&gt;""),AJ1590=AH1590)</f>
        <v>0</v>
      </c>
      <c r="AQ1590" s="584" t="str">
        <f>IF(AND(AA1590&lt;&gt;"",AP1590=TRUE),IF(OR(INDEX(AN1590:AO1590,3-AA1590)=EUconst_NA,INDEX(AN1590:AO1590,3-AA1590)=0),"",INDEX(AN1590:AO1590,3-AA1590)),"")</f>
        <v/>
      </c>
      <c r="AR1590" s="548">
        <f>IF(AC1590=TRUE,IF(COUNT(K1590:L1590)=0,0,IF(L1590="",K1590,L1590)),0)</f>
        <v>0</v>
      </c>
      <c r="AS1590" s="544" t="b">
        <f>AND(AC1590=TRUE,OR(AND(F1590&lt;&gt;"",NOT(ISNUMBER(AA1590))),L1590&lt;&gt;"",F1590="",AQ1590=""))</f>
        <v>0</v>
      </c>
      <c r="AT1590" s="544" t="b">
        <f t="shared" si="394"/>
        <v>0</v>
      </c>
      <c r="AU1590" s="30"/>
      <c r="AV1590" s="558" t="b">
        <f t="shared" si="395"/>
        <v>0</v>
      </c>
      <c r="AW1590" s="559" t="b">
        <f t="shared" si="396"/>
        <v>0</v>
      </c>
      <c r="AX1590" s="537" t="b">
        <f>OR(AND(AJ1584=EUconst_kNm3,AJ1590=EUconst_tCpt),AND(AJ1584=EUconst_t,AJ1590=EUconst_tCpkNm3))</f>
        <v>0</v>
      </c>
      <c r="AY1590" s="544" t="b">
        <f t="shared" si="397"/>
        <v>0</v>
      </c>
      <c r="AZ1590" s="30"/>
      <c r="BA1590" s="30"/>
      <c r="BB1590" s="569" t="s">
        <v>482</v>
      </c>
      <c r="BC1590" s="570">
        <f>AR1584*AR1587/1000*AR1591</f>
        <v>0</v>
      </c>
      <c r="BD1590" s="571">
        <f>BC1590</f>
        <v>0</v>
      </c>
      <c r="BE1590" s="572">
        <f>BC1590</f>
        <v>0</v>
      </c>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544" t="b">
        <f>OR(BZ1584,Y1590=EUconst_NA)</f>
        <v>1</v>
      </c>
    </row>
    <row r="1591" spans="1:78" s="140" customFormat="1" ht="12.75" customHeight="1" x14ac:dyDescent="0.2">
      <c r="A1591" s="777"/>
      <c r="B1591" s="1248"/>
      <c r="C1591" s="753" t="s">
        <v>325</v>
      </c>
      <c r="D1591" s="503" t="str">
        <f>Translations!$B$641</f>
        <v>Biomasės dalis (BioC):</v>
      </c>
      <c r="E1591" s="504"/>
      <c r="F1591" s="539"/>
      <c r="G1591" s="1603" t="str">
        <f t="shared" si="392"/>
        <v/>
      </c>
      <c r="H1591" s="1604"/>
      <c r="I1591" s="1113" t="str">
        <f>IF(OR(AC1591=FALSE,Y1591=EUconst_NA),"","-")</f>
        <v/>
      </c>
      <c r="J1591" s="560"/>
      <c r="K1591" s="561" t="str">
        <f t="shared" si="393"/>
        <v/>
      </c>
      <c r="L1591" s="694"/>
      <c r="M1591" s="700" t="str">
        <f>IF(AND(E1575&lt;&gt;"",OR(F1591="",COUNT(K1591:L1591)=0),Y1591&lt;&gt;EUconst_NA,T1575&lt;&gt;TRUE),EUconst_ERR_Incomplete,IF(COUNTIF(AX1591:AZ1591,TRUE)&gt;0,EUconst_ERR_Inconsistent,""))</f>
        <v/>
      </c>
      <c r="O1591" s="1305"/>
      <c r="P1591" s="635"/>
      <c r="Q1591" s="635"/>
      <c r="R1591" s="635"/>
      <c r="S1591" s="30"/>
      <c r="T1591" s="543" t="str">
        <f>EUconst_CNTR_BiomassContent&amp;E1575</f>
        <v>BioC_</v>
      </c>
      <c r="U1591" s="488"/>
      <c r="V1591" s="585" t="str">
        <f t="shared" si="398"/>
        <v/>
      </c>
      <c r="W1591" s="522" t="str">
        <f>IF(COUNTIF(MSPara_SourceStreamCategory,V1591)=0,"",INDEX(MSPara_IsFossil,MATCH(V1591,MSPara_SourceStreamCategory,0)))</f>
        <v/>
      </c>
      <c r="X1591" s="488"/>
      <c r="Y1591" s="545" t="str">
        <f>IF(OR(T1575=TRUE,E1575=""),"",IF(OR(W1591=TRUE,F1591=EUconst_NA),EUconst_NA,INDEX(EUwideConstants!$N:$N,MATCH(T1591,EUwideConstants!$Q:$Q,0))))</f>
        <v/>
      </c>
      <c r="Z1591" s="546" t="str">
        <f>IF(ISBLANK(F1591),"",IF(F1591=EUconst_NA,"",INDEX(EUwideConstants!$H:$M,MATCH(T1591,EUwideConstants!$Q:$Q,0),MATCH(F1591,CNTR_TierList,0))))</f>
        <v/>
      </c>
      <c r="AA1591" s="586" t="str">
        <f>IF(F1591=1,1,"")</f>
        <v/>
      </c>
      <c r="AB1591" s="30"/>
      <c r="AC1591" s="548" t="b">
        <f>AND(AC1584,Y1591&lt;&gt;EUconst_NA)</f>
        <v>0</v>
      </c>
      <c r="AD1591" s="30"/>
      <c r="AE1591" s="563"/>
      <c r="AG1591" s="564"/>
      <c r="AH1591" s="553"/>
      <c r="AI1591" s="565"/>
      <c r="AJ1591" s="553"/>
      <c r="AK1591" s="566"/>
      <c r="AL1591" s="333"/>
      <c r="AM1591" s="549" t="str">
        <f>EUconst_CNTR_BiomassContent&amp;EUconst_Value</f>
        <v>BioC_Vertė</v>
      </c>
      <c r="AO1591" s="587" t="str">
        <f>IF(AC1591=TRUE,IF(COUNTIF(MSPara_SourceStreamCategory,V1591)=0,"",INDEX(MSPara_CalcFactorsMatrix,MATCH(V1591,MSPara_SourceStreamCategory,0),MATCH(AM1591&amp;"_"&amp;2,MSPara_CalcFactors,0))),"")</f>
        <v/>
      </c>
      <c r="AP1591" s="553"/>
      <c r="AQ1591" s="568" t="str">
        <f>IF(OR(AA1591="",AO1591=EUconst_NA),"",AO1591)</f>
        <v/>
      </c>
      <c r="AR1591" s="548">
        <f>IF(AC1591=TRUE,IF(COUNT(K1591:L1591)=0,0,IF(L1591="",K1591,L1591)),0)</f>
        <v>0</v>
      </c>
      <c r="AS1591" s="544" t="b">
        <f>AND(AC1591=TRUE,OR(AND(F1591&lt;&gt;"",NOT(ISNUMBER(AA1591))),L1591&lt;&gt;"",F1591="",AQ1591=""))</f>
        <v>0</v>
      </c>
      <c r="AT1591" s="544" t="b">
        <f t="shared" si="394"/>
        <v>0</v>
      </c>
      <c r="AU1591" s="30"/>
      <c r="AV1591" s="558" t="b">
        <f t="shared" si="395"/>
        <v>0</v>
      </c>
      <c r="AW1591" s="559" t="b">
        <f t="shared" si="396"/>
        <v>0</v>
      </c>
      <c r="AX1591" s="30"/>
      <c r="AY1591" s="585" t="b">
        <f t="shared" si="397"/>
        <v>0</v>
      </c>
      <c r="AZ1591" s="522" t="b">
        <f>OR(AR1591&gt;100%,(AR1591+AR1592)&gt;100%)</f>
        <v>0</v>
      </c>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544" t="b">
        <f>OR(BZ1584,Y1591=EUconst_NA)</f>
        <v>1</v>
      </c>
    </row>
    <row r="1592" spans="1:78" s="140" customFormat="1" ht="12.75" customHeight="1" thickBot="1" x14ac:dyDescent="0.25">
      <c r="A1592" s="777"/>
      <c r="B1592" s="1248"/>
      <c r="C1592" s="753" t="s">
        <v>448</v>
      </c>
      <c r="D1592" s="503" t="str">
        <f>Translations!$B$647</f>
        <v>Netvarios BioC dalis:</v>
      </c>
      <c r="E1592" s="504"/>
      <c r="F1592" s="588"/>
      <c r="G1592" s="1603" t="str">
        <f t="shared" si="392"/>
        <v/>
      </c>
      <c r="H1592" s="1604"/>
      <c r="I1592" s="1114" t="str">
        <f>IF(OR(AC1592=FALSE,Y1592=EUconst_NA),"","-")</f>
        <v/>
      </c>
      <c r="J1592" s="560"/>
      <c r="K1592" s="589" t="str">
        <f t="shared" si="393"/>
        <v/>
      </c>
      <c r="L1592" s="1100"/>
      <c r="M1592" s="700" t="str">
        <f>IF(AND(E1575&lt;&gt;"",OR(F1592="",COUNT(K1592:L1592)=0),Y1592&lt;&gt;EUconst_NA,T1575&lt;&gt;TRUE),EUconst_ERR_Incomplete,IF(COUNTIF(AX1592:AZ1592,TRUE)&gt;0,EUconst_ERR_Inconsistent,""))</f>
        <v/>
      </c>
      <c r="O1592" s="1305"/>
      <c r="P1592" s="635"/>
      <c r="Q1592" s="635"/>
      <c r="R1592" s="635"/>
      <c r="S1592" s="30"/>
      <c r="T1592" s="590" t="str">
        <f>EUconst_CNTR_BiomassContent&amp;E1575</f>
        <v>BioC_</v>
      </c>
      <c r="U1592" s="488"/>
      <c r="V1592" s="570" t="str">
        <f t="shared" si="398"/>
        <v/>
      </c>
      <c r="W1592" s="571" t="str">
        <f>IF(COUNTIF(MSPara_SourceStreamCategory,V1592)=0,"",INDEX(MSPara_IsFossil,MATCH(V1592,MSPara_SourceStreamCategory,0)))</f>
        <v/>
      </c>
      <c r="X1592" s="488"/>
      <c r="Y1592" s="591" t="str">
        <f>IF(OR(T1575=TRUE,E1575=""),"",IF(OR(W1592=TRUE,F1592=EUconst_NA),EUconst_NA,INDEX(EUwideConstants!$N:$N,MATCH(T1592,EUwideConstants!$Q:$Q,0))))</f>
        <v/>
      </c>
      <c r="Z1592" s="592" t="str">
        <f>IF(ISBLANK(F1592),"",IF(F1592=EUconst_NA,"",INDEX(EUwideConstants!$H:$M,MATCH(T1592,EUwideConstants!$Q:$Q,0),MATCH(F1592,CNTR_TierList,0))))</f>
        <v/>
      </c>
      <c r="AA1592" s="593" t="str">
        <f>IF(F1592=1,1,"")</f>
        <v/>
      </c>
      <c r="AB1592" s="30"/>
      <c r="AC1592" s="594" t="b">
        <f>AND(AC1584,Y1592&lt;&gt;EUconst_NA)</f>
        <v>0</v>
      </c>
      <c r="AD1592" s="30"/>
      <c r="AE1592" s="595"/>
      <c r="AF1592" s="596"/>
      <c r="AG1592" s="597"/>
      <c r="AH1592" s="598"/>
      <c r="AI1592" s="598"/>
      <c r="AJ1592" s="598"/>
      <c r="AK1592" s="599"/>
      <c r="AL1592" s="333"/>
      <c r="AM1592" s="600" t="str">
        <f>EUconst_CNTR_BiomassContent&amp;EUconst_Value</f>
        <v>BioC_Vertė</v>
      </c>
      <c r="AN1592" s="596"/>
      <c r="AO1592" s="601" t="str">
        <f>IF(AC1592=TRUE,IF(COUNTIF(MSPara_SourceStreamCategory,V1592)=0,"",INDEX(MSPara_CalcFactorsMatrix,MATCH(V1592,MSPara_SourceStreamCategory,0),MATCH(AM1592&amp;"_"&amp;2,MSPara_CalcFactors,0))),"")</f>
        <v/>
      </c>
      <c r="AP1592" s="598"/>
      <c r="AQ1592" s="602" t="str">
        <f>IF(OR(AA1592="",AO1592=EUconst_NA),"",AO1592)</f>
        <v/>
      </c>
      <c r="AR1592" s="594">
        <f>IF(AC1592=TRUE,IF(COUNT(K1592:L1592)=0,0,IF(L1592="",K1592,L1592)),0)</f>
        <v>0</v>
      </c>
      <c r="AS1592" s="603" t="b">
        <f>AND(AC1592=TRUE,OR(AND(F1592&lt;&gt;"",NOT(ISNUMBER(AA1592))),L1592&lt;&gt;"",F1592="",AQ1592=""))</f>
        <v>0</v>
      </c>
      <c r="AT1592" s="603" t="b">
        <f t="shared" si="394"/>
        <v>0</v>
      </c>
      <c r="AU1592" s="30"/>
      <c r="AV1592" s="604" t="b">
        <f t="shared" si="395"/>
        <v>0</v>
      </c>
      <c r="AW1592" s="605" t="b">
        <f t="shared" si="396"/>
        <v>0</v>
      </c>
      <c r="AX1592" s="30"/>
      <c r="AY1592" s="570" t="b">
        <f t="shared" si="397"/>
        <v>0</v>
      </c>
      <c r="AZ1592" s="571" t="b">
        <f>OR(AR1591&gt;100%,(AR1591+AR1592)&gt;100%)</f>
        <v>0</v>
      </c>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571" t="b">
        <f>OR(BZ1584,Y1592=EUconst_NA)</f>
        <v>1</v>
      </c>
    </row>
    <row r="1593" spans="1:78" s="140" customFormat="1" ht="5.0999999999999996" customHeight="1" x14ac:dyDescent="0.2">
      <c r="A1593" s="777"/>
      <c r="B1593" s="1248"/>
      <c r="C1593" s="164"/>
      <c r="D1593" s="178"/>
      <c r="O1593" s="1305"/>
      <c r="P1593" s="33"/>
      <c r="Q1593" s="33"/>
      <c r="R1593" s="33"/>
      <c r="S1593" s="172"/>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row>
    <row r="1594" spans="1:78" s="140" customFormat="1" ht="12.75" customHeight="1" x14ac:dyDescent="0.2">
      <c r="A1594" s="777"/>
      <c r="B1594" s="1248"/>
      <c r="C1594" s="164"/>
      <c r="D1594" s="1629" t="str">
        <f>Translations!$B$674</f>
        <v>Pakopos galioja nuo:</v>
      </c>
      <c r="E1594" s="1629"/>
      <c r="F1594" s="1630"/>
      <c r="G1594" s="1014"/>
      <c r="H1594" s="606" t="str">
        <f>Translations!$B$675</f>
        <v>iki:</v>
      </c>
      <c r="I1594" s="1014"/>
      <c r="J1594" s="1620" t="str">
        <f>Translations!$B$676</f>
        <v>Atliekų katalogo numeris (jeigu taikytina):</v>
      </c>
      <c r="K1594" s="1621"/>
      <c r="L1594" s="1621"/>
      <c r="M1594" s="1622"/>
      <c r="N1594" s="1232"/>
      <c r="O1594" s="1305"/>
      <c r="P1594" s="33"/>
      <c r="Q1594" s="33"/>
      <c r="R1594" s="33"/>
      <c r="S1594" s="1233"/>
      <c r="T1594" s="483"/>
      <c r="U1594" s="483"/>
      <c r="V1594" s="48" t="b">
        <f>IF(V1584="",FALSE,INDEX(CNTR_IsWaste,MATCH(V1584,MSParameters!$A$218:$A$376,0)))</f>
        <v>0</v>
      </c>
      <c r="W1594" s="1233" t="s">
        <v>1689</v>
      </c>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2" t="b">
        <f>BZ1584</f>
        <v>1</v>
      </c>
    </row>
    <row r="1595" spans="1:78" s="140" customFormat="1" ht="5.0999999999999996" customHeight="1" x14ac:dyDescent="0.2">
      <c r="A1595" s="777"/>
      <c r="B1595" s="1248"/>
      <c r="C1595" s="164"/>
      <c r="D1595" s="606"/>
      <c r="E1595" s="486"/>
      <c r="F1595" s="486"/>
      <c r="G1595" s="486"/>
      <c r="H1595" s="486"/>
      <c r="I1595" s="486"/>
      <c r="J1595" s="486"/>
      <c r="K1595" s="486"/>
      <c r="L1595" s="486"/>
      <c r="M1595" s="486"/>
      <c r="N1595" s="486"/>
      <c r="O1595" s="1305"/>
      <c r="P1595" s="33"/>
      <c r="Q1595" s="33"/>
      <c r="R1595" s="33"/>
      <c r="S1595" s="172"/>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row>
    <row r="1596" spans="1:78" s="140" customFormat="1" ht="12.75" customHeight="1" x14ac:dyDescent="0.2">
      <c r="A1596" s="777"/>
      <c r="B1596" s="1248"/>
      <c r="C1596" s="164"/>
      <c r="D1596" s="486"/>
      <c r="E1596" s="486"/>
      <c r="F1596" s="486"/>
      <c r="G1596" s="486"/>
      <c r="H1596" s="486"/>
      <c r="I1596" s="486"/>
      <c r="J1596" s="486"/>
      <c r="K1596" s="486"/>
      <c r="L1596" s="486"/>
      <c r="M1596" s="606" t="str">
        <f>Translations!$B$677</f>
        <v>Stebėsenos plane šiam sukėlikliui suteiktas identifikatorius:</v>
      </c>
      <c r="N1596" s="705"/>
      <c r="O1596" s="1305"/>
      <c r="P1596" s="33"/>
      <c r="Q1596" s="33"/>
      <c r="R1596" s="33"/>
      <c r="S1596" s="172"/>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2" t="b">
        <f>BZ1594</f>
        <v>1</v>
      </c>
    </row>
    <row r="1597" spans="1:78" s="140" customFormat="1" ht="5.0999999999999996" customHeight="1" x14ac:dyDescent="0.2">
      <c r="A1597" s="784"/>
      <c r="B1597" s="1316"/>
      <c r="D1597" s="178"/>
      <c r="O1597" s="1317"/>
      <c r="P1597" s="488"/>
      <c r="Q1597" s="488"/>
      <c r="R1597" s="488"/>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row>
    <row r="1598" spans="1:78" s="140" customFormat="1" x14ac:dyDescent="0.2">
      <c r="A1598" s="784"/>
      <c r="B1598" s="1316"/>
      <c r="D1598" s="1618" t="str">
        <f>Translations!$B$160</f>
        <v>Pastabos:</v>
      </c>
      <c r="E1598" s="1619"/>
      <c r="F1598" s="1605"/>
      <c r="G1598" s="1606"/>
      <c r="H1598" s="1606"/>
      <c r="I1598" s="1606"/>
      <c r="J1598" s="1606"/>
      <c r="K1598" s="1606"/>
      <c r="L1598" s="1606"/>
      <c r="M1598" s="1606"/>
      <c r="N1598" s="1607"/>
      <c r="O1598" s="1317"/>
      <c r="P1598" s="488"/>
      <c r="Q1598" s="488"/>
      <c r="R1598" s="488"/>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2" t="b">
        <f>BZ1594</f>
        <v>1</v>
      </c>
    </row>
    <row r="1599" spans="1:78" s="28" customFormat="1" ht="12.75" customHeight="1" thickBot="1" x14ac:dyDescent="0.25">
      <c r="A1599" s="777"/>
      <c r="B1599" s="1312"/>
      <c r="C1599" s="490"/>
      <c r="D1599" s="491"/>
      <c r="E1599" s="492"/>
      <c r="F1599" s="490"/>
      <c r="G1599" s="493"/>
      <c r="H1599" s="493"/>
      <c r="I1599" s="493"/>
      <c r="J1599" s="493"/>
      <c r="K1599" s="493"/>
      <c r="L1599" s="493"/>
      <c r="M1599" s="493"/>
      <c r="N1599" s="493"/>
      <c r="O1599" s="1313"/>
      <c r="P1599" s="485"/>
      <c r="Q1599" s="485"/>
      <c r="R1599" s="485"/>
      <c r="S1599" s="58"/>
      <c r="T1599" s="58"/>
      <c r="U1599" s="489"/>
      <c r="V1599" s="58"/>
      <c r="W1599" s="58"/>
      <c r="X1599" s="489"/>
      <c r="Y1599" s="58"/>
      <c r="Z1599" s="58"/>
      <c r="AA1599" s="58"/>
      <c r="AB1599" s="58"/>
      <c r="AC1599" s="58"/>
      <c r="AD1599" s="58"/>
      <c r="AE1599" s="58"/>
      <c r="AF1599" s="58"/>
      <c r="AG1599" s="58"/>
      <c r="AH1599" s="58"/>
      <c r="AI1599" s="58"/>
      <c r="AJ1599" s="58"/>
      <c r="AK1599" s="58"/>
      <c r="AL1599" s="58"/>
      <c r="AM1599" s="58"/>
      <c r="AN1599" s="58"/>
      <c r="AO1599" s="58"/>
      <c r="AP1599" s="58"/>
      <c r="AQ1599" s="58"/>
      <c r="AR1599" s="58"/>
      <c r="AS1599" s="58"/>
      <c r="AT1599" s="58"/>
      <c r="AU1599" s="58"/>
      <c r="AV1599" s="58"/>
      <c r="AW1599" s="58"/>
      <c r="AX1599" s="58"/>
      <c r="AY1599" s="58"/>
      <c r="AZ1599" s="58"/>
      <c r="BA1599" s="58"/>
      <c r="BB1599" s="58"/>
      <c r="BC1599" s="58"/>
      <c r="BD1599" s="58"/>
      <c r="BE1599" s="58"/>
      <c r="BF1599" s="58"/>
      <c r="BG1599" s="58"/>
      <c r="BH1599" s="58"/>
      <c r="BI1599" s="30"/>
      <c r="BJ1599" s="30"/>
      <c r="BK1599" s="30"/>
      <c r="BL1599" s="58"/>
      <c r="BM1599" s="58"/>
      <c r="BN1599" s="58"/>
      <c r="BO1599" s="58"/>
      <c r="BP1599" s="58"/>
      <c r="BQ1599" s="58"/>
      <c r="BR1599" s="58"/>
      <c r="BS1599" s="58"/>
      <c r="BT1599" s="58"/>
      <c r="BU1599" s="58"/>
      <c r="BV1599" s="58"/>
      <c r="BW1599" s="58"/>
      <c r="BX1599" s="58"/>
      <c r="BY1599" s="58"/>
      <c r="BZ1599" s="58"/>
    </row>
    <row r="1600" spans="1:78" s="28" customFormat="1" ht="12.75" customHeight="1" thickBot="1" x14ac:dyDescent="0.25">
      <c r="A1600" s="782"/>
      <c r="B1600" s="1312"/>
      <c r="C1600" s="486"/>
      <c r="D1600" s="178"/>
      <c r="E1600" s="487"/>
      <c r="F1600" s="486"/>
      <c r="G1600" s="478"/>
      <c r="H1600" s="478"/>
      <c r="I1600" s="478"/>
      <c r="J1600" s="478"/>
      <c r="K1600" s="486"/>
      <c r="L1600" s="478"/>
      <c r="M1600" s="478"/>
      <c r="N1600" s="478"/>
      <c r="O1600" s="1313"/>
      <c r="P1600" s="485"/>
      <c r="Q1600" s="485"/>
      <c r="R1600" s="485"/>
      <c r="S1600" s="23"/>
      <c r="T1600" s="27" t="str">
        <f>IF(ISBLANK(E1601),"",MATCH(E1601,CNTR_SourceStreamNames,0))</f>
        <v/>
      </c>
      <c r="U1600" s="609" t="str">
        <f>IF(ISBLANK(E1601),"",INDEX(B_InstallationDescription!$D$71:$D$145,MATCH(E1601,CNTR_SourceStreamNames,0)))</f>
        <v/>
      </c>
      <c r="V1600" s="76"/>
      <c r="W1600" s="56"/>
      <c r="X1600" s="56"/>
      <c r="Y1600" s="56"/>
      <c r="Z1600" s="58"/>
      <c r="AA1600" s="58"/>
      <c r="AB1600" s="58"/>
      <c r="AC1600" s="58"/>
      <c r="AD1600" s="58"/>
      <c r="AE1600" s="58"/>
      <c r="AF1600" s="58"/>
      <c r="AG1600" s="58"/>
      <c r="AH1600" s="58"/>
      <c r="AI1600" s="58"/>
      <c r="AJ1600" s="58"/>
      <c r="AK1600" s="482"/>
      <c r="AL1600" s="58"/>
      <c r="AM1600" s="58"/>
      <c r="AN1600" s="58"/>
      <c r="AO1600" s="58"/>
      <c r="AP1600" s="58"/>
      <c r="AQ1600" s="58"/>
      <c r="AR1600" s="58"/>
      <c r="AS1600" s="58"/>
      <c r="AT1600" s="58"/>
      <c r="AU1600" s="58"/>
      <c r="AV1600" s="58"/>
      <c r="AW1600" s="58"/>
      <c r="AX1600" s="58"/>
      <c r="AY1600" s="58"/>
      <c r="AZ1600" s="58"/>
      <c r="BA1600" s="58"/>
      <c r="BB1600" s="58"/>
      <c r="BC1600" s="58"/>
      <c r="BD1600" s="58"/>
      <c r="BE1600" s="58"/>
      <c r="BF1600" s="58"/>
      <c r="BG1600" s="58"/>
      <c r="BH1600" s="56"/>
      <c r="BI1600" s="56"/>
      <c r="BJ1600" s="56"/>
      <c r="BK1600" s="56"/>
      <c r="BL1600" s="56"/>
      <c r="BM1600" s="56"/>
      <c r="BN1600" s="56"/>
      <c r="BO1600" s="56"/>
      <c r="BP1600" s="56"/>
      <c r="BQ1600" s="56"/>
      <c r="BR1600" s="56"/>
      <c r="BS1600" s="56"/>
      <c r="BT1600" s="56"/>
      <c r="BU1600" s="56"/>
      <c r="BV1600" s="56"/>
      <c r="BW1600" s="56"/>
      <c r="BX1600" s="56"/>
      <c r="BY1600" s="56"/>
      <c r="BZ1600" s="484" t="s">
        <v>259</v>
      </c>
    </row>
    <row r="1601" spans="1:78" s="140" customFormat="1" ht="15" customHeight="1" thickBot="1" x14ac:dyDescent="0.25">
      <c r="A1601" s="1302" t="str">
        <f>IF(E1601="","","PRINT")</f>
        <v/>
      </c>
      <c r="B1601" s="1248"/>
      <c r="C1601" s="608">
        <f>C1574+1</f>
        <v>58</v>
      </c>
      <c r="D1601" s="164"/>
      <c r="E1601" s="1610"/>
      <c r="F1601" s="1611"/>
      <c r="G1601" s="1611"/>
      <c r="H1601" s="1611"/>
      <c r="I1601" s="1611"/>
      <c r="J1601" s="1612"/>
      <c r="K1601" s="1623" t="str">
        <f>IF(E1602="","",INDEX(EUwideConstants!$F$353:$F$394,MATCH(E1602,EUConst_TierActivityListNames,0)))</f>
        <v/>
      </c>
      <c r="L1601" s="1624"/>
      <c r="M1601" s="494" t="str">
        <f>Translations!$B$665</f>
        <v>CO2, iškastinio kuro kilmės:</v>
      </c>
      <c r="N1601" s="1012" t="str">
        <f>IF(OR(K1601="",T1602=TRUE),"",INDEX(BC1615:BE1615,MATCH(K1601,BC1611:BE1611,0)))</f>
        <v/>
      </c>
      <c r="O1601" s="1314" t="s">
        <v>257</v>
      </c>
      <c r="P1601" s="1303" t="str">
        <f>IF(AND(E1601&lt;&gt;"",COUNTIF(P1602:$P$2089,"PRINT")=0),"PRINT","")</f>
        <v/>
      </c>
      <c r="Q1601" s="343" t="str">
        <f>EUconst_SumCO2 &amp; "_" &amp; K1601</f>
        <v>SUM_CO2_</v>
      </c>
      <c r="R1601" s="485"/>
      <c r="S1601" s="23"/>
      <c r="T1601" s="500" t="s">
        <v>387</v>
      </c>
      <c r="U1601" s="23"/>
      <c r="V1601" s="76"/>
      <c r="W1601" s="56"/>
      <c r="X1601" s="58"/>
      <c r="Y1601" s="58"/>
      <c r="Z1601" s="58"/>
      <c r="AA1601" s="58"/>
      <c r="AB1601" s="58"/>
      <c r="AC1601" s="58"/>
      <c r="AD1601" s="58"/>
      <c r="AE1601" s="58"/>
      <c r="AF1601" s="58"/>
      <c r="AG1601" s="58"/>
      <c r="AH1601" s="58"/>
      <c r="AI1601" s="333"/>
      <c r="AJ1601" s="333"/>
      <c r="AK1601" s="333"/>
      <c r="AL1601" s="333"/>
      <c r="AM1601" s="333"/>
      <c r="AN1601" s="333"/>
      <c r="AO1601" s="333"/>
      <c r="AP1601" s="333"/>
      <c r="AQ1601" s="333"/>
      <c r="AR1601" s="333"/>
      <c r="AS1601" s="333"/>
      <c r="AT1601" s="333"/>
      <c r="AU1601" s="333"/>
      <c r="AV1601" s="333"/>
      <c r="AW1601" s="333"/>
      <c r="AX1601" s="333"/>
      <c r="AY1601" s="333"/>
      <c r="AZ1601" s="333"/>
      <c r="BA1601" s="333"/>
      <c r="BB1601" s="333"/>
      <c r="BC1601" s="333"/>
      <c r="BD1601" s="333"/>
      <c r="BE1601" s="333"/>
      <c r="BF1601" s="333"/>
      <c r="BG1601" s="333"/>
      <c r="BH1601" s="834">
        <f>AR1611</f>
        <v>0</v>
      </c>
      <c r="BI1601" s="834" t="str">
        <f>AJ1611</f>
        <v/>
      </c>
      <c r="BJ1601" s="834">
        <f>AR1613</f>
        <v>0</v>
      </c>
      <c r="BK1601" s="834" t="str">
        <f>AJ1613</f>
        <v/>
      </c>
      <c r="BL1601" s="834">
        <f>AR1614</f>
        <v>0</v>
      </c>
      <c r="BM1601" s="834" t="str">
        <f>AJ1614</f>
        <v/>
      </c>
      <c r="BN1601" s="834">
        <f>AR1615</f>
        <v>1</v>
      </c>
      <c r="BO1601" s="834">
        <f>AR1616</f>
        <v>1</v>
      </c>
      <c r="BP1601" s="834">
        <f>AR1617</f>
        <v>0</v>
      </c>
      <c r="BQ1601" s="834" t="str">
        <f>AJ1617</f>
        <v/>
      </c>
      <c r="BR1601" s="834">
        <f>AR1618</f>
        <v>0</v>
      </c>
      <c r="BS1601" s="834">
        <f>AR1619</f>
        <v>0</v>
      </c>
      <c r="BT1601" s="834" t="str">
        <f>N1601</f>
        <v/>
      </c>
      <c r="BU1601" s="834" t="str">
        <f>N1602</f>
        <v/>
      </c>
      <c r="BV1601" s="834" t="str">
        <f>R1604</f>
        <v/>
      </c>
      <c r="BW1601" s="834" t="str">
        <f>R1610</f>
        <v/>
      </c>
      <c r="BX1601" s="834" t="str">
        <f>R1611</f>
        <v/>
      </c>
      <c r="BY1601" s="56"/>
      <c r="BZ1601" s="610" t="b">
        <f>CNTR_CalcRelevant=EUconst_NotRelevant</f>
        <v>0</v>
      </c>
    </row>
    <row r="1602" spans="1:78" s="140" customFormat="1" ht="15" customHeight="1" thickBot="1" x14ac:dyDescent="0.25">
      <c r="A1602" s="777"/>
      <c r="B1602" s="1248"/>
      <c r="C1602" s="164"/>
      <c r="D1602" s="164"/>
      <c r="E1602" s="1625" t="str">
        <f>IF(ISBLANK(E1601),"",IF(INDEX(B_InstallationDescription!$E$71:$E$145,MATCH(U1600,B_InstallationDescription!$D$71:$D$145,0))&gt;0,INDEX(B_InstallationDescription!$E$71:$E$145,MATCH(U1600,B_InstallationDescription!$D$71:$D$145,0)),""))</f>
        <v/>
      </c>
      <c r="F1602" s="1626"/>
      <c r="G1602" s="1626"/>
      <c r="H1602" s="1626"/>
      <c r="I1602" s="1626"/>
      <c r="J1602" s="1627"/>
      <c r="M1602" s="337" t="str">
        <f>Translations!$B$666</f>
        <v>CO2, biomasės kilmės.:</v>
      </c>
      <c r="N1602" s="1013" t="str">
        <f>IF(OR(K1601="",T1602=TRUE),"",INDEX(BC1614:BE1614,MATCH(K1601,BC1611:BE1611,0)))</f>
        <v/>
      </c>
      <c r="O1602" s="1315" t="s">
        <v>257</v>
      </c>
      <c r="P1602" s="485"/>
      <c r="Q1602" s="343" t="str">
        <f>EUconst_SumBioCO2 &amp; "_" &amp; K1601</f>
        <v>SUM_bioCO2_</v>
      </c>
      <c r="R1602" s="485"/>
      <c r="S1602" s="23"/>
      <c r="T1602" s="48" t="str">
        <f>IF(E1602="","",MATCH(E1602,EUConst_TierActivityListNames,0)&gt;40)</f>
        <v/>
      </c>
      <c r="U1602" s="23"/>
      <c r="V1602" s="76"/>
      <c r="W1602" s="56"/>
      <c r="X1602" s="58"/>
      <c r="Y1602" s="27" t="s">
        <v>91</v>
      </c>
      <c r="Z1602" s="30"/>
      <c r="AA1602" s="30"/>
      <c r="AB1602" s="30"/>
      <c r="AC1602" s="30"/>
      <c r="AD1602" s="30"/>
      <c r="AE1602" s="27" t="s">
        <v>297</v>
      </c>
      <c r="AF1602" s="58"/>
      <c r="AG1602" s="495"/>
      <c r="AH1602" s="30"/>
      <c r="AI1602" s="30"/>
      <c r="AJ1602" s="495"/>
      <c r="AK1602" s="495"/>
      <c r="AL1602" s="333"/>
      <c r="AM1602" s="27" t="s">
        <v>303</v>
      </c>
      <c r="AN1602" s="496"/>
      <c r="AO1602" s="496"/>
      <c r="AP1602" s="30"/>
      <c r="AQ1602" s="30"/>
      <c r="AR1602" s="30"/>
      <c r="AS1602" s="30"/>
      <c r="AT1602" s="30"/>
      <c r="AU1602" s="30"/>
      <c r="AV1602" s="27" t="s">
        <v>310</v>
      </c>
      <c r="AW1602" s="30"/>
      <c r="AX1602" s="483"/>
      <c r="AY1602" s="30"/>
      <c r="AZ1602" s="30"/>
      <c r="BA1602" s="30"/>
      <c r="BB1602" s="27" t="s">
        <v>217</v>
      </c>
      <c r="BC1602" s="30"/>
      <c r="BD1602" s="30"/>
      <c r="BE1602" s="30"/>
      <c r="BF1602" s="30"/>
      <c r="BG1602" s="27" t="s">
        <v>486</v>
      </c>
      <c r="BH1602" s="833" t="s">
        <v>552</v>
      </c>
      <c r="BI1602" s="833" t="s">
        <v>487</v>
      </c>
      <c r="BJ1602" s="833" t="s">
        <v>211</v>
      </c>
      <c r="BK1602" s="833" t="s">
        <v>488</v>
      </c>
      <c r="BL1602" s="833" t="s">
        <v>68</v>
      </c>
      <c r="BM1602" s="833" t="s">
        <v>489</v>
      </c>
      <c r="BN1602" s="833" t="s">
        <v>490</v>
      </c>
      <c r="BO1602" s="833" t="s">
        <v>491</v>
      </c>
      <c r="BP1602" s="833" t="s">
        <v>214</v>
      </c>
      <c r="BQ1602" s="833" t="s">
        <v>492</v>
      </c>
      <c r="BR1602" s="833" t="s">
        <v>493</v>
      </c>
      <c r="BS1602" s="833" t="s">
        <v>494</v>
      </c>
      <c r="BT1602" s="833" t="s">
        <v>287</v>
      </c>
      <c r="BU1602" s="833" t="s">
        <v>495</v>
      </c>
      <c r="BV1602" s="833" t="s">
        <v>498</v>
      </c>
      <c r="BW1602" s="833" t="s">
        <v>496</v>
      </c>
      <c r="BX1602" s="833" t="s">
        <v>497</v>
      </c>
      <c r="BY1602" s="30"/>
      <c r="BZ1602" s="30"/>
    </row>
    <row r="1603" spans="1:78" s="140" customFormat="1" ht="5.0999999999999996" customHeight="1" thickBot="1" x14ac:dyDescent="0.25">
      <c r="A1603" s="777"/>
      <c r="B1603" s="1248"/>
      <c r="C1603" s="164"/>
      <c r="D1603" s="164"/>
      <c r="E1603" s="164"/>
      <c r="F1603" s="164"/>
      <c r="G1603" s="164"/>
      <c r="M1603" s="141"/>
      <c r="N1603" s="141"/>
      <c r="O1603" s="1305"/>
      <c r="P1603" s="33"/>
      <c r="Q1603" s="33"/>
      <c r="R1603" s="33"/>
      <c r="S1603" s="23"/>
      <c r="T1603" s="23"/>
      <c r="U1603" s="23"/>
      <c r="V1603" s="76"/>
      <c r="W1603" s="30"/>
      <c r="X1603" s="30"/>
      <c r="Y1603" s="485"/>
      <c r="Z1603" s="30"/>
      <c r="AA1603" s="30"/>
      <c r="AB1603" s="30"/>
      <c r="AC1603" s="30"/>
      <c r="AD1603" s="30"/>
      <c r="AE1603" s="30"/>
      <c r="AF1603" s="58"/>
      <c r="AG1603" s="30"/>
      <c r="AH1603" s="30"/>
      <c r="AI1603" s="30"/>
      <c r="AJ1603" s="495"/>
      <c r="AK1603" s="495"/>
      <c r="AL1603" s="333"/>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row>
    <row r="1604" spans="1:78" s="140" customFormat="1" ht="12.75" customHeight="1" thickBot="1" x14ac:dyDescent="0.25">
      <c r="A1604" s="777"/>
      <c r="B1604" s="1248"/>
      <c r="C1604" s="164"/>
      <c r="D1604" s="164"/>
      <c r="E1604" s="1628" t="str">
        <f>IF(E1601="","",IF(T1602=TRUE,HYPERLINK("#JUMP_14",EUconst_MsgGoOnPFC),HYPERLINK("#JUMP_E_8",EUconst_FurtherGuidancePoint1)))</f>
        <v/>
      </c>
      <c r="F1604" s="1628"/>
      <c r="G1604" s="1628"/>
      <c r="H1604" s="1628"/>
      <c r="I1604" s="1628"/>
      <c r="J1604" s="1628"/>
      <c r="K1604" s="1628"/>
      <c r="L1604" s="1628"/>
      <c r="M1604" s="1628"/>
      <c r="N1604" s="141"/>
      <c r="O1604" s="1305"/>
      <c r="P1604" s="33"/>
      <c r="Q1604" s="343" t="str">
        <f>EUconst_SumNonSustBioCO2 &amp; "_" &amp; K1601</f>
        <v>SUM_bioNonSustCO2_</v>
      </c>
      <c r="R1604" s="698" t="str">
        <f>IF(OR(K1601="",T1602=TRUE),"",ROUND(INDEX(BC1613:BE1613,MATCH(K1601,BC1611:BE1611,0)),0))</f>
        <v/>
      </c>
      <c r="S1604" s="23"/>
      <c r="T1604" s="23"/>
      <c r="U1604" s="23"/>
      <c r="V1604" s="30"/>
      <c r="W1604" s="30"/>
      <c r="X1604" s="30"/>
      <c r="Y1604" s="58"/>
      <c r="Z1604" s="30"/>
      <c r="AA1604" s="30"/>
      <c r="AB1604" s="30"/>
      <c r="AC1604" s="30"/>
      <c r="AD1604" s="30"/>
      <c r="AE1604" s="30"/>
      <c r="AF1604" s="58"/>
      <c r="AG1604" s="30"/>
      <c r="AH1604" s="30"/>
      <c r="AI1604" s="30"/>
      <c r="AJ1604" s="495"/>
      <c r="AK1604" s="495"/>
      <c r="AL1604" s="333"/>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row>
    <row r="1605" spans="1:78" s="140" customFormat="1" ht="5.0999999999999996" customHeight="1" thickBot="1" x14ac:dyDescent="0.25">
      <c r="A1605" s="777"/>
      <c r="B1605" s="1248"/>
      <c r="C1605" s="164"/>
      <c r="D1605" s="164"/>
      <c r="E1605" s="164"/>
      <c r="F1605" s="164"/>
      <c r="G1605" s="164"/>
      <c r="M1605" s="141"/>
      <c r="N1605" s="141"/>
      <c r="O1605" s="1305"/>
      <c r="P1605" s="23"/>
      <c r="Q1605" s="23"/>
      <c r="R1605" s="23"/>
      <c r="S1605" s="23"/>
      <c r="T1605" s="23"/>
      <c r="U1605" s="23"/>
      <c r="V1605" s="30"/>
      <c r="W1605" s="30"/>
      <c r="X1605" s="30"/>
      <c r="Y1605" s="485"/>
      <c r="Z1605" s="30"/>
      <c r="AA1605" s="30"/>
      <c r="AB1605" s="30"/>
      <c r="AC1605" s="30"/>
      <c r="AD1605" s="30"/>
      <c r="AE1605" s="30"/>
      <c r="AF1605" s="58"/>
      <c r="AG1605" s="30"/>
      <c r="AH1605" s="30"/>
      <c r="AI1605" s="30"/>
      <c r="AJ1605" s="495"/>
      <c r="AK1605" s="495"/>
      <c r="AL1605" s="333"/>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row>
    <row r="1606" spans="1:78" s="140" customFormat="1" ht="12.75" customHeight="1" thickBot="1" x14ac:dyDescent="0.25">
      <c r="A1606" s="777"/>
      <c r="B1606" s="1248"/>
      <c r="C1606" s="783" t="s">
        <v>4</v>
      </c>
      <c r="D1606" s="503" t="str">
        <f>Translations!$B$622</f>
        <v>VD:</v>
      </c>
      <c r="E1606" s="1631" t="str">
        <f>Translations!$B$667</f>
        <v>Ar veiklos duomenys gaunami sudedant išmatuotus kiekius (t. y. ne atliekant nuolatinius matavimus)?</v>
      </c>
      <c r="F1606" s="1631"/>
      <c r="G1606" s="1631"/>
      <c r="H1606" s="1631"/>
      <c r="I1606" s="1631"/>
      <c r="J1606" s="1631"/>
      <c r="K1606" s="1631"/>
      <c r="L1606" s="1122"/>
      <c r="M1606" s="498"/>
      <c r="O1606" s="1305"/>
      <c r="P1606" s="23"/>
      <c r="Q1606" s="23"/>
      <c r="R1606" s="23"/>
      <c r="S1606" s="23"/>
      <c r="T1606" s="23"/>
      <c r="U1606" s="23"/>
      <c r="V1606" s="30"/>
      <c r="W1606" s="30"/>
      <c r="X1606" s="30"/>
      <c r="Y1606" s="485"/>
      <c r="Z1606" s="30"/>
      <c r="AA1606" s="30"/>
      <c r="AB1606" s="30"/>
      <c r="AC1606" s="1115" t="b">
        <f>AND(E1601&lt;&gt;"",T1602&lt;&gt;TRUE)</f>
        <v>0</v>
      </c>
      <c r="AD1606" s="30"/>
      <c r="AE1606" s="30"/>
      <c r="AF1606" s="58"/>
      <c r="AG1606" s="30"/>
      <c r="AH1606" s="30"/>
      <c r="AI1606" s="30"/>
      <c r="AJ1606" s="495"/>
      <c r="AK1606" s="495"/>
      <c r="AL1606" s="333"/>
      <c r="AM1606" s="30"/>
      <c r="AN1606" s="30"/>
      <c r="AO1606" s="30"/>
      <c r="AP1606" s="30"/>
      <c r="AQ1606" s="30"/>
      <c r="AR1606" s="30"/>
      <c r="AS1606" s="30"/>
      <c r="AT1606" s="1115" t="b">
        <f>MSPara_BatchReportingMandatory&lt;&gt;TRUE</f>
        <v>0</v>
      </c>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1115" t="b">
        <f>OR(CNTR_CalcRelevant=EUconst_NotRelevant,AND(COUNTA(CNTR_ListRelevantSections)&gt;0,OR(T1602=TRUE,E1601="")))</f>
        <v>1</v>
      </c>
    </row>
    <row r="1607" spans="1:78" s="140" customFormat="1" ht="5.0999999999999996" customHeight="1" thickBot="1" x14ac:dyDescent="0.25">
      <c r="A1607" s="777"/>
      <c r="B1607" s="1248"/>
      <c r="C1607" s="164"/>
      <c r="D1607" s="164"/>
      <c r="E1607" s="164"/>
      <c r="F1607" s="164"/>
      <c r="G1607" s="164"/>
      <c r="H1607" s="486"/>
      <c r="I1607" s="486"/>
      <c r="J1607" s="486"/>
      <c r="K1607" s="486"/>
      <c r="L1607" s="486"/>
      <c r="M1607" s="498"/>
      <c r="O1607" s="1305"/>
      <c r="P1607" s="23"/>
      <c r="Q1607" s="23"/>
      <c r="R1607" s="23"/>
      <c r="S1607" s="23"/>
      <c r="T1607" s="23"/>
      <c r="U1607" s="23"/>
      <c r="V1607" s="30"/>
      <c r="W1607" s="30"/>
      <c r="X1607" s="30"/>
      <c r="Y1607" s="485"/>
      <c r="Z1607" s="30"/>
      <c r="AA1607" s="30"/>
      <c r="AB1607" s="30"/>
      <c r="AC1607" s="483"/>
      <c r="AD1607" s="30"/>
      <c r="AE1607" s="30"/>
      <c r="AF1607" s="58"/>
      <c r="AG1607" s="30"/>
      <c r="AH1607" s="30"/>
      <c r="AI1607" s="30"/>
      <c r="AJ1607" s="495"/>
      <c r="AK1607" s="495"/>
      <c r="AL1607" s="333"/>
      <c r="AM1607" s="30"/>
      <c r="AN1607" s="30"/>
      <c r="AO1607" s="30"/>
      <c r="AP1607" s="30"/>
      <c r="AQ1607" s="30"/>
      <c r="AR1607" s="30"/>
      <c r="AS1607" s="30"/>
      <c r="AT1607" s="483"/>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483"/>
    </row>
    <row r="1608" spans="1:78" s="140" customFormat="1" ht="12.75" customHeight="1" thickBot="1" x14ac:dyDescent="0.25">
      <c r="A1608" s="777"/>
      <c r="B1608" s="1248"/>
      <c r="C1608" s="783" t="s">
        <v>5</v>
      </c>
      <c r="D1608" s="503" t="str">
        <f>Translations!$B$622</f>
        <v>VD:</v>
      </c>
      <c r="E1608" s="1105" t="str">
        <f>Translations!$B$668</f>
        <v>Pradinis kiekis:</v>
      </c>
      <c r="F1608" s="1123"/>
      <c r="G1608" s="1106" t="str">
        <f>Translations!$B$669</f>
        <v>Galutinis kiekis:</v>
      </c>
      <c r="H1608" s="1123"/>
      <c r="I1608" s="1106" t="str">
        <f>Translations!$B$670</f>
        <v>Įsigytas kiekis:</v>
      </c>
      <c r="J1608" s="1123"/>
      <c r="K1608" s="1106" t="str">
        <f>Translations!$B$671</f>
        <v>Perduotas kiekis:</v>
      </c>
      <c r="L1608" s="1123"/>
      <c r="M1608" s="1107" t="str">
        <f>IF(AND(L1606=TRUE,COUNT(F1608,H1608,J1608,L1608)&lt;4),EUconst_ERR_Incomplete,"")</f>
        <v/>
      </c>
      <c r="O1608" s="1305"/>
      <c r="P1608" s="23"/>
      <c r="Q1608" s="23"/>
      <c r="R1608" s="23"/>
      <c r="S1608" s="23"/>
      <c r="T1608" s="23"/>
      <c r="U1608" s="23"/>
      <c r="V1608" s="30"/>
      <c r="W1608" s="30"/>
      <c r="X1608" s="30"/>
      <c r="Y1608" s="485"/>
      <c r="Z1608" s="30"/>
      <c r="AA1608" s="30"/>
      <c r="AB1608" s="30"/>
      <c r="AC1608" s="1115" t="b">
        <f>AC1606</f>
        <v>0</v>
      </c>
      <c r="AD1608" s="30"/>
      <c r="AE1608" s="30"/>
      <c r="AF1608" s="58"/>
      <c r="AG1608" s="30"/>
      <c r="AH1608" s="30"/>
      <c r="AI1608" s="30"/>
      <c r="AJ1608" s="495"/>
      <c r="AK1608" s="495"/>
      <c r="AL1608" s="333"/>
      <c r="AM1608" s="30"/>
      <c r="AN1608" s="30"/>
      <c r="AO1608" s="30"/>
      <c r="AP1608" s="30"/>
      <c r="AQ1608" s="30"/>
      <c r="AR1608" s="30"/>
      <c r="AS1608" s="30"/>
      <c r="AT1608" s="1115" t="b">
        <f>AND(AT1606=TRUE,L1606="")</f>
        <v>0</v>
      </c>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1115" t="b">
        <f>OR(BZ1606,AND(NOT(ISBLANK(L1606)),L1606=FALSE))</f>
        <v>1</v>
      </c>
    </row>
    <row r="1609" spans="1:78" s="140" customFormat="1" ht="5.0999999999999996" customHeight="1" thickBot="1" x14ac:dyDescent="0.25">
      <c r="A1609" s="777"/>
      <c r="B1609" s="1248"/>
      <c r="C1609" s="164"/>
      <c r="D1609" s="164"/>
      <c r="E1609" s="164"/>
      <c r="F1609" s="164"/>
      <c r="G1609" s="164"/>
      <c r="M1609" s="141"/>
      <c r="N1609" s="141"/>
      <c r="O1609" s="1305"/>
      <c r="P1609" s="23"/>
      <c r="Q1609" s="23"/>
      <c r="R1609" s="23"/>
      <c r="S1609" s="23"/>
      <c r="T1609" s="23"/>
      <c r="U1609" s="23"/>
      <c r="V1609" s="30"/>
      <c r="W1609" s="30"/>
      <c r="X1609" s="30"/>
      <c r="Y1609" s="485"/>
      <c r="Z1609" s="30"/>
      <c r="AA1609" s="30"/>
      <c r="AB1609" s="30"/>
      <c r="AC1609" s="30"/>
      <c r="AD1609" s="30"/>
      <c r="AE1609" s="30"/>
      <c r="AF1609" s="58"/>
      <c r="AG1609" s="30"/>
      <c r="AH1609" s="30"/>
      <c r="AI1609" s="30"/>
      <c r="AJ1609" s="495"/>
      <c r="AK1609" s="495"/>
      <c r="AL1609" s="333"/>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row>
    <row r="1610" spans="1:78" s="140" customFormat="1" ht="12.75" customHeight="1" thickBot="1" x14ac:dyDescent="0.25">
      <c r="A1610" s="777"/>
      <c r="B1610" s="1248"/>
      <c r="C1610" s="164"/>
      <c r="D1610" s="164"/>
      <c r="E1610" s="164"/>
      <c r="F1610" s="497" t="str">
        <f>Translations!$B$333</f>
        <v>Pakopa</v>
      </c>
      <c r="G1610" s="1613" t="str">
        <f>Translations!$B$672</f>
        <v>pakopos aprašas</v>
      </c>
      <c r="H1610" s="1613"/>
      <c r="I1610" s="1608" t="str">
        <f>Translations!$B$158</f>
        <v>Vienetas</v>
      </c>
      <c r="J1610" s="1608"/>
      <c r="K1610" s="1608" t="str">
        <f>Translations!$B$673</f>
        <v>Vertė</v>
      </c>
      <c r="L1610" s="1608"/>
      <c r="M1610" s="498" t="str">
        <f>Translations!$B$610</f>
        <v>klaida</v>
      </c>
      <c r="O1610" s="1305"/>
      <c r="P1610" s="499"/>
      <c r="Q1610" s="343" t="str">
        <f>EUconst_SumEnergyIN &amp; "_" &amp; K1601</f>
        <v>SUM_EnergyIN_</v>
      </c>
      <c r="R1610" s="390" t="str">
        <f>IF(OR(K1601="",T1602)=TRUE,"",INDEX(BC1616:BE1616,MATCH(K1601,BC1611:BE1611,0)))</f>
        <v/>
      </c>
      <c r="S1610" s="30"/>
      <c r="T1610" s="480"/>
      <c r="U1610" s="30"/>
      <c r="V1610" s="500" t="s">
        <v>298</v>
      </c>
      <c r="W1610" s="30"/>
      <c r="X1610" s="30"/>
      <c r="Y1610" s="485" t="s">
        <v>560</v>
      </c>
      <c r="Z1610" s="485" t="s">
        <v>313</v>
      </c>
      <c r="AA1610" s="30"/>
      <c r="AB1610" s="30"/>
      <c r="AC1610" s="496" t="s">
        <v>304</v>
      </c>
      <c r="AD1610" s="30"/>
      <c r="AE1610" s="30"/>
      <c r="AF1610" s="483" t="s">
        <v>300</v>
      </c>
      <c r="AG1610" s="483" t="s">
        <v>301</v>
      </c>
      <c r="AH1610" s="485" t="s">
        <v>299</v>
      </c>
      <c r="AI1610" s="495" t="s">
        <v>302</v>
      </c>
      <c r="AJ1610" s="495" t="s">
        <v>561</v>
      </c>
      <c r="AK1610" s="501" t="s">
        <v>306</v>
      </c>
      <c r="AL1610" s="333"/>
      <c r="AM1610" s="30"/>
      <c r="AN1610" s="483" t="s">
        <v>300</v>
      </c>
      <c r="AO1610" s="483" t="s">
        <v>301</v>
      </c>
      <c r="AP1610" s="502" t="s">
        <v>305</v>
      </c>
      <c r="AQ1610" s="495" t="s">
        <v>563</v>
      </c>
      <c r="AR1610" s="495" t="s">
        <v>562</v>
      </c>
      <c r="AS1610" s="501" t="s">
        <v>599</v>
      </c>
      <c r="AT1610" s="501" t="s">
        <v>599</v>
      </c>
      <c r="AU1610" s="30"/>
      <c r="AV1610" s="483"/>
      <c r="AW1610" s="483"/>
      <c r="AX1610" s="483" t="s">
        <v>316</v>
      </c>
      <c r="AY1610" s="483"/>
      <c r="AZ1610" s="483"/>
      <c r="BA1610" s="483"/>
      <c r="BB1610" s="483"/>
      <c r="BC1610" s="483"/>
      <c r="BD1610" s="483"/>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484" t="s">
        <v>259</v>
      </c>
    </row>
    <row r="1611" spans="1:78" s="140" customFormat="1" ht="12.75" customHeight="1" thickBot="1" x14ac:dyDescent="0.25">
      <c r="A1611" s="777"/>
      <c r="B1611" s="1248"/>
      <c r="C1611" s="753" t="s">
        <v>194</v>
      </c>
      <c r="D1611" s="503" t="str">
        <f>Translations!$B$622</f>
        <v>VD:</v>
      </c>
      <c r="E1611" s="504"/>
      <c r="F1611" s="393"/>
      <c r="G1611" s="1603" t="str">
        <f>IF(OR(ISBLANK(F1611),F1611=EUconst_NoTier),"",IF(Z1611=0,EUconst_NA,IF(ISERROR(Z1611),"",Z1611)))</f>
        <v/>
      </c>
      <c r="H1611" s="1604"/>
      <c r="I1611" s="1108" t="str">
        <f>IF(J1611&lt;&gt;"","",AI1611)</f>
        <v/>
      </c>
      <c r="J1611" s="1109"/>
      <c r="K1611" s="1116" t="str">
        <f>IF(L1611="",AQ1611,"")</f>
        <v/>
      </c>
      <c r="L1611" s="1199"/>
      <c r="M1611" s="700" t="str">
        <f>IF(AND(E1602&lt;&gt;"",OR(F1611="",COUNT(K1611:L1611)=0),Y1611&lt;&gt;EUconst_NA,T1602&lt;&gt;TRUE),EUconst_ERR_Incomplete,IF(COUNTIF(AX1611:AZ1611,TRUE)&gt;0,EUconst_ERR_Inconsistent,""))</f>
        <v/>
      </c>
      <c r="O1611" s="1305"/>
      <c r="P1611" s="635"/>
      <c r="Q1611" s="343" t="str">
        <f>EUconst_SumBioEnergyIN &amp; "_" &amp; K1601</f>
        <v>SUM_BioEnergyIN_</v>
      </c>
      <c r="R1611" s="390" t="str">
        <f>IF(OR(K1601="",T1602)=TRUE,"",INDEX(BC1617:BE1617,MATCH(K1601,BC1611:BE1611,0)))</f>
        <v/>
      </c>
      <c r="S1611" s="30"/>
      <c r="T1611" s="505" t="str">
        <f>EUconst_CNTR_ActivityData&amp;E1602</f>
        <v>ActivityData_</v>
      </c>
      <c r="U1611" s="488"/>
      <c r="V1611" s="505" t="str">
        <f>IF(E1601="","",INDEX(B_InstallationDescription!$I$71:$I$145,MATCH(U1600,B_InstallationDescription!$D$71:$D$145,0)))</f>
        <v/>
      </c>
      <c r="W1611" s="495" t="s">
        <v>533</v>
      </c>
      <c r="X1611" s="488"/>
      <c r="Y1611" s="506" t="str">
        <f>IF(OR(T1602=TRUE,E1602=""),"",INDEX(EUwideConstants!$N:$N,MATCH(T1611,EUwideConstants!$Q:$Q,0)))</f>
        <v/>
      </c>
      <c r="Z1611" s="507" t="str">
        <f>IF(ISBLANK(F1611),"",IF(F1611=EUconst_NA,"",INDEX(EUwideConstants!$H:$M,MATCH(T1611,EUwideConstants!$Q:$Q,0),MATCH(F1611,CNTR_TierList,0))))</f>
        <v/>
      </c>
      <c r="AA1611" s="508" t="s">
        <v>299</v>
      </c>
      <c r="AB1611" s="495"/>
      <c r="AC1611" s="509" t="b">
        <f>AC1606</f>
        <v>0</v>
      </c>
      <c r="AD1611" s="30"/>
      <c r="AE1611" s="510" t="str">
        <f>EUconst_CNTR_ActivityData&amp;EUconst_Unit</f>
        <v>ActivityData_Vienetas</v>
      </c>
      <c r="AF1611" s="511" t="str">
        <f>IF(AC1611=TRUE, IF(COUNTIF(MSPara_SourceStreamCategory,V1611)=0,"",INDEX(MSPara_CalcFactorsMatrix,MATCH(V1611,MSPara_SourceStreamCategory,0),MATCH(AE1611&amp;"_"&amp;2,MSPara_CalcFactors,0))),"")</f>
        <v/>
      </c>
      <c r="AG1611" s="512" t="str">
        <f>IF(AC1611=TRUE, IF(COUNTIF(MSPara_SourceStreamCategory,V1611)=0,"",INDEX(MSPara_CalcFactorsMatrix,MATCH(V1611,MSPara_SourceStreamCategory,0),MATCH(AE1611&amp;"_"&amp;1,MSPara_CalcFactors,0))),"")</f>
        <v/>
      </c>
      <c r="AH1611" s="509" t="str">
        <f>IF(OR(AF1611="",AF1611=EUconst_NA),IF(OR(AG1611=EUconst_NA,AG1611=""),"",AG1611),AF1611)</f>
        <v/>
      </c>
      <c r="AI1611" s="506" t="str">
        <f>IF(AC1611=TRUE,IF(AH1611="",EUconst_t,AH1611),"")</f>
        <v/>
      </c>
      <c r="AJ1611" s="513" t="str">
        <f>IF(J1611="",AI1611,J1611)</f>
        <v/>
      </c>
      <c r="AK1611" s="514" t="b">
        <f>IF(K1601=EUconst_Fuel,J1611&lt;&gt;"",FALSE)</f>
        <v>0</v>
      </c>
      <c r="AL1611" s="333"/>
      <c r="AM1611" s="505" t="str">
        <f>EUconst_CNTR_ActivityData&amp;EUconst_Value</f>
        <v>ActivityData_Vertė</v>
      </c>
      <c r="AN1611" s="496"/>
      <c r="AO1611" s="496"/>
      <c r="AP1611" s="509" t="b">
        <f>AND(AND(AH1611&lt;&gt;"",AJ1611&lt;&gt;""),AJ1611=AH1611)</f>
        <v>0</v>
      </c>
      <c r="AQ1611" s="610" t="str">
        <f>IF(L1606=TRUE,SUM(F1608)-SUM(H1608)+SUM(J1608)-SUM(L1608),"")</f>
        <v/>
      </c>
      <c r="AR1611" s="509">
        <f>IF(Y1611=EUconst_NA,0,IF(COUNT(K1611:L1611)=0,0,IF(L1611="",K1611,L1611)))</f>
        <v>0</v>
      </c>
      <c r="AS1611" s="1115" t="b">
        <f>AND(AC1611=TRUE,OR(L1611&lt;&gt;"",AQ1611=""))</f>
        <v>0</v>
      </c>
      <c r="AT1611" s="1115" t="b">
        <f>AND(AC1611=TRUE,NOT(AS1611))</f>
        <v>0</v>
      </c>
      <c r="AU1611" s="30"/>
      <c r="AV1611" s="483" t="s">
        <v>309</v>
      </c>
      <c r="AW1611" s="483" t="s">
        <v>314</v>
      </c>
      <c r="AX1611" s="515"/>
      <c r="AY1611" s="30" t="s">
        <v>536</v>
      </c>
      <c r="AZ1611" s="30"/>
      <c r="BA1611" s="30"/>
      <c r="BB1611" s="495"/>
      <c r="BC1611" s="484" t="str">
        <f>EUconst_Fuel</f>
        <v>Degimas</v>
      </c>
      <c r="BD1611" s="484" t="str">
        <f>EUconst_ProcessCarbonate</f>
        <v>Proceso metu išsiskiriančios ŠESD</v>
      </c>
      <c r="BE1611" s="484" t="str">
        <f>EUconst_MassBalance</f>
        <v>Masės balansas</v>
      </c>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515" t="b">
        <f>BZ1606</f>
        <v>1</v>
      </c>
    </row>
    <row r="1612" spans="1:78" s="140" customFormat="1" ht="5.0999999999999996" customHeight="1" thickBot="1" x14ac:dyDescent="0.25">
      <c r="A1612" s="777"/>
      <c r="B1612" s="1248"/>
      <c r="C1612" s="783"/>
      <c r="D1612" s="298"/>
      <c r="F1612" s="141"/>
      <c r="G1612" s="141"/>
      <c r="H1612" s="141" t="s">
        <v>233</v>
      </c>
      <c r="I1612" s="516"/>
      <c r="J1612" s="516"/>
      <c r="K1612" s="141"/>
      <c r="L1612" s="141"/>
      <c r="M1612" s="701"/>
      <c r="O1612" s="1305"/>
      <c r="P1612" s="33"/>
      <c r="Q1612" s="33"/>
      <c r="R1612" s="33"/>
      <c r="S1612" s="30"/>
      <c r="T1612" s="153"/>
      <c r="U1612" s="488"/>
      <c r="V1612" s="30"/>
      <c r="W1612" s="30"/>
      <c r="X1612" s="488"/>
      <c r="Y1612" s="517"/>
      <c r="Z1612" s="30"/>
      <c r="AA1612" s="30"/>
      <c r="AB1612" s="30"/>
      <c r="AC1612" s="30"/>
      <c r="AD1612" s="30"/>
      <c r="AE1612" s="30"/>
      <c r="AF1612" s="30"/>
      <c r="AG1612" s="30"/>
      <c r="AH1612" s="30"/>
      <c r="AI1612" s="30"/>
      <c r="AJ1612" s="30"/>
      <c r="AK1612" s="30"/>
      <c r="AL1612" s="333"/>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484"/>
    </row>
    <row r="1613" spans="1:78" s="140" customFormat="1" ht="12.75" customHeight="1" thickBot="1" x14ac:dyDescent="0.25">
      <c r="A1613" s="777"/>
      <c r="B1613" s="1248"/>
      <c r="C1613" s="783" t="s">
        <v>195</v>
      </c>
      <c r="D1613" s="503" t="str">
        <f>Translations!$B$634</f>
        <v>(prelim.) ITF:</v>
      </c>
      <c r="E1613" s="504"/>
      <c r="F1613" s="518"/>
      <c r="G1613" s="1603" t="str">
        <f t="shared" ref="G1613:G1619" si="399">IF(OR(ISBLANK(F1613),F1613=EUconst_NoTier),"",IF(Z1613=0,EUconst_NotApplicable,IF(ISERROR(Z1613),"",Z1613)))</f>
        <v/>
      </c>
      <c r="H1613" s="1609"/>
      <c r="I1613" s="1110" t="str">
        <f>IF(J1613&lt;&gt;"","",AI1613)</f>
        <v/>
      </c>
      <c r="J1613" s="1111"/>
      <c r="K1613" s="519" t="str">
        <f t="shared" ref="K1613:K1619" si="400">IF(L1613="",AQ1613,"")</f>
        <v/>
      </c>
      <c r="L1613" s="520"/>
      <c r="M1613" s="700" t="str">
        <f>IF(AND(E1602&lt;&gt;"",OR(F1613="",COUNT(K1613:L1613)=0),Y1613&lt;&gt;EUconst_NA,T1602&lt;&gt;TRUE),EUconst_ERR_Incomplete,IF(COUNTIF(AX1613:AZ1613,TRUE)&gt;0,EUconst_ERR_Inconsistent,""))</f>
        <v/>
      </c>
      <c r="N1613" s="486"/>
      <c r="O1613" s="1305"/>
      <c r="P1613" s="33"/>
      <c r="Q1613" s="33"/>
      <c r="R1613" s="33"/>
      <c r="S1613" s="30"/>
      <c r="T1613" s="521" t="str">
        <f>EUconst_CNTR_EF&amp;E1602</f>
        <v>EF_</v>
      </c>
      <c r="U1613" s="488"/>
      <c r="V1613" s="522" t="str">
        <f>V1611</f>
        <v/>
      </c>
      <c r="W1613" s="30"/>
      <c r="X1613" s="488"/>
      <c r="Y1613" s="523" t="str">
        <f>IF(OR(T1602=TRUE,E1602=""),"",IF(F1613=EUconst_NA,EUconst_NA,INDEX(EUwideConstants!$N:$N,MATCH(T1613,EUwideConstants!$Q:$Q,0))))</f>
        <v/>
      </c>
      <c r="Z1613" s="524" t="str">
        <f>IF(ISBLANK(F1613),"",IF(F1613=EUconst_NA,"",INDEX(EUwideConstants!$H:$M,MATCH(T1613,EUwideConstants!$Q:$Q,0),MATCH(F1613,CNTR_TierList,0))))</f>
        <v/>
      </c>
      <c r="AA1613" s="525" t="str">
        <f>IF(COUNTIF(EUconst_DefaultValues,Z1613)&gt;0,MATCH(Z1613,EUconst_DefaultValues,0),"")</f>
        <v/>
      </c>
      <c r="AB1613" s="30"/>
      <c r="AC1613" s="526" t="b">
        <f>AND(AC1611,Y1613&lt;&gt;EUconst_NA)</f>
        <v>0</v>
      </c>
      <c r="AD1613" s="30"/>
      <c r="AE1613" s="510" t="str">
        <f>EUconst_CNTR_EF&amp;EUconst_Unit</f>
        <v>EF_Vienetas</v>
      </c>
      <c r="AF1613" s="527" t="str">
        <f>IF(AC1613=TRUE, IF(COUNTIF(MSPara_SourceStreamCategory,V1613)=0,"",INDEX(MSPara_CalcFactorsMatrix,MATCH(V1613,MSPara_SourceStreamCategory,0),MATCH(AE1613&amp;"_"&amp;2,MSPara_CalcFactors,0))),"")</f>
        <v/>
      </c>
      <c r="AG1613" s="528" t="str">
        <f>IF(AC1613=TRUE, IF(COUNTIF(MSPara_SourceStreamCategory,V1613)=0,"",INDEX(MSPara_CalcFactorsMatrix,MATCH(V1613,MSPara_SourceStreamCategory,0),MATCH(AE1613&amp;"_"&amp;1,MSPara_CalcFactors,0))),"")</f>
        <v/>
      </c>
      <c r="AH1613" s="529" t="str">
        <f>IF(AA1613="","",INDEX(AF1613:AG1613,3-AA1613))</f>
        <v/>
      </c>
      <c r="AI1613" s="530" t="str">
        <f>IF(AC1613=TRUE,IF(OR(AH1613="",AH1613=EUconst_NA),IF(K1601=EUconst_Fuel,EUconst_tCO2pTJ,EUconst_tCO2pt),AH1613),"")</f>
        <v/>
      </c>
      <c r="AJ1613" s="526" t="str">
        <f>IF(J1613="",AI1613,J1613)</f>
        <v/>
      </c>
      <c r="AK1613" s="531" t="b">
        <f>IF(K1601=EUconst_Fuel,J1613&lt;&gt;"",FALSE)</f>
        <v>0</v>
      </c>
      <c r="AL1613" s="333"/>
      <c r="AM1613" s="510" t="str">
        <f>EUconst_CNTR_EF&amp;EUconst_Value</f>
        <v>EF_Vertė</v>
      </c>
      <c r="AN1613" s="532" t="str">
        <f>IF(AC1613=TRUE,IF(COUNTIF(MSPara_SourceStreamCategory,V1613)=0,"",INDEX(MSPara_CalcFactorsMatrix,MATCH(V1613,MSPara_SourceStreamCategory,0),MATCH(AM1613&amp;"_"&amp;2,MSPara_CalcFactors,0))),"")</f>
        <v/>
      </c>
      <c r="AO1613" s="533" t="str">
        <f>IF(AC1613=TRUE,IF(COUNTIF(MSPara_SourceStreamCategory,V1613)=0,"",INDEX(MSPara_CalcFactorsMatrix,MATCH(V1613,MSPara_SourceStreamCategory,0),MATCH(AM1613&amp;"_"&amp;1,MSPara_CalcFactors,0))),"")</f>
        <v/>
      </c>
      <c r="AP1613" s="526" t="b">
        <f>AND(AND(AH1613&lt;&gt;"",AJ1613&lt;&gt;""),AJ1613=AH1613)</f>
        <v>0</v>
      </c>
      <c r="AQ1613" s="534" t="str">
        <f>IF(AND(AA1613&lt;&gt;"",AP1613=TRUE),IF(OR(INDEX(AN1613:AO1613,3-AA1613)=EUconst_NA,INDEX(AN1613:AO1613,3-AA1613)=0),"",INDEX(AN1613:AO1613,3-AA1613)),"")</f>
        <v/>
      </c>
      <c r="AR1613" s="526">
        <f>IF(AC1613=TRUE,IF(COUNT(K1613:L1613)=0,0,IF(L1613="",K1613,L1613)),0)</f>
        <v>0</v>
      </c>
      <c r="AS1613" s="522" t="b">
        <f>AND(AC1613=TRUE,OR(AND(F1613&lt;&gt;"",NOT(ISNUMBER(AA1613))),L1613&lt;&gt;"",F1613="",AQ1613=""))</f>
        <v>0</v>
      </c>
      <c r="AT1613" s="522" t="b">
        <f t="shared" ref="AT1613:AT1619" si="401">AND(AC1613=TRUE,NOT(AS1613))</f>
        <v>0</v>
      </c>
      <c r="AU1613" s="30"/>
      <c r="AV1613" s="535" t="b">
        <f t="shared" ref="AV1613:AV1619" si="402">AND(ISNUMBER(AA1613),AQ1613="")</f>
        <v>0</v>
      </c>
      <c r="AW1613" s="536" t="b">
        <f t="shared" ref="AW1613:AW1619" si="403">AND(ISNUMBER(AA1613),AQ1613&lt;&gt;AR1613)</f>
        <v>0</v>
      </c>
      <c r="AX1613" s="537" t="b">
        <f>OR(AND(AJ1611=EUconst_kNm3,AJ1613=EUconst_tCO2pt),AND(AJ1611=EUconst_t,AJ1613=EUconst_tCO2pkNm3))</f>
        <v>0</v>
      </c>
      <c r="AY1613" s="522" t="b">
        <f t="shared" ref="AY1613:AY1619" si="404">AND(L1613&lt;&gt;"",Y1613=EUconst_NA)</f>
        <v>0</v>
      </c>
      <c r="AZ1613" s="30"/>
      <c r="BA1613" s="30"/>
      <c r="BB1613" s="538" t="s">
        <v>588</v>
      </c>
      <c r="BC1613" s="537" t="str">
        <f>IF(K1601=BC1611,AR1611*IF(AJ1613=EUconst_tCO2pTJ,(AR1614/1000),1)*AR1613*AR1615*AR1619,"")</f>
        <v/>
      </c>
      <c r="BD1613" s="515" t="str">
        <f>IF(K1601=BD1611,AR1611*AR1613*AR1616*AR1619,"")</f>
        <v/>
      </c>
      <c r="BE1613" s="514" t="str">
        <f>IF(K1601=BE1611,3.664*AR1611*AR1617*AR1619,"")</f>
        <v/>
      </c>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522" t="b">
        <f>OR(BZ1611,Y1613=EUconst_NA)</f>
        <v>1</v>
      </c>
    </row>
    <row r="1614" spans="1:78" s="140" customFormat="1" ht="12.75" customHeight="1" thickBot="1" x14ac:dyDescent="0.25">
      <c r="A1614" s="777"/>
      <c r="B1614" s="1248"/>
      <c r="C1614" s="783" t="s">
        <v>196</v>
      </c>
      <c r="D1614" s="503" t="str">
        <f>Translations!$B$636</f>
        <v>GŠV:</v>
      </c>
      <c r="E1614" s="504"/>
      <c r="F1614" s="539"/>
      <c r="G1614" s="1603" t="str">
        <f t="shared" si="399"/>
        <v/>
      </c>
      <c r="H1614" s="1604"/>
      <c r="I1614" s="1112" t="str">
        <f>AJ1614</f>
        <v/>
      </c>
      <c r="J1614" s="540"/>
      <c r="K1614" s="541" t="str">
        <f t="shared" si="400"/>
        <v/>
      </c>
      <c r="L1614" s="542"/>
      <c r="M1614" s="700" t="str">
        <f>IF(AND(E1602&lt;&gt;"",OR(F1614="",COUNT(K1614:L1614)=0),Y1614&lt;&gt;EUconst_NA,T1602&lt;&gt;TRUE),EUconst_ERR_Incomplete,IF(COUNTIF(AX1614:AZ1614,TRUE)&gt;0,EUconst_ERR_Inconsistent,""))</f>
        <v/>
      </c>
      <c r="O1614" s="1305"/>
      <c r="P1614" s="33"/>
      <c r="Q1614" s="33"/>
      <c r="R1614" s="33"/>
      <c r="S1614" s="30"/>
      <c r="T1614" s="543" t="str">
        <f>EUconst_CNTR_NCV&amp;E1602</f>
        <v>NCV_</v>
      </c>
      <c r="U1614" s="488"/>
      <c r="V1614" s="544" t="str">
        <f t="shared" ref="V1614:V1619" si="405">V1613</f>
        <v/>
      </c>
      <c r="W1614" s="30"/>
      <c r="X1614" s="488"/>
      <c r="Y1614" s="545" t="str">
        <f>IF(OR(T1602=TRUE,E1602=""),"",IF(F1614=EUconst_NA,EUconst_NA,INDEX(EUwideConstants!$N:$N,MATCH(T1614,EUwideConstants!$Q:$Q,0))))</f>
        <v/>
      </c>
      <c r="Z1614" s="546" t="str">
        <f>IF(ISBLANK(F1614),"",IF(F1614=EUconst_NA,"",INDEX(EUwideConstants!$H:$M,MATCH(T1614,EUwideConstants!$Q:$Q,0),MATCH(F1614,CNTR_TierList,0))))</f>
        <v/>
      </c>
      <c r="AA1614" s="547" t="str">
        <f>IF(COUNTIF(EUconst_DefaultValues,Z1614)&gt;0,MATCH(Z1614,EUconst_DefaultValues,0),"")</f>
        <v/>
      </c>
      <c r="AB1614" s="30"/>
      <c r="AC1614" s="548" t="b">
        <f>AND(AC1611,Y1614&lt;&gt;EUconst_NA)</f>
        <v>0</v>
      </c>
      <c r="AD1614" s="30"/>
      <c r="AE1614" s="549" t="str">
        <f>EUconst_CNTR_NCV&amp;EUconst_Unit</f>
        <v>NCV_Vienetas</v>
      </c>
      <c r="AF1614" s="550" t="str">
        <f>IF(AC1614=TRUE, IF(COUNTIF(MSPara_SourceStreamCategory,V1614)=0,"",INDEX(MSPara_CalcFactorsMatrix,MATCH(V1614,MSPara_SourceStreamCategory,0),MATCH(AE1614&amp;"_"&amp;2,MSPara_CalcFactors,0))),"")</f>
        <v/>
      </c>
      <c r="AG1614" s="551" t="str">
        <f>IF(AC1614=TRUE, IF(COUNTIF(MSPara_SourceStreamCategory,V1614)=0,"",INDEX(MSPara_CalcFactorsMatrix,MATCH(V1614,MSPara_SourceStreamCategory,0),MATCH(AE1614&amp;"_"&amp;1,MSPara_CalcFactors,0))),"")</f>
        <v/>
      </c>
      <c r="AH1614" s="552" t="str">
        <f>IF(AA1614="","",INDEX(AF1614:AG1614,3-AA1614))</f>
        <v/>
      </c>
      <c r="AI1614" s="553"/>
      <c r="AJ1614" s="548" t="str">
        <f>IF(AC1614=TRUE,IF(AJ1611="","",IF(AJ1611=EUconst_kNm3,EUconst_GJpkNm3,EUconst_GJpt)),"")</f>
        <v/>
      </c>
      <c r="AK1614" s="554"/>
      <c r="AL1614" s="333"/>
      <c r="AM1614" s="549" t="str">
        <f>EUconst_CNTR_NCV&amp;EUconst_Value</f>
        <v>NCV_Vertė</v>
      </c>
      <c r="AN1614" s="555" t="str">
        <f>IF(AC1614=TRUE,IF(COUNTIF(MSPara_SourceStreamCategory,V1614)=0,"",INDEX(MSPara_CalcFactorsMatrix,MATCH(V1614,MSPara_SourceStreamCategory,0),MATCH(AM1614&amp;"_"&amp;2,MSPara_CalcFactors,0))),"")</f>
        <v/>
      </c>
      <c r="AO1614" s="556" t="str">
        <f>IF(AC1614=TRUE,IF(COUNTIF(MSPara_SourceStreamCategory,V1614)=0,"",INDEX(MSPara_CalcFactorsMatrix,MATCH(V1614,MSPara_SourceStreamCategory,0),MATCH(AM1614&amp;"_"&amp;1,MSPara_CalcFactors,0))),"")</f>
        <v/>
      </c>
      <c r="AP1614" s="548" t="b">
        <f>AND(AND(AH1614&lt;&gt;"",AJ1614&lt;&gt;""),AJ1614=AH1614)</f>
        <v>0</v>
      </c>
      <c r="AQ1614" s="557" t="str">
        <f>IF(AND(AA1614&lt;&gt;"",AP1614=TRUE),IF(OR(INDEX(AN1614:AO1614,3-AA1614)=EUconst_NA,INDEX(AN1614:AO1614,3-AA1614)=0),"",INDEX(AN1614:AO1614,3-AA1614)),"")</f>
        <v/>
      </c>
      <c r="AR1614" s="548">
        <f>IF(AC1614=TRUE,IF(COUNT(K1614:L1614)=0,0,IF(L1614="",K1614,L1614)),0)</f>
        <v>0</v>
      </c>
      <c r="AS1614" s="544" t="b">
        <f>AND(AC1614=TRUE,OR(AND(F1614&lt;&gt;"",NOT(ISNUMBER(AA1614))),L1614&lt;&gt;"",F1614="",AQ1614=""))</f>
        <v>0</v>
      </c>
      <c r="AT1614" s="544" t="b">
        <f t="shared" si="401"/>
        <v>0</v>
      </c>
      <c r="AU1614" s="30"/>
      <c r="AV1614" s="558" t="b">
        <f t="shared" si="402"/>
        <v>0</v>
      </c>
      <c r="AW1614" s="559" t="b">
        <f t="shared" si="403"/>
        <v>0</v>
      </c>
      <c r="AX1614" s="30"/>
      <c r="AY1614" s="544" t="b">
        <f t="shared" si="404"/>
        <v>0</v>
      </c>
      <c r="AZ1614" s="30"/>
      <c r="BA1614" s="30"/>
      <c r="BB1614" s="538" t="s">
        <v>589</v>
      </c>
      <c r="BC1614" s="537" t="str">
        <f>IF(K1601=BC1611,AR1611*IF(AJ1613=EUconst_tCO2pTJ,(AR1614/1000),1)*AR1613*AR1615*AR1618,"")</f>
        <v/>
      </c>
      <c r="BD1614" s="515" t="str">
        <f>IF(K1601=BD1611,AR1611*AR1613*AR1616*AR1618,"")</f>
        <v/>
      </c>
      <c r="BE1614" s="514" t="str">
        <f>IF(K1601=BE1611,3.664*AR1611*AR1617*AR1618,"")</f>
        <v/>
      </c>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544" t="b">
        <f>OR(BZ1611,Y1614=EUconst_NA)</f>
        <v>1</v>
      </c>
    </row>
    <row r="1615" spans="1:78" s="140" customFormat="1" ht="12.75" customHeight="1" thickBot="1" x14ac:dyDescent="0.25">
      <c r="A1615" s="777"/>
      <c r="B1615" s="1248"/>
      <c r="C1615" s="783" t="s">
        <v>197</v>
      </c>
      <c r="D1615" s="503" t="str">
        <f>Translations!$B$638</f>
        <v>Oksidacijos koef.:</v>
      </c>
      <c r="E1615" s="504"/>
      <c r="F1615" s="539"/>
      <c r="G1615" s="1603" t="str">
        <f t="shared" si="399"/>
        <v/>
      </c>
      <c r="H1615" s="1604"/>
      <c r="I1615" s="1113" t="str">
        <f>IF(OR(AC1615=FALSE,Y1615=EUconst_NA),"","-")</f>
        <v/>
      </c>
      <c r="J1615" s="560"/>
      <c r="K1615" s="561" t="str">
        <f t="shared" si="400"/>
        <v/>
      </c>
      <c r="L1615" s="694"/>
      <c r="M1615" s="700" t="str">
        <f>IF(AND(E1602&lt;&gt;"",OR(F1615="",COUNT(K1615:L1615)=0),Y1615&lt;&gt;EUconst_NA,T1602&lt;&gt;TRUE),EUconst_ERR_Incomplete,IF(COUNTIF(AX1615:AZ1615,TRUE)&gt;0,EUconst_ERR_Inconsistent,""))</f>
        <v/>
      </c>
      <c r="O1615" s="1305"/>
      <c r="P1615" s="33"/>
      <c r="Q1615" s="33"/>
      <c r="R1615" s="33"/>
      <c r="S1615" s="30"/>
      <c r="T1615" s="543" t="str">
        <f>EUconst_CNTR_OxidationFactor&amp;E1602</f>
        <v>OxF_</v>
      </c>
      <c r="U1615" s="488"/>
      <c r="V1615" s="544" t="str">
        <f t="shared" si="405"/>
        <v/>
      </c>
      <c r="W1615" s="30"/>
      <c r="X1615" s="488"/>
      <c r="Y1615" s="545" t="str">
        <f>IF(OR(T1602=TRUE,E1602=""),"",INDEX(EUwideConstants!$N:$N,MATCH(T1615,EUwideConstants!$Q:$Q,0)))</f>
        <v/>
      </c>
      <c r="Z1615" s="546" t="str">
        <f>IF(ISBLANK(F1615),"",IF(F1615=EUconst_NA,"",INDEX(EUwideConstants!$H:$M,MATCH(T1615,EUwideConstants!$Q:$Q,0),MATCH(F1615,CNTR_TierList,0))))</f>
        <v/>
      </c>
      <c r="AA1615" s="525" t="str">
        <f>IF(F1615=1,1,"")</f>
        <v/>
      </c>
      <c r="AB1615" s="30"/>
      <c r="AC1615" s="548" t="b">
        <f>AND(AC1611,Y1615&lt;&gt;EUconst_NA)</f>
        <v>0</v>
      </c>
      <c r="AD1615" s="30"/>
      <c r="AE1615" s="563"/>
      <c r="AG1615" s="564"/>
      <c r="AH1615" s="553"/>
      <c r="AI1615" s="565"/>
      <c r="AJ1615" s="553"/>
      <c r="AK1615" s="566"/>
      <c r="AL1615" s="333"/>
      <c r="AM1615" s="549" t="str">
        <f>EUconst_CNTR_OxidationFactor&amp;EUconst_Value</f>
        <v>OxF_Vertė</v>
      </c>
      <c r="AN1615" s="567"/>
      <c r="AO1615" s="525">
        <v>1</v>
      </c>
      <c r="AP1615" s="553"/>
      <c r="AQ1615" s="568" t="str">
        <f>IF(AA1615="","",AO1615)</f>
        <v/>
      </c>
      <c r="AR1615" s="548">
        <f>IF(AC1615=TRUE,IF(COUNT(K1615:L1615)=0,0,IF(L1615="",K1615,L1615)),1)</f>
        <v>1</v>
      </c>
      <c r="AS1615" s="544" t="b">
        <f>AND(AC1615=TRUE,OR(ISNUMBER(L1615),NOT(ISNUMBER(AA1615))))</f>
        <v>0</v>
      </c>
      <c r="AT1615" s="544" t="b">
        <f t="shared" si="401"/>
        <v>0</v>
      </c>
      <c r="AU1615" s="30"/>
      <c r="AV1615" s="558" t="b">
        <f t="shared" si="402"/>
        <v>0</v>
      </c>
      <c r="AW1615" s="559" t="b">
        <f t="shared" si="403"/>
        <v>0</v>
      </c>
      <c r="AX1615" s="30"/>
      <c r="AY1615" s="585" t="b">
        <f t="shared" si="404"/>
        <v>0</v>
      </c>
      <c r="AZ1615" s="522" t="b">
        <f>AR1615&gt;100%</f>
        <v>0</v>
      </c>
      <c r="BA1615" s="30"/>
      <c r="BB1615" s="538" t="s">
        <v>287</v>
      </c>
      <c r="BC1615" s="537" t="str">
        <f>IF(K1601=BC1611,AR1611*IF(AJ1613=EUconst_tCO2pTJ,(AR1614/1000),1)*AR1613*AR1615*(1-AR1618),"")</f>
        <v/>
      </c>
      <c r="BD1615" s="515" t="str">
        <f>IF(K1601=BD1611,AR1611*AR1613*AR1616*(1-AR1618),"")</f>
        <v/>
      </c>
      <c r="BE1615" s="514" t="str">
        <f>IF(K1601=BE1611,3.664*AR1611*AR1617*(1-AR1618),"")</f>
        <v/>
      </c>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544" t="b">
        <f>OR(BZ1611,Y1615=EUconst_NA)</f>
        <v>1</v>
      </c>
    </row>
    <row r="1616" spans="1:78" s="140" customFormat="1" ht="12.75" customHeight="1" thickBot="1" x14ac:dyDescent="0.25">
      <c r="A1616" s="777"/>
      <c r="B1616" s="1248"/>
      <c r="C1616" s="783" t="s">
        <v>198</v>
      </c>
      <c r="D1616" s="503" t="str">
        <f>Translations!$B$639</f>
        <v>Konversijos koef.:</v>
      </c>
      <c r="E1616" s="504"/>
      <c r="F1616" s="539"/>
      <c r="G1616" s="1603" t="str">
        <f t="shared" si="399"/>
        <v/>
      </c>
      <c r="H1616" s="1604"/>
      <c r="I1616" s="1113" t="str">
        <f>IF(OR(AC1616=FALSE,Y1616=EUconst_NA),"","-")</f>
        <v/>
      </c>
      <c r="J1616" s="560"/>
      <c r="K1616" s="561" t="str">
        <f t="shared" si="400"/>
        <v/>
      </c>
      <c r="L1616" s="694"/>
      <c r="M1616" s="700" t="str">
        <f>IF(AND(E1602&lt;&gt;"",OR(F1616="",COUNT(K1616:L1616)=0),Y1616&lt;&gt;EUconst_NA,T1602&lt;&gt;TRUE),EUconst_ERR_Incomplete,IF(COUNTIF(AX1616:AZ1616,TRUE)&gt;0,EUconst_ERR_Inconsistent,""))</f>
        <v/>
      </c>
      <c r="O1616" s="1305"/>
      <c r="P1616" s="33"/>
      <c r="Q1616" s="33"/>
      <c r="R1616" s="33"/>
      <c r="S1616" s="30"/>
      <c r="T1616" s="543" t="str">
        <f>EUconst_CNTR_ConversionFactor&amp;E1602</f>
        <v>ConvF_</v>
      </c>
      <c r="U1616" s="488"/>
      <c r="V1616" s="544" t="str">
        <f t="shared" si="405"/>
        <v/>
      </c>
      <c r="W1616" s="30"/>
      <c r="X1616" s="488"/>
      <c r="Y1616" s="545" t="str">
        <f>IF(OR(T1602=TRUE,E1602=""),"",INDEX(EUwideConstants!$N:$N,MATCH(T1616,EUwideConstants!$Q:$Q,0)))</f>
        <v/>
      </c>
      <c r="Z1616" s="546" t="str">
        <f>IF(ISBLANK(F1616),"",IF(F1616=EUconst_NA,"",INDEX(EUwideConstants!$H:$M,MATCH(T1616,EUwideConstants!$Q:$Q,0),MATCH(F1616,CNTR_TierList,0))))</f>
        <v/>
      </c>
      <c r="AA1616" s="573" t="str">
        <f>IF(F1616=1,1,"")</f>
        <v/>
      </c>
      <c r="AB1616" s="30"/>
      <c r="AC1616" s="548" t="b">
        <f>AND(AC1611,Y1616&lt;&gt;EUconst_NA)</f>
        <v>0</v>
      </c>
      <c r="AD1616" s="30"/>
      <c r="AE1616" s="563"/>
      <c r="AG1616" s="564"/>
      <c r="AH1616" s="574"/>
      <c r="AI1616" s="565"/>
      <c r="AJ1616" s="574"/>
      <c r="AK1616" s="566"/>
      <c r="AL1616" s="333"/>
      <c r="AM1616" s="549" t="str">
        <f>EUconst_CNTR_ConversionFactor&amp;EUconst_Value</f>
        <v>ConvF_Vertė</v>
      </c>
      <c r="AN1616" s="575"/>
      <c r="AO1616" s="573">
        <v>1</v>
      </c>
      <c r="AP1616" s="574"/>
      <c r="AQ1616" s="576" t="str">
        <f>IF(AA1616="","",AO1616)</f>
        <v/>
      </c>
      <c r="AR1616" s="548">
        <f>IF(AC1616=TRUE,IF(COUNT(K1616:L1616)=0,0,IF(L1616="",K1616,L1616)),1)</f>
        <v>1</v>
      </c>
      <c r="AS1616" s="544" t="b">
        <f>AND(AC1616=TRUE,OR(ISNUMBER(L1616),NOT(ISNUMBER(AA1616))))</f>
        <v>0</v>
      </c>
      <c r="AT1616" s="544" t="b">
        <f t="shared" si="401"/>
        <v>0</v>
      </c>
      <c r="AU1616" s="30"/>
      <c r="AV1616" s="558" t="b">
        <f t="shared" si="402"/>
        <v>0</v>
      </c>
      <c r="AW1616" s="559" t="b">
        <f t="shared" si="403"/>
        <v>0</v>
      </c>
      <c r="AX1616" s="30"/>
      <c r="AY1616" s="585" t="b">
        <f t="shared" si="404"/>
        <v>0</v>
      </c>
      <c r="AZ1616" s="571" t="b">
        <f>AR1616&gt;100%</f>
        <v>0</v>
      </c>
      <c r="BA1616" s="30"/>
      <c r="BB1616" s="569" t="s">
        <v>481</v>
      </c>
      <c r="BC1616" s="570">
        <f>AR1611*AR1614/1000*(1-AR1618)</f>
        <v>0</v>
      </c>
      <c r="BD1616" s="571">
        <f>BC1616</f>
        <v>0</v>
      </c>
      <c r="BE1616" s="572">
        <f>BC1616</f>
        <v>0</v>
      </c>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544" t="b">
        <f>OR(BZ1611,Y1616=EUconst_NA)</f>
        <v>1</v>
      </c>
    </row>
    <row r="1617" spans="1:78" s="140" customFormat="1" ht="12.75" customHeight="1" thickBot="1" x14ac:dyDescent="0.25">
      <c r="A1617" s="777"/>
      <c r="B1617" s="1248"/>
      <c r="C1617" s="783" t="s">
        <v>324</v>
      </c>
      <c r="D1617" s="503" t="str">
        <f>Translations!$B$640</f>
        <v>Anglies kiekis (C):</v>
      </c>
      <c r="E1617" s="504"/>
      <c r="F1617" s="539"/>
      <c r="G1617" s="1603" t="str">
        <f t="shared" si="399"/>
        <v/>
      </c>
      <c r="H1617" s="1604"/>
      <c r="I1617" s="1113" t="str">
        <f>AJ1617</f>
        <v/>
      </c>
      <c r="J1617" s="577"/>
      <c r="K1617" s="578" t="str">
        <f t="shared" si="400"/>
        <v/>
      </c>
      <c r="L1617" s="579"/>
      <c r="M1617" s="700" t="str">
        <f>IF(AND(E1602&lt;&gt;"",OR(F1617="",COUNT(K1617:L1617)=0),Y1617&lt;&gt;EUconst_NA,T1602&lt;&gt;TRUE),EUconst_ERR_Incomplete,IF(COUNTIF(AX1617:AZ1617,TRUE)&gt;0,EUconst_ERR_Inconsistent,""))</f>
        <v/>
      </c>
      <c r="O1617" s="1305"/>
      <c r="P1617" s="33"/>
      <c r="Q1617" s="33"/>
      <c r="R1617" s="33"/>
      <c r="S1617" s="30"/>
      <c r="T1617" s="543" t="str">
        <f>EUconst_CNTR_CarbonContent&amp;E1602</f>
        <v>CarbC_</v>
      </c>
      <c r="U1617" s="488"/>
      <c r="V1617" s="544" t="str">
        <f t="shared" si="405"/>
        <v/>
      </c>
      <c r="W1617" s="30"/>
      <c r="X1617" s="488"/>
      <c r="Y1617" s="545" t="str">
        <f>IF(OR(T1602=TRUE,E1602=""),"",INDEX(EUwideConstants!$N:$N,MATCH(T1617,EUwideConstants!$Q:$Q,0)))</f>
        <v/>
      </c>
      <c r="Z1617" s="546" t="str">
        <f>IF(ISBLANK(F1617),"",IF(F1617=EUconst_NA,"",INDEX(EUwideConstants!$H:$M,MATCH(T1617,EUwideConstants!$Q:$Q,0),MATCH(F1617,CNTR_TierList,0))))</f>
        <v/>
      </c>
      <c r="AA1617" s="580" t="str">
        <f>IF(COUNTIF(EUconst_DefaultValues,Z1617)&gt;0,MATCH(Z1617,EUconst_DefaultValues,0),"")</f>
        <v/>
      </c>
      <c r="AB1617" s="30"/>
      <c r="AC1617" s="548" t="b">
        <f>AND(AC1611,Y1617&lt;&gt;EUconst_NA)</f>
        <v>0</v>
      </c>
      <c r="AD1617" s="30"/>
      <c r="AE1617" s="549" t="str">
        <f>EUconst_CNTR_CarbonContent&amp;EUconst_Unit</f>
        <v>CarbC_Vienetas</v>
      </c>
      <c r="AF1617" s="550" t="str">
        <f>IF(AC1617=TRUE, IF(COUNTIF(MSPara_SourceStreamCategory,V1617)=0,"",INDEX(MSPara_CalcFactorsMatrix,MATCH(V1617,MSPara_SourceStreamCategory,0),MATCH(AE1617&amp;"_"&amp;2,MSPara_CalcFactors,0))),"")</f>
        <v/>
      </c>
      <c r="AG1617" s="551" t="str">
        <f>IF(AC1617=TRUE, IF(COUNTIF(MSPara_SourceStreamCategory,V1617)=0,"",INDEX(MSPara_CalcFactorsMatrix,MATCH(V1617,MSPara_SourceStreamCategory,0),MATCH(AE1617&amp;"_"&amp;1,MSPara_CalcFactors,0))),"")</f>
        <v/>
      </c>
      <c r="AH1617" s="581" t="str">
        <f>IF(AA1617="","",INDEX(AF1617:AG1617,3-AA1617))</f>
        <v/>
      </c>
      <c r="AI1617" s="565"/>
      <c r="AJ1617" s="582" t="str">
        <f>IF(AC1617=TRUE,IF(AJ1611="","",IF(AJ1611=EUconst_kNm3,EUconst_tCpkNm3,EUconst_tCpt)),"")</f>
        <v/>
      </c>
      <c r="AK1617" s="566"/>
      <c r="AL1617" s="333"/>
      <c r="AM1617" s="549" t="str">
        <f>EUconst_CNTR_CarbonContent&amp;EUconst_Value</f>
        <v>CarbC_Vertė</v>
      </c>
      <c r="AN1617" s="555" t="str">
        <f>IF(AC1617=TRUE,IF(COUNTIF(MSPara_SourceStreamCategory,V1617)=0,"",INDEX(MSPara_CalcFactorsMatrix,MATCH(V1617,MSPara_SourceStreamCategory,0),MATCH(AM1617&amp;"_"&amp;2,MSPara_CalcFactors,0))),"")</f>
        <v/>
      </c>
      <c r="AO1617" s="583" t="str">
        <f>IF(AC1617=TRUE,IF(COUNTIF(MSPara_SourceStreamCategory,V1617)=0,"",INDEX(MSPara_CalcFactorsMatrix,MATCH(V1617,MSPara_SourceStreamCategory,0),MATCH(AM1617&amp;"_"&amp;1,MSPara_CalcFactors,0))),"")</f>
        <v/>
      </c>
      <c r="AP1617" s="548" t="b">
        <f>AND(AND(AH1617&lt;&gt;"",AJ1617&lt;&gt;""),AJ1617=AH1617)</f>
        <v>0</v>
      </c>
      <c r="AQ1617" s="584" t="str">
        <f>IF(AND(AA1617&lt;&gt;"",AP1617=TRUE),IF(OR(INDEX(AN1617:AO1617,3-AA1617)=EUconst_NA,INDEX(AN1617:AO1617,3-AA1617)=0),"",INDEX(AN1617:AO1617,3-AA1617)),"")</f>
        <v/>
      </c>
      <c r="AR1617" s="548">
        <f>IF(AC1617=TRUE,IF(COUNT(K1617:L1617)=0,0,IF(L1617="",K1617,L1617)),0)</f>
        <v>0</v>
      </c>
      <c r="AS1617" s="544" t="b">
        <f>AND(AC1617=TRUE,OR(AND(F1617&lt;&gt;"",NOT(ISNUMBER(AA1617))),L1617&lt;&gt;"",F1617="",AQ1617=""))</f>
        <v>0</v>
      </c>
      <c r="AT1617" s="544" t="b">
        <f t="shared" si="401"/>
        <v>0</v>
      </c>
      <c r="AU1617" s="30"/>
      <c r="AV1617" s="558" t="b">
        <f t="shared" si="402"/>
        <v>0</v>
      </c>
      <c r="AW1617" s="559" t="b">
        <f t="shared" si="403"/>
        <v>0</v>
      </c>
      <c r="AX1617" s="537" t="b">
        <f>OR(AND(AJ1611=EUconst_kNm3,AJ1617=EUconst_tCpt),AND(AJ1611=EUconst_t,AJ1617=EUconst_tCpkNm3))</f>
        <v>0</v>
      </c>
      <c r="AY1617" s="544" t="b">
        <f t="shared" si="404"/>
        <v>0</v>
      </c>
      <c r="AZ1617" s="30"/>
      <c r="BA1617" s="30"/>
      <c r="BB1617" s="569" t="s">
        <v>482</v>
      </c>
      <c r="BC1617" s="570">
        <f>AR1611*AR1614/1000*AR1618</f>
        <v>0</v>
      </c>
      <c r="BD1617" s="571">
        <f>BC1617</f>
        <v>0</v>
      </c>
      <c r="BE1617" s="572">
        <f>BC1617</f>
        <v>0</v>
      </c>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544" t="b">
        <f>OR(BZ1611,Y1617=EUconst_NA)</f>
        <v>1</v>
      </c>
    </row>
    <row r="1618" spans="1:78" s="140" customFormat="1" ht="12.75" customHeight="1" x14ac:dyDescent="0.2">
      <c r="A1618" s="777"/>
      <c r="B1618" s="1248"/>
      <c r="C1618" s="753" t="s">
        <v>325</v>
      </c>
      <c r="D1618" s="503" t="str">
        <f>Translations!$B$641</f>
        <v>Biomasės dalis (BioC):</v>
      </c>
      <c r="E1618" s="504"/>
      <c r="F1618" s="539"/>
      <c r="G1618" s="1603" t="str">
        <f t="shared" si="399"/>
        <v/>
      </c>
      <c r="H1618" s="1604"/>
      <c r="I1618" s="1113" t="str">
        <f>IF(OR(AC1618=FALSE,Y1618=EUconst_NA),"","-")</f>
        <v/>
      </c>
      <c r="J1618" s="560"/>
      <c r="K1618" s="561" t="str">
        <f t="shared" si="400"/>
        <v/>
      </c>
      <c r="L1618" s="694"/>
      <c r="M1618" s="700" t="str">
        <f>IF(AND(E1602&lt;&gt;"",OR(F1618="",COUNT(K1618:L1618)=0),Y1618&lt;&gt;EUconst_NA,T1602&lt;&gt;TRUE),EUconst_ERR_Incomplete,IF(COUNTIF(AX1618:AZ1618,TRUE)&gt;0,EUconst_ERR_Inconsistent,""))</f>
        <v/>
      </c>
      <c r="O1618" s="1305"/>
      <c r="P1618" s="635"/>
      <c r="Q1618" s="635"/>
      <c r="R1618" s="635"/>
      <c r="S1618" s="30"/>
      <c r="T1618" s="543" t="str">
        <f>EUconst_CNTR_BiomassContent&amp;E1602</f>
        <v>BioC_</v>
      </c>
      <c r="U1618" s="488"/>
      <c r="V1618" s="585" t="str">
        <f t="shared" si="405"/>
        <v/>
      </c>
      <c r="W1618" s="522" t="str">
        <f>IF(COUNTIF(MSPara_SourceStreamCategory,V1618)=0,"",INDEX(MSPara_IsFossil,MATCH(V1618,MSPara_SourceStreamCategory,0)))</f>
        <v/>
      </c>
      <c r="X1618" s="488"/>
      <c r="Y1618" s="545" t="str">
        <f>IF(OR(T1602=TRUE,E1602=""),"",IF(OR(W1618=TRUE,F1618=EUconst_NA),EUconst_NA,INDEX(EUwideConstants!$N:$N,MATCH(T1618,EUwideConstants!$Q:$Q,0))))</f>
        <v/>
      </c>
      <c r="Z1618" s="546" t="str">
        <f>IF(ISBLANK(F1618),"",IF(F1618=EUconst_NA,"",INDEX(EUwideConstants!$H:$M,MATCH(T1618,EUwideConstants!$Q:$Q,0),MATCH(F1618,CNTR_TierList,0))))</f>
        <v/>
      </c>
      <c r="AA1618" s="586" t="str">
        <f>IF(F1618=1,1,"")</f>
        <v/>
      </c>
      <c r="AB1618" s="30"/>
      <c r="AC1618" s="548" t="b">
        <f>AND(AC1611,Y1618&lt;&gt;EUconst_NA)</f>
        <v>0</v>
      </c>
      <c r="AD1618" s="30"/>
      <c r="AE1618" s="563"/>
      <c r="AG1618" s="564"/>
      <c r="AH1618" s="553"/>
      <c r="AI1618" s="565"/>
      <c r="AJ1618" s="553"/>
      <c r="AK1618" s="566"/>
      <c r="AL1618" s="333"/>
      <c r="AM1618" s="549" t="str">
        <f>EUconst_CNTR_BiomassContent&amp;EUconst_Value</f>
        <v>BioC_Vertė</v>
      </c>
      <c r="AO1618" s="587" t="str">
        <f>IF(AC1618=TRUE,IF(COUNTIF(MSPara_SourceStreamCategory,V1618)=0,"",INDEX(MSPara_CalcFactorsMatrix,MATCH(V1618,MSPara_SourceStreamCategory,0),MATCH(AM1618&amp;"_"&amp;2,MSPara_CalcFactors,0))),"")</f>
        <v/>
      </c>
      <c r="AP1618" s="553"/>
      <c r="AQ1618" s="568" t="str">
        <f>IF(OR(AA1618="",AO1618=EUconst_NA),"",AO1618)</f>
        <v/>
      </c>
      <c r="AR1618" s="548">
        <f>IF(AC1618=TRUE,IF(COUNT(K1618:L1618)=0,0,IF(L1618="",K1618,L1618)),0)</f>
        <v>0</v>
      </c>
      <c r="AS1618" s="544" t="b">
        <f>AND(AC1618=TRUE,OR(AND(F1618&lt;&gt;"",NOT(ISNUMBER(AA1618))),L1618&lt;&gt;"",F1618="",AQ1618=""))</f>
        <v>0</v>
      </c>
      <c r="AT1618" s="544" t="b">
        <f t="shared" si="401"/>
        <v>0</v>
      </c>
      <c r="AU1618" s="30"/>
      <c r="AV1618" s="558" t="b">
        <f t="shared" si="402"/>
        <v>0</v>
      </c>
      <c r="AW1618" s="559" t="b">
        <f t="shared" si="403"/>
        <v>0</v>
      </c>
      <c r="AX1618" s="30"/>
      <c r="AY1618" s="585" t="b">
        <f t="shared" si="404"/>
        <v>0</v>
      </c>
      <c r="AZ1618" s="522" t="b">
        <f>OR(AR1618&gt;100%,(AR1618+AR1619)&gt;100%)</f>
        <v>0</v>
      </c>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544" t="b">
        <f>OR(BZ1611,Y1618=EUconst_NA)</f>
        <v>1</v>
      </c>
    </row>
    <row r="1619" spans="1:78" s="140" customFormat="1" ht="12.75" customHeight="1" thickBot="1" x14ac:dyDescent="0.25">
      <c r="A1619" s="777"/>
      <c r="B1619" s="1248"/>
      <c r="C1619" s="753" t="s">
        <v>448</v>
      </c>
      <c r="D1619" s="503" t="str">
        <f>Translations!$B$647</f>
        <v>Netvarios BioC dalis:</v>
      </c>
      <c r="E1619" s="504"/>
      <c r="F1619" s="588"/>
      <c r="G1619" s="1603" t="str">
        <f t="shared" si="399"/>
        <v/>
      </c>
      <c r="H1619" s="1604"/>
      <c r="I1619" s="1114" t="str">
        <f>IF(OR(AC1619=FALSE,Y1619=EUconst_NA),"","-")</f>
        <v/>
      </c>
      <c r="J1619" s="560"/>
      <c r="K1619" s="589" t="str">
        <f t="shared" si="400"/>
        <v/>
      </c>
      <c r="L1619" s="1100"/>
      <c r="M1619" s="700" t="str">
        <f>IF(AND(E1602&lt;&gt;"",OR(F1619="",COUNT(K1619:L1619)=0),Y1619&lt;&gt;EUconst_NA,T1602&lt;&gt;TRUE),EUconst_ERR_Incomplete,IF(COUNTIF(AX1619:AZ1619,TRUE)&gt;0,EUconst_ERR_Inconsistent,""))</f>
        <v/>
      </c>
      <c r="O1619" s="1305"/>
      <c r="P1619" s="635"/>
      <c r="Q1619" s="635"/>
      <c r="R1619" s="635"/>
      <c r="S1619" s="30"/>
      <c r="T1619" s="590" t="str">
        <f>EUconst_CNTR_BiomassContent&amp;E1602</f>
        <v>BioC_</v>
      </c>
      <c r="U1619" s="488"/>
      <c r="V1619" s="570" t="str">
        <f t="shared" si="405"/>
        <v/>
      </c>
      <c r="W1619" s="571" t="str">
        <f>IF(COUNTIF(MSPara_SourceStreamCategory,V1619)=0,"",INDEX(MSPara_IsFossil,MATCH(V1619,MSPara_SourceStreamCategory,0)))</f>
        <v/>
      </c>
      <c r="X1619" s="488"/>
      <c r="Y1619" s="591" t="str">
        <f>IF(OR(T1602=TRUE,E1602=""),"",IF(OR(W1619=TRUE,F1619=EUconst_NA),EUconst_NA,INDEX(EUwideConstants!$N:$N,MATCH(T1619,EUwideConstants!$Q:$Q,0))))</f>
        <v/>
      </c>
      <c r="Z1619" s="592" t="str">
        <f>IF(ISBLANK(F1619),"",IF(F1619=EUconst_NA,"",INDEX(EUwideConstants!$H:$M,MATCH(T1619,EUwideConstants!$Q:$Q,0),MATCH(F1619,CNTR_TierList,0))))</f>
        <v/>
      </c>
      <c r="AA1619" s="593" t="str">
        <f>IF(F1619=1,1,"")</f>
        <v/>
      </c>
      <c r="AB1619" s="30"/>
      <c r="AC1619" s="594" t="b">
        <f>AND(AC1611,Y1619&lt;&gt;EUconst_NA)</f>
        <v>0</v>
      </c>
      <c r="AD1619" s="30"/>
      <c r="AE1619" s="595"/>
      <c r="AF1619" s="596"/>
      <c r="AG1619" s="597"/>
      <c r="AH1619" s="598"/>
      <c r="AI1619" s="598"/>
      <c r="AJ1619" s="598"/>
      <c r="AK1619" s="599"/>
      <c r="AL1619" s="333"/>
      <c r="AM1619" s="600" t="str">
        <f>EUconst_CNTR_BiomassContent&amp;EUconst_Value</f>
        <v>BioC_Vertė</v>
      </c>
      <c r="AN1619" s="596"/>
      <c r="AO1619" s="601" t="str">
        <f>IF(AC1619=TRUE,IF(COUNTIF(MSPara_SourceStreamCategory,V1619)=0,"",INDEX(MSPara_CalcFactorsMatrix,MATCH(V1619,MSPara_SourceStreamCategory,0),MATCH(AM1619&amp;"_"&amp;2,MSPara_CalcFactors,0))),"")</f>
        <v/>
      </c>
      <c r="AP1619" s="598"/>
      <c r="AQ1619" s="602" t="str">
        <f>IF(OR(AA1619="",AO1619=EUconst_NA),"",AO1619)</f>
        <v/>
      </c>
      <c r="AR1619" s="594">
        <f>IF(AC1619=TRUE,IF(COUNT(K1619:L1619)=0,0,IF(L1619="",K1619,L1619)),0)</f>
        <v>0</v>
      </c>
      <c r="AS1619" s="603" t="b">
        <f>AND(AC1619=TRUE,OR(AND(F1619&lt;&gt;"",NOT(ISNUMBER(AA1619))),L1619&lt;&gt;"",F1619="",AQ1619=""))</f>
        <v>0</v>
      </c>
      <c r="AT1619" s="603" t="b">
        <f t="shared" si="401"/>
        <v>0</v>
      </c>
      <c r="AU1619" s="30"/>
      <c r="AV1619" s="604" t="b">
        <f t="shared" si="402"/>
        <v>0</v>
      </c>
      <c r="AW1619" s="605" t="b">
        <f t="shared" si="403"/>
        <v>0</v>
      </c>
      <c r="AX1619" s="30"/>
      <c r="AY1619" s="570" t="b">
        <f t="shared" si="404"/>
        <v>0</v>
      </c>
      <c r="AZ1619" s="571" t="b">
        <f>OR(AR1618&gt;100%,(AR1618+AR1619)&gt;100%)</f>
        <v>0</v>
      </c>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571" t="b">
        <f>OR(BZ1611,Y1619=EUconst_NA)</f>
        <v>1</v>
      </c>
    </row>
    <row r="1620" spans="1:78" s="140" customFormat="1" ht="5.0999999999999996" customHeight="1" x14ac:dyDescent="0.2">
      <c r="A1620" s="777"/>
      <c r="B1620" s="1248"/>
      <c r="C1620" s="164"/>
      <c r="D1620" s="178"/>
      <c r="O1620" s="1305"/>
      <c r="P1620" s="33"/>
      <c r="Q1620" s="33"/>
      <c r="R1620" s="33"/>
      <c r="S1620" s="172"/>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row>
    <row r="1621" spans="1:78" s="140" customFormat="1" ht="12.75" customHeight="1" x14ac:dyDescent="0.2">
      <c r="A1621" s="777"/>
      <c r="B1621" s="1248"/>
      <c r="C1621" s="164"/>
      <c r="D1621" s="1629" t="str">
        <f>Translations!$B$674</f>
        <v>Pakopos galioja nuo:</v>
      </c>
      <c r="E1621" s="1629"/>
      <c r="F1621" s="1630"/>
      <c r="G1621" s="1014"/>
      <c r="H1621" s="606" t="str">
        <f>Translations!$B$675</f>
        <v>iki:</v>
      </c>
      <c r="I1621" s="1014"/>
      <c r="J1621" s="1620" t="str">
        <f>Translations!$B$676</f>
        <v>Atliekų katalogo numeris (jeigu taikytina):</v>
      </c>
      <c r="K1621" s="1621"/>
      <c r="L1621" s="1621"/>
      <c r="M1621" s="1622"/>
      <c r="N1621" s="1232"/>
      <c r="O1621" s="1305"/>
      <c r="P1621" s="33"/>
      <c r="Q1621" s="33"/>
      <c r="R1621" s="33"/>
      <c r="S1621" s="1233"/>
      <c r="T1621" s="483"/>
      <c r="U1621" s="483"/>
      <c r="V1621" s="48" t="b">
        <f>IF(V1611="",FALSE,INDEX(CNTR_IsWaste,MATCH(V1611,MSParameters!$A$218:$A$376,0)))</f>
        <v>0</v>
      </c>
      <c r="W1621" s="1233" t="s">
        <v>1689</v>
      </c>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2" t="b">
        <f>BZ1611</f>
        <v>1</v>
      </c>
    </row>
    <row r="1622" spans="1:78" s="140" customFormat="1" ht="5.0999999999999996" customHeight="1" x14ac:dyDescent="0.2">
      <c r="A1622" s="777"/>
      <c r="B1622" s="1248"/>
      <c r="C1622" s="164"/>
      <c r="D1622" s="606"/>
      <c r="E1622" s="486"/>
      <c r="F1622" s="486"/>
      <c r="G1622" s="486"/>
      <c r="H1622" s="486"/>
      <c r="I1622" s="486"/>
      <c r="J1622" s="486"/>
      <c r="K1622" s="486"/>
      <c r="L1622" s="486"/>
      <c r="M1622" s="486"/>
      <c r="N1622" s="486"/>
      <c r="O1622" s="1305"/>
      <c r="P1622" s="33"/>
      <c r="Q1622" s="33"/>
      <c r="R1622" s="33"/>
      <c r="S1622" s="172"/>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row>
    <row r="1623" spans="1:78" s="140" customFormat="1" ht="12.75" customHeight="1" x14ac:dyDescent="0.2">
      <c r="A1623" s="777"/>
      <c r="B1623" s="1248"/>
      <c r="C1623" s="164"/>
      <c r="D1623" s="486"/>
      <c r="E1623" s="486"/>
      <c r="F1623" s="486"/>
      <c r="G1623" s="486"/>
      <c r="H1623" s="486"/>
      <c r="I1623" s="486"/>
      <c r="J1623" s="486"/>
      <c r="K1623" s="486"/>
      <c r="L1623" s="486"/>
      <c r="M1623" s="606" t="str">
        <f>Translations!$B$677</f>
        <v>Stebėsenos plane šiam sukėlikliui suteiktas identifikatorius:</v>
      </c>
      <c r="N1623" s="705"/>
      <c r="O1623" s="1305"/>
      <c r="P1623" s="33"/>
      <c r="Q1623" s="33"/>
      <c r="R1623" s="33"/>
      <c r="S1623" s="172"/>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2" t="b">
        <f>BZ1621</f>
        <v>1</v>
      </c>
    </row>
    <row r="1624" spans="1:78" s="140" customFormat="1" ht="5.0999999999999996" customHeight="1" x14ac:dyDescent="0.2">
      <c r="A1624" s="784"/>
      <c r="B1624" s="1316"/>
      <c r="D1624" s="178"/>
      <c r="O1624" s="1317"/>
      <c r="P1624" s="488"/>
      <c r="Q1624" s="488"/>
      <c r="R1624" s="488"/>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row>
    <row r="1625" spans="1:78" s="140" customFormat="1" x14ac:dyDescent="0.2">
      <c r="A1625" s="784"/>
      <c r="B1625" s="1316"/>
      <c r="D1625" s="1618" t="str">
        <f>Translations!$B$160</f>
        <v>Pastabos:</v>
      </c>
      <c r="E1625" s="1619"/>
      <c r="F1625" s="1605"/>
      <c r="G1625" s="1606"/>
      <c r="H1625" s="1606"/>
      <c r="I1625" s="1606"/>
      <c r="J1625" s="1606"/>
      <c r="K1625" s="1606"/>
      <c r="L1625" s="1606"/>
      <c r="M1625" s="1606"/>
      <c r="N1625" s="1607"/>
      <c r="O1625" s="1317"/>
      <c r="P1625" s="488"/>
      <c r="Q1625" s="488"/>
      <c r="R1625" s="488"/>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2" t="b">
        <f>BZ1621</f>
        <v>1</v>
      </c>
    </row>
    <row r="1626" spans="1:78" s="28" customFormat="1" ht="12.75" customHeight="1" thickBot="1" x14ac:dyDescent="0.25">
      <c r="A1626" s="777"/>
      <c r="B1626" s="1312"/>
      <c r="C1626" s="490"/>
      <c r="D1626" s="491"/>
      <c r="E1626" s="492"/>
      <c r="F1626" s="490"/>
      <c r="G1626" s="493"/>
      <c r="H1626" s="493"/>
      <c r="I1626" s="493"/>
      <c r="J1626" s="493"/>
      <c r="K1626" s="493"/>
      <c r="L1626" s="493"/>
      <c r="M1626" s="493"/>
      <c r="N1626" s="493"/>
      <c r="O1626" s="1313"/>
      <c r="P1626" s="485"/>
      <c r="Q1626" s="485"/>
      <c r="R1626" s="485"/>
      <c r="S1626" s="58"/>
      <c r="T1626" s="58"/>
      <c r="U1626" s="489"/>
      <c r="V1626" s="58"/>
      <c r="W1626" s="58"/>
      <c r="X1626" s="489"/>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58"/>
      <c r="AU1626" s="58"/>
      <c r="AV1626" s="58"/>
      <c r="AW1626" s="58"/>
      <c r="AX1626" s="58"/>
      <c r="AY1626" s="58"/>
      <c r="AZ1626" s="58"/>
      <c r="BA1626" s="58"/>
      <c r="BB1626" s="58"/>
      <c r="BC1626" s="58"/>
      <c r="BD1626" s="58"/>
      <c r="BE1626" s="58"/>
      <c r="BF1626" s="58"/>
      <c r="BG1626" s="58"/>
      <c r="BH1626" s="58"/>
      <c r="BI1626" s="30"/>
      <c r="BJ1626" s="30"/>
      <c r="BK1626" s="30"/>
      <c r="BL1626" s="58"/>
      <c r="BM1626" s="58"/>
      <c r="BN1626" s="58"/>
      <c r="BO1626" s="58"/>
      <c r="BP1626" s="58"/>
      <c r="BQ1626" s="58"/>
      <c r="BR1626" s="58"/>
      <c r="BS1626" s="58"/>
      <c r="BT1626" s="58"/>
      <c r="BU1626" s="58"/>
      <c r="BV1626" s="58"/>
      <c r="BW1626" s="58"/>
      <c r="BX1626" s="58"/>
      <c r="BY1626" s="58"/>
      <c r="BZ1626" s="58"/>
    </row>
    <row r="1627" spans="1:78" s="28" customFormat="1" ht="12.75" customHeight="1" thickBot="1" x14ac:dyDescent="0.25">
      <c r="A1627" s="782"/>
      <c r="B1627" s="1312"/>
      <c r="C1627" s="486"/>
      <c r="D1627" s="178"/>
      <c r="E1627" s="487"/>
      <c r="F1627" s="486"/>
      <c r="G1627" s="478"/>
      <c r="H1627" s="478"/>
      <c r="I1627" s="478"/>
      <c r="J1627" s="478"/>
      <c r="K1627" s="486"/>
      <c r="L1627" s="478"/>
      <c r="M1627" s="478"/>
      <c r="N1627" s="478"/>
      <c r="O1627" s="1313"/>
      <c r="P1627" s="485"/>
      <c r="Q1627" s="485"/>
      <c r="R1627" s="485"/>
      <c r="S1627" s="23"/>
      <c r="T1627" s="27" t="str">
        <f>IF(ISBLANK(E1628),"",MATCH(E1628,CNTR_SourceStreamNames,0))</f>
        <v/>
      </c>
      <c r="U1627" s="609" t="str">
        <f>IF(ISBLANK(E1628),"",INDEX(B_InstallationDescription!$D$71:$D$145,MATCH(E1628,CNTR_SourceStreamNames,0)))</f>
        <v/>
      </c>
      <c r="V1627" s="76"/>
      <c r="W1627" s="56"/>
      <c r="X1627" s="56"/>
      <c r="Y1627" s="56"/>
      <c r="Z1627" s="58"/>
      <c r="AA1627" s="58"/>
      <c r="AB1627" s="58"/>
      <c r="AC1627" s="58"/>
      <c r="AD1627" s="58"/>
      <c r="AE1627" s="58"/>
      <c r="AF1627" s="58"/>
      <c r="AG1627" s="58"/>
      <c r="AH1627" s="58"/>
      <c r="AI1627" s="58"/>
      <c r="AJ1627" s="58"/>
      <c r="AK1627" s="482"/>
      <c r="AL1627" s="58"/>
      <c r="AM1627" s="58"/>
      <c r="AN1627" s="58"/>
      <c r="AO1627" s="58"/>
      <c r="AP1627" s="58"/>
      <c r="AQ1627" s="58"/>
      <c r="AR1627" s="58"/>
      <c r="AS1627" s="58"/>
      <c r="AT1627" s="58"/>
      <c r="AU1627" s="58"/>
      <c r="AV1627" s="58"/>
      <c r="AW1627" s="58"/>
      <c r="AX1627" s="58"/>
      <c r="AY1627" s="58"/>
      <c r="AZ1627" s="58"/>
      <c r="BA1627" s="58"/>
      <c r="BB1627" s="58"/>
      <c r="BC1627" s="58"/>
      <c r="BD1627" s="58"/>
      <c r="BE1627" s="58"/>
      <c r="BF1627" s="58"/>
      <c r="BG1627" s="58"/>
      <c r="BH1627" s="56"/>
      <c r="BI1627" s="56"/>
      <c r="BJ1627" s="56"/>
      <c r="BK1627" s="56"/>
      <c r="BL1627" s="56"/>
      <c r="BM1627" s="56"/>
      <c r="BN1627" s="56"/>
      <c r="BO1627" s="56"/>
      <c r="BP1627" s="56"/>
      <c r="BQ1627" s="56"/>
      <c r="BR1627" s="56"/>
      <c r="BS1627" s="56"/>
      <c r="BT1627" s="56"/>
      <c r="BU1627" s="56"/>
      <c r="BV1627" s="56"/>
      <c r="BW1627" s="56"/>
      <c r="BX1627" s="56"/>
      <c r="BY1627" s="56"/>
      <c r="BZ1627" s="484" t="s">
        <v>259</v>
      </c>
    </row>
    <row r="1628" spans="1:78" s="140" customFormat="1" ht="15" customHeight="1" thickBot="1" x14ac:dyDescent="0.25">
      <c r="A1628" s="1302" t="str">
        <f>IF(E1628="","","PRINT")</f>
        <v/>
      </c>
      <c r="B1628" s="1248"/>
      <c r="C1628" s="608">
        <f>C1601+1</f>
        <v>59</v>
      </c>
      <c r="D1628" s="164"/>
      <c r="E1628" s="1610"/>
      <c r="F1628" s="1611"/>
      <c r="G1628" s="1611"/>
      <c r="H1628" s="1611"/>
      <c r="I1628" s="1611"/>
      <c r="J1628" s="1612"/>
      <c r="K1628" s="1623" t="str">
        <f>IF(E1629="","",INDEX(EUwideConstants!$F$353:$F$394,MATCH(E1629,EUConst_TierActivityListNames,0)))</f>
        <v/>
      </c>
      <c r="L1628" s="1624"/>
      <c r="M1628" s="494" t="str">
        <f>Translations!$B$665</f>
        <v>CO2, iškastinio kuro kilmės:</v>
      </c>
      <c r="N1628" s="1012" t="str">
        <f>IF(OR(K1628="",T1629=TRUE),"",INDEX(BC1642:BE1642,MATCH(K1628,BC1638:BE1638,0)))</f>
        <v/>
      </c>
      <c r="O1628" s="1314" t="s">
        <v>257</v>
      </c>
      <c r="P1628" s="1303" t="str">
        <f>IF(AND(E1628&lt;&gt;"",COUNTIF(P1629:$P$2089,"PRINT")=0),"PRINT","")</f>
        <v/>
      </c>
      <c r="Q1628" s="343" t="str">
        <f>EUconst_SumCO2 &amp; "_" &amp; K1628</f>
        <v>SUM_CO2_</v>
      </c>
      <c r="R1628" s="485"/>
      <c r="S1628" s="23"/>
      <c r="T1628" s="500" t="s">
        <v>387</v>
      </c>
      <c r="U1628" s="23"/>
      <c r="V1628" s="76"/>
      <c r="W1628" s="56"/>
      <c r="X1628" s="58"/>
      <c r="Y1628" s="58"/>
      <c r="Z1628" s="58"/>
      <c r="AA1628" s="58"/>
      <c r="AB1628" s="58"/>
      <c r="AC1628" s="58"/>
      <c r="AD1628" s="58"/>
      <c r="AE1628" s="58"/>
      <c r="AF1628" s="58"/>
      <c r="AG1628" s="58"/>
      <c r="AH1628" s="58"/>
      <c r="AI1628" s="333"/>
      <c r="AJ1628" s="333"/>
      <c r="AK1628" s="333"/>
      <c r="AL1628" s="333"/>
      <c r="AM1628" s="333"/>
      <c r="AN1628" s="333"/>
      <c r="AO1628" s="333"/>
      <c r="AP1628" s="333"/>
      <c r="AQ1628" s="333"/>
      <c r="AR1628" s="333"/>
      <c r="AS1628" s="333"/>
      <c r="AT1628" s="333"/>
      <c r="AU1628" s="333"/>
      <c r="AV1628" s="333"/>
      <c r="AW1628" s="333"/>
      <c r="AX1628" s="333"/>
      <c r="AY1628" s="333"/>
      <c r="AZ1628" s="333"/>
      <c r="BA1628" s="333"/>
      <c r="BB1628" s="333"/>
      <c r="BC1628" s="333"/>
      <c r="BD1628" s="333"/>
      <c r="BE1628" s="333"/>
      <c r="BF1628" s="333"/>
      <c r="BG1628" s="333"/>
      <c r="BH1628" s="834">
        <f>AR1638</f>
        <v>0</v>
      </c>
      <c r="BI1628" s="834" t="str">
        <f>AJ1638</f>
        <v/>
      </c>
      <c r="BJ1628" s="834">
        <f>AR1640</f>
        <v>0</v>
      </c>
      <c r="BK1628" s="834" t="str">
        <f>AJ1640</f>
        <v/>
      </c>
      <c r="BL1628" s="834">
        <f>AR1641</f>
        <v>0</v>
      </c>
      <c r="BM1628" s="834" t="str">
        <f>AJ1641</f>
        <v/>
      </c>
      <c r="BN1628" s="834">
        <f>AR1642</f>
        <v>1</v>
      </c>
      <c r="BO1628" s="834">
        <f>AR1643</f>
        <v>1</v>
      </c>
      <c r="BP1628" s="834">
        <f>AR1644</f>
        <v>0</v>
      </c>
      <c r="BQ1628" s="834" t="str">
        <f>AJ1644</f>
        <v/>
      </c>
      <c r="BR1628" s="834">
        <f>AR1645</f>
        <v>0</v>
      </c>
      <c r="BS1628" s="834">
        <f>AR1646</f>
        <v>0</v>
      </c>
      <c r="BT1628" s="834" t="str">
        <f>N1628</f>
        <v/>
      </c>
      <c r="BU1628" s="834" t="str">
        <f>N1629</f>
        <v/>
      </c>
      <c r="BV1628" s="834" t="str">
        <f>R1631</f>
        <v/>
      </c>
      <c r="BW1628" s="834" t="str">
        <f>R1637</f>
        <v/>
      </c>
      <c r="BX1628" s="834" t="str">
        <f>R1638</f>
        <v/>
      </c>
      <c r="BY1628" s="56"/>
      <c r="BZ1628" s="610" t="b">
        <f>CNTR_CalcRelevant=EUconst_NotRelevant</f>
        <v>0</v>
      </c>
    </row>
    <row r="1629" spans="1:78" s="140" customFormat="1" ht="15" customHeight="1" thickBot="1" x14ac:dyDescent="0.25">
      <c r="A1629" s="777"/>
      <c r="B1629" s="1248"/>
      <c r="C1629" s="164"/>
      <c r="D1629" s="164"/>
      <c r="E1629" s="1625" t="str">
        <f>IF(ISBLANK(E1628),"",IF(INDEX(B_InstallationDescription!$E$71:$E$145,MATCH(U1627,B_InstallationDescription!$D$71:$D$145,0))&gt;0,INDEX(B_InstallationDescription!$E$71:$E$145,MATCH(U1627,B_InstallationDescription!$D$71:$D$145,0)),""))</f>
        <v/>
      </c>
      <c r="F1629" s="1626"/>
      <c r="G1629" s="1626"/>
      <c r="H1629" s="1626"/>
      <c r="I1629" s="1626"/>
      <c r="J1629" s="1627"/>
      <c r="M1629" s="337" t="str">
        <f>Translations!$B$666</f>
        <v>CO2, biomasės kilmės.:</v>
      </c>
      <c r="N1629" s="1013" t="str">
        <f>IF(OR(K1628="",T1629=TRUE),"",INDEX(BC1641:BE1641,MATCH(K1628,BC1638:BE1638,0)))</f>
        <v/>
      </c>
      <c r="O1629" s="1315" t="s">
        <v>257</v>
      </c>
      <c r="P1629" s="485"/>
      <c r="Q1629" s="343" t="str">
        <f>EUconst_SumBioCO2 &amp; "_" &amp; K1628</f>
        <v>SUM_bioCO2_</v>
      </c>
      <c r="R1629" s="485"/>
      <c r="S1629" s="23"/>
      <c r="T1629" s="48" t="str">
        <f>IF(E1629="","",MATCH(E1629,EUConst_TierActivityListNames,0)&gt;40)</f>
        <v/>
      </c>
      <c r="U1629" s="23"/>
      <c r="V1629" s="76"/>
      <c r="W1629" s="56"/>
      <c r="X1629" s="58"/>
      <c r="Y1629" s="27" t="s">
        <v>91</v>
      </c>
      <c r="Z1629" s="30"/>
      <c r="AA1629" s="30"/>
      <c r="AB1629" s="30"/>
      <c r="AC1629" s="30"/>
      <c r="AD1629" s="30"/>
      <c r="AE1629" s="27" t="s">
        <v>297</v>
      </c>
      <c r="AF1629" s="58"/>
      <c r="AG1629" s="495"/>
      <c r="AH1629" s="30"/>
      <c r="AI1629" s="30"/>
      <c r="AJ1629" s="495"/>
      <c r="AK1629" s="495"/>
      <c r="AL1629" s="333"/>
      <c r="AM1629" s="27" t="s">
        <v>303</v>
      </c>
      <c r="AN1629" s="496"/>
      <c r="AO1629" s="496"/>
      <c r="AP1629" s="30"/>
      <c r="AQ1629" s="30"/>
      <c r="AR1629" s="30"/>
      <c r="AS1629" s="30"/>
      <c r="AT1629" s="30"/>
      <c r="AU1629" s="30"/>
      <c r="AV1629" s="27" t="s">
        <v>310</v>
      </c>
      <c r="AW1629" s="30"/>
      <c r="AX1629" s="483"/>
      <c r="AY1629" s="30"/>
      <c r="AZ1629" s="30"/>
      <c r="BA1629" s="30"/>
      <c r="BB1629" s="27" t="s">
        <v>217</v>
      </c>
      <c r="BC1629" s="30"/>
      <c r="BD1629" s="30"/>
      <c r="BE1629" s="30"/>
      <c r="BF1629" s="30"/>
      <c r="BG1629" s="27" t="s">
        <v>486</v>
      </c>
      <c r="BH1629" s="833" t="s">
        <v>552</v>
      </c>
      <c r="BI1629" s="833" t="s">
        <v>487</v>
      </c>
      <c r="BJ1629" s="833" t="s">
        <v>211</v>
      </c>
      <c r="BK1629" s="833" t="s">
        <v>488</v>
      </c>
      <c r="BL1629" s="833" t="s">
        <v>68</v>
      </c>
      <c r="BM1629" s="833" t="s">
        <v>489</v>
      </c>
      <c r="BN1629" s="833" t="s">
        <v>490</v>
      </c>
      <c r="BO1629" s="833" t="s">
        <v>491</v>
      </c>
      <c r="BP1629" s="833" t="s">
        <v>214</v>
      </c>
      <c r="BQ1629" s="833" t="s">
        <v>492</v>
      </c>
      <c r="BR1629" s="833" t="s">
        <v>493</v>
      </c>
      <c r="BS1629" s="833" t="s">
        <v>494</v>
      </c>
      <c r="BT1629" s="833" t="s">
        <v>287</v>
      </c>
      <c r="BU1629" s="833" t="s">
        <v>495</v>
      </c>
      <c r="BV1629" s="833" t="s">
        <v>498</v>
      </c>
      <c r="BW1629" s="833" t="s">
        <v>496</v>
      </c>
      <c r="BX1629" s="833" t="s">
        <v>497</v>
      </c>
      <c r="BY1629" s="30"/>
      <c r="BZ1629" s="30"/>
    </row>
    <row r="1630" spans="1:78" s="140" customFormat="1" ht="5.0999999999999996" customHeight="1" thickBot="1" x14ac:dyDescent="0.25">
      <c r="A1630" s="777"/>
      <c r="B1630" s="1248"/>
      <c r="C1630" s="164"/>
      <c r="D1630" s="164"/>
      <c r="E1630" s="164"/>
      <c r="F1630" s="164"/>
      <c r="G1630" s="164"/>
      <c r="M1630" s="141"/>
      <c r="N1630" s="141"/>
      <c r="O1630" s="1305"/>
      <c r="P1630" s="33"/>
      <c r="Q1630" s="33"/>
      <c r="R1630" s="33"/>
      <c r="S1630" s="23"/>
      <c r="T1630" s="23"/>
      <c r="U1630" s="23"/>
      <c r="V1630" s="76"/>
      <c r="W1630" s="30"/>
      <c r="X1630" s="30"/>
      <c r="Y1630" s="485"/>
      <c r="Z1630" s="30"/>
      <c r="AA1630" s="30"/>
      <c r="AB1630" s="30"/>
      <c r="AC1630" s="30"/>
      <c r="AD1630" s="30"/>
      <c r="AE1630" s="30"/>
      <c r="AF1630" s="58"/>
      <c r="AG1630" s="30"/>
      <c r="AH1630" s="30"/>
      <c r="AI1630" s="30"/>
      <c r="AJ1630" s="495"/>
      <c r="AK1630" s="495"/>
      <c r="AL1630" s="333"/>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row>
    <row r="1631" spans="1:78" s="140" customFormat="1" ht="12.75" customHeight="1" thickBot="1" x14ac:dyDescent="0.25">
      <c r="A1631" s="777"/>
      <c r="B1631" s="1248"/>
      <c r="C1631" s="164"/>
      <c r="D1631" s="164"/>
      <c r="E1631" s="1628" t="str">
        <f>IF(E1628="","",IF(T1629=TRUE,HYPERLINK("#JUMP_14",EUconst_MsgGoOnPFC),HYPERLINK("#JUMP_E_8",EUconst_FurtherGuidancePoint1)))</f>
        <v/>
      </c>
      <c r="F1631" s="1628"/>
      <c r="G1631" s="1628"/>
      <c r="H1631" s="1628"/>
      <c r="I1631" s="1628"/>
      <c r="J1631" s="1628"/>
      <c r="K1631" s="1628"/>
      <c r="L1631" s="1628"/>
      <c r="M1631" s="1628"/>
      <c r="N1631" s="141"/>
      <c r="O1631" s="1305"/>
      <c r="P1631" s="33"/>
      <c r="Q1631" s="343" t="str">
        <f>EUconst_SumNonSustBioCO2 &amp; "_" &amp; K1628</f>
        <v>SUM_bioNonSustCO2_</v>
      </c>
      <c r="R1631" s="698" t="str">
        <f>IF(OR(K1628="",T1629=TRUE),"",ROUND(INDEX(BC1640:BE1640,MATCH(K1628,BC1638:BE1638,0)),0))</f>
        <v/>
      </c>
      <c r="S1631" s="23"/>
      <c r="T1631" s="23"/>
      <c r="U1631" s="23"/>
      <c r="V1631" s="30"/>
      <c r="W1631" s="30"/>
      <c r="X1631" s="30"/>
      <c r="Y1631" s="58"/>
      <c r="Z1631" s="30"/>
      <c r="AA1631" s="30"/>
      <c r="AB1631" s="30"/>
      <c r="AC1631" s="30"/>
      <c r="AD1631" s="30"/>
      <c r="AE1631" s="30"/>
      <c r="AF1631" s="58"/>
      <c r="AG1631" s="30"/>
      <c r="AH1631" s="30"/>
      <c r="AI1631" s="30"/>
      <c r="AJ1631" s="495"/>
      <c r="AK1631" s="495"/>
      <c r="AL1631" s="333"/>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row>
    <row r="1632" spans="1:78" s="140" customFormat="1" ht="5.0999999999999996" customHeight="1" thickBot="1" x14ac:dyDescent="0.25">
      <c r="A1632" s="777"/>
      <c r="B1632" s="1248"/>
      <c r="C1632" s="164"/>
      <c r="D1632" s="164"/>
      <c r="E1632" s="164"/>
      <c r="F1632" s="164"/>
      <c r="G1632" s="164"/>
      <c r="M1632" s="141"/>
      <c r="N1632" s="141"/>
      <c r="O1632" s="1305"/>
      <c r="P1632" s="23"/>
      <c r="Q1632" s="23"/>
      <c r="R1632" s="23"/>
      <c r="S1632" s="23"/>
      <c r="T1632" s="23"/>
      <c r="U1632" s="23"/>
      <c r="V1632" s="30"/>
      <c r="W1632" s="30"/>
      <c r="X1632" s="30"/>
      <c r="Y1632" s="485"/>
      <c r="Z1632" s="30"/>
      <c r="AA1632" s="30"/>
      <c r="AB1632" s="30"/>
      <c r="AC1632" s="30"/>
      <c r="AD1632" s="30"/>
      <c r="AE1632" s="30"/>
      <c r="AF1632" s="58"/>
      <c r="AG1632" s="30"/>
      <c r="AH1632" s="30"/>
      <c r="AI1632" s="30"/>
      <c r="AJ1632" s="495"/>
      <c r="AK1632" s="495"/>
      <c r="AL1632" s="333"/>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row>
    <row r="1633" spans="1:78" s="140" customFormat="1" ht="12.75" customHeight="1" thickBot="1" x14ac:dyDescent="0.25">
      <c r="A1633" s="777"/>
      <c r="B1633" s="1248"/>
      <c r="C1633" s="783" t="s">
        <v>4</v>
      </c>
      <c r="D1633" s="503" t="str">
        <f>Translations!$B$622</f>
        <v>VD:</v>
      </c>
      <c r="E1633" s="1631" t="str">
        <f>Translations!$B$667</f>
        <v>Ar veiklos duomenys gaunami sudedant išmatuotus kiekius (t. y. ne atliekant nuolatinius matavimus)?</v>
      </c>
      <c r="F1633" s="1631"/>
      <c r="G1633" s="1631"/>
      <c r="H1633" s="1631"/>
      <c r="I1633" s="1631"/>
      <c r="J1633" s="1631"/>
      <c r="K1633" s="1631"/>
      <c r="L1633" s="1122"/>
      <c r="M1633" s="498"/>
      <c r="O1633" s="1305"/>
      <c r="P1633" s="23"/>
      <c r="Q1633" s="23"/>
      <c r="R1633" s="23"/>
      <c r="S1633" s="23"/>
      <c r="T1633" s="23"/>
      <c r="U1633" s="23"/>
      <c r="V1633" s="30"/>
      <c r="W1633" s="30"/>
      <c r="X1633" s="30"/>
      <c r="Y1633" s="485"/>
      <c r="Z1633" s="30"/>
      <c r="AA1633" s="30"/>
      <c r="AB1633" s="30"/>
      <c r="AC1633" s="1115" t="b">
        <f>AND(E1628&lt;&gt;"",T1629&lt;&gt;TRUE)</f>
        <v>0</v>
      </c>
      <c r="AD1633" s="30"/>
      <c r="AE1633" s="30"/>
      <c r="AF1633" s="58"/>
      <c r="AG1633" s="30"/>
      <c r="AH1633" s="30"/>
      <c r="AI1633" s="30"/>
      <c r="AJ1633" s="495"/>
      <c r="AK1633" s="495"/>
      <c r="AL1633" s="333"/>
      <c r="AM1633" s="30"/>
      <c r="AN1633" s="30"/>
      <c r="AO1633" s="30"/>
      <c r="AP1633" s="30"/>
      <c r="AQ1633" s="30"/>
      <c r="AR1633" s="30"/>
      <c r="AS1633" s="30"/>
      <c r="AT1633" s="1115" t="b">
        <f>MSPara_BatchReportingMandatory&lt;&gt;TRUE</f>
        <v>0</v>
      </c>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1115" t="b">
        <f>OR(CNTR_CalcRelevant=EUconst_NotRelevant,AND(COUNTA(CNTR_ListRelevantSections)&gt;0,OR(T1629=TRUE,E1628="")))</f>
        <v>1</v>
      </c>
    </row>
    <row r="1634" spans="1:78" s="140" customFormat="1" ht="5.0999999999999996" customHeight="1" thickBot="1" x14ac:dyDescent="0.25">
      <c r="A1634" s="777"/>
      <c r="B1634" s="1248"/>
      <c r="C1634" s="164"/>
      <c r="D1634" s="164"/>
      <c r="E1634" s="164"/>
      <c r="F1634" s="164"/>
      <c r="G1634" s="164"/>
      <c r="H1634" s="486"/>
      <c r="I1634" s="486"/>
      <c r="J1634" s="486"/>
      <c r="K1634" s="486"/>
      <c r="L1634" s="486"/>
      <c r="M1634" s="498"/>
      <c r="O1634" s="1305"/>
      <c r="P1634" s="23"/>
      <c r="Q1634" s="23"/>
      <c r="R1634" s="23"/>
      <c r="S1634" s="23"/>
      <c r="T1634" s="23"/>
      <c r="U1634" s="23"/>
      <c r="V1634" s="30"/>
      <c r="W1634" s="30"/>
      <c r="X1634" s="30"/>
      <c r="Y1634" s="485"/>
      <c r="Z1634" s="30"/>
      <c r="AA1634" s="30"/>
      <c r="AB1634" s="30"/>
      <c r="AC1634" s="483"/>
      <c r="AD1634" s="30"/>
      <c r="AE1634" s="30"/>
      <c r="AF1634" s="58"/>
      <c r="AG1634" s="30"/>
      <c r="AH1634" s="30"/>
      <c r="AI1634" s="30"/>
      <c r="AJ1634" s="495"/>
      <c r="AK1634" s="495"/>
      <c r="AL1634" s="333"/>
      <c r="AM1634" s="30"/>
      <c r="AN1634" s="30"/>
      <c r="AO1634" s="30"/>
      <c r="AP1634" s="30"/>
      <c r="AQ1634" s="30"/>
      <c r="AR1634" s="30"/>
      <c r="AS1634" s="30"/>
      <c r="AT1634" s="483"/>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483"/>
    </row>
    <row r="1635" spans="1:78" s="140" customFormat="1" ht="12.75" customHeight="1" thickBot="1" x14ac:dyDescent="0.25">
      <c r="A1635" s="777"/>
      <c r="B1635" s="1248"/>
      <c r="C1635" s="783" t="s">
        <v>5</v>
      </c>
      <c r="D1635" s="503" t="str">
        <f>Translations!$B$622</f>
        <v>VD:</v>
      </c>
      <c r="E1635" s="1105" t="str">
        <f>Translations!$B$668</f>
        <v>Pradinis kiekis:</v>
      </c>
      <c r="F1635" s="1123"/>
      <c r="G1635" s="1106" t="str">
        <f>Translations!$B$669</f>
        <v>Galutinis kiekis:</v>
      </c>
      <c r="H1635" s="1123"/>
      <c r="I1635" s="1106" t="str">
        <f>Translations!$B$670</f>
        <v>Įsigytas kiekis:</v>
      </c>
      <c r="J1635" s="1123"/>
      <c r="K1635" s="1106" t="str">
        <f>Translations!$B$671</f>
        <v>Perduotas kiekis:</v>
      </c>
      <c r="L1635" s="1123"/>
      <c r="M1635" s="1107" t="str">
        <f>IF(AND(L1633=TRUE,COUNT(F1635,H1635,J1635,L1635)&lt;4),EUconst_ERR_Incomplete,"")</f>
        <v/>
      </c>
      <c r="O1635" s="1305"/>
      <c r="P1635" s="23"/>
      <c r="Q1635" s="23"/>
      <c r="R1635" s="23"/>
      <c r="S1635" s="23"/>
      <c r="T1635" s="23"/>
      <c r="U1635" s="23"/>
      <c r="V1635" s="30"/>
      <c r="W1635" s="30"/>
      <c r="X1635" s="30"/>
      <c r="Y1635" s="485"/>
      <c r="Z1635" s="30"/>
      <c r="AA1635" s="30"/>
      <c r="AB1635" s="30"/>
      <c r="AC1635" s="1115" t="b">
        <f>AC1633</f>
        <v>0</v>
      </c>
      <c r="AD1635" s="30"/>
      <c r="AE1635" s="30"/>
      <c r="AF1635" s="58"/>
      <c r="AG1635" s="30"/>
      <c r="AH1635" s="30"/>
      <c r="AI1635" s="30"/>
      <c r="AJ1635" s="495"/>
      <c r="AK1635" s="495"/>
      <c r="AL1635" s="333"/>
      <c r="AM1635" s="30"/>
      <c r="AN1635" s="30"/>
      <c r="AO1635" s="30"/>
      <c r="AP1635" s="30"/>
      <c r="AQ1635" s="30"/>
      <c r="AR1635" s="30"/>
      <c r="AS1635" s="30"/>
      <c r="AT1635" s="1115" t="b">
        <f>AND(AT1633=TRUE,L1633="")</f>
        <v>0</v>
      </c>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1115" t="b">
        <f>OR(BZ1633,AND(NOT(ISBLANK(L1633)),L1633=FALSE))</f>
        <v>1</v>
      </c>
    </row>
    <row r="1636" spans="1:78" s="140" customFormat="1" ht="5.0999999999999996" customHeight="1" thickBot="1" x14ac:dyDescent="0.25">
      <c r="A1636" s="777"/>
      <c r="B1636" s="1248"/>
      <c r="C1636" s="164"/>
      <c r="D1636" s="164"/>
      <c r="E1636" s="164"/>
      <c r="F1636" s="164"/>
      <c r="G1636" s="164"/>
      <c r="M1636" s="141"/>
      <c r="N1636" s="141"/>
      <c r="O1636" s="1305"/>
      <c r="P1636" s="23"/>
      <c r="Q1636" s="23"/>
      <c r="R1636" s="23"/>
      <c r="S1636" s="23"/>
      <c r="T1636" s="23"/>
      <c r="U1636" s="23"/>
      <c r="V1636" s="30"/>
      <c r="W1636" s="30"/>
      <c r="X1636" s="30"/>
      <c r="Y1636" s="485"/>
      <c r="Z1636" s="30"/>
      <c r="AA1636" s="30"/>
      <c r="AB1636" s="30"/>
      <c r="AC1636" s="30"/>
      <c r="AD1636" s="30"/>
      <c r="AE1636" s="30"/>
      <c r="AF1636" s="58"/>
      <c r="AG1636" s="30"/>
      <c r="AH1636" s="30"/>
      <c r="AI1636" s="30"/>
      <c r="AJ1636" s="495"/>
      <c r="AK1636" s="495"/>
      <c r="AL1636" s="333"/>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row>
    <row r="1637" spans="1:78" s="140" customFormat="1" ht="12.75" customHeight="1" thickBot="1" x14ac:dyDescent="0.25">
      <c r="A1637" s="777"/>
      <c r="B1637" s="1248"/>
      <c r="C1637" s="164"/>
      <c r="D1637" s="164"/>
      <c r="E1637" s="164"/>
      <c r="F1637" s="497" t="str">
        <f>Translations!$B$333</f>
        <v>Pakopa</v>
      </c>
      <c r="G1637" s="1613" t="str">
        <f>Translations!$B$672</f>
        <v>pakopos aprašas</v>
      </c>
      <c r="H1637" s="1613"/>
      <c r="I1637" s="1608" t="str">
        <f>Translations!$B$158</f>
        <v>Vienetas</v>
      </c>
      <c r="J1637" s="1608"/>
      <c r="K1637" s="1608" t="str">
        <f>Translations!$B$673</f>
        <v>Vertė</v>
      </c>
      <c r="L1637" s="1608"/>
      <c r="M1637" s="498" t="str">
        <f>Translations!$B$610</f>
        <v>klaida</v>
      </c>
      <c r="O1637" s="1305"/>
      <c r="P1637" s="499"/>
      <c r="Q1637" s="343" t="str">
        <f>EUconst_SumEnergyIN &amp; "_" &amp; K1628</f>
        <v>SUM_EnergyIN_</v>
      </c>
      <c r="R1637" s="390" t="str">
        <f>IF(OR(K1628="",T1629)=TRUE,"",INDEX(BC1643:BE1643,MATCH(K1628,BC1638:BE1638,0)))</f>
        <v/>
      </c>
      <c r="S1637" s="30"/>
      <c r="T1637" s="480"/>
      <c r="U1637" s="30"/>
      <c r="V1637" s="500" t="s">
        <v>298</v>
      </c>
      <c r="W1637" s="30"/>
      <c r="X1637" s="30"/>
      <c r="Y1637" s="485" t="s">
        <v>560</v>
      </c>
      <c r="Z1637" s="485" t="s">
        <v>313</v>
      </c>
      <c r="AA1637" s="30"/>
      <c r="AB1637" s="30"/>
      <c r="AC1637" s="496" t="s">
        <v>304</v>
      </c>
      <c r="AD1637" s="30"/>
      <c r="AE1637" s="30"/>
      <c r="AF1637" s="483" t="s">
        <v>300</v>
      </c>
      <c r="AG1637" s="483" t="s">
        <v>301</v>
      </c>
      <c r="AH1637" s="485" t="s">
        <v>299</v>
      </c>
      <c r="AI1637" s="495" t="s">
        <v>302</v>
      </c>
      <c r="AJ1637" s="495" t="s">
        <v>561</v>
      </c>
      <c r="AK1637" s="501" t="s">
        <v>306</v>
      </c>
      <c r="AL1637" s="333"/>
      <c r="AM1637" s="30"/>
      <c r="AN1637" s="483" t="s">
        <v>300</v>
      </c>
      <c r="AO1637" s="483" t="s">
        <v>301</v>
      </c>
      <c r="AP1637" s="502" t="s">
        <v>305</v>
      </c>
      <c r="AQ1637" s="495" t="s">
        <v>563</v>
      </c>
      <c r="AR1637" s="495" t="s">
        <v>562</v>
      </c>
      <c r="AS1637" s="501" t="s">
        <v>599</v>
      </c>
      <c r="AT1637" s="501" t="s">
        <v>599</v>
      </c>
      <c r="AU1637" s="30"/>
      <c r="AV1637" s="483"/>
      <c r="AW1637" s="483"/>
      <c r="AX1637" s="483" t="s">
        <v>316</v>
      </c>
      <c r="AY1637" s="483"/>
      <c r="AZ1637" s="483"/>
      <c r="BA1637" s="483"/>
      <c r="BB1637" s="483"/>
      <c r="BC1637" s="483"/>
      <c r="BD1637" s="483"/>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484" t="s">
        <v>259</v>
      </c>
    </row>
    <row r="1638" spans="1:78" s="140" customFormat="1" ht="12.75" customHeight="1" thickBot="1" x14ac:dyDescent="0.25">
      <c r="A1638" s="777"/>
      <c r="B1638" s="1248"/>
      <c r="C1638" s="753" t="s">
        <v>194</v>
      </c>
      <c r="D1638" s="503" t="str">
        <f>Translations!$B$622</f>
        <v>VD:</v>
      </c>
      <c r="E1638" s="504"/>
      <c r="F1638" s="393"/>
      <c r="G1638" s="1603" t="str">
        <f>IF(OR(ISBLANK(F1638),F1638=EUconst_NoTier),"",IF(Z1638=0,EUconst_NA,IF(ISERROR(Z1638),"",Z1638)))</f>
        <v/>
      </c>
      <c r="H1638" s="1604"/>
      <c r="I1638" s="1108" t="str">
        <f>IF(J1638&lt;&gt;"","",AI1638)</f>
        <v/>
      </c>
      <c r="J1638" s="1109"/>
      <c r="K1638" s="1116" t="str">
        <f>IF(L1638="",AQ1638,"")</f>
        <v/>
      </c>
      <c r="L1638" s="1199"/>
      <c r="M1638" s="700" t="str">
        <f>IF(AND(E1629&lt;&gt;"",OR(F1638="",COUNT(K1638:L1638)=0),Y1638&lt;&gt;EUconst_NA,T1629&lt;&gt;TRUE),EUconst_ERR_Incomplete,IF(COUNTIF(AX1638:AZ1638,TRUE)&gt;0,EUconst_ERR_Inconsistent,""))</f>
        <v/>
      </c>
      <c r="O1638" s="1305"/>
      <c r="P1638" s="635"/>
      <c r="Q1638" s="343" t="str">
        <f>EUconst_SumBioEnergyIN &amp; "_" &amp; K1628</f>
        <v>SUM_BioEnergyIN_</v>
      </c>
      <c r="R1638" s="390" t="str">
        <f>IF(OR(K1628="",T1629)=TRUE,"",INDEX(BC1644:BE1644,MATCH(K1628,BC1638:BE1638,0)))</f>
        <v/>
      </c>
      <c r="S1638" s="30"/>
      <c r="T1638" s="505" t="str">
        <f>EUconst_CNTR_ActivityData&amp;E1629</f>
        <v>ActivityData_</v>
      </c>
      <c r="U1638" s="488"/>
      <c r="V1638" s="505" t="str">
        <f>IF(E1628="","",INDEX(B_InstallationDescription!$I$71:$I$145,MATCH(U1627,B_InstallationDescription!$D$71:$D$145,0)))</f>
        <v/>
      </c>
      <c r="W1638" s="495" t="s">
        <v>533</v>
      </c>
      <c r="X1638" s="488"/>
      <c r="Y1638" s="506" t="str">
        <f>IF(OR(T1629=TRUE,E1629=""),"",INDEX(EUwideConstants!$N:$N,MATCH(T1638,EUwideConstants!$Q:$Q,0)))</f>
        <v/>
      </c>
      <c r="Z1638" s="507" t="str">
        <f>IF(ISBLANK(F1638),"",IF(F1638=EUconst_NA,"",INDEX(EUwideConstants!$H:$M,MATCH(T1638,EUwideConstants!$Q:$Q,0),MATCH(F1638,CNTR_TierList,0))))</f>
        <v/>
      </c>
      <c r="AA1638" s="508" t="s">
        <v>299</v>
      </c>
      <c r="AB1638" s="495"/>
      <c r="AC1638" s="509" t="b">
        <f>AC1633</f>
        <v>0</v>
      </c>
      <c r="AD1638" s="30"/>
      <c r="AE1638" s="510" t="str">
        <f>EUconst_CNTR_ActivityData&amp;EUconst_Unit</f>
        <v>ActivityData_Vienetas</v>
      </c>
      <c r="AF1638" s="511" t="str">
        <f>IF(AC1638=TRUE, IF(COUNTIF(MSPara_SourceStreamCategory,V1638)=0,"",INDEX(MSPara_CalcFactorsMatrix,MATCH(V1638,MSPara_SourceStreamCategory,0),MATCH(AE1638&amp;"_"&amp;2,MSPara_CalcFactors,0))),"")</f>
        <v/>
      </c>
      <c r="AG1638" s="512" t="str">
        <f>IF(AC1638=TRUE, IF(COUNTIF(MSPara_SourceStreamCategory,V1638)=0,"",INDEX(MSPara_CalcFactorsMatrix,MATCH(V1638,MSPara_SourceStreamCategory,0),MATCH(AE1638&amp;"_"&amp;1,MSPara_CalcFactors,0))),"")</f>
        <v/>
      </c>
      <c r="AH1638" s="509" t="str">
        <f>IF(OR(AF1638="",AF1638=EUconst_NA),IF(OR(AG1638=EUconst_NA,AG1638=""),"",AG1638),AF1638)</f>
        <v/>
      </c>
      <c r="AI1638" s="506" t="str">
        <f>IF(AC1638=TRUE,IF(AH1638="",EUconst_t,AH1638),"")</f>
        <v/>
      </c>
      <c r="AJ1638" s="513" t="str">
        <f>IF(J1638="",AI1638,J1638)</f>
        <v/>
      </c>
      <c r="AK1638" s="514" t="b">
        <f>IF(K1628=EUconst_Fuel,J1638&lt;&gt;"",FALSE)</f>
        <v>0</v>
      </c>
      <c r="AL1638" s="333"/>
      <c r="AM1638" s="505" t="str">
        <f>EUconst_CNTR_ActivityData&amp;EUconst_Value</f>
        <v>ActivityData_Vertė</v>
      </c>
      <c r="AN1638" s="496"/>
      <c r="AO1638" s="496"/>
      <c r="AP1638" s="509" t="b">
        <f>AND(AND(AH1638&lt;&gt;"",AJ1638&lt;&gt;""),AJ1638=AH1638)</f>
        <v>0</v>
      </c>
      <c r="AQ1638" s="610" t="str">
        <f>IF(L1633=TRUE,SUM(F1635)-SUM(H1635)+SUM(J1635)-SUM(L1635),"")</f>
        <v/>
      </c>
      <c r="AR1638" s="509">
        <f>IF(Y1638=EUconst_NA,0,IF(COUNT(K1638:L1638)=0,0,IF(L1638="",K1638,L1638)))</f>
        <v>0</v>
      </c>
      <c r="AS1638" s="1115" t="b">
        <f>AND(AC1638=TRUE,OR(L1638&lt;&gt;"",AQ1638=""))</f>
        <v>0</v>
      </c>
      <c r="AT1638" s="1115" t="b">
        <f>AND(AC1638=TRUE,NOT(AS1638))</f>
        <v>0</v>
      </c>
      <c r="AU1638" s="30"/>
      <c r="AV1638" s="483" t="s">
        <v>309</v>
      </c>
      <c r="AW1638" s="483" t="s">
        <v>314</v>
      </c>
      <c r="AX1638" s="515"/>
      <c r="AY1638" s="30" t="s">
        <v>536</v>
      </c>
      <c r="AZ1638" s="30"/>
      <c r="BA1638" s="30"/>
      <c r="BB1638" s="495"/>
      <c r="BC1638" s="484" t="str">
        <f>EUconst_Fuel</f>
        <v>Degimas</v>
      </c>
      <c r="BD1638" s="484" t="str">
        <f>EUconst_ProcessCarbonate</f>
        <v>Proceso metu išsiskiriančios ŠESD</v>
      </c>
      <c r="BE1638" s="484" t="str">
        <f>EUconst_MassBalance</f>
        <v>Masės balansas</v>
      </c>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515" t="b">
        <f>BZ1633</f>
        <v>1</v>
      </c>
    </row>
    <row r="1639" spans="1:78" s="140" customFormat="1" ht="5.0999999999999996" customHeight="1" thickBot="1" x14ac:dyDescent="0.25">
      <c r="A1639" s="777"/>
      <c r="B1639" s="1248"/>
      <c r="C1639" s="783"/>
      <c r="D1639" s="298"/>
      <c r="F1639" s="141"/>
      <c r="G1639" s="141"/>
      <c r="H1639" s="141" t="s">
        <v>233</v>
      </c>
      <c r="I1639" s="516"/>
      <c r="J1639" s="516"/>
      <c r="K1639" s="141"/>
      <c r="L1639" s="141"/>
      <c r="M1639" s="701"/>
      <c r="O1639" s="1305"/>
      <c r="P1639" s="33"/>
      <c r="Q1639" s="33"/>
      <c r="R1639" s="33"/>
      <c r="S1639" s="30"/>
      <c r="T1639" s="153"/>
      <c r="U1639" s="488"/>
      <c r="V1639" s="30"/>
      <c r="W1639" s="30"/>
      <c r="X1639" s="488"/>
      <c r="Y1639" s="517"/>
      <c r="Z1639" s="30"/>
      <c r="AA1639" s="30"/>
      <c r="AB1639" s="30"/>
      <c r="AC1639" s="30"/>
      <c r="AD1639" s="30"/>
      <c r="AE1639" s="30"/>
      <c r="AF1639" s="30"/>
      <c r="AG1639" s="30"/>
      <c r="AH1639" s="30"/>
      <c r="AI1639" s="30"/>
      <c r="AJ1639" s="30"/>
      <c r="AK1639" s="30"/>
      <c r="AL1639" s="333"/>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484"/>
    </row>
    <row r="1640" spans="1:78" s="140" customFormat="1" ht="12.75" customHeight="1" thickBot="1" x14ac:dyDescent="0.25">
      <c r="A1640" s="777"/>
      <c r="B1640" s="1248"/>
      <c r="C1640" s="783" t="s">
        <v>195</v>
      </c>
      <c r="D1640" s="503" t="str">
        <f>Translations!$B$634</f>
        <v>(prelim.) ITF:</v>
      </c>
      <c r="E1640" s="504"/>
      <c r="F1640" s="518"/>
      <c r="G1640" s="1603" t="str">
        <f t="shared" ref="G1640:G1646" si="406">IF(OR(ISBLANK(F1640),F1640=EUconst_NoTier),"",IF(Z1640=0,EUconst_NotApplicable,IF(ISERROR(Z1640),"",Z1640)))</f>
        <v/>
      </c>
      <c r="H1640" s="1609"/>
      <c r="I1640" s="1110" t="str">
        <f>IF(J1640&lt;&gt;"","",AI1640)</f>
        <v/>
      </c>
      <c r="J1640" s="1111"/>
      <c r="K1640" s="519" t="str">
        <f t="shared" ref="K1640:K1646" si="407">IF(L1640="",AQ1640,"")</f>
        <v/>
      </c>
      <c r="L1640" s="520"/>
      <c r="M1640" s="700" t="str">
        <f>IF(AND(E1629&lt;&gt;"",OR(F1640="",COUNT(K1640:L1640)=0),Y1640&lt;&gt;EUconst_NA,T1629&lt;&gt;TRUE),EUconst_ERR_Incomplete,IF(COUNTIF(AX1640:AZ1640,TRUE)&gt;0,EUconst_ERR_Inconsistent,""))</f>
        <v/>
      </c>
      <c r="N1640" s="486"/>
      <c r="O1640" s="1305"/>
      <c r="P1640" s="33"/>
      <c r="Q1640" s="33"/>
      <c r="R1640" s="33"/>
      <c r="S1640" s="30"/>
      <c r="T1640" s="521" t="str">
        <f>EUconst_CNTR_EF&amp;E1629</f>
        <v>EF_</v>
      </c>
      <c r="U1640" s="488"/>
      <c r="V1640" s="522" t="str">
        <f>V1638</f>
        <v/>
      </c>
      <c r="W1640" s="30"/>
      <c r="X1640" s="488"/>
      <c r="Y1640" s="523" t="str">
        <f>IF(OR(T1629=TRUE,E1629=""),"",IF(F1640=EUconst_NA,EUconst_NA,INDEX(EUwideConstants!$N:$N,MATCH(T1640,EUwideConstants!$Q:$Q,0))))</f>
        <v/>
      </c>
      <c r="Z1640" s="524" t="str">
        <f>IF(ISBLANK(F1640),"",IF(F1640=EUconst_NA,"",INDEX(EUwideConstants!$H:$M,MATCH(T1640,EUwideConstants!$Q:$Q,0),MATCH(F1640,CNTR_TierList,0))))</f>
        <v/>
      </c>
      <c r="AA1640" s="525" t="str">
        <f>IF(COUNTIF(EUconst_DefaultValues,Z1640)&gt;0,MATCH(Z1640,EUconst_DefaultValues,0),"")</f>
        <v/>
      </c>
      <c r="AB1640" s="30"/>
      <c r="AC1640" s="526" t="b">
        <f>AND(AC1638,Y1640&lt;&gt;EUconst_NA)</f>
        <v>0</v>
      </c>
      <c r="AD1640" s="30"/>
      <c r="AE1640" s="510" t="str">
        <f>EUconst_CNTR_EF&amp;EUconst_Unit</f>
        <v>EF_Vienetas</v>
      </c>
      <c r="AF1640" s="527" t="str">
        <f>IF(AC1640=TRUE, IF(COUNTIF(MSPara_SourceStreamCategory,V1640)=0,"",INDEX(MSPara_CalcFactorsMatrix,MATCH(V1640,MSPara_SourceStreamCategory,0),MATCH(AE1640&amp;"_"&amp;2,MSPara_CalcFactors,0))),"")</f>
        <v/>
      </c>
      <c r="AG1640" s="528" t="str">
        <f>IF(AC1640=TRUE, IF(COUNTIF(MSPara_SourceStreamCategory,V1640)=0,"",INDEX(MSPara_CalcFactorsMatrix,MATCH(V1640,MSPara_SourceStreamCategory,0),MATCH(AE1640&amp;"_"&amp;1,MSPara_CalcFactors,0))),"")</f>
        <v/>
      </c>
      <c r="AH1640" s="529" t="str">
        <f>IF(AA1640="","",INDEX(AF1640:AG1640,3-AA1640))</f>
        <v/>
      </c>
      <c r="AI1640" s="530" t="str">
        <f>IF(AC1640=TRUE,IF(OR(AH1640="",AH1640=EUconst_NA),IF(K1628=EUconst_Fuel,EUconst_tCO2pTJ,EUconst_tCO2pt),AH1640),"")</f>
        <v/>
      </c>
      <c r="AJ1640" s="526" t="str">
        <f>IF(J1640="",AI1640,J1640)</f>
        <v/>
      </c>
      <c r="AK1640" s="531" t="b">
        <f>IF(K1628=EUconst_Fuel,J1640&lt;&gt;"",FALSE)</f>
        <v>0</v>
      </c>
      <c r="AL1640" s="333"/>
      <c r="AM1640" s="510" t="str">
        <f>EUconst_CNTR_EF&amp;EUconst_Value</f>
        <v>EF_Vertė</v>
      </c>
      <c r="AN1640" s="532" t="str">
        <f>IF(AC1640=TRUE,IF(COUNTIF(MSPara_SourceStreamCategory,V1640)=0,"",INDEX(MSPara_CalcFactorsMatrix,MATCH(V1640,MSPara_SourceStreamCategory,0),MATCH(AM1640&amp;"_"&amp;2,MSPara_CalcFactors,0))),"")</f>
        <v/>
      </c>
      <c r="AO1640" s="533" t="str">
        <f>IF(AC1640=TRUE,IF(COUNTIF(MSPara_SourceStreamCategory,V1640)=0,"",INDEX(MSPara_CalcFactorsMatrix,MATCH(V1640,MSPara_SourceStreamCategory,0),MATCH(AM1640&amp;"_"&amp;1,MSPara_CalcFactors,0))),"")</f>
        <v/>
      </c>
      <c r="AP1640" s="526" t="b">
        <f>AND(AND(AH1640&lt;&gt;"",AJ1640&lt;&gt;""),AJ1640=AH1640)</f>
        <v>0</v>
      </c>
      <c r="AQ1640" s="534" t="str">
        <f>IF(AND(AA1640&lt;&gt;"",AP1640=TRUE),IF(OR(INDEX(AN1640:AO1640,3-AA1640)=EUconst_NA,INDEX(AN1640:AO1640,3-AA1640)=0),"",INDEX(AN1640:AO1640,3-AA1640)),"")</f>
        <v/>
      </c>
      <c r="AR1640" s="526">
        <f>IF(AC1640=TRUE,IF(COUNT(K1640:L1640)=0,0,IF(L1640="",K1640,L1640)),0)</f>
        <v>0</v>
      </c>
      <c r="AS1640" s="522" t="b">
        <f>AND(AC1640=TRUE,OR(AND(F1640&lt;&gt;"",NOT(ISNUMBER(AA1640))),L1640&lt;&gt;"",F1640="",AQ1640=""))</f>
        <v>0</v>
      </c>
      <c r="AT1640" s="522" t="b">
        <f t="shared" ref="AT1640:AT1646" si="408">AND(AC1640=TRUE,NOT(AS1640))</f>
        <v>0</v>
      </c>
      <c r="AU1640" s="30"/>
      <c r="AV1640" s="535" t="b">
        <f t="shared" ref="AV1640:AV1646" si="409">AND(ISNUMBER(AA1640),AQ1640="")</f>
        <v>0</v>
      </c>
      <c r="AW1640" s="536" t="b">
        <f t="shared" ref="AW1640:AW1646" si="410">AND(ISNUMBER(AA1640),AQ1640&lt;&gt;AR1640)</f>
        <v>0</v>
      </c>
      <c r="AX1640" s="537" t="b">
        <f>OR(AND(AJ1638=EUconst_kNm3,AJ1640=EUconst_tCO2pt),AND(AJ1638=EUconst_t,AJ1640=EUconst_tCO2pkNm3))</f>
        <v>0</v>
      </c>
      <c r="AY1640" s="522" t="b">
        <f t="shared" ref="AY1640:AY1646" si="411">AND(L1640&lt;&gt;"",Y1640=EUconst_NA)</f>
        <v>0</v>
      </c>
      <c r="AZ1640" s="30"/>
      <c r="BA1640" s="30"/>
      <c r="BB1640" s="538" t="s">
        <v>588</v>
      </c>
      <c r="BC1640" s="537" t="str">
        <f>IF(K1628=BC1638,AR1638*IF(AJ1640=EUconst_tCO2pTJ,(AR1641/1000),1)*AR1640*AR1642*AR1646,"")</f>
        <v/>
      </c>
      <c r="BD1640" s="515" t="str">
        <f>IF(K1628=BD1638,AR1638*AR1640*AR1643*AR1646,"")</f>
        <v/>
      </c>
      <c r="BE1640" s="514" t="str">
        <f>IF(K1628=BE1638,3.664*AR1638*AR1644*AR1646,"")</f>
        <v/>
      </c>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522" t="b">
        <f>OR(BZ1638,Y1640=EUconst_NA)</f>
        <v>1</v>
      </c>
    </row>
    <row r="1641" spans="1:78" s="140" customFormat="1" ht="12.75" customHeight="1" thickBot="1" x14ac:dyDescent="0.25">
      <c r="A1641" s="777"/>
      <c r="B1641" s="1248"/>
      <c r="C1641" s="783" t="s">
        <v>196</v>
      </c>
      <c r="D1641" s="503" t="str">
        <f>Translations!$B$636</f>
        <v>GŠV:</v>
      </c>
      <c r="E1641" s="504"/>
      <c r="F1641" s="539"/>
      <c r="G1641" s="1603" t="str">
        <f t="shared" si="406"/>
        <v/>
      </c>
      <c r="H1641" s="1604"/>
      <c r="I1641" s="1112" t="str">
        <f>AJ1641</f>
        <v/>
      </c>
      <c r="J1641" s="540"/>
      <c r="K1641" s="541" t="str">
        <f t="shared" si="407"/>
        <v/>
      </c>
      <c r="L1641" s="542"/>
      <c r="M1641" s="700" t="str">
        <f>IF(AND(E1629&lt;&gt;"",OR(F1641="",COUNT(K1641:L1641)=0),Y1641&lt;&gt;EUconst_NA,T1629&lt;&gt;TRUE),EUconst_ERR_Incomplete,IF(COUNTIF(AX1641:AZ1641,TRUE)&gt;0,EUconst_ERR_Inconsistent,""))</f>
        <v/>
      </c>
      <c r="O1641" s="1305"/>
      <c r="P1641" s="33"/>
      <c r="Q1641" s="33"/>
      <c r="R1641" s="33"/>
      <c r="S1641" s="30"/>
      <c r="T1641" s="543" t="str">
        <f>EUconst_CNTR_NCV&amp;E1629</f>
        <v>NCV_</v>
      </c>
      <c r="U1641" s="488"/>
      <c r="V1641" s="544" t="str">
        <f t="shared" ref="V1641:V1646" si="412">V1640</f>
        <v/>
      </c>
      <c r="W1641" s="30"/>
      <c r="X1641" s="488"/>
      <c r="Y1641" s="545" t="str">
        <f>IF(OR(T1629=TRUE,E1629=""),"",IF(F1641=EUconst_NA,EUconst_NA,INDEX(EUwideConstants!$N:$N,MATCH(T1641,EUwideConstants!$Q:$Q,0))))</f>
        <v/>
      </c>
      <c r="Z1641" s="546" t="str">
        <f>IF(ISBLANK(F1641),"",IF(F1641=EUconst_NA,"",INDEX(EUwideConstants!$H:$M,MATCH(T1641,EUwideConstants!$Q:$Q,0),MATCH(F1641,CNTR_TierList,0))))</f>
        <v/>
      </c>
      <c r="AA1641" s="547" t="str">
        <f>IF(COUNTIF(EUconst_DefaultValues,Z1641)&gt;0,MATCH(Z1641,EUconst_DefaultValues,0),"")</f>
        <v/>
      </c>
      <c r="AB1641" s="30"/>
      <c r="AC1641" s="548" t="b">
        <f>AND(AC1638,Y1641&lt;&gt;EUconst_NA)</f>
        <v>0</v>
      </c>
      <c r="AD1641" s="30"/>
      <c r="AE1641" s="549" t="str">
        <f>EUconst_CNTR_NCV&amp;EUconst_Unit</f>
        <v>NCV_Vienetas</v>
      </c>
      <c r="AF1641" s="550" t="str">
        <f>IF(AC1641=TRUE, IF(COUNTIF(MSPara_SourceStreamCategory,V1641)=0,"",INDEX(MSPara_CalcFactorsMatrix,MATCH(V1641,MSPara_SourceStreamCategory,0),MATCH(AE1641&amp;"_"&amp;2,MSPara_CalcFactors,0))),"")</f>
        <v/>
      </c>
      <c r="AG1641" s="551" t="str">
        <f>IF(AC1641=TRUE, IF(COUNTIF(MSPara_SourceStreamCategory,V1641)=0,"",INDEX(MSPara_CalcFactorsMatrix,MATCH(V1641,MSPara_SourceStreamCategory,0),MATCH(AE1641&amp;"_"&amp;1,MSPara_CalcFactors,0))),"")</f>
        <v/>
      </c>
      <c r="AH1641" s="552" t="str">
        <f>IF(AA1641="","",INDEX(AF1641:AG1641,3-AA1641))</f>
        <v/>
      </c>
      <c r="AI1641" s="553"/>
      <c r="AJ1641" s="548" t="str">
        <f>IF(AC1641=TRUE,IF(AJ1638="","",IF(AJ1638=EUconst_kNm3,EUconst_GJpkNm3,EUconst_GJpt)),"")</f>
        <v/>
      </c>
      <c r="AK1641" s="554"/>
      <c r="AL1641" s="333"/>
      <c r="AM1641" s="549" t="str">
        <f>EUconst_CNTR_NCV&amp;EUconst_Value</f>
        <v>NCV_Vertė</v>
      </c>
      <c r="AN1641" s="555" t="str">
        <f>IF(AC1641=TRUE,IF(COUNTIF(MSPara_SourceStreamCategory,V1641)=0,"",INDEX(MSPara_CalcFactorsMatrix,MATCH(V1641,MSPara_SourceStreamCategory,0),MATCH(AM1641&amp;"_"&amp;2,MSPara_CalcFactors,0))),"")</f>
        <v/>
      </c>
      <c r="AO1641" s="556" t="str">
        <f>IF(AC1641=TRUE,IF(COUNTIF(MSPara_SourceStreamCategory,V1641)=0,"",INDEX(MSPara_CalcFactorsMatrix,MATCH(V1641,MSPara_SourceStreamCategory,0),MATCH(AM1641&amp;"_"&amp;1,MSPara_CalcFactors,0))),"")</f>
        <v/>
      </c>
      <c r="AP1641" s="548" t="b">
        <f>AND(AND(AH1641&lt;&gt;"",AJ1641&lt;&gt;""),AJ1641=AH1641)</f>
        <v>0</v>
      </c>
      <c r="AQ1641" s="557" t="str">
        <f>IF(AND(AA1641&lt;&gt;"",AP1641=TRUE),IF(OR(INDEX(AN1641:AO1641,3-AA1641)=EUconst_NA,INDEX(AN1641:AO1641,3-AA1641)=0),"",INDEX(AN1641:AO1641,3-AA1641)),"")</f>
        <v/>
      </c>
      <c r="AR1641" s="548">
        <f>IF(AC1641=TRUE,IF(COUNT(K1641:L1641)=0,0,IF(L1641="",K1641,L1641)),0)</f>
        <v>0</v>
      </c>
      <c r="AS1641" s="544" t="b">
        <f>AND(AC1641=TRUE,OR(AND(F1641&lt;&gt;"",NOT(ISNUMBER(AA1641))),L1641&lt;&gt;"",F1641="",AQ1641=""))</f>
        <v>0</v>
      </c>
      <c r="AT1641" s="544" t="b">
        <f t="shared" si="408"/>
        <v>0</v>
      </c>
      <c r="AU1641" s="30"/>
      <c r="AV1641" s="558" t="b">
        <f t="shared" si="409"/>
        <v>0</v>
      </c>
      <c r="AW1641" s="559" t="b">
        <f t="shared" si="410"/>
        <v>0</v>
      </c>
      <c r="AX1641" s="30"/>
      <c r="AY1641" s="544" t="b">
        <f t="shared" si="411"/>
        <v>0</v>
      </c>
      <c r="AZ1641" s="30"/>
      <c r="BA1641" s="30"/>
      <c r="BB1641" s="538" t="s">
        <v>589</v>
      </c>
      <c r="BC1641" s="537" t="str">
        <f>IF(K1628=BC1638,AR1638*IF(AJ1640=EUconst_tCO2pTJ,(AR1641/1000),1)*AR1640*AR1642*AR1645,"")</f>
        <v/>
      </c>
      <c r="BD1641" s="515" t="str">
        <f>IF(K1628=BD1638,AR1638*AR1640*AR1643*AR1645,"")</f>
        <v/>
      </c>
      <c r="BE1641" s="514" t="str">
        <f>IF(K1628=BE1638,3.664*AR1638*AR1644*AR1645,"")</f>
        <v/>
      </c>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544" t="b">
        <f>OR(BZ1638,Y1641=EUconst_NA)</f>
        <v>1</v>
      </c>
    </row>
    <row r="1642" spans="1:78" s="140" customFormat="1" ht="12.75" customHeight="1" thickBot="1" x14ac:dyDescent="0.25">
      <c r="A1642" s="777"/>
      <c r="B1642" s="1248"/>
      <c r="C1642" s="783" t="s">
        <v>197</v>
      </c>
      <c r="D1642" s="503" t="str">
        <f>Translations!$B$638</f>
        <v>Oksidacijos koef.:</v>
      </c>
      <c r="E1642" s="504"/>
      <c r="F1642" s="539"/>
      <c r="G1642" s="1603" t="str">
        <f t="shared" si="406"/>
        <v/>
      </c>
      <c r="H1642" s="1604"/>
      <c r="I1642" s="1113" t="str">
        <f>IF(OR(AC1642=FALSE,Y1642=EUconst_NA),"","-")</f>
        <v/>
      </c>
      <c r="J1642" s="560"/>
      <c r="K1642" s="561" t="str">
        <f t="shared" si="407"/>
        <v/>
      </c>
      <c r="L1642" s="694"/>
      <c r="M1642" s="700" t="str">
        <f>IF(AND(E1629&lt;&gt;"",OR(F1642="",COUNT(K1642:L1642)=0),Y1642&lt;&gt;EUconst_NA,T1629&lt;&gt;TRUE),EUconst_ERR_Incomplete,IF(COUNTIF(AX1642:AZ1642,TRUE)&gt;0,EUconst_ERR_Inconsistent,""))</f>
        <v/>
      </c>
      <c r="O1642" s="1305"/>
      <c r="P1642" s="33"/>
      <c r="Q1642" s="33"/>
      <c r="R1642" s="33"/>
      <c r="S1642" s="30"/>
      <c r="T1642" s="543" t="str">
        <f>EUconst_CNTR_OxidationFactor&amp;E1629</f>
        <v>OxF_</v>
      </c>
      <c r="U1642" s="488"/>
      <c r="V1642" s="544" t="str">
        <f t="shared" si="412"/>
        <v/>
      </c>
      <c r="W1642" s="30"/>
      <c r="X1642" s="488"/>
      <c r="Y1642" s="545" t="str">
        <f>IF(OR(T1629=TRUE,E1629=""),"",INDEX(EUwideConstants!$N:$N,MATCH(T1642,EUwideConstants!$Q:$Q,0)))</f>
        <v/>
      </c>
      <c r="Z1642" s="546" t="str">
        <f>IF(ISBLANK(F1642),"",IF(F1642=EUconst_NA,"",INDEX(EUwideConstants!$H:$M,MATCH(T1642,EUwideConstants!$Q:$Q,0),MATCH(F1642,CNTR_TierList,0))))</f>
        <v/>
      </c>
      <c r="AA1642" s="525" t="str">
        <f>IF(F1642=1,1,"")</f>
        <v/>
      </c>
      <c r="AB1642" s="30"/>
      <c r="AC1642" s="548" t="b">
        <f>AND(AC1638,Y1642&lt;&gt;EUconst_NA)</f>
        <v>0</v>
      </c>
      <c r="AD1642" s="30"/>
      <c r="AE1642" s="563"/>
      <c r="AG1642" s="564"/>
      <c r="AH1642" s="553"/>
      <c r="AI1642" s="565"/>
      <c r="AJ1642" s="553"/>
      <c r="AK1642" s="566"/>
      <c r="AL1642" s="333"/>
      <c r="AM1642" s="549" t="str">
        <f>EUconst_CNTR_OxidationFactor&amp;EUconst_Value</f>
        <v>OxF_Vertė</v>
      </c>
      <c r="AN1642" s="567"/>
      <c r="AO1642" s="525">
        <v>1</v>
      </c>
      <c r="AP1642" s="553"/>
      <c r="AQ1642" s="568" t="str">
        <f>IF(AA1642="","",AO1642)</f>
        <v/>
      </c>
      <c r="AR1642" s="548">
        <f>IF(AC1642=TRUE,IF(COUNT(K1642:L1642)=0,0,IF(L1642="",K1642,L1642)),1)</f>
        <v>1</v>
      </c>
      <c r="AS1642" s="544" t="b">
        <f>AND(AC1642=TRUE,OR(ISNUMBER(L1642),NOT(ISNUMBER(AA1642))))</f>
        <v>0</v>
      </c>
      <c r="AT1642" s="544" t="b">
        <f t="shared" si="408"/>
        <v>0</v>
      </c>
      <c r="AU1642" s="30"/>
      <c r="AV1642" s="558" t="b">
        <f t="shared" si="409"/>
        <v>0</v>
      </c>
      <c r="AW1642" s="559" t="b">
        <f t="shared" si="410"/>
        <v>0</v>
      </c>
      <c r="AX1642" s="30"/>
      <c r="AY1642" s="585" t="b">
        <f t="shared" si="411"/>
        <v>0</v>
      </c>
      <c r="AZ1642" s="522" t="b">
        <f>AR1642&gt;100%</f>
        <v>0</v>
      </c>
      <c r="BA1642" s="30"/>
      <c r="BB1642" s="538" t="s">
        <v>287</v>
      </c>
      <c r="BC1642" s="537" t="str">
        <f>IF(K1628=BC1638,AR1638*IF(AJ1640=EUconst_tCO2pTJ,(AR1641/1000),1)*AR1640*AR1642*(1-AR1645),"")</f>
        <v/>
      </c>
      <c r="BD1642" s="515" t="str">
        <f>IF(K1628=BD1638,AR1638*AR1640*AR1643*(1-AR1645),"")</f>
        <v/>
      </c>
      <c r="BE1642" s="514" t="str">
        <f>IF(K1628=BE1638,3.664*AR1638*AR1644*(1-AR1645),"")</f>
        <v/>
      </c>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544" t="b">
        <f>OR(BZ1638,Y1642=EUconst_NA)</f>
        <v>1</v>
      </c>
    </row>
    <row r="1643" spans="1:78" s="140" customFormat="1" ht="12.75" customHeight="1" thickBot="1" x14ac:dyDescent="0.25">
      <c r="A1643" s="777"/>
      <c r="B1643" s="1248"/>
      <c r="C1643" s="783" t="s">
        <v>198</v>
      </c>
      <c r="D1643" s="503" t="str">
        <f>Translations!$B$639</f>
        <v>Konversijos koef.:</v>
      </c>
      <c r="E1643" s="504"/>
      <c r="F1643" s="539"/>
      <c r="G1643" s="1603" t="str">
        <f t="shared" si="406"/>
        <v/>
      </c>
      <c r="H1643" s="1604"/>
      <c r="I1643" s="1113" t="str">
        <f>IF(OR(AC1643=FALSE,Y1643=EUconst_NA),"","-")</f>
        <v/>
      </c>
      <c r="J1643" s="560"/>
      <c r="K1643" s="561" t="str">
        <f t="shared" si="407"/>
        <v/>
      </c>
      <c r="L1643" s="694"/>
      <c r="M1643" s="700" t="str">
        <f>IF(AND(E1629&lt;&gt;"",OR(F1643="",COUNT(K1643:L1643)=0),Y1643&lt;&gt;EUconst_NA,T1629&lt;&gt;TRUE),EUconst_ERR_Incomplete,IF(COUNTIF(AX1643:AZ1643,TRUE)&gt;0,EUconst_ERR_Inconsistent,""))</f>
        <v/>
      </c>
      <c r="O1643" s="1305"/>
      <c r="P1643" s="33"/>
      <c r="Q1643" s="33"/>
      <c r="R1643" s="33"/>
      <c r="S1643" s="30"/>
      <c r="T1643" s="543" t="str">
        <f>EUconst_CNTR_ConversionFactor&amp;E1629</f>
        <v>ConvF_</v>
      </c>
      <c r="U1643" s="488"/>
      <c r="V1643" s="544" t="str">
        <f t="shared" si="412"/>
        <v/>
      </c>
      <c r="W1643" s="30"/>
      <c r="X1643" s="488"/>
      <c r="Y1643" s="545" t="str">
        <f>IF(OR(T1629=TRUE,E1629=""),"",INDEX(EUwideConstants!$N:$N,MATCH(T1643,EUwideConstants!$Q:$Q,0)))</f>
        <v/>
      </c>
      <c r="Z1643" s="546" t="str">
        <f>IF(ISBLANK(F1643),"",IF(F1643=EUconst_NA,"",INDEX(EUwideConstants!$H:$M,MATCH(T1643,EUwideConstants!$Q:$Q,0),MATCH(F1643,CNTR_TierList,0))))</f>
        <v/>
      </c>
      <c r="AA1643" s="573" t="str">
        <f>IF(F1643=1,1,"")</f>
        <v/>
      </c>
      <c r="AB1643" s="30"/>
      <c r="AC1643" s="548" t="b">
        <f>AND(AC1638,Y1643&lt;&gt;EUconst_NA)</f>
        <v>0</v>
      </c>
      <c r="AD1643" s="30"/>
      <c r="AE1643" s="563"/>
      <c r="AG1643" s="564"/>
      <c r="AH1643" s="574"/>
      <c r="AI1643" s="565"/>
      <c r="AJ1643" s="574"/>
      <c r="AK1643" s="566"/>
      <c r="AL1643" s="333"/>
      <c r="AM1643" s="549" t="str">
        <f>EUconst_CNTR_ConversionFactor&amp;EUconst_Value</f>
        <v>ConvF_Vertė</v>
      </c>
      <c r="AN1643" s="575"/>
      <c r="AO1643" s="573">
        <v>1</v>
      </c>
      <c r="AP1643" s="574"/>
      <c r="AQ1643" s="576" t="str">
        <f>IF(AA1643="","",AO1643)</f>
        <v/>
      </c>
      <c r="AR1643" s="548">
        <f>IF(AC1643=TRUE,IF(COUNT(K1643:L1643)=0,0,IF(L1643="",K1643,L1643)),1)</f>
        <v>1</v>
      </c>
      <c r="AS1643" s="544" t="b">
        <f>AND(AC1643=TRUE,OR(ISNUMBER(L1643),NOT(ISNUMBER(AA1643))))</f>
        <v>0</v>
      </c>
      <c r="AT1643" s="544" t="b">
        <f t="shared" si="408"/>
        <v>0</v>
      </c>
      <c r="AU1643" s="30"/>
      <c r="AV1643" s="558" t="b">
        <f t="shared" si="409"/>
        <v>0</v>
      </c>
      <c r="AW1643" s="559" t="b">
        <f t="shared" si="410"/>
        <v>0</v>
      </c>
      <c r="AX1643" s="30"/>
      <c r="AY1643" s="585" t="b">
        <f t="shared" si="411"/>
        <v>0</v>
      </c>
      <c r="AZ1643" s="571" t="b">
        <f>AR1643&gt;100%</f>
        <v>0</v>
      </c>
      <c r="BA1643" s="30"/>
      <c r="BB1643" s="569" t="s">
        <v>481</v>
      </c>
      <c r="BC1643" s="570">
        <f>AR1638*AR1641/1000*(1-AR1645)</f>
        <v>0</v>
      </c>
      <c r="BD1643" s="571">
        <f>BC1643</f>
        <v>0</v>
      </c>
      <c r="BE1643" s="572">
        <f>BC1643</f>
        <v>0</v>
      </c>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544" t="b">
        <f>OR(BZ1638,Y1643=EUconst_NA)</f>
        <v>1</v>
      </c>
    </row>
    <row r="1644" spans="1:78" s="140" customFormat="1" ht="12.75" customHeight="1" thickBot="1" x14ac:dyDescent="0.25">
      <c r="A1644" s="777"/>
      <c r="B1644" s="1248"/>
      <c r="C1644" s="783" t="s">
        <v>324</v>
      </c>
      <c r="D1644" s="503" t="str">
        <f>Translations!$B$640</f>
        <v>Anglies kiekis (C):</v>
      </c>
      <c r="E1644" s="504"/>
      <c r="F1644" s="539"/>
      <c r="G1644" s="1603" t="str">
        <f t="shared" si="406"/>
        <v/>
      </c>
      <c r="H1644" s="1604"/>
      <c r="I1644" s="1113" t="str">
        <f>AJ1644</f>
        <v/>
      </c>
      <c r="J1644" s="577"/>
      <c r="K1644" s="578" t="str">
        <f t="shared" si="407"/>
        <v/>
      </c>
      <c r="L1644" s="579"/>
      <c r="M1644" s="700" t="str">
        <f>IF(AND(E1629&lt;&gt;"",OR(F1644="",COUNT(K1644:L1644)=0),Y1644&lt;&gt;EUconst_NA,T1629&lt;&gt;TRUE),EUconst_ERR_Incomplete,IF(COUNTIF(AX1644:AZ1644,TRUE)&gt;0,EUconst_ERR_Inconsistent,""))</f>
        <v/>
      </c>
      <c r="O1644" s="1305"/>
      <c r="P1644" s="33"/>
      <c r="Q1644" s="33"/>
      <c r="R1644" s="33"/>
      <c r="S1644" s="30"/>
      <c r="T1644" s="543" t="str">
        <f>EUconst_CNTR_CarbonContent&amp;E1629</f>
        <v>CarbC_</v>
      </c>
      <c r="U1644" s="488"/>
      <c r="V1644" s="544" t="str">
        <f t="shared" si="412"/>
        <v/>
      </c>
      <c r="W1644" s="30"/>
      <c r="X1644" s="488"/>
      <c r="Y1644" s="545" t="str">
        <f>IF(OR(T1629=TRUE,E1629=""),"",INDEX(EUwideConstants!$N:$N,MATCH(T1644,EUwideConstants!$Q:$Q,0)))</f>
        <v/>
      </c>
      <c r="Z1644" s="546" t="str">
        <f>IF(ISBLANK(F1644),"",IF(F1644=EUconst_NA,"",INDEX(EUwideConstants!$H:$M,MATCH(T1644,EUwideConstants!$Q:$Q,0),MATCH(F1644,CNTR_TierList,0))))</f>
        <v/>
      </c>
      <c r="AA1644" s="580" t="str">
        <f>IF(COUNTIF(EUconst_DefaultValues,Z1644)&gt;0,MATCH(Z1644,EUconst_DefaultValues,0),"")</f>
        <v/>
      </c>
      <c r="AB1644" s="30"/>
      <c r="AC1644" s="548" t="b">
        <f>AND(AC1638,Y1644&lt;&gt;EUconst_NA)</f>
        <v>0</v>
      </c>
      <c r="AD1644" s="30"/>
      <c r="AE1644" s="549" t="str">
        <f>EUconst_CNTR_CarbonContent&amp;EUconst_Unit</f>
        <v>CarbC_Vienetas</v>
      </c>
      <c r="AF1644" s="550" t="str">
        <f>IF(AC1644=TRUE, IF(COUNTIF(MSPara_SourceStreamCategory,V1644)=0,"",INDEX(MSPara_CalcFactorsMatrix,MATCH(V1644,MSPara_SourceStreamCategory,0),MATCH(AE1644&amp;"_"&amp;2,MSPara_CalcFactors,0))),"")</f>
        <v/>
      </c>
      <c r="AG1644" s="551" t="str">
        <f>IF(AC1644=TRUE, IF(COUNTIF(MSPara_SourceStreamCategory,V1644)=0,"",INDEX(MSPara_CalcFactorsMatrix,MATCH(V1644,MSPara_SourceStreamCategory,0),MATCH(AE1644&amp;"_"&amp;1,MSPara_CalcFactors,0))),"")</f>
        <v/>
      </c>
      <c r="AH1644" s="581" t="str">
        <f>IF(AA1644="","",INDEX(AF1644:AG1644,3-AA1644))</f>
        <v/>
      </c>
      <c r="AI1644" s="565"/>
      <c r="AJ1644" s="582" t="str">
        <f>IF(AC1644=TRUE,IF(AJ1638="","",IF(AJ1638=EUconst_kNm3,EUconst_tCpkNm3,EUconst_tCpt)),"")</f>
        <v/>
      </c>
      <c r="AK1644" s="566"/>
      <c r="AL1644" s="333"/>
      <c r="AM1644" s="549" t="str">
        <f>EUconst_CNTR_CarbonContent&amp;EUconst_Value</f>
        <v>CarbC_Vertė</v>
      </c>
      <c r="AN1644" s="555" t="str">
        <f>IF(AC1644=TRUE,IF(COUNTIF(MSPara_SourceStreamCategory,V1644)=0,"",INDEX(MSPara_CalcFactorsMatrix,MATCH(V1644,MSPara_SourceStreamCategory,0),MATCH(AM1644&amp;"_"&amp;2,MSPara_CalcFactors,0))),"")</f>
        <v/>
      </c>
      <c r="AO1644" s="583" t="str">
        <f>IF(AC1644=TRUE,IF(COUNTIF(MSPara_SourceStreamCategory,V1644)=0,"",INDEX(MSPara_CalcFactorsMatrix,MATCH(V1644,MSPara_SourceStreamCategory,0),MATCH(AM1644&amp;"_"&amp;1,MSPara_CalcFactors,0))),"")</f>
        <v/>
      </c>
      <c r="AP1644" s="548" t="b">
        <f>AND(AND(AH1644&lt;&gt;"",AJ1644&lt;&gt;""),AJ1644=AH1644)</f>
        <v>0</v>
      </c>
      <c r="AQ1644" s="584" t="str">
        <f>IF(AND(AA1644&lt;&gt;"",AP1644=TRUE),IF(OR(INDEX(AN1644:AO1644,3-AA1644)=EUconst_NA,INDEX(AN1644:AO1644,3-AA1644)=0),"",INDEX(AN1644:AO1644,3-AA1644)),"")</f>
        <v/>
      </c>
      <c r="AR1644" s="548">
        <f>IF(AC1644=TRUE,IF(COUNT(K1644:L1644)=0,0,IF(L1644="",K1644,L1644)),0)</f>
        <v>0</v>
      </c>
      <c r="AS1644" s="544" t="b">
        <f>AND(AC1644=TRUE,OR(AND(F1644&lt;&gt;"",NOT(ISNUMBER(AA1644))),L1644&lt;&gt;"",F1644="",AQ1644=""))</f>
        <v>0</v>
      </c>
      <c r="AT1644" s="544" t="b">
        <f t="shared" si="408"/>
        <v>0</v>
      </c>
      <c r="AU1644" s="30"/>
      <c r="AV1644" s="558" t="b">
        <f t="shared" si="409"/>
        <v>0</v>
      </c>
      <c r="AW1644" s="559" t="b">
        <f t="shared" si="410"/>
        <v>0</v>
      </c>
      <c r="AX1644" s="537" t="b">
        <f>OR(AND(AJ1638=EUconst_kNm3,AJ1644=EUconst_tCpt),AND(AJ1638=EUconst_t,AJ1644=EUconst_tCpkNm3))</f>
        <v>0</v>
      </c>
      <c r="AY1644" s="544" t="b">
        <f t="shared" si="411"/>
        <v>0</v>
      </c>
      <c r="AZ1644" s="30"/>
      <c r="BA1644" s="30"/>
      <c r="BB1644" s="569" t="s">
        <v>482</v>
      </c>
      <c r="BC1644" s="570">
        <f>AR1638*AR1641/1000*AR1645</f>
        <v>0</v>
      </c>
      <c r="BD1644" s="571">
        <f>BC1644</f>
        <v>0</v>
      </c>
      <c r="BE1644" s="572">
        <f>BC1644</f>
        <v>0</v>
      </c>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544" t="b">
        <f>OR(BZ1638,Y1644=EUconst_NA)</f>
        <v>1</v>
      </c>
    </row>
    <row r="1645" spans="1:78" s="140" customFormat="1" ht="12.75" customHeight="1" x14ac:dyDescent="0.2">
      <c r="A1645" s="777"/>
      <c r="B1645" s="1248"/>
      <c r="C1645" s="753" t="s">
        <v>325</v>
      </c>
      <c r="D1645" s="503" t="str">
        <f>Translations!$B$641</f>
        <v>Biomasės dalis (BioC):</v>
      </c>
      <c r="E1645" s="504"/>
      <c r="F1645" s="539"/>
      <c r="G1645" s="1603" t="str">
        <f t="shared" si="406"/>
        <v/>
      </c>
      <c r="H1645" s="1604"/>
      <c r="I1645" s="1113" t="str">
        <f>IF(OR(AC1645=FALSE,Y1645=EUconst_NA),"","-")</f>
        <v/>
      </c>
      <c r="J1645" s="560"/>
      <c r="K1645" s="561" t="str">
        <f t="shared" si="407"/>
        <v/>
      </c>
      <c r="L1645" s="694"/>
      <c r="M1645" s="700" t="str">
        <f>IF(AND(E1629&lt;&gt;"",OR(F1645="",COUNT(K1645:L1645)=0),Y1645&lt;&gt;EUconst_NA,T1629&lt;&gt;TRUE),EUconst_ERR_Incomplete,IF(COUNTIF(AX1645:AZ1645,TRUE)&gt;0,EUconst_ERR_Inconsistent,""))</f>
        <v/>
      </c>
      <c r="O1645" s="1305"/>
      <c r="P1645" s="635"/>
      <c r="Q1645" s="635"/>
      <c r="R1645" s="635"/>
      <c r="S1645" s="30"/>
      <c r="T1645" s="543" t="str">
        <f>EUconst_CNTR_BiomassContent&amp;E1629</f>
        <v>BioC_</v>
      </c>
      <c r="U1645" s="488"/>
      <c r="V1645" s="585" t="str">
        <f t="shared" si="412"/>
        <v/>
      </c>
      <c r="W1645" s="522" t="str">
        <f>IF(COUNTIF(MSPara_SourceStreamCategory,V1645)=0,"",INDEX(MSPara_IsFossil,MATCH(V1645,MSPara_SourceStreamCategory,0)))</f>
        <v/>
      </c>
      <c r="X1645" s="488"/>
      <c r="Y1645" s="545" t="str">
        <f>IF(OR(T1629=TRUE,E1629=""),"",IF(OR(W1645=TRUE,F1645=EUconst_NA),EUconst_NA,INDEX(EUwideConstants!$N:$N,MATCH(T1645,EUwideConstants!$Q:$Q,0))))</f>
        <v/>
      </c>
      <c r="Z1645" s="546" t="str">
        <f>IF(ISBLANK(F1645),"",IF(F1645=EUconst_NA,"",INDEX(EUwideConstants!$H:$M,MATCH(T1645,EUwideConstants!$Q:$Q,0),MATCH(F1645,CNTR_TierList,0))))</f>
        <v/>
      </c>
      <c r="AA1645" s="586" t="str">
        <f>IF(F1645=1,1,"")</f>
        <v/>
      </c>
      <c r="AB1645" s="30"/>
      <c r="AC1645" s="548" t="b">
        <f>AND(AC1638,Y1645&lt;&gt;EUconst_NA)</f>
        <v>0</v>
      </c>
      <c r="AD1645" s="30"/>
      <c r="AE1645" s="563"/>
      <c r="AG1645" s="564"/>
      <c r="AH1645" s="553"/>
      <c r="AI1645" s="565"/>
      <c r="AJ1645" s="553"/>
      <c r="AK1645" s="566"/>
      <c r="AL1645" s="333"/>
      <c r="AM1645" s="549" t="str">
        <f>EUconst_CNTR_BiomassContent&amp;EUconst_Value</f>
        <v>BioC_Vertė</v>
      </c>
      <c r="AO1645" s="587" t="str">
        <f>IF(AC1645=TRUE,IF(COUNTIF(MSPara_SourceStreamCategory,V1645)=0,"",INDEX(MSPara_CalcFactorsMatrix,MATCH(V1645,MSPara_SourceStreamCategory,0),MATCH(AM1645&amp;"_"&amp;2,MSPara_CalcFactors,0))),"")</f>
        <v/>
      </c>
      <c r="AP1645" s="553"/>
      <c r="AQ1645" s="568" t="str">
        <f>IF(OR(AA1645="",AO1645=EUconst_NA),"",AO1645)</f>
        <v/>
      </c>
      <c r="AR1645" s="548">
        <f>IF(AC1645=TRUE,IF(COUNT(K1645:L1645)=0,0,IF(L1645="",K1645,L1645)),0)</f>
        <v>0</v>
      </c>
      <c r="AS1645" s="544" t="b">
        <f>AND(AC1645=TRUE,OR(AND(F1645&lt;&gt;"",NOT(ISNUMBER(AA1645))),L1645&lt;&gt;"",F1645="",AQ1645=""))</f>
        <v>0</v>
      </c>
      <c r="AT1645" s="544" t="b">
        <f t="shared" si="408"/>
        <v>0</v>
      </c>
      <c r="AU1645" s="30"/>
      <c r="AV1645" s="558" t="b">
        <f t="shared" si="409"/>
        <v>0</v>
      </c>
      <c r="AW1645" s="559" t="b">
        <f t="shared" si="410"/>
        <v>0</v>
      </c>
      <c r="AX1645" s="30"/>
      <c r="AY1645" s="585" t="b">
        <f t="shared" si="411"/>
        <v>0</v>
      </c>
      <c r="AZ1645" s="522" t="b">
        <f>OR(AR1645&gt;100%,(AR1645+AR1646)&gt;100%)</f>
        <v>0</v>
      </c>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544" t="b">
        <f>OR(BZ1638,Y1645=EUconst_NA)</f>
        <v>1</v>
      </c>
    </row>
    <row r="1646" spans="1:78" s="140" customFormat="1" ht="12.75" customHeight="1" thickBot="1" x14ac:dyDescent="0.25">
      <c r="A1646" s="777"/>
      <c r="B1646" s="1248"/>
      <c r="C1646" s="753" t="s">
        <v>448</v>
      </c>
      <c r="D1646" s="503" t="str">
        <f>Translations!$B$647</f>
        <v>Netvarios BioC dalis:</v>
      </c>
      <c r="E1646" s="504"/>
      <c r="F1646" s="588"/>
      <c r="G1646" s="1603" t="str">
        <f t="shared" si="406"/>
        <v/>
      </c>
      <c r="H1646" s="1604"/>
      <c r="I1646" s="1114" t="str">
        <f>IF(OR(AC1646=FALSE,Y1646=EUconst_NA),"","-")</f>
        <v/>
      </c>
      <c r="J1646" s="560"/>
      <c r="K1646" s="589" t="str">
        <f t="shared" si="407"/>
        <v/>
      </c>
      <c r="L1646" s="1100"/>
      <c r="M1646" s="700" t="str">
        <f>IF(AND(E1629&lt;&gt;"",OR(F1646="",COUNT(K1646:L1646)=0),Y1646&lt;&gt;EUconst_NA,T1629&lt;&gt;TRUE),EUconst_ERR_Incomplete,IF(COUNTIF(AX1646:AZ1646,TRUE)&gt;0,EUconst_ERR_Inconsistent,""))</f>
        <v/>
      </c>
      <c r="O1646" s="1305"/>
      <c r="P1646" s="635"/>
      <c r="Q1646" s="635"/>
      <c r="R1646" s="635"/>
      <c r="S1646" s="30"/>
      <c r="T1646" s="590" t="str">
        <f>EUconst_CNTR_BiomassContent&amp;E1629</f>
        <v>BioC_</v>
      </c>
      <c r="U1646" s="488"/>
      <c r="V1646" s="570" t="str">
        <f t="shared" si="412"/>
        <v/>
      </c>
      <c r="W1646" s="571" t="str">
        <f>IF(COUNTIF(MSPara_SourceStreamCategory,V1646)=0,"",INDEX(MSPara_IsFossil,MATCH(V1646,MSPara_SourceStreamCategory,0)))</f>
        <v/>
      </c>
      <c r="X1646" s="488"/>
      <c r="Y1646" s="591" t="str">
        <f>IF(OR(T1629=TRUE,E1629=""),"",IF(OR(W1646=TRUE,F1646=EUconst_NA),EUconst_NA,INDEX(EUwideConstants!$N:$N,MATCH(T1646,EUwideConstants!$Q:$Q,0))))</f>
        <v/>
      </c>
      <c r="Z1646" s="592" t="str">
        <f>IF(ISBLANK(F1646),"",IF(F1646=EUconst_NA,"",INDEX(EUwideConstants!$H:$M,MATCH(T1646,EUwideConstants!$Q:$Q,0),MATCH(F1646,CNTR_TierList,0))))</f>
        <v/>
      </c>
      <c r="AA1646" s="593" t="str">
        <f>IF(F1646=1,1,"")</f>
        <v/>
      </c>
      <c r="AB1646" s="30"/>
      <c r="AC1646" s="594" t="b">
        <f>AND(AC1638,Y1646&lt;&gt;EUconst_NA)</f>
        <v>0</v>
      </c>
      <c r="AD1646" s="30"/>
      <c r="AE1646" s="595"/>
      <c r="AF1646" s="596"/>
      <c r="AG1646" s="597"/>
      <c r="AH1646" s="598"/>
      <c r="AI1646" s="598"/>
      <c r="AJ1646" s="598"/>
      <c r="AK1646" s="599"/>
      <c r="AL1646" s="333"/>
      <c r="AM1646" s="600" t="str">
        <f>EUconst_CNTR_BiomassContent&amp;EUconst_Value</f>
        <v>BioC_Vertė</v>
      </c>
      <c r="AN1646" s="596"/>
      <c r="AO1646" s="601" t="str">
        <f>IF(AC1646=TRUE,IF(COUNTIF(MSPara_SourceStreamCategory,V1646)=0,"",INDEX(MSPara_CalcFactorsMatrix,MATCH(V1646,MSPara_SourceStreamCategory,0),MATCH(AM1646&amp;"_"&amp;2,MSPara_CalcFactors,0))),"")</f>
        <v/>
      </c>
      <c r="AP1646" s="598"/>
      <c r="AQ1646" s="602" t="str">
        <f>IF(OR(AA1646="",AO1646=EUconst_NA),"",AO1646)</f>
        <v/>
      </c>
      <c r="AR1646" s="594">
        <f>IF(AC1646=TRUE,IF(COUNT(K1646:L1646)=0,0,IF(L1646="",K1646,L1646)),0)</f>
        <v>0</v>
      </c>
      <c r="AS1646" s="603" t="b">
        <f>AND(AC1646=TRUE,OR(AND(F1646&lt;&gt;"",NOT(ISNUMBER(AA1646))),L1646&lt;&gt;"",F1646="",AQ1646=""))</f>
        <v>0</v>
      </c>
      <c r="AT1646" s="603" t="b">
        <f t="shared" si="408"/>
        <v>0</v>
      </c>
      <c r="AU1646" s="30"/>
      <c r="AV1646" s="604" t="b">
        <f t="shared" si="409"/>
        <v>0</v>
      </c>
      <c r="AW1646" s="605" t="b">
        <f t="shared" si="410"/>
        <v>0</v>
      </c>
      <c r="AX1646" s="30"/>
      <c r="AY1646" s="570" t="b">
        <f t="shared" si="411"/>
        <v>0</v>
      </c>
      <c r="AZ1646" s="571" t="b">
        <f>OR(AR1645&gt;100%,(AR1645+AR1646)&gt;100%)</f>
        <v>0</v>
      </c>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571" t="b">
        <f>OR(BZ1638,Y1646=EUconst_NA)</f>
        <v>1</v>
      </c>
    </row>
    <row r="1647" spans="1:78" s="140" customFormat="1" ht="5.0999999999999996" customHeight="1" x14ac:dyDescent="0.2">
      <c r="A1647" s="777"/>
      <c r="B1647" s="1248"/>
      <c r="C1647" s="164"/>
      <c r="D1647" s="178"/>
      <c r="O1647" s="1305"/>
      <c r="P1647" s="33"/>
      <c r="Q1647" s="33"/>
      <c r="R1647" s="33"/>
      <c r="S1647" s="172"/>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row>
    <row r="1648" spans="1:78" s="140" customFormat="1" ht="12.75" customHeight="1" x14ac:dyDescent="0.2">
      <c r="A1648" s="777"/>
      <c r="B1648" s="1248"/>
      <c r="C1648" s="164"/>
      <c r="D1648" s="1629" t="str">
        <f>Translations!$B$674</f>
        <v>Pakopos galioja nuo:</v>
      </c>
      <c r="E1648" s="1629"/>
      <c r="F1648" s="1630"/>
      <c r="G1648" s="1014"/>
      <c r="H1648" s="606" t="str">
        <f>Translations!$B$675</f>
        <v>iki:</v>
      </c>
      <c r="I1648" s="1014"/>
      <c r="J1648" s="1620" t="str">
        <f>Translations!$B$676</f>
        <v>Atliekų katalogo numeris (jeigu taikytina):</v>
      </c>
      <c r="K1648" s="1621"/>
      <c r="L1648" s="1621"/>
      <c r="M1648" s="1622"/>
      <c r="N1648" s="1232"/>
      <c r="O1648" s="1305"/>
      <c r="P1648" s="33"/>
      <c r="Q1648" s="33"/>
      <c r="R1648" s="33"/>
      <c r="S1648" s="1233"/>
      <c r="T1648" s="483"/>
      <c r="U1648" s="483"/>
      <c r="V1648" s="48" t="b">
        <f>IF(V1638="",FALSE,INDEX(CNTR_IsWaste,MATCH(V1638,MSParameters!$A$218:$A$376,0)))</f>
        <v>0</v>
      </c>
      <c r="W1648" s="1233" t="s">
        <v>1689</v>
      </c>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2" t="b">
        <f>BZ1638</f>
        <v>1</v>
      </c>
    </row>
    <row r="1649" spans="1:78" s="140" customFormat="1" ht="5.0999999999999996" customHeight="1" x14ac:dyDescent="0.2">
      <c r="A1649" s="777"/>
      <c r="B1649" s="1248"/>
      <c r="C1649" s="164"/>
      <c r="D1649" s="606"/>
      <c r="E1649" s="486"/>
      <c r="F1649" s="486"/>
      <c r="G1649" s="486"/>
      <c r="H1649" s="486"/>
      <c r="I1649" s="486"/>
      <c r="J1649" s="486"/>
      <c r="K1649" s="486"/>
      <c r="L1649" s="486"/>
      <c r="M1649" s="486"/>
      <c r="N1649" s="486"/>
      <c r="O1649" s="1305"/>
      <c r="P1649" s="33"/>
      <c r="Q1649" s="33"/>
      <c r="R1649" s="33"/>
      <c r="S1649" s="172"/>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row>
    <row r="1650" spans="1:78" s="140" customFormat="1" ht="12.75" customHeight="1" x14ac:dyDescent="0.2">
      <c r="A1650" s="777"/>
      <c r="B1650" s="1248"/>
      <c r="C1650" s="164"/>
      <c r="D1650" s="486"/>
      <c r="E1650" s="486"/>
      <c r="F1650" s="486"/>
      <c r="G1650" s="486"/>
      <c r="H1650" s="486"/>
      <c r="I1650" s="486"/>
      <c r="J1650" s="486"/>
      <c r="K1650" s="486"/>
      <c r="L1650" s="486"/>
      <c r="M1650" s="606" t="str">
        <f>Translations!$B$677</f>
        <v>Stebėsenos plane šiam sukėlikliui suteiktas identifikatorius:</v>
      </c>
      <c r="N1650" s="705"/>
      <c r="O1650" s="1305"/>
      <c r="P1650" s="33"/>
      <c r="Q1650" s="33"/>
      <c r="R1650" s="33"/>
      <c r="S1650" s="172"/>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2" t="b">
        <f>BZ1648</f>
        <v>1</v>
      </c>
    </row>
    <row r="1651" spans="1:78" s="140" customFormat="1" ht="5.0999999999999996" customHeight="1" x14ac:dyDescent="0.2">
      <c r="A1651" s="784"/>
      <c r="B1651" s="1316"/>
      <c r="D1651" s="178"/>
      <c r="O1651" s="1317"/>
      <c r="P1651" s="488"/>
      <c r="Q1651" s="488"/>
      <c r="R1651" s="488"/>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row>
    <row r="1652" spans="1:78" s="140" customFormat="1" x14ac:dyDescent="0.2">
      <c r="A1652" s="784"/>
      <c r="B1652" s="1316"/>
      <c r="D1652" s="1618" t="str">
        <f>Translations!$B$160</f>
        <v>Pastabos:</v>
      </c>
      <c r="E1652" s="1619"/>
      <c r="F1652" s="1605"/>
      <c r="G1652" s="1606"/>
      <c r="H1652" s="1606"/>
      <c r="I1652" s="1606"/>
      <c r="J1652" s="1606"/>
      <c r="K1652" s="1606"/>
      <c r="L1652" s="1606"/>
      <c r="M1652" s="1606"/>
      <c r="N1652" s="1607"/>
      <c r="O1652" s="1317"/>
      <c r="P1652" s="488"/>
      <c r="Q1652" s="488"/>
      <c r="R1652" s="488"/>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2" t="b">
        <f>BZ1648</f>
        <v>1</v>
      </c>
    </row>
    <row r="1653" spans="1:78" s="28" customFormat="1" ht="12.75" customHeight="1" thickBot="1" x14ac:dyDescent="0.25">
      <c r="A1653" s="777"/>
      <c r="B1653" s="1312"/>
      <c r="C1653" s="490"/>
      <c r="D1653" s="491"/>
      <c r="E1653" s="492"/>
      <c r="F1653" s="490"/>
      <c r="G1653" s="493"/>
      <c r="H1653" s="493"/>
      <c r="I1653" s="493"/>
      <c r="J1653" s="493"/>
      <c r="K1653" s="493"/>
      <c r="L1653" s="493"/>
      <c r="M1653" s="493"/>
      <c r="N1653" s="493"/>
      <c r="O1653" s="1313"/>
      <c r="P1653" s="485"/>
      <c r="Q1653" s="485"/>
      <c r="R1653" s="485"/>
      <c r="S1653" s="58"/>
      <c r="T1653" s="58"/>
      <c r="U1653" s="489"/>
      <c r="V1653" s="58"/>
      <c r="W1653" s="58"/>
      <c r="X1653" s="489"/>
      <c r="Y1653" s="58"/>
      <c r="Z1653" s="58"/>
      <c r="AA1653" s="58"/>
      <c r="AB1653" s="58"/>
      <c r="AC1653" s="58"/>
      <c r="AD1653" s="58"/>
      <c r="AE1653" s="58"/>
      <c r="AF1653" s="58"/>
      <c r="AG1653" s="58"/>
      <c r="AH1653" s="58"/>
      <c r="AI1653" s="58"/>
      <c r="AJ1653" s="58"/>
      <c r="AK1653" s="58"/>
      <c r="AL1653" s="58"/>
      <c r="AM1653" s="58"/>
      <c r="AN1653" s="58"/>
      <c r="AO1653" s="58"/>
      <c r="AP1653" s="58"/>
      <c r="AQ1653" s="58"/>
      <c r="AR1653" s="58"/>
      <c r="AS1653" s="58"/>
      <c r="AT1653" s="58"/>
      <c r="AU1653" s="58"/>
      <c r="AV1653" s="58"/>
      <c r="AW1653" s="58"/>
      <c r="AX1653" s="58"/>
      <c r="AY1653" s="58"/>
      <c r="AZ1653" s="58"/>
      <c r="BA1653" s="58"/>
      <c r="BB1653" s="58"/>
      <c r="BC1653" s="58"/>
      <c r="BD1653" s="58"/>
      <c r="BE1653" s="58"/>
      <c r="BF1653" s="58"/>
      <c r="BG1653" s="58"/>
      <c r="BH1653" s="58"/>
      <c r="BI1653" s="30"/>
      <c r="BJ1653" s="30"/>
      <c r="BK1653" s="30"/>
      <c r="BL1653" s="58"/>
      <c r="BM1653" s="58"/>
      <c r="BN1653" s="58"/>
      <c r="BO1653" s="58"/>
      <c r="BP1653" s="58"/>
      <c r="BQ1653" s="58"/>
      <c r="BR1653" s="58"/>
      <c r="BS1653" s="58"/>
      <c r="BT1653" s="58"/>
      <c r="BU1653" s="58"/>
      <c r="BV1653" s="58"/>
      <c r="BW1653" s="58"/>
      <c r="BX1653" s="58"/>
      <c r="BY1653" s="58"/>
      <c r="BZ1653" s="58"/>
    </row>
    <row r="1654" spans="1:78" s="28" customFormat="1" ht="12.75" customHeight="1" thickBot="1" x14ac:dyDescent="0.25">
      <c r="A1654" s="782"/>
      <c r="B1654" s="1312"/>
      <c r="C1654" s="486"/>
      <c r="D1654" s="178"/>
      <c r="E1654" s="487"/>
      <c r="F1654" s="486"/>
      <c r="G1654" s="478"/>
      <c r="H1654" s="478"/>
      <c r="I1654" s="478"/>
      <c r="J1654" s="478"/>
      <c r="K1654" s="486"/>
      <c r="L1654" s="478"/>
      <c r="M1654" s="478"/>
      <c r="N1654" s="478"/>
      <c r="O1654" s="1313"/>
      <c r="P1654" s="485"/>
      <c r="Q1654" s="485"/>
      <c r="R1654" s="485"/>
      <c r="S1654" s="23"/>
      <c r="T1654" s="27" t="str">
        <f>IF(ISBLANK(E1655),"",MATCH(E1655,CNTR_SourceStreamNames,0))</f>
        <v/>
      </c>
      <c r="U1654" s="609" t="str">
        <f>IF(ISBLANK(E1655),"",INDEX(B_InstallationDescription!$D$71:$D$145,MATCH(E1655,CNTR_SourceStreamNames,0)))</f>
        <v/>
      </c>
      <c r="V1654" s="76"/>
      <c r="W1654" s="56"/>
      <c r="X1654" s="56"/>
      <c r="Y1654" s="56"/>
      <c r="Z1654" s="58"/>
      <c r="AA1654" s="58"/>
      <c r="AB1654" s="58"/>
      <c r="AC1654" s="58"/>
      <c r="AD1654" s="58"/>
      <c r="AE1654" s="58"/>
      <c r="AF1654" s="58"/>
      <c r="AG1654" s="58"/>
      <c r="AH1654" s="58"/>
      <c r="AI1654" s="58"/>
      <c r="AJ1654" s="58"/>
      <c r="AK1654" s="482"/>
      <c r="AL1654" s="58"/>
      <c r="AM1654" s="58"/>
      <c r="AN1654" s="58"/>
      <c r="AO1654" s="58"/>
      <c r="AP1654" s="58"/>
      <c r="AQ1654" s="58"/>
      <c r="AR1654" s="58"/>
      <c r="AS1654" s="58"/>
      <c r="AT1654" s="58"/>
      <c r="AU1654" s="58"/>
      <c r="AV1654" s="58"/>
      <c r="AW1654" s="58"/>
      <c r="AX1654" s="58"/>
      <c r="AY1654" s="58"/>
      <c r="AZ1654" s="58"/>
      <c r="BA1654" s="58"/>
      <c r="BB1654" s="58"/>
      <c r="BC1654" s="58"/>
      <c r="BD1654" s="58"/>
      <c r="BE1654" s="58"/>
      <c r="BF1654" s="58"/>
      <c r="BG1654" s="58"/>
      <c r="BH1654" s="56"/>
      <c r="BI1654" s="56"/>
      <c r="BJ1654" s="56"/>
      <c r="BK1654" s="56"/>
      <c r="BL1654" s="56"/>
      <c r="BM1654" s="56"/>
      <c r="BN1654" s="56"/>
      <c r="BO1654" s="56"/>
      <c r="BP1654" s="56"/>
      <c r="BQ1654" s="56"/>
      <c r="BR1654" s="56"/>
      <c r="BS1654" s="56"/>
      <c r="BT1654" s="56"/>
      <c r="BU1654" s="56"/>
      <c r="BV1654" s="56"/>
      <c r="BW1654" s="56"/>
      <c r="BX1654" s="56"/>
      <c r="BY1654" s="56"/>
      <c r="BZ1654" s="484" t="s">
        <v>259</v>
      </c>
    </row>
    <row r="1655" spans="1:78" s="140" customFormat="1" ht="15" customHeight="1" thickBot="1" x14ac:dyDescent="0.25">
      <c r="A1655" s="1302" t="str">
        <f>IF(E1655="","","PRINT")</f>
        <v/>
      </c>
      <c r="B1655" s="1248"/>
      <c r="C1655" s="608">
        <f>C1628+1</f>
        <v>60</v>
      </c>
      <c r="D1655" s="164"/>
      <c r="E1655" s="1610"/>
      <c r="F1655" s="1611"/>
      <c r="G1655" s="1611"/>
      <c r="H1655" s="1611"/>
      <c r="I1655" s="1611"/>
      <c r="J1655" s="1612"/>
      <c r="K1655" s="1623" t="str">
        <f>IF(E1656="","",INDEX(EUwideConstants!$F$353:$F$394,MATCH(E1656,EUConst_TierActivityListNames,0)))</f>
        <v/>
      </c>
      <c r="L1655" s="1624"/>
      <c r="M1655" s="494" t="str">
        <f>Translations!$B$665</f>
        <v>CO2, iškastinio kuro kilmės:</v>
      </c>
      <c r="N1655" s="1012" t="str">
        <f>IF(OR(K1655="",T1656=TRUE),"",INDEX(BC1669:BE1669,MATCH(K1655,BC1665:BE1665,0)))</f>
        <v/>
      </c>
      <c r="O1655" s="1314" t="s">
        <v>257</v>
      </c>
      <c r="P1655" s="1303" t="str">
        <f>IF(AND(E1655&lt;&gt;"",COUNTIF(P1656:$P$2089,"PRINT")=0),"PRINT","")</f>
        <v/>
      </c>
      <c r="Q1655" s="343" t="str">
        <f>EUconst_SumCO2 &amp; "_" &amp; K1655</f>
        <v>SUM_CO2_</v>
      </c>
      <c r="R1655" s="485"/>
      <c r="S1655" s="23"/>
      <c r="T1655" s="500" t="s">
        <v>387</v>
      </c>
      <c r="U1655" s="23"/>
      <c r="V1655" s="76"/>
      <c r="W1655" s="56"/>
      <c r="X1655" s="58"/>
      <c r="Y1655" s="58"/>
      <c r="Z1655" s="58"/>
      <c r="AA1655" s="58"/>
      <c r="AB1655" s="58"/>
      <c r="AC1655" s="58"/>
      <c r="AD1655" s="58"/>
      <c r="AE1655" s="58"/>
      <c r="AF1655" s="58"/>
      <c r="AG1655" s="58"/>
      <c r="AH1655" s="58"/>
      <c r="AI1655" s="333"/>
      <c r="AJ1655" s="333"/>
      <c r="AK1655" s="333"/>
      <c r="AL1655" s="333"/>
      <c r="AM1655" s="333"/>
      <c r="AN1655" s="333"/>
      <c r="AO1655" s="333"/>
      <c r="AP1655" s="333"/>
      <c r="AQ1655" s="333"/>
      <c r="AR1655" s="333"/>
      <c r="AS1655" s="333"/>
      <c r="AT1655" s="333"/>
      <c r="AU1655" s="333"/>
      <c r="AV1655" s="333"/>
      <c r="AW1655" s="333"/>
      <c r="AX1655" s="333"/>
      <c r="AY1655" s="333"/>
      <c r="AZ1655" s="333"/>
      <c r="BA1655" s="333"/>
      <c r="BB1655" s="333"/>
      <c r="BC1655" s="333"/>
      <c r="BD1655" s="333"/>
      <c r="BE1655" s="333"/>
      <c r="BF1655" s="333"/>
      <c r="BG1655" s="333"/>
      <c r="BH1655" s="834">
        <f>AR1665</f>
        <v>0</v>
      </c>
      <c r="BI1655" s="834" t="str">
        <f>AJ1665</f>
        <v/>
      </c>
      <c r="BJ1655" s="834">
        <f>AR1667</f>
        <v>0</v>
      </c>
      <c r="BK1655" s="834" t="str">
        <f>AJ1667</f>
        <v/>
      </c>
      <c r="BL1655" s="834">
        <f>AR1668</f>
        <v>0</v>
      </c>
      <c r="BM1655" s="834" t="str">
        <f>AJ1668</f>
        <v/>
      </c>
      <c r="BN1655" s="834">
        <f>AR1669</f>
        <v>1</v>
      </c>
      <c r="BO1655" s="834">
        <f>AR1670</f>
        <v>1</v>
      </c>
      <c r="BP1655" s="834">
        <f>AR1671</f>
        <v>0</v>
      </c>
      <c r="BQ1655" s="834" t="str">
        <f>AJ1671</f>
        <v/>
      </c>
      <c r="BR1655" s="834">
        <f>AR1672</f>
        <v>0</v>
      </c>
      <c r="BS1655" s="834">
        <f>AR1673</f>
        <v>0</v>
      </c>
      <c r="BT1655" s="834" t="str">
        <f>N1655</f>
        <v/>
      </c>
      <c r="BU1655" s="834" t="str">
        <f>N1656</f>
        <v/>
      </c>
      <c r="BV1655" s="834" t="str">
        <f>R1658</f>
        <v/>
      </c>
      <c r="BW1655" s="834" t="str">
        <f>R1664</f>
        <v/>
      </c>
      <c r="BX1655" s="834" t="str">
        <f>R1665</f>
        <v/>
      </c>
      <c r="BY1655" s="56"/>
      <c r="BZ1655" s="610" t="b">
        <f>CNTR_CalcRelevant=EUconst_NotRelevant</f>
        <v>0</v>
      </c>
    </row>
    <row r="1656" spans="1:78" s="140" customFormat="1" ht="15" customHeight="1" thickBot="1" x14ac:dyDescent="0.25">
      <c r="A1656" s="777"/>
      <c r="B1656" s="1248"/>
      <c r="C1656" s="164"/>
      <c r="D1656" s="164"/>
      <c r="E1656" s="1625" t="str">
        <f>IF(ISBLANK(E1655),"",IF(INDEX(B_InstallationDescription!$E$71:$E$145,MATCH(U1654,B_InstallationDescription!$D$71:$D$145,0))&gt;0,INDEX(B_InstallationDescription!$E$71:$E$145,MATCH(U1654,B_InstallationDescription!$D$71:$D$145,0)),""))</f>
        <v/>
      </c>
      <c r="F1656" s="1626"/>
      <c r="G1656" s="1626"/>
      <c r="H1656" s="1626"/>
      <c r="I1656" s="1626"/>
      <c r="J1656" s="1627"/>
      <c r="M1656" s="337" t="str">
        <f>Translations!$B$666</f>
        <v>CO2, biomasės kilmės.:</v>
      </c>
      <c r="N1656" s="1013" t="str">
        <f>IF(OR(K1655="",T1656=TRUE),"",INDEX(BC1668:BE1668,MATCH(K1655,BC1665:BE1665,0)))</f>
        <v/>
      </c>
      <c r="O1656" s="1315" t="s">
        <v>257</v>
      </c>
      <c r="P1656" s="485"/>
      <c r="Q1656" s="343" t="str">
        <f>EUconst_SumBioCO2 &amp; "_" &amp; K1655</f>
        <v>SUM_bioCO2_</v>
      </c>
      <c r="R1656" s="485"/>
      <c r="S1656" s="23"/>
      <c r="T1656" s="48" t="str">
        <f>IF(E1656="","",MATCH(E1656,EUConst_TierActivityListNames,0)&gt;40)</f>
        <v/>
      </c>
      <c r="U1656" s="23"/>
      <c r="V1656" s="76"/>
      <c r="W1656" s="56"/>
      <c r="X1656" s="58"/>
      <c r="Y1656" s="27" t="s">
        <v>91</v>
      </c>
      <c r="Z1656" s="30"/>
      <c r="AA1656" s="30"/>
      <c r="AB1656" s="30"/>
      <c r="AC1656" s="30"/>
      <c r="AD1656" s="30"/>
      <c r="AE1656" s="27" t="s">
        <v>297</v>
      </c>
      <c r="AF1656" s="58"/>
      <c r="AG1656" s="495"/>
      <c r="AH1656" s="30"/>
      <c r="AI1656" s="30"/>
      <c r="AJ1656" s="495"/>
      <c r="AK1656" s="495"/>
      <c r="AL1656" s="333"/>
      <c r="AM1656" s="27" t="s">
        <v>303</v>
      </c>
      <c r="AN1656" s="496"/>
      <c r="AO1656" s="496"/>
      <c r="AP1656" s="30"/>
      <c r="AQ1656" s="30"/>
      <c r="AR1656" s="30"/>
      <c r="AS1656" s="30"/>
      <c r="AT1656" s="30"/>
      <c r="AU1656" s="30"/>
      <c r="AV1656" s="27" t="s">
        <v>310</v>
      </c>
      <c r="AW1656" s="30"/>
      <c r="AX1656" s="483"/>
      <c r="AY1656" s="30"/>
      <c r="AZ1656" s="30"/>
      <c r="BA1656" s="30"/>
      <c r="BB1656" s="27" t="s">
        <v>217</v>
      </c>
      <c r="BC1656" s="30"/>
      <c r="BD1656" s="30"/>
      <c r="BE1656" s="30"/>
      <c r="BF1656" s="30"/>
      <c r="BG1656" s="27" t="s">
        <v>486</v>
      </c>
      <c r="BH1656" s="833" t="s">
        <v>552</v>
      </c>
      <c r="BI1656" s="833" t="s">
        <v>487</v>
      </c>
      <c r="BJ1656" s="833" t="s">
        <v>211</v>
      </c>
      <c r="BK1656" s="833" t="s">
        <v>488</v>
      </c>
      <c r="BL1656" s="833" t="s">
        <v>68</v>
      </c>
      <c r="BM1656" s="833" t="s">
        <v>489</v>
      </c>
      <c r="BN1656" s="833" t="s">
        <v>490</v>
      </c>
      <c r="BO1656" s="833" t="s">
        <v>491</v>
      </c>
      <c r="BP1656" s="833" t="s">
        <v>214</v>
      </c>
      <c r="BQ1656" s="833" t="s">
        <v>492</v>
      </c>
      <c r="BR1656" s="833" t="s">
        <v>493</v>
      </c>
      <c r="BS1656" s="833" t="s">
        <v>494</v>
      </c>
      <c r="BT1656" s="833" t="s">
        <v>287</v>
      </c>
      <c r="BU1656" s="833" t="s">
        <v>495</v>
      </c>
      <c r="BV1656" s="833" t="s">
        <v>498</v>
      </c>
      <c r="BW1656" s="833" t="s">
        <v>496</v>
      </c>
      <c r="BX1656" s="833" t="s">
        <v>497</v>
      </c>
      <c r="BY1656" s="30"/>
      <c r="BZ1656" s="30"/>
    </row>
    <row r="1657" spans="1:78" s="140" customFormat="1" ht="5.0999999999999996" customHeight="1" thickBot="1" x14ac:dyDescent="0.25">
      <c r="A1657" s="777"/>
      <c r="B1657" s="1248"/>
      <c r="C1657" s="164"/>
      <c r="D1657" s="164"/>
      <c r="E1657" s="164"/>
      <c r="F1657" s="164"/>
      <c r="G1657" s="164"/>
      <c r="M1657" s="141"/>
      <c r="N1657" s="141"/>
      <c r="O1657" s="1305"/>
      <c r="P1657" s="33"/>
      <c r="Q1657" s="33"/>
      <c r="R1657" s="33"/>
      <c r="S1657" s="23"/>
      <c r="T1657" s="23"/>
      <c r="U1657" s="23"/>
      <c r="V1657" s="76"/>
      <c r="W1657" s="30"/>
      <c r="X1657" s="30"/>
      <c r="Y1657" s="485"/>
      <c r="Z1657" s="30"/>
      <c r="AA1657" s="30"/>
      <c r="AB1657" s="30"/>
      <c r="AC1657" s="30"/>
      <c r="AD1657" s="30"/>
      <c r="AE1657" s="30"/>
      <c r="AF1657" s="58"/>
      <c r="AG1657" s="30"/>
      <c r="AH1657" s="30"/>
      <c r="AI1657" s="30"/>
      <c r="AJ1657" s="495"/>
      <c r="AK1657" s="495"/>
      <c r="AL1657" s="333"/>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row>
    <row r="1658" spans="1:78" s="140" customFormat="1" ht="12.75" customHeight="1" thickBot="1" x14ac:dyDescent="0.25">
      <c r="A1658" s="777"/>
      <c r="B1658" s="1248"/>
      <c r="C1658" s="164"/>
      <c r="D1658" s="164"/>
      <c r="E1658" s="1628" t="str">
        <f>IF(E1655="","",IF(T1656=TRUE,HYPERLINK("#JUMP_14",EUconst_MsgGoOnPFC),HYPERLINK("#JUMP_E_8",EUconst_FurtherGuidancePoint1)))</f>
        <v/>
      </c>
      <c r="F1658" s="1628"/>
      <c r="G1658" s="1628"/>
      <c r="H1658" s="1628"/>
      <c r="I1658" s="1628"/>
      <c r="J1658" s="1628"/>
      <c r="K1658" s="1628"/>
      <c r="L1658" s="1628"/>
      <c r="M1658" s="1628"/>
      <c r="N1658" s="141"/>
      <c r="O1658" s="1305"/>
      <c r="P1658" s="33"/>
      <c r="Q1658" s="343" t="str">
        <f>EUconst_SumNonSustBioCO2 &amp; "_" &amp; K1655</f>
        <v>SUM_bioNonSustCO2_</v>
      </c>
      <c r="R1658" s="698" t="str">
        <f>IF(OR(K1655="",T1656=TRUE),"",ROUND(INDEX(BC1667:BE1667,MATCH(K1655,BC1665:BE1665,0)),0))</f>
        <v/>
      </c>
      <c r="S1658" s="23"/>
      <c r="T1658" s="23"/>
      <c r="U1658" s="23"/>
      <c r="V1658" s="30"/>
      <c r="W1658" s="30"/>
      <c r="X1658" s="30"/>
      <c r="Y1658" s="58"/>
      <c r="Z1658" s="30"/>
      <c r="AA1658" s="30"/>
      <c r="AB1658" s="30"/>
      <c r="AC1658" s="30"/>
      <c r="AD1658" s="30"/>
      <c r="AE1658" s="30"/>
      <c r="AF1658" s="58"/>
      <c r="AG1658" s="30"/>
      <c r="AH1658" s="30"/>
      <c r="AI1658" s="30"/>
      <c r="AJ1658" s="495"/>
      <c r="AK1658" s="495"/>
      <c r="AL1658" s="333"/>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row>
    <row r="1659" spans="1:78" s="140" customFormat="1" ht="5.0999999999999996" customHeight="1" thickBot="1" x14ac:dyDescent="0.25">
      <c r="A1659" s="777"/>
      <c r="B1659" s="1248"/>
      <c r="C1659" s="164"/>
      <c r="D1659" s="164"/>
      <c r="E1659" s="164"/>
      <c r="F1659" s="164"/>
      <c r="G1659" s="164"/>
      <c r="M1659" s="141"/>
      <c r="N1659" s="141"/>
      <c r="O1659" s="1305"/>
      <c r="P1659" s="23"/>
      <c r="Q1659" s="23"/>
      <c r="R1659" s="23"/>
      <c r="S1659" s="23"/>
      <c r="T1659" s="23"/>
      <c r="U1659" s="23"/>
      <c r="V1659" s="30"/>
      <c r="W1659" s="30"/>
      <c r="X1659" s="30"/>
      <c r="Y1659" s="485"/>
      <c r="Z1659" s="30"/>
      <c r="AA1659" s="30"/>
      <c r="AB1659" s="30"/>
      <c r="AC1659" s="30"/>
      <c r="AD1659" s="30"/>
      <c r="AE1659" s="30"/>
      <c r="AF1659" s="58"/>
      <c r="AG1659" s="30"/>
      <c r="AH1659" s="30"/>
      <c r="AI1659" s="30"/>
      <c r="AJ1659" s="495"/>
      <c r="AK1659" s="495"/>
      <c r="AL1659" s="333"/>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row>
    <row r="1660" spans="1:78" s="140" customFormat="1" ht="12.75" customHeight="1" thickBot="1" x14ac:dyDescent="0.25">
      <c r="A1660" s="777"/>
      <c r="B1660" s="1248"/>
      <c r="C1660" s="783" t="s">
        <v>4</v>
      </c>
      <c r="D1660" s="503" t="str">
        <f>Translations!$B$622</f>
        <v>VD:</v>
      </c>
      <c r="E1660" s="1631" t="str">
        <f>Translations!$B$667</f>
        <v>Ar veiklos duomenys gaunami sudedant išmatuotus kiekius (t. y. ne atliekant nuolatinius matavimus)?</v>
      </c>
      <c r="F1660" s="1631"/>
      <c r="G1660" s="1631"/>
      <c r="H1660" s="1631"/>
      <c r="I1660" s="1631"/>
      <c r="J1660" s="1631"/>
      <c r="K1660" s="1631"/>
      <c r="L1660" s="1122"/>
      <c r="M1660" s="498"/>
      <c r="O1660" s="1305"/>
      <c r="P1660" s="23"/>
      <c r="Q1660" s="23"/>
      <c r="R1660" s="23"/>
      <c r="S1660" s="23"/>
      <c r="T1660" s="23"/>
      <c r="U1660" s="23"/>
      <c r="V1660" s="30"/>
      <c r="W1660" s="30"/>
      <c r="X1660" s="30"/>
      <c r="Y1660" s="485"/>
      <c r="Z1660" s="30"/>
      <c r="AA1660" s="30"/>
      <c r="AB1660" s="30"/>
      <c r="AC1660" s="1115" t="b">
        <f>AND(E1655&lt;&gt;"",T1656&lt;&gt;TRUE)</f>
        <v>0</v>
      </c>
      <c r="AD1660" s="30"/>
      <c r="AE1660" s="30"/>
      <c r="AF1660" s="58"/>
      <c r="AG1660" s="30"/>
      <c r="AH1660" s="30"/>
      <c r="AI1660" s="30"/>
      <c r="AJ1660" s="495"/>
      <c r="AK1660" s="495"/>
      <c r="AL1660" s="333"/>
      <c r="AM1660" s="30"/>
      <c r="AN1660" s="30"/>
      <c r="AO1660" s="30"/>
      <c r="AP1660" s="30"/>
      <c r="AQ1660" s="30"/>
      <c r="AR1660" s="30"/>
      <c r="AS1660" s="30"/>
      <c r="AT1660" s="1115" t="b">
        <f>MSPara_BatchReportingMandatory&lt;&gt;TRUE</f>
        <v>0</v>
      </c>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1115" t="b">
        <f>OR(CNTR_CalcRelevant=EUconst_NotRelevant,AND(COUNTA(CNTR_ListRelevantSections)&gt;0,OR(T1656=TRUE,E1655="")))</f>
        <v>1</v>
      </c>
    </row>
    <row r="1661" spans="1:78" s="140" customFormat="1" ht="5.0999999999999996" customHeight="1" thickBot="1" x14ac:dyDescent="0.25">
      <c r="A1661" s="777"/>
      <c r="B1661" s="1248"/>
      <c r="C1661" s="164"/>
      <c r="D1661" s="164"/>
      <c r="E1661" s="164"/>
      <c r="F1661" s="164"/>
      <c r="G1661" s="164"/>
      <c r="H1661" s="486"/>
      <c r="I1661" s="486"/>
      <c r="J1661" s="486"/>
      <c r="K1661" s="486"/>
      <c r="L1661" s="486"/>
      <c r="M1661" s="498"/>
      <c r="O1661" s="1305"/>
      <c r="P1661" s="23"/>
      <c r="Q1661" s="23"/>
      <c r="R1661" s="23"/>
      <c r="S1661" s="23"/>
      <c r="T1661" s="23"/>
      <c r="U1661" s="23"/>
      <c r="V1661" s="30"/>
      <c r="W1661" s="30"/>
      <c r="X1661" s="30"/>
      <c r="Y1661" s="485"/>
      <c r="Z1661" s="30"/>
      <c r="AA1661" s="30"/>
      <c r="AB1661" s="30"/>
      <c r="AC1661" s="483"/>
      <c r="AD1661" s="30"/>
      <c r="AE1661" s="30"/>
      <c r="AF1661" s="58"/>
      <c r="AG1661" s="30"/>
      <c r="AH1661" s="30"/>
      <c r="AI1661" s="30"/>
      <c r="AJ1661" s="495"/>
      <c r="AK1661" s="495"/>
      <c r="AL1661" s="333"/>
      <c r="AM1661" s="30"/>
      <c r="AN1661" s="30"/>
      <c r="AO1661" s="30"/>
      <c r="AP1661" s="30"/>
      <c r="AQ1661" s="30"/>
      <c r="AR1661" s="30"/>
      <c r="AS1661" s="30"/>
      <c r="AT1661" s="483"/>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483"/>
    </row>
    <row r="1662" spans="1:78" s="140" customFormat="1" ht="12.75" customHeight="1" thickBot="1" x14ac:dyDescent="0.25">
      <c r="A1662" s="777"/>
      <c r="B1662" s="1248"/>
      <c r="C1662" s="783" t="s">
        <v>5</v>
      </c>
      <c r="D1662" s="503" t="str">
        <f>Translations!$B$622</f>
        <v>VD:</v>
      </c>
      <c r="E1662" s="1105" t="str">
        <f>Translations!$B$668</f>
        <v>Pradinis kiekis:</v>
      </c>
      <c r="F1662" s="1123"/>
      <c r="G1662" s="1106" t="str">
        <f>Translations!$B$669</f>
        <v>Galutinis kiekis:</v>
      </c>
      <c r="H1662" s="1123"/>
      <c r="I1662" s="1106" t="str">
        <f>Translations!$B$670</f>
        <v>Įsigytas kiekis:</v>
      </c>
      <c r="J1662" s="1123"/>
      <c r="K1662" s="1106" t="str">
        <f>Translations!$B$671</f>
        <v>Perduotas kiekis:</v>
      </c>
      <c r="L1662" s="1123"/>
      <c r="M1662" s="1107" t="str">
        <f>IF(AND(L1660=TRUE,COUNT(F1662,H1662,J1662,L1662)&lt;4),EUconst_ERR_Incomplete,"")</f>
        <v/>
      </c>
      <c r="O1662" s="1305"/>
      <c r="P1662" s="23"/>
      <c r="Q1662" s="23"/>
      <c r="R1662" s="23"/>
      <c r="S1662" s="23"/>
      <c r="T1662" s="23"/>
      <c r="U1662" s="23"/>
      <c r="V1662" s="30"/>
      <c r="W1662" s="30"/>
      <c r="X1662" s="30"/>
      <c r="Y1662" s="485"/>
      <c r="Z1662" s="30"/>
      <c r="AA1662" s="30"/>
      <c r="AB1662" s="30"/>
      <c r="AC1662" s="1115" t="b">
        <f>AC1660</f>
        <v>0</v>
      </c>
      <c r="AD1662" s="30"/>
      <c r="AE1662" s="30"/>
      <c r="AF1662" s="58"/>
      <c r="AG1662" s="30"/>
      <c r="AH1662" s="30"/>
      <c r="AI1662" s="30"/>
      <c r="AJ1662" s="495"/>
      <c r="AK1662" s="495"/>
      <c r="AL1662" s="333"/>
      <c r="AM1662" s="30"/>
      <c r="AN1662" s="30"/>
      <c r="AO1662" s="30"/>
      <c r="AP1662" s="30"/>
      <c r="AQ1662" s="30"/>
      <c r="AR1662" s="30"/>
      <c r="AS1662" s="30"/>
      <c r="AT1662" s="1115" t="b">
        <f>AND(AT1660=TRUE,L1660="")</f>
        <v>0</v>
      </c>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1115" t="b">
        <f>OR(BZ1660,AND(NOT(ISBLANK(L1660)),L1660=FALSE))</f>
        <v>1</v>
      </c>
    </row>
    <row r="1663" spans="1:78" s="140" customFormat="1" ht="5.0999999999999996" customHeight="1" thickBot="1" x14ac:dyDescent="0.25">
      <c r="A1663" s="777"/>
      <c r="B1663" s="1248"/>
      <c r="C1663" s="164"/>
      <c r="D1663" s="164"/>
      <c r="E1663" s="164"/>
      <c r="F1663" s="164"/>
      <c r="G1663" s="164"/>
      <c r="M1663" s="141"/>
      <c r="N1663" s="141"/>
      <c r="O1663" s="1305"/>
      <c r="P1663" s="23"/>
      <c r="Q1663" s="23"/>
      <c r="R1663" s="23"/>
      <c r="S1663" s="23"/>
      <c r="T1663" s="23"/>
      <c r="U1663" s="23"/>
      <c r="V1663" s="30"/>
      <c r="W1663" s="30"/>
      <c r="X1663" s="30"/>
      <c r="Y1663" s="485"/>
      <c r="Z1663" s="30"/>
      <c r="AA1663" s="30"/>
      <c r="AB1663" s="30"/>
      <c r="AC1663" s="30"/>
      <c r="AD1663" s="30"/>
      <c r="AE1663" s="30"/>
      <c r="AF1663" s="58"/>
      <c r="AG1663" s="30"/>
      <c r="AH1663" s="30"/>
      <c r="AI1663" s="30"/>
      <c r="AJ1663" s="495"/>
      <c r="AK1663" s="495"/>
      <c r="AL1663" s="333"/>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row>
    <row r="1664" spans="1:78" s="140" customFormat="1" ht="12.75" customHeight="1" thickBot="1" x14ac:dyDescent="0.25">
      <c r="A1664" s="777"/>
      <c r="B1664" s="1248"/>
      <c r="C1664" s="164"/>
      <c r="D1664" s="164"/>
      <c r="E1664" s="164"/>
      <c r="F1664" s="497" t="str">
        <f>Translations!$B$333</f>
        <v>Pakopa</v>
      </c>
      <c r="G1664" s="1613" t="str">
        <f>Translations!$B$672</f>
        <v>pakopos aprašas</v>
      </c>
      <c r="H1664" s="1613"/>
      <c r="I1664" s="1608" t="str">
        <f>Translations!$B$158</f>
        <v>Vienetas</v>
      </c>
      <c r="J1664" s="1608"/>
      <c r="K1664" s="1608" t="str">
        <f>Translations!$B$673</f>
        <v>Vertė</v>
      </c>
      <c r="L1664" s="1608"/>
      <c r="M1664" s="498" t="str">
        <f>Translations!$B$610</f>
        <v>klaida</v>
      </c>
      <c r="O1664" s="1305"/>
      <c r="P1664" s="499"/>
      <c r="Q1664" s="343" t="str">
        <f>EUconst_SumEnergyIN &amp; "_" &amp; K1655</f>
        <v>SUM_EnergyIN_</v>
      </c>
      <c r="R1664" s="390" t="str">
        <f>IF(OR(K1655="",T1656)=TRUE,"",INDEX(BC1670:BE1670,MATCH(K1655,BC1665:BE1665,0)))</f>
        <v/>
      </c>
      <c r="S1664" s="30"/>
      <c r="T1664" s="480"/>
      <c r="U1664" s="30"/>
      <c r="V1664" s="500" t="s">
        <v>298</v>
      </c>
      <c r="W1664" s="30"/>
      <c r="X1664" s="30"/>
      <c r="Y1664" s="485" t="s">
        <v>560</v>
      </c>
      <c r="Z1664" s="485" t="s">
        <v>313</v>
      </c>
      <c r="AA1664" s="30"/>
      <c r="AB1664" s="30"/>
      <c r="AC1664" s="496" t="s">
        <v>304</v>
      </c>
      <c r="AD1664" s="30"/>
      <c r="AE1664" s="30"/>
      <c r="AF1664" s="483" t="s">
        <v>300</v>
      </c>
      <c r="AG1664" s="483" t="s">
        <v>301</v>
      </c>
      <c r="AH1664" s="485" t="s">
        <v>299</v>
      </c>
      <c r="AI1664" s="495" t="s">
        <v>302</v>
      </c>
      <c r="AJ1664" s="495" t="s">
        <v>561</v>
      </c>
      <c r="AK1664" s="501" t="s">
        <v>306</v>
      </c>
      <c r="AL1664" s="333"/>
      <c r="AM1664" s="30"/>
      <c r="AN1664" s="483" t="s">
        <v>300</v>
      </c>
      <c r="AO1664" s="483" t="s">
        <v>301</v>
      </c>
      <c r="AP1664" s="502" t="s">
        <v>305</v>
      </c>
      <c r="AQ1664" s="495" t="s">
        <v>563</v>
      </c>
      <c r="AR1664" s="495" t="s">
        <v>562</v>
      </c>
      <c r="AS1664" s="501" t="s">
        <v>599</v>
      </c>
      <c r="AT1664" s="501" t="s">
        <v>599</v>
      </c>
      <c r="AU1664" s="30"/>
      <c r="AV1664" s="483"/>
      <c r="AW1664" s="483"/>
      <c r="AX1664" s="483" t="s">
        <v>316</v>
      </c>
      <c r="AY1664" s="483"/>
      <c r="AZ1664" s="483"/>
      <c r="BA1664" s="483"/>
      <c r="BB1664" s="483"/>
      <c r="BC1664" s="483"/>
      <c r="BD1664" s="483"/>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484" t="s">
        <v>259</v>
      </c>
    </row>
    <row r="1665" spans="1:78" s="140" customFormat="1" ht="12.75" customHeight="1" thickBot="1" x14ac:dyDescent="0.25">
      <c r="A1665" s="777"/>
      <c r="B1665" s="1248"/>
      <c r="C1665" s="753" t="s">
        <v>194</v>
      </c>
      <c r="D1665" s="503" t="str">
        <f>Translations!$B$622</f>
        <v>VD:</v>
      </c>
      <c r="E1665" s="504"/>
      <c r="F1665" s="393"/>
      <c r="G1665" s="1603" t="str">
        <f>IF(OR(ISBLANK(F1665),F1665=EUconst_NoTier),"",IF(Z1665=0,EUconst_NA,IF(ISERROR(Z1665),"",Z1665)))</f>
        <v/>
      </c>
      <c r="H1665" s="1604"/>
      <c r="I1665" s="1108" t="str">
        <f>IF(J1665&lt;&gt;"","",AI1665)</f>
        <v/>
      </c>
      <c r="J1665" s="1109"/>
      <c r="K1665" s="1116" t="str">
        <f>IF(L1665="",AQ1665,"")</f>
        <v/>
      </c>
      <c r="L1665" s="1199"/>
      <c r="M1665" s="700" t="str">
        <f>IF(AND(E1656&lt;&gt;"",OR(F1665="",COUNT(K1665:L1665)=0),Y1665&lt;&gt;EUconst_NA,T1656&lt;&gt;TRUE),EUconst_ERR_Incomplete,IF(COUNTIF(AX1665:AZ1665,TRUE)&gt;0,EUconst_ERR_Inconsistent,""))</f>
        <v/>
      </c>
      <c r="O1665" s="1305"/>
      <c r="P1665" s="635"/>
      <c r="Q1665" s="343" t="str">
        <f>EUconst_SumBioEnergyIN &amp; "_" &amp; K1655</f>
        <v>SUM_BioEnergyIN_</v>
      </c>
      <c r="R1665" s="390" t="str">
        <f>IF(OR(K1655="",T1656)=TRUE,"",INDEX(BC1671:BE1671,MATCH(K1655,BC1665:BE1665,0)))</f>
        <v/>
      </c>
      <c r="S1665" s="30"/>
      <c r="T1665" s="505" t="str">
        <f>EUconst_CNTR_ActivityData&amp;E1656</f>
        <v>ActivityData_</v>
      </c>
      <c r="U1665" s="488"/>
      <c r="V1665" s="505" t="str">
        <f>IF(E1655="","",INDEX(B_InstallationDescription!$I$71:$I$145,MATCH(U1654,B_InstallationDescription!$D$71:$D$145,0)))</f>
        <v/>
      </c>
      <c r="W1665" s="495" t="s">
        <v>533</v>
      </c>
      <c r="X1665" s="488"/>
      <c r="Y1665" s="506" t="str">
        <f>IF(OR(T1656=TRUE,E1656=""),"",INDEX(EUwideConstants!$N:$N,MATCH(T1665,EUwideConstants!$Q:$Q,0)))</f>
        <v/>
      </c>
      <c r="Z1665" s="507" t="str">
        <f>IF(ISBLANK(F1665),"",IF(F1665=EUconst_NA,"",INDEX(EUwideConstants!$H:$M,MATCH(T1665,EUwideConstants!$Q:$Q,0),MATCH(F1665,CNTR_TierList,0))))</f>
        <v/>
      </c>
      <c r="AA1665" s="508" t="s">
        <v>299</v>
      </c>
      <c r="AB1665" s="495"/>
      <c r="AC1665" s="509" t="b">
        <f>AC1660</f>
        <v>0</v>
      </c>
      <c r="AD1665" s="30"/>
      <c r="AE1665" s="510" t="str">
        <f>EUconst_CNTR_ActivityData&amp;EUconst_Unit</f>
        <v>ActivityData_Vienetas</v>
      </c>
      <c r="AF1665" s="511" t="str">
        <f>IF(AC1665=TRUE, IF(COUNTIF(MSPara_SourceStreamCategory,V1665)=0,"",INDEX(MSPara_CalcFactorsMatrix,MATCH(V1665,MSPara_SourceStreamCategory,0),MATCH(AE1665&amp;"_"&amp;2,MSPara_CalcFactors,0))),"")</f>
        <v/>
      </c>
      <c r="AG1665" s="512" t="str">
        <f>IF(AC1665=TRUE, IF(COUNTIF(MSPara_SourceStreamCategory,V1665)=0,"",INDEX(MSPara_CalcFactorsMatrix,MATCH(V1665,MSPara_SourceStreamCategory,0),MATCH(AE1665&amp;"_"&amp;1,MSPara_CalcFactors,0))),"")</f>
        <v/>
      </c>
      <c r="AH1665" s="509" t="str">
        <f>IF(OR(AF1665="",AF1665=EUconst_NA),IF(OR(AG1665=EUconst_NA,AG1665=""),"",AG1665),AF1665)</f>
        <v/>
      </c>
      <c r="AI1665" s="506" t="str">
        <f>IF(AC1665=TRUE,IF(AH1665="",EUconst_t,AH1665),"")</f>
        <v/>
      </c>
      <c r="AJ1665" s="513" t="str">
        <f>IF(J1665="",AI1665,J1665)</f>
        <v/>
      </c>
      <c r="AK1665" s="514" t="b">
        <f>IF(K1655=EUconst_Fuel,J1665&lt;&gt;"",FALSE)</f>
        <v>0</v>
      </c>
      <c r="AL1665" s="333"/>
      <c r="AM1665" s="505" t="str">
        <f>EUconst_CNTR_ActivityData&amp;EUconst_Value</f>
        <v>ActivityData_Vertė</v>
      </c>
      <c r="AN1665" s="496"/>
      <c r="AO1665" s="496"/>
      <c r="AP1665" s="509" t="b">
        <f>AND(AND(AH1665&lt;&gt;"",AJ1665&lt;&gt;""),AJ1665=AH1665)</f>
        <v>0</v>
      </c>
      <c r="AQ1665" s="610" t="str">
        <f>IF(L1660=TRUE,SUM(F1662)-SUM(H1662)+SUM(J1662)-SUM(L1662),"")</f>
        <v/>
      </c>
      <c r="AR1665" s="509">
        <f>IF(Y1665=EUconst_NA,0,IF(COUNT(K1665:L1665)=0,0,IF(L1665="",K1665,L1665)))</f>
        <v>0</v>
      </c>
      <c r="AS1665" s="1115" t="b">
        <f>AND(AC1665=TRUE,OR(L1665&lt;&gt;"",AQ1665=""))</f>
        <v>0</v>
      </c>
      <c r="AT1665" s="1115" t="b">
        <f>AND(AC1665=TRUE,NOT(AS1665))</f>
        <v>0</v>
      </c>
      <c r="AU1665" s="30"/>
      <c r="AV1665" s="483" t="s">
        <v>309</v>
      </c>
      <c r="AW1665" s="483" t="s">
        <v>314</v>
      </c>
      <c r="AX1665" s="515"/>
      <c r="AY1665" s="30" t="s">
        <v>536</v>
      </c>
      <c r="AZ1665" s="30"/>
      <c r="BA1665" s="30"/>
      <c r="BB1665" s="495"/>
      <c r="BC1665" s="484" t="str">
        <f>EUconst_Fuel</f>
        <v>Degimas</v>
      </c>
      <c r="BD1665" s="484" t="str">
        <f>EUconst_ProcessCarbonate</f>
        <v>Proceso metu išsiskiriančios ŠESD</v>
      </c>
      <c r="BE1665" s="484" t="str">
        <f>EUconst_MassBalance</f>
        <v>Masės balansas</v>
      </c>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515" t="b">
        <f>BZ1660</f>
        <v>1</v>
      </c>
    </row>
    <row r="1666" spans="1:78" s="140" customFormat="1" ht="5.0999999999999996" customHeight="1" thickBot="1" x14ac:dyDescent="0.25">
      <c r="A1666" s="777"/>
      <c r="B1666" s="1248"/>
      <c r="C1666" s="783"/>
      <c r="D1666" s="298"/>
      <c r="F1666" s="141"/>
      <c r="G1666" s="141"/>
      <c r="H1666" s="141" t="s">
        <v>233</v>
      </c>
      <c r="I1666" s="516"/>
      <c r="J1666" s="516"/>
      <c r="K1666" s="141"/>
      <c r="L1666" s="141"/>
      <c r="M1666" s="701"/>
      <c r="O1666" s="1305"/>
      <c r="P1666" s="33"/>
      <c r="Q1666" s="33"/>
      <c r="R1666" s="33"/>
      <c r="S1666" s="30"/>
      <c r="T1666" s="153"/>
      <c r="U1666" s="488"/>
      <c r="V1666" s="30"/>
      <c r="W1666" s="30"/>
      <c r="X1666" s="488"/>
      <c r="Y1666" s="517"/>
      <c r="Z1666" s="30"/>
      <c r="AA1666" s="30"/>
      <c r="AB1666" s="30"/>
      <c r="AC1666" s="30"/>
      <c r="AD1666" s="30"/>
      <c r="AE1666" s="30"/>
      <c r="AF1666" s="30"/>
      <c r="AG1666" s="30"/>
      <c r="AH1666" s="30"/>
      <c r="AI1666" s="30"/>
      <c r="AJ1666" s="30"/>
      <c r="AK1666" s="30"/>
      <c r="AL1666" s="333"/>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484"/>
    </row>
    <row r="1667" spans="1:78" s="140" customFormat="1" ht="12.75" customHeight="1" thickBot="1" x14ac:dyDescent="0.25">
      <c r="A1667" s="777"/>
      <c r="B1667" s="1248"/>
      <c r="C1667" s="783" t="s">
        <v>195</v>
      </c>
      <c r="D1667" s="503" t="str">
        <f>Translations!$B$634</f>
        <v>(prelim.) ITF:</v>
      </c>
      <c r="E1667" s="504"/>
      <c r="F1667" s="518"/>
      <c r="G1667" s="1603" t="str">
        <f t="shared" ref="G1667:G1673" si="413">IF(OR(ISBLANK(F1667),F1667=EUconst_NoTier),"",IF(Z1667=0,EUconst_NotApplicable,IF(ISERROR(Z1667),"",Z1667)))</f>
        <v/>
      </c>
      <c r="H1667" s="1609"/>
      <c r="I1667" s="1110" t="str">
        <f>IF(J1667&lt;&gt;"","",AI1667)</f>
        <v/>
      </c>
      <c r="J1667" s="1111"/>
      <c r="K1667" s="519" t="str">
        <f t="shared" ref="K1667:K1673" si="414">IF(L1667="",AQ1667,"")</f>
        <v/>
      </c>
      <c r="L1667" s="520"/>
      <c r="M1667" s="700" t="str">
        <f>IF(AND(E1656&lt;&gt;"",OR(F1667="",COUNT(K1667:L1667)=0),Y1667&lt;&gt;EUconst_NA,T1656&lt;&gt;TRUE),EUconst_ERR_Incomplete,IF(COUNTIF(AX1667:AZ1667,TRUE)&gt;0,EUconst_ERR_Inconsistent,""))</f>
        <v/>
      </c>
      <c r="N1667" s="486"/>
      <c r="O1667" s="1305"/>
      <c r="P1667" s="33"/>
      <c r="Q1667" s="33"/>
      <c r="R1667" s="33"/>
      <c r="S1667" s="30"/>
      <c r="T1667" s="521" t="str">
        <f>EUconst_CNTR_EF&amp;E1656</f>
        <v>EF_</v>
      </c>
      <c r="U1667" s="488"/>
      <c r="V1667" s="522" t="str">
        <f>V1665</f>
        <v/>
      </c>
      <c r="W1667" s="30"/>
      <c r="X1667" s="488"/>
      <c r="Y1667" s="523" t="str">
        <f>IF(OR(T1656=TRUE,E1656=""),"",IF(F1667=EUconst_NA,EUconst_NA,INDEX(EUwideConstants!$N:$N,MATCH(T1667,EUwideConstants!$Q:$Q,0))))</f>
        <v/>
      </c>
      <c r="Z1667" s="524" t="str">
        <f>IF(ISBLANK(F1667),"",IF(F1667=EUconst_NA,"",INDEX(EUwideConstants!$H:$M,MATCH(T1667,EUwideConstants!$Q:$Q,0),MATCH(F1667,CNTR_TierList,0))))</f>
        <v/>
      </c>
      <c r="AA1667" s="525" t="str">
        <f>IF(COUNTIF(EUconst_DefaultValues,Z1667)&gt;0,MATCH(Z1667,EUconst_DefaultValues,0),"")</f>
        <v/>
      </c>
      <c r="AB1667" s="30"/>
      <c r="AC1667" s="526" t="b">
        <f>AND(AC1665,Y1667&lt;&gt;EUconst_NA)</f>
        <v>0</v>
      </c>
      <c r="AD1667" s="30"/>
      <c r="AE1667" s="510" t="str">
        <f>EUconst_CNTR_EF&amp;EUconst_Unit</f>
        <v>EF_Vienetas</v>
      </c>
      <c r="AF1667" s="527" t="str">
        <f>IF(AC1667=TRUE, IF(COUNTIF(MSPara_SourceStreamCategory,V1667)=0,"",INDEX(MSPara_CalcFactorsMatrix,MATCH(V1667,MSPara_SourceStreamCategory,0),MATCH(AE1667&amp;"_"&amp;2,MSPara_CalcFactors,0))),"")</f>
        <v/>
      </c>
      <c r="AG1667" s="528" t="str">
        <f>IF(AC1667=TRUE, IF(COUNTIF(MSPara_SourceStreamCategory,V1667)=0,"",INDEX(MSPara_CalcFactorsMatrix,MATCH(V1667,MSPara_SourceStreamCategory,0),MATCH(AE1667&amp;"_"&amp;1,MSPara_CalcFactors,0))),"")</f>
        <v/>
      </c>
      <c r="AH1667" s="529" t="str">
        <f>IF(AA1667="","",INDEX(AF1667:AG1667,3-AA1667))</f>
        <v/>
      </c>
      <c r="AI1667" s="530" t="str">
        <f>IF(AC1667=TRUE,IF(OR(AH1667="",AH1667=EUconst_NA),IF(K1655=EUconst_Fuel,EUconst_tCO2pTJ,EUconst_tCO2pt),AH1667),"")</f>
        <v/>
      </c>
      <c r="AJ1667" s="526" t="str">
        <f>IF(J1667="",AI1667,J1667)</f>
        <v/>
      </c>
      <c r="AK1667" s="531" t="b">
        <f>IF(K1655=EUconst_Fuel,J1667&lt;&gt;"",FALSE)</f>
        <v>0</v>
      </c>
      <c r="AL1667" s="333"/>
      <c r="AM1667" s="510" t="str">
        <f>EUconst_CNTR_EF&amp;EUconst_Value</f>
        <v>EF_Vertė</v>
      </c>
      <c r="AN1667" s="532" t="str">
        <f>IF(AC1667=TRUE,IF(COUNTIF(MSPara_SourceStreamCategory,V1667)=0,"",INDEX(MSPara_CalcFactorsMatrix,MATCH(V1667,MSPara_SourceStreamCategory,0),MATCH(AM1667&amp;"_"&amp;2,MSPara_CalcFactors,0))),"")</f>
        <v/>
      </c>
      <c r="AO1667" s="533" t="str">
        <f>IF(AC1667=TRUE,IF(COUNTIF(MSPara_SourceStreamCategory,V1667)=0,"",INDEX(MSPara_CalcFactorsMatrix,MATCH(V1667,MSPara_SourceStreamCategory,0),MATCH(AM1667&amp;"_"&amp;1,MSPara_CalcFactors,0))),"")</f>
        <v/>
      </c>
      <c r="AP1667" s="526" t="b">
        <f>AND(AND(AH1667&lt;&gt;"",AJ1667&lt;&gt;""),AJ1667=AH1667)</f>
        <v>0</v>
      </c>
      <c r="AQ1667" s="534" t="str">
        <f>IF(AND(AA1667&lt;&gt;"",AP1667=TRUE),IF(OR(INDEX(AN1667:AO1667,3-AA1667)=EUconst_NA,INDEX(AN1667:AO1667,3-AA1667)=0),"",INDEX(AN1667:AO1667,3-AA1667)),"")</f>
        <v/>
      </c>
      <c r="AR1667" s="526">
        <f>IF(AC1667=TRUE,IF(COUNT(K1667:L1667)=0,0,IF(L1667="",K1667,L1667)),0)</f>
        <v>0</v>
      </c>
      <c r="AS1667" s="522" t="b">
        <f>AND(AC1667=TRUE,OR(AND(F1667&lt;&gt;"",NOT(ISNUMBER(AA1667))),L1667&lt;&gt;"",F1667="",AQ1667=""))</f>
        <v>0</v>
      </c>
      <c r="AT1667" s="522" t="b">
        <f t="shared" ref="AT1667:AT1673" si="415">AND(AC1667=TRUE,NOT(AS1667))</f>
        <v>0</v>
      </c>
      <c r="AU1667" s="30"/>
      <c r="AV1667" s="535" t="b">
        <f t="shared" ref="AV1667:AV1673" si="416">AND(ISNUMBER(AA1667),AQ1667="")</f>
        <v>0</v>
      </c>
      <c r="AW1667" s="536" t="b">
        <f t="shared" ref="AW1667:AW1673" si="417">AND(ISNUMBER(AA1667),AQ1667&lt;&gt;AR1667)</f>
        <v>0</v>
      </c>
      <c r="AX1667" s="537" t="b">
        <f>OR(AND(AJ1665=EUconst_kNm3,AJ1667=EUconst_tCO2pt),AND(AJ1665=EUconst_t,AJ1667=EUconst_tCO2pkNm3))</f>
        <v>0</v>
      </c>
      <c r="AY1667" s="522" t="b">
        <f t="shared" ref="AY1667:AY1673" si="418">AND(L1667&lt;&gt;"",Y1667=EUconst_NA)</f>
        <v>0</v>
      </c>
      <c r="AZ1667" s="30"/>
      <c r="BA1667" s="30"/>
      <c r="BB1667" s="538" t="s">
        <v>588</v>
      </c>
      <c r="BC1667" s="537" t="str">
        <f>IF(K1655=BC1665,AR1665*IF(AJ1667=EUconst_tCO2pTJ,(AR1668/1000),1)*AR1667*AR1669*AR1673,"")</f>
        <v/>
      </c>
      <c r="BD1667" s="515" t="str">
        <f>IF(K1655=BD1665,AR1665*AR1667*AR1670*AR1673,"")</f>
        <v/>
      </c>
      <c r="BE1667" s="514" t="str">
        <f>IF(K1655=BE1665,3.664*AR1665*AR1671*AR1673,"")</f>
        <v/>
      </c>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522" t="b">
        <f>OR(BZ1665,Y1667=EUconst_NA)</f>
        <v>1</v>
      </c>
    </row>
    <row r="1668" spans="1:78" s="140" customFormat="1" ht="12.75" customHeight="1" thickBot="1" x14ac:dyDescent="0.25">
      <c r="A1668" s="777"/>
      <c r="B1668" s="1248"/>
      <c r="C1668" s="783" t="s">
        <v>196</v>
      </c>
      <c r="D1668" s="503" t="str">
        <f>Translations!$B$636</f>
        <v>GŠV:</v>
      </c>
      <c r="E1668" s="504"/>
      <c r="F1668" s="539"/>
      <c r="G1668" s="1603" t="str">
        <f t="shared" si="413"/>
        <v/>
      </c>
      <c r="H1668" s="1604"/>
      <c r="I1668" s="1112" t="str">
        <f>AJ1668</f>
        <v/>
      </c>
      <c r="J1668" s="540"/>
      <c r="K1668" s="541" t="str">
        <f t="shared" si="414"/>
        <v/>
      </c>
      <c r="L1668" s="542"/>
      <c r="M1668" s="700" t="str">
        <f>IF(AND(E1656&lt;&gt;"",OR(F1668="",COUNT(K1668:L1668)=0),Y1668&lt;&gt;EUconst_NA,T1656&lt;&gt;TRUE),EUconst_ERR_Incomplete,IF(COUNTIF(AX1668:AZ1668,TRUE)&gt;0,EUconst_ERR_Inconsistent,""))</f>
        <v/>
      </c>
      <c r="O1668" s="1305"/>
      <c r="P1668" s="33"/>
      <c r="Q1668" s="33"/>
      <c r="R1668" s="33"/>
      <c r="S1668" s="30"/>
      <c r="T1668" s="543" t="str">
        <f>EUconst_CNTR_NCV&amp;E1656</f>
        <v>NCV_</v>
      </c>
      <c r="U1668" s="488"/>
      <c r="V1668" s="544" t="str">
        <f t="shared" ref="V1668:V1673" si="419">V1667</f>
        <v/>
      </c>
      <c r="W1668" s="30"/>
      <c r="X1668" s="488"/>
      <c r="Y1668" s="545" t="str">
        <f>IF(OR(T1656=TRUE,E1656=""),"",IF(F1668=EUconst_NA,EUconst_NA,INDEX(EUwideConstants!$N:$N,MATCH(T1668,EUwideConstants!$Q:$Q,0))))</f>
        <v/>
      </c>
      <c r="Z1668" s="546" t="str">
        <f>IF(ISBLANK(F1668),"",IF(F1668=EUconst_NA,"",INDEX(EUwideConstants!$H:$M,MATCH(T1668,EUwideConstants!$Q:$Q,0),MATCH(F1668,CNTR_TierList,0))))</f>
        <v/>
      </c>
      <c r="AA1668" s="547" t="str">
        <f>IF(COUNTIF(EUconst_DefaultValues,Z1668)&gt;0,MATCH(Z1668,EUconst_DefaultValues,0),"")</f>
        <v/>
      </c>
      <c r="AB1668" s="30"/>
      <c r="AC1668" s="548" t="b">
        <f>AND(AC1665,Y1668&lt;&gt;EUconst_NA)</f>
        <v>0</v>
      </c>
      <c r="AD1668" s="30"/>
      <c r="AE1668" s="549" t="str">
        <f>EUconst_CNTR_NCV&amp;EUconst_Unit</f>
        <v>NCV_Vienetas</v>
      </c>
      <c r="AF1668" s="550" t="str">
        <f>IF(AC1668=TRUE, IF(COUNTIF(MSPara_SourceStreamCategory,V1668)=0,"",INDEX(MSPara_CalcFactorsMatrix,MATCH(V1668,MSPara_SourceStreamCategory,0),MATCH(AE1668&amp;"_"&amp;2,MSPara_CalcFactors,0))),"")</f>
        <v/>
      </c>
      <c r="AG1668" s="551" t="str">
        <f>IF(AC1668=TRUE, IF(COUNTIF(MSPara_SourceStreamCategory,V1668)=0,"",INDEX(MSPara_CalcFactorsMatrix,MATCH(V1668,MSPara_SourceStreamCategory,0),MATCH(AE1668&amp;"_"&amp;1,MSPara_CalcFactors,0))),"")</f>
        <v/>
      </c>
      <c r="AH1668" s="552" t="str">
        <f>IF(AA1668="","",INDEX(AF1668:AG1668,3-AA1668))</f>
        <v/>
      </c>
      <c r="AI1668" s="553"/>
      <c r="AJ1668" s="548" t="str">
        <f>IF(AC1668=TRUE,IF(AJ1665="","",IF(AJ1665=EUconst_kNm3,EUconst_GJpkNm3,EUconst_GJpt)),"")</f>
        <v/>
      </c>
      <c r="AK1668" s="554"/>
      <c r="AL1668" s="333"/>
      <c r="AM1668" s="549" t="str">
        <f>EUconst_CNTR_NCV&amp;EUconst_Value</f>
        <v>NCV_Vertė</v>
      </c>
      <c r="AN1668" s="555" t="str">
        <f>IF(AC1668=TRUE,IF(COUNTIF(MSPara_SourceStreamCategory,V1668)=0,"",INDEX(MSPara_CalcFactorsMatrix,MATCH(V1668,MSPara_SourceStreamCategory,0),MATCH(AM1668&amp;"_"&amp;2,MSPara_CalcFactors,0))),"")</f>
        <v/>
      </c>
      <c r="AO1668" s="556" t="str">
        <f>IF(AC1668=TRUE,IF(COUNTIF(MSPara_SourceStreamCategory,V1668)=0,"",INDEX(MSPara_CalcFactorsMatrix,MATCH(V1668,MSPara_SourceStreamCategory,0),MATCH(AM1668&amp;"_"&amp;1,MSPara_CalcFactors,0))),"")</f>
        <v/>
      </c>
      <c r="AP1668" s="548" t="b">
        <f>AND(AND(AH1668&lt;&gt;"",AJ1668&lt;&gt;""),AJ1668=AH1668)</f>
        <v>0</v>
      </c>
      <c r="AQ1668" s="557" t="str">
        <f>IF(AND(AA1668&lt;&gt;"",AP1668=TRUE),IF(OR(INDEX(AN1668:AO1668,3-AA1668)=EUconst_NA,INDEX(AN1668:AO1668,3-AA1668)=0),"",INDEX(AN1668:AO1668,3-AA1668)),"")</f>
        <v/>
      </c>
      <c r="AR1668" s="548">
        <f>IF(AC1668=TRUE,IF(COUNT(K1668:L1668)=0,0,IF(L1668="",K1668,L1668)),0)</f>
        <v>0</v>
      </c>
      <c r="AS1668" s="544" t="b">
        <f>AND(AC1668=TRUE,OR(AND(F1668&lt;&gt;"",NOT(ISNUMBER(AA1668))),L1668&lt;&gt;"",F1668="",AQ1668=""))</f>
        <v>0</v>
      </c>
      <c r="AT1668" s="544" t="b">
        <f t="shared" si="415"/>
        <v>0</v>
      </c>
      <c r="AU1668" s="30"/>
      <c r="AV1668" s="558" t="b">
        <f t="shared" si="416"/>
        <v>0</v>
      </c>
      <c r="AW1668" s="559" t="b">
        <f t="shared" si="417"/>
        <v>0</v>
      </c>
      <c r="AX1668" s="30"/>
      <c r="AY1668" s="544" t="b">
        <f t="shared" si="418"/>
        <v>0</v>
      </c>
      <c r="AZ1668" s="30"/>
      <c r="BA1668" s="30"/>
      <c r="BB1668" s="538" t="s">
        <v>589</v>
      </c>
      <c r="BC1668" s="537" t="str">
        <f>IF(K1655=BC1665,AR1665*IF(AJ1667=EUconst_tCO2pTJ,(AR1668/1000),1)*AR1667*AR1669*AR1672,"")</f>
        <v/>
      </c>
      <c r="BD1668" s="515" t="str">
        <f>IF(K1655=BD1665,AR1665*AR1667*AR1670*AR1672,"")</f>
        <v/>
      </c>
      <c r="BE1668" s="514" t="str">
        <f>IF(K1655=BE1665,3.664*AR1665*AR1671*AR1672,"")</f>
        <v/>
      </c>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544" t="b">
        <f>OR(BZ1665,Y1668=EUconst_NA)</f>
        <v>1</v>
      </c>
    </row>
    <row r="1669" spans="1:78" s="140" customFormat="1" ht="12.75" customHeight="1" thickBot="1" x14ac:dyDescent="0.25">
      <c r="A1669" s="777"/>
      <c r="B1669" s="1248"/>
      <c r="C1669" s="783" t="s">
        <v>197</v>
      </c>
      <c r="D1669" s="503" t="str">
        <f>Translations!$B$638</f>
        <v>Oksidacijos koef.:</v>
      </c>
      <c r="E1669" s="504"/>
      <c r="F1669" s="539"/>
      <c r="G1669" s="1603" t="str">
        <f t="shared" si="413"/>
        <v/>
      </c>
      <c r="H1669" s="1604"/>
      <c r="I1669" s="1113" t="str">
        <f>IF(OR(AC1669=FALSE,Y1669=EUconst_NA),"","-")</f>
        <v/>
      </c>
      <c r="J1669" s="560"/>
      <c r="K1669" s="561" t="str">
        <f t="shared" si="414"/>
        <v/>
      </c>
      <c r="L1669" s="694"/>
      <c r="M1669" s="700" t="str">
        <f>IF(AND(E1656&lt;&gt;"",OR(F1669="",COUNT(K1669:L1669)=0),Y1669&lt;&gt;EUconst_NA,T1656&lt;&gt;TRUE),EUconst_ERR_Incomplete,IF(COUNTIF(AX1669:AZ1669,TRUE)&gt;0,EUconst_ERR_Inconsistent,""))</f>
        <v/>
      </c>
      <c r="O1669" s="1305"/>
      <c r="P1669" s="33"/>
      <c r="Q1669" s="33"/>
      <c r="R1669" s="33"/>
      <c r="S1669" s="30"/>
      <c r="T1669" s="543" t="str">
        <f>EUconst_CNTR_OxidationFactor&amp;E1656</f>
        <v>OxF_</v>
      </c>
      <c r="U1669" s="488"/>
      <c r="V1669" s="544" t="str">
        <f t="shared" si="419"/>
        <v/>
      </c>
      <c r="W1669" s="30"/>
      <c r="X1669" s="488"/>
      <c r="Y1669" s="545" t="str">
        <f>IF(OR(T1656=TRUE,E1656=""),"",INDEX(EUwideConstants!$N:$N,MATCH(T1669,EUwideConstants!$Q:$Q,0)))</f>
        <v/>
      </c>
      <c r="Z1669" s="546" t="str">
        <f>IF(ISBLANK(F1669),"",IF(F1669=EUconst_NA,"",INDEX(EUwideConstants!$H:$M,MATCH(T1669,EUwideConstants!$Q:$Q,0),MATCH(F1669,CNTR_TierList,0))))</f>
        <v/>
      </c>
      <c r="AA1669" s="525" t="str">
        <f>IF(F1669=1,1,"")</f>
        <v/>
      </c>
      <c r="AB1669" s="30"/>
      <c r="AC1669" s="548" t="b">
        <f>AND(AC1665,Y1669&lt;&gt;EUconst_NA)</f>
        <v>0</v>
      </c>
      <c r="AD1669" s="30"/>
      <c r="AE1669" s="563"/>
      <c r="AG1669" s="564"/>
      <c r="AH1669" s="553"/>
      <c r="AI1669" s="565"/>
      <c r="AJ1669" s="553"/>
      <c r="AK1669" s="566"/>
      <c r="AL1669" s="333"/>
      <c r="AM1669" s="549" t="str">
        <f>EUconst_CNTR_OxidationFactor&amp;EUconst_Value</f>
        <v>OxF_Vertė</v>
      </c>
      <c r="AN1669" s="567"/>
      <c r="AO1669" s="525">
        <v>1</v>
      </c>
      <c r="AP1669" s="553"/>
      <c r="AQ1669" s="568" t="str">
        <f>IF(AA1669="","",AO1669)</f>
        <v/>
      </c>
      <c r="AR1669" s="548">
        <f>IF(AC1669=TRUE,IF(COUNT(K1669:L1669)=0,0,IF(L1669="",K1669,L1669)),1)</f>
        <v>1</v>
      </c>
      <c r="AS1669" s="544" t="b">
        <f>AND(AC1669=TRUE,OR(ISNUMBER(L1669),NOT(ISNUMBER(AA1669))))</f>
        <v>0</v>
      </c>
      <c r="AT1669" s="544" t="b">
        <f t="shared" si="415"/>
        <v>0</v>
      </c>
      <c r="AU1669" s="30"/>
      <c r="AV1669" s="558" t="b">
        <f t="shared" si="416"/>
        <v>0</v>
      </c>
      <c r="AW1669" s="559" t="b">
        <f t="shared" si="417"/>
        <v>0</v>
      </c>
      <c r="AX1669" s="30"/>
      <c r="AY1669" s="585" t="b">
        <f t="shared" si="418"/>
        <v>0</v>
      </c>
      <c r="AZ1669" s="522" t="b">
        <f>AR1669&gt;100%</f>
        <v>0</v>
      </c>
      <c r="BA1669" s="30"/>
      <c r="BB1669" s="538" t="s">
        <v>287</v>
      </c>
      <c r="BC1669" s="537" t="str">
        <f>IF(K1655=BC1665,AR1665*IF(AJ1667=EUconst_tCO2pTJ,(AR1668/1000),1)*AR1667*AR1669*(1-AR1672),"")</f>
        <v/>
      </c>
      <c r="BD1669" s="515" t="str">
        <f>IF(K1655=BD1665,AR1665*AR1667*AR1670*(1-AR1672),"")</f>
        <v/>
      </c>
      <c r="BE1669" s="514" t="str">
        <f>IF(K1655=BE1665,3.664*AR1665*AR1671*(1-AR1672),"")</f>
        <v/>
      </c>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544" t="b">
        <f>OR(BZ1665,Y1669=EUconst_NA)</f>
        <v>1</v>
      </c>
    </row>
    <row r="1670" spans="1:78" s="140" customFormat="1" ht="12.75" customHeight="1" thickBot="1" x14ac:dyDescent="0.25">
      <c r="A1670" s="777"/>
      <c r="B1670" s="1248"/>
      <c r="C1670" s="783" t="s">
        <v>198</v>
      </c>
      <c r="D1670" s="503" t="str">
        <f>Translations!$B$639</f>
        <v>Konversijos koef.:</v>
      </c>
      <c r="E1670" s="504"/>
      <c r="F1670" s="539"/>
      <c r="G1670" s="1603" t="str">
        <f t="shared" si="413"/>
        <v/>
      </c>
      <c r="H1670" s="1604"/>
      <c r="I1670" s="1113" t="str">
        <f>IF(OR(AC1670=FALSE,Y1670=EUconst_NA),"","-")</f>
        <v/>
      </c>
      <c r="J1670" s="560"/>
      <c r="K1670" s="561" t="str">
        <f t="shared" si="414"/>
        <v/>
      </c>
      <c r="L1670" s="694"/>
      <c r="M1670" s="700" t="str">
        <f>IF(AND(E1656&lt;&gt;"",OR(F1670="",COUNT(K1670:L1670)=0),Y1670&lt;&gt;EUconst_NA,T1656&lt;&gt;TRUE),EUconst_ERR_Incomplete,IF(COUNTIF(AX1670:AZ1670,TRUE)&gt;0,EUconst_ERR_Inconsistent,""))</f>
        <v/>
      </c>
      <c r="O1670" s="1305"/>
      <c r="P1670" s="33"/>
      <c r="Q1670" s="33"/>
      <c r="R1670" s="33"/>
      <c r="S1670" s="30"/>
      <c r="T1670" s="543" t="str">
        <f>EUconst_CNTR_ConversionFactor&amp;E1656</f>
        <v>ConvF_</v>
      </c>
      <c r="U1670" s="488"/>
      <c r="V1670" s="544" t="str">
        <f t="shared" si="419"/>
        <v/>
      </c>
      <c r="W1670" s="30"/>
      <c r="X1670" s="488"/>
      <c r="Y1670" s="545" t="str">
        <f>IF(OR(T1656=TRUE,E1656=""),"",INDEX(EUwideConstants!$N:$N,MATCH(T1670,EUwideConstants!$Q:$Q,0)))</f>
        <v/>
      </c>
      <c r="Z1670" s="546" t="str">
        <f>IF(ISBLANK(F1670),"",IF(F1670=EUconst_NA,"",INDEX(EUwideConstants!$H:$M,MATCH(T1670,EUwideConstants!$Q:$Q,0),MATCH(F1670,CNTR_TierList,0))))</f>
        <v/>
      </c>
      <c r="AA1670" s="573" t="str">
        <f>IF(F1670=1,1,"")</f>
        <v/>
      </c>
      <c r="AB1670" s="30"/>
      <c r="AC1670" s="548" t="b">
        <f>AND(AC1665,Y1670&lt;&gt;EUconst_NA)</f>
        <v>0</v>
      </c>
      <c r="AD1670" s="30"/>
      <c r="AE1670" s="563"/>
      <c r="AG1670" s="564"/>
      <c r="AH1670" s="574"/>
      <c r="AI1670" s="565"/>
      <c r="AJ1670" s="574"/>
      <c r="AK1670" s="566"/>
      <c r="AL1670" s="333"/>
      <c r="AM1670" s="549" t="str">
        <f>EUconst_CNTR_ConversionFactor&amp;EUconst_Value</f>
        <v>ConvF_Vertė</v>
      </c>
      <c r="AN1670" s="575"/>
      <c r="AO1670" s="573">
        <v>1</v>
      </c>
      <c r="AP1670" s="574"/>
      <c r="AQ1670" s="576" t="str">
        <f>IF(AA1670="","",AO1670)</f>
        <v/>
      </c>
      <c r="AR1670" s="548">
        <f>IF(AC1670=TRUE,IF(COUNT(K1670:L1670)=0,0,IF(L1670="",K1670,L1670)),1)</f>
        <v>1</v>
      </c>
      <c r="AS1670" s="544" t="b">
        <f>AND(AC1670=TRUE,OR(ISNUMBER(L1670),NOT(ISNUMBER(AA1670))))</f>
        <v>0</v>
      </c>
      <c r="AT1670" s="544" t="b">
        <f t="shared" si="415"/>
        <v>0</v>
      </c>
      <c r="AU1670" s="30"/>
      <c r="AV1670" s="558" t="b">
        <f t="shared" si="416"/>
        <v>0</v>
      </c>
      <c r="AW1670" s="559" t="b">
        <f t="shared" si="417"/>
        <v>0</v>
      </c>
      <c r="AX1670" s="30"/>
      <c r="AY1670" s="585" t="b">
        <f t="shared" si="418"/>
        <v>0</v>
      </c>
      <c r="AZ1670" s="571" t="b">
        <f>AR1670&gt;100%</f>
        <v>0</v>
      </c>
      <c r="BA1670" s="30"/>
      <c r="BB1670" s="569" t="s">
        <v>481</v>
      </c>
      <c r="BC1670" s="570">
        <f>AR1665*AR1668/1000*(1-AR1672)</f>
        <v>0</v>
      </c>
      <c r="BD1670" s="571">
        <f>BC1670</f>
        <v>0</v>
      </c>
      <c r="BE1670" s="572">
        <f>BC1670</f>
        <v>0</v>
      </c>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544" t="b">
        <f>OR(BZ1665,Y1670=EUconst_NA)</f>
        <v>1</v>
      </c>
    </row>
    <row r="1671" spans="1:78" s="140" customFormat="1" ht="12.75" customHeight="1" thickBot="1" x14ac:dyDescent="0.25">
      <c r="A1671" s="777"/>
      <c r="B1671" s="1248"/>
      <c r="C1671" s="783" t="s">
        <v>324</v>
      </c>
      <c r="D1671" s="503" t="str">
        <f>Translations!$B$640</f>
        <v>Anglies kiekis (C):</v>
      </c>
      <c r="E1671" s="504"/>
      <c r="F1671" s="539"/>
      <c r="G1671" s="1603" t="str">
        <f t="shared" si="413"/>
        <v/>
      </c>
      <c r="H1671" s="1604"/>
      <c r="I1671" s="1113" t="str">
        <f>AJ1671</f>
        <v/>
      </c>
      <c r="J1671" s="577"/>
      <c r="K1671" s="578" t="str">
        <f t="shared" si="414"/>
        <v/>
      </c>
      <c r="L1671" s="579"/>
      <c r="M1671" s="700" t="str">
        <f>IF(AND(E1656&lt;&gt;"",OR(F1671="",COUNT(K1671:L1671)=0),Y1671&lt;&gt;EUconst_NA,T1656&lt;&gt;TRUE),EUconst_ERR_Incomplete,IF(COUNTIF(AX1671:AZ1671,TRUE)&gt;0,EUconst_ERR_Inconsistent,""))</f>
        <v/>
      </c>
      <c r="O1671" s="1305"/>
      <c r="P1671" s="33"/>
      <c r="Q1671" s="33"/>
      <c r="R1671" s="33"/>
      <c r="S1671" s="30"/>
      <c r="T1671" s="543" t="str">
        <f>EUconst_CNTR_CarbonContent&amp;E1656</f>
        <v>CarbC_</v>
      </c>
      <c r="U1671" s="488"/>
      <c r="V1671" s="544" t="str">
        <f t="shared" si="419"/>
        <v/>
      </c>
      <c r="W1671" s="30"/>
      <c r="X1671" s="488"/>
      <c r="Y1671" s="545" t="str">
        <f>IF(OR(T1656=TRUE,E1656=""),"",INDEX(EUwideConstants!$N:$N,MATCH(T1671,EUwideConstants!$Q:$Q,0)))</f>
        <v/>
      </c>
      <c r="Z1671" s="546" t="str">
        <f>IF(ISBLANK(F1671),"",IF(F1671=EUconst_NA,"",INDEX(EUwideConstants!$H:$M,MATCH(T1671,EUwideConstants!$Q:$Q,0),MATCH(F1671,CNTR_TierList,0))))</f>
        <v/>
      </c>
      <c r="AA1671" s="580" t="str">
        <f>IF(COUNTIF(EUconst_DefaultValues,Z1671)&gt;0,MATCH(Z1671,EUconst_DefaultValues,0),"")</f>
        <v/>
      </c>
      <c r="AB1671" s="30"/>
      <c r="AC1671" s="548" t="b">
        <f>AND(AC1665,Y1671&lt;&gt;EUconst_NA)</f>
        <v>0</v>
      </c>
      <c r="AD1671" s="30"/>
      <c r="AE1671" s="549" t="str">
        <f>EUconst_CNTR_CarbonContent&amp;EUconst_Unit</f>
        <v>CarbC_Vienetas</v>
      </c>
      <c r="AF1671" s="550" t="str">
        <f>IF(AC1671=TRUE, IF(COUNTIF(MSPara_SourceStreamCategory,V1671)=0,"",INDEX(MSPara_CalcFactorsMatrix,MATCH(V1671,MSPara_SourceStreamCategory,0),MATCH(AE1671&amp;"_"&amp;2,MSPara_CalcFactors,0))),"")</f>
        <v/>
      </c>
      <c r="AG1671" s="551" t="str">
        <f>IF(AC1671=TRUE, IF(COUNTIF(MSPara_SourceStreamCategory,V1671)=0,"",INDEX(MSPara_CalcFactorsMatrix,MATCH(V1671,MSPara_SourceStreamCategory,0),MATCH(AE1671&amp;"_"&amp;1,MSPara_CalcFactors,0))),"")</f>
        <v/>
      </c>
      <c r="AH1671" s="581" t="str">
        <f>IF(AA1671="","",INDEX(AF1671:AG1671,3-AA1671))</f>
        <v/>
      </c>
      <c r="AI1671" s="565"/>
      <c r="AJ1671" s="582" t="str">
        <f>IF(AC1671=TRUE,IF(AJ1665="","",IF(AJ1665=EUconst_kNm3,EUconst_tCpkNm3,EUconst_tCpt)),"")</f>
        <v/>
      </c>
      <c r="AK1671" s="566"/>
      <c r="AL1671" s="333"/>
      <c r="AM1671" s="549" t="str">
        <f>EUconst_CNTR_CarbonContent&amp;EUconst_Value</f>
        <v>CarbC_Vertė</v>
      </c>
      <c r="AN1671" s="555" t="str">
        <f>IF(AC1671=TRUE,IF(COUNTIF(MSPara_SourceStreamCategory,V1671)=0,"",INDEX(MSPara_CalcFactorsMatrix,MATCH(V1671,MSPara_SourceStreamCategory,0),MATCH(AM1671&amp;"_"&amp;2,MSPara_CalcFactors,0))),"")</f>
        <v/>
      </c>
      <c r="AO1671" s="583" t="str">
        <f>IF(AC1671=TRUE,IF(COUNTIF(MSPara_SourceStreamCategory,V1671)=0,"",INDEX(MSPara_CalcFactorsMatrix,MATCH(V1671,MSPara_SourceStreamCategory,0),MATCH(AM1671&amp;"_"&amp;1,MSPara_CalcFactors,0))),"")</f>
        <v/>
      </c>
      <c r="AP1671" s="548" t="b">
        <f>AND(AND(AH1671&lt;&gt;"",AJ1671&lt;&gt;""),AJ1671=AH1671)</f>
        <v>0</v>
      </c>
      <c r="AQ1671" s="584" t="str">
        <f>IF(AND(AA1671&lt;&gt;"",AP1671=TRUE),IF(OR(INDEX(AN1671:AO1671,3-AA1671)=EUconst_NA,INDEX(AN1671:AO1671,3-AA1671)=0),"",INDEX(AN1671:AO1671,3-AA1671)),"")</f>
        <v/>
      </c>
      <c r="AR1671" s="548">
        <f>IF(AC1671=TRUE,IF(COUNT(K1671:L1671)=0,0,IF(L1671="",K1671,L1671)),0)</f>
        <v>0</v>
      </c>
      <c r="AS1671" s="544" t="b">
        <f>AND(AC1671=TRUE,OR(AND(F1671&lt;&gt;"",NOT(ISNUMBER(AA1671))),L1671&lt;&gt;"",F1671="",AQ1671=""))</f>
        <v>0</v>
      </c>
      <c r="AT1671" s="544" t="b">
        <f t="shared" si="415"/>
        <v>0</v>
      </c>
      <c r="AU1671" s="30"/>
      <c r="AV1671" s="558" t="b">
        <f t="shared" si="416"/>
        <v>0</v>
      </c>
      <c r="AW1671" s="559" t="b">
        <f t="shared" si="417"/>
        <v>0</v>
      </c>
      <c r="AX1671" s="537" t="b">
        <f>OR(AND(AJ1665=EUconst_kNm3,AJ1671=EUconst_tCpt),AND(AJ1665=EUconst_t,AJ1671=EUconst_tCpkNm3))</f>
        <v>0</v>
      </c>
      <c r="AY1671" s="544" t="b">
        <f t="shared" si="418"/>
        <v>0</v>
      </c>
      <c r="AZ1671" s="30"/>
      <c r="BA1671" s="30"/>
      <c r="BB1671" s="569" t="s">
        <v>482</v>
      </c>
      <c r="BC1671" s="570">
        <f>AR1665*AR1668/1000*AR1672</f>
        <v>0</v>
      </c>
      <c r="BD1671" s="571">
        <f>BC1671</f>
        <v>0</v>
      </c>
      <c r="BE1671" s="572">
        <f>BC1671</f>
        <v>0</v>
      </c>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544" t="b">
        <f>OR(BZ1665,Y1671=EUconst_NA)</f>
        <v>1</v>
      </c>
    </row>
    <row r="1672" spans="1:78" s="140" customFormat="1" ht="12.75" customHeight="1" x14ac:dyDescent="0.2">
      <c r="A1672" s="777"/>
      <c r="B1672" s="1248"/>
      <c r="C1672" s="753" t="s">
        <v>325</v>
      </c>
      <c r="D1672" s="503" t="str">
        <f>Translations!$B$641</f>
        <v>Biomasės dalis (BioC):</v>
      </c>
      <c r="E1672" s="504"/>
      <c r="F1672" s="539"/>
      <c r="G1672" s="1603" t="str">
        <f t="shared" si="413"/>
        <v/>
      </c>
      <c r="H1672" s="1604"/>
      <c r="I1672" s="1113" t="str">
        <f>IF(OR(AC1672=FALSE,Y1672=EUconst_NA),"","-")</f>
        <v/>
      </c>
      <c r="J1672" s="560"/>
      <c r="K1672" s="561" t="str">
        <f t="shared" si="414"/>
        <v/>
      </c>
      <c r="L1672" s="694"/>
      <c r="M1672" s="700" t="str">
        <f>IF(AND(E1656&lt;&gt;"",OR(F1672="",COUNT(K1672:L1672)=0),Y1672&lt;&gt;EUconst_NA,T1656&lt;&gt;TRUE),EUconst_ERR_Incomplete,IF(COUNTIF(AX1672:AZ1672,TRUE)&gt;0,EUconst_ERR_Inconsistent,""))</f>
        <v/>
      </c>
      <c r="O1672" s="1305"/>
      <c r="P1672" s="635"/>
      <c r="Q1672" s="635"/>
      <c r="R1672" s="635"/>
      <c r="S1672" s="30"/>
      <c r="T1672" s="543" t="str">
        <f>EUconst_CNTR_BiomassContent&amp;E1656</f>
        <v>BioC_</v>
      </c>
      <c r="U1672" s="488"/>
      <c r="V1672" s="585" t="str">
        <f t="shared" si="419"/>
        <v/>
      </c>
      <c r="W1672" s="522" t="str">
        <f>IF(COUNTIF(MSPara_SourceStreamCategory,V1672)=0,"",INDEX(MSPara_IsFossil,MATCH(V1672,MSPara_SourceStreamCategory,0)))</f>
        <v/>
      </c>
      <c r="X1672" s="488"/>
      <c r="Y1672" s="545" t="str">
        <f>IF(OR(T1656=TRUE,E1656=""),"",IF(OR(W1672=TRUE,F1672=EUconst_NA),EUconst_NA,INDEX(EUwideConstants!$N:$N,MATCH(T1672,EUwideConstants!$Q:$Q,0))))</f>
        <v/>
      </c>
      <c r="Z1672" s="546" t="str">
        <f>IF(ISBLANK(F1672),"",IF(F1672=EUconst_NA,"",INDEX(EUwideConstants!$H:$M,MATCH(T1672,EUwideConstants!$Q:$Q,0),MATCH(F1672,CNTR_TierList,0))))</f>
        <v/>
      </c>
      <c r="AA1672" s="586" t="str">
        <f>IF(F1672=1,1,"")</f>
        <v/>
      </c>
      <c r="AB1672" s="30"/>
      <c r="AC1672" s="548" t="b">
        <f>AND(AC1665,Y1672&lt;&gt;EUconst_NA)</f>
        <v>0</v>
      </c>
      <c r="AD1672" s="30"/>
      <c r="AE1672" s="563"/>
      <c r="AG1672" s="564"/>
      <c r="AH1672" s="553"/>
      <c r="AI1672" s="565"/>
      <c r="AJ1672" s="553"/>
      <c r="AK1672" s="566"/>
      <c r="AL1672" s="333"/>
      <c r="AM1672" s="549" t="str">
        <f>EUconst_CNTR_BiomassContent&amp;EUconst_Value</f>
        <v>BioC_Vertė</v>
      </c>
      <c r="AO1672" s="587" t="str">
        <f>IF(AC1672=TRUE,IF(COUNTIF(MSPara_SourceStreamCategory,V1672)=0,"",INDEX(MSPara_CalcFactorsMatrix,MATCH(V1672,MSPara_SourceStreamCategory,0),MATCH(AM1672&amp;"_"&amp;2,MSPara_CalcFactors,0))),"")</f>
        <v/>
      </c>
      <c r="AP1672" s="553"/>
      <c r="AQ1672" s="568" t="str">
        <f>IF(OR(AA1672="",AO1672=EUconst_NA),"",AO1672)</f>
        <v/>
      </c>
      <c r="AR1672" s="548">
        <f>IF(AC1672=TRUE,IF(COUNT(K1672:L1672)=0,0,IF(L1672="",K1672,L1672)),0)</f>
        <v>0</v>
      </c>
      <c r="AS1672" s="544" t="b">
        <f>AND(AC1672=TRUE,OR(AND(F1672&lt;&gt;"",NOT(ISNUMBER(AA1672))),L1672&lt;&gt;"",F1672="",AQ1672=""))</f>
        <v>0</v>
      </c>
      <c r="AT1672" s="544" t="b">
        <f t="shared" si="415"/>
        <v>0</v>
      </c>
      <c r="AU1672" s="30"/>
      <c r="AV1672" s="558" t="b">
        <f t="shared" si="416"/>
        <v>0</v>
      </c>
      <c r="AW1672" s="559" t="b">
        <f t="shared" si="417"/>
        <v>0</v>
      </c>
      <c r="AX1672" s="30"/>
      <c r="AY1672" s="585" t="b">
        <f t="shared" si="418"/>
        <v>0</v>
      </c>
      <c r="AZ1672" s="522" t="b">
        <f>OR(AR1672&gt;100%,(AR1672+AR1673)&gt;100%)</f>
        <v>0</v>
      </c>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544" t="b">
        <f>OR(BZ1665,Y1672=EUconst_NA)</f>
        <v>1</v>
      </c>
    </row>
    <row r="1673" spans="1:78" s="140" customFormat="1" ht="12.75" customHeight="1" thickBot="1" x14ac:dyDescent="0.25">
      <c r="A1673" s="777"/>
      <c r="B1673" s="1248"/>
      <c r="C1673" s="753" t="s">
        <v>448</v>
      </c>
      <c r="D1673" s="503" t="str">
        <f>Translations!$B$647</f>
        <v>Netvarios BioC dalis:</v>
      </c>
      <c r="E1673" s="504"/>
      <c r="F1673" s="588"/>
      <c r="G1673" s="1603" t="str">
        <f t="shared" si="413"/>
        <v/>
      </c>
      <c r="H1673" s="1604"/>
      <c r="I1673" s="1114" t="str">
        <f>IF(OR(AC1673=FALSE,Y1673=EUconst_NA),"","-")</f>
        <v/>
      </c>
      <c r="J1673" s="560"/>
      <c r="K1673" s="589" t="str">
        <f t="shared" si="414"/>
        <v/>
      </c>
      <c r="L1673" s="1100"/>
      <c r="M1673" s="700" t="str">
        <f>IF(AND(E1656&lt;&gt;"",OR(F1673="",COUNT(K1673:L1673)=0),Y1673&lt;&gt;EUconst_NA,T1656&lt;&gt;TRUE),EUconst_ERR_Incomplete,IF(COUNTIF(AX1673:AZ1673,TRUE)&gt;0,EUconst_ERR_Inconsistent,""))</f>
        <v/>
      </c>
      <c r="O1673" s="1305"/>
      <c r="P1673" s="635"/>
      <c r="Q1673" s="635"/>
      <c r="R1673" s="635"/>
      <c r="S1673" s="30"/>
      <c r="T1673" s="590" t="str">
        <f>EUconst_CNTR_BiomassContent&amp;E1656</f>
        <v>BioC_</v>
      </c>
      <c r="U1673" s="488"/>
      <c r="V1673" s="570" t="str">
        <f t="shared" si="419"/>
        <v/>
      </c>
      <c r="W1673" s="571" t="str">
        <f>IF(COUNTIF(MSPara_SourceStreamCategory,V1673)=0,"",INDEX(MSPara_IsFossil,MATCH(V1673,MSPara_SourceStreamCategory,0)))</f>
        <v/>
      </c>
      <c r="X1673" s="488"/>
      <c r="Y1673" s="591" t="str">
        <f>IF(OR(T1656=TRUE,E1656=""),"",IF(OR(W1673=TRUE,F1673=EUconst_NA),EUconst_NA,INDEX(EUwideConstants!$N:$N,MATCH(T1673,EUwideConstants!$Q:$Q,0))))</f>
        <v/>
      </c>
      <c r="Z1673" s="592" t="str">
        <f>IF(ISBLANK(F1673),"",IF(F1673=EUconst_NA,"",INDEX(EUwideConstants!$H:$M,MATCH(T1673,EUwideConstants!$Q:$Q,0),MATCH(F1673,CNTR_TierList,0))))</f>
        <v/>
      </c>
      <c r="AA1673" s="593" t="str">
        <f>IF(F1673=1,1,"")</f>
        <v/>
      </c>
      <c r="AB1673" s="30"/>
      <c r="AC1673" s="594" t="b">
        <f>AND(AC1665,Y1673&lt;&gt;EUconst_NA)</f>
        <v>0</v>
      </c>
      <c r="AD1673" s="30"/>
      <c r="AE1673" s="595"/>
      <c r="AF1673" s="596"/>
      <c r="AG1673" s="597"/>
      <c r="AH1673" s="598"/>
      <c r="AI1673" s="598"/>
      <c r="AJ1673" s="598"/>
      <c r="AK1673" s="599"/>
      <c r="AL1673" s="333"/>
      <c r="AM1673" s="600" t="str">
        <f>EUconst_CNTR_BiomassContent&amp;EUconst_Value</f>
        <v>BioC_Vertė</v>
      </c>
      <c r="AN1673" s="596"/>
      <c r="AO1673" s="601" t="str">
        <f>IF(AC1673=TRUE,IF(COUNTIF(MSPara_SourceStreamCategory,V1673)=0,"",INDEX(MSPara_CalcFactorsMatrix,MATCH(V1673,MSPara_SourceStreamCategory,0),MATCH(AM1673&amp;"_"&amp;2,MSPara_CalcFactors,0))),"")</f>
        <v/>
      </c>
      <c r="AP1673" s="598"/>
      <c r="AQ1673" s="602" t="str">
        <f>IF(OR(AA1673="",AO1673=EUconst_NA),"",AO1673)</f>
        <v/>
      </c>
      <c r="AR1673" s="594">
        <f>IF(AC1673=TRUE,IF(COUNT(K1673:L1673)=0,0,IF(L1673="",K1673,L1673)),0)</f>
        <v>0</v>
      </c>
      <c r="AS1673" s="603" t="b">
        <f>AND(AC1673=TRUE,OR(AND(F1673&lt;&gt;"",NOT(ISNUMBER(AA1673))),L1673&lt;&gt;"",F1673="",AQ1673=""))</f>
        <v>0</v>
      </c>
      <c r="AT1673" s="603" t="b">
        <f t="shared" si="415"/>
        <v>0</v>
      </c>
      <c r="AU1673" s="30"/>
      <c r="AV1673" s="604" t="b">
        <f t="shared" si="416"/>
        <v>0</v>
      </c>
      <c r="AW1673" s="605" t="b">
        <f t="shared" si="417"/>
        <v>0</v>
      </c>
      <c r="AX1673" s="30"/>
      <c r="AY1673" s="570" t="b">
        <f t="shared" si="418"/>
        <v>0</v>
      </c>
      <c r="AZ1673" s="571" t="b">
        <f>OR(AR1672&gt;100%,(AR1672+AR1673)&gt;100%)</f>
        <v>0</v>
      </c>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571" t="b">
        <f>OR(BZ1665,Y1673=EUconst_NA)</f>
        <v>1</v>
      </c>
    </row>
    <row r="1674" spans="1:78" s="140" customFormat="1" ht="5.0999999999999996" customHeight="1" x14ac:dyDescent="0.2">
      <c r="A1674" s="777"/>
      <c r="B1674" s="1248"/>
      <c r="C1674" s="164"/>
      <c r="D1674" s="178"/>
      <c r="O1674" s="1305"/>
      <c r="P1674" s="33"/>
      <c r="Q1674" s="33"/>
      <c r="R1674" s="33"/>
      <c r="S1674" s="172"/>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row>
    <row r="1675" spans="1:78" s="140" customFormat="1" ht="12.75" customHeight="1" x14ac:dyDescent="0.2">
      <c r="A1675" s="777"/>
      <c r="B1675" s="1248"/>
      <c r="C1675" s="164"/>
      <c r="D1675" s="1629" t="str">
        <f>Translations!$B$674</f>
        <v>Pakopos galioja nuo:</v>
      </c>
      <c r="E1675" s="1629"/>
      <c r="F1675" s="1630"/>
      <c r="G1675" s="1014"/>
      <c r="H1675" s="606" t="str">
        <f>Translations!$B$675</f>
        <v>iki:</v>
      </c>
      <c r="I1675" s="1014"/>
      <c r="J1675" s="1620" t="str">
        <f>Translations!$B$676</f>
        <v>Atliekų katalogo numeris (jeigu taikytina):</v>
      </c>
      <c r="K1675" s="1621"/>
      <c r="L1675" s="1621"/>
      <c r="M1675" s="1622"/>
      <c r="N1675" s="1232"/>
      <c r="O1675" s="1305"/>
      <c r="P1675" s="33"/>
      <c r="Q1675" s="33"/>
      <c r="R1675" s="33"/>
      <c r="S1675" s="1233"/>
      <c r="T1675" s="483"/>
      <c r="U1675" s="483"/>
      <c r="V1675" s="48" t="b">
        <f>IF(V1665="",FALSE,INDEX(CNTR_IsWaste,MATCH(V1665,MSParameters!$A$218:$A$376,0)))</f>
        <v>0</v>
      </c>
      <c r="W1675" s="1233" t="s">
        <v>1689</v>
      </c>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2" t="b">
        <f>BZ1665</f>
        <v>1</v>
      </c>
    </row>
    <row r="1676" spans="1:78" s="140" customFormat="1" ht="5.0999999999999996" customHeight="1" x14ac:dyDescent="0.2">
      <c r="A1676" s="777"/>
      <c r="B1676" s="1248"/>
      <c r="C1676" s="164"/>
      <c r="D1676" s="606"/>
      <c r="E1676" s="486"/>
      <c r="F1676" s="486"/>
      <c r="G1676" s="486"/>
      <c r="H1676" s="486"/>
      <c r="I1676" s="486"/>
      <c r="J1676" s="486"/>
      <c r="K1676" s="486"/>
      <c r="L1676" s="486"/>
      <c r="M1676" s="486"/>
      <c r="N1676" s="486"/>
      <c r="O1676" s="1305"/>
      <c r="P1676" s="33"/>
      <c r="Q1676" s="33"/>
      <c r="R1676" s="33"/>
      <c r="S1676" s="172"/>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row>
    <row r="1677" spans="1:78" s="140" customFormat="1" ht="12.75" customHeight="1" x14ac:dyDescent="0.2">
      <c r="A1677" s="777"/>
      <c r="B1677" s="1248"/>
      <c r="C1677" s="164"/>
      <c r="D1677" s="486"/>
      <c r="E1677" s="486"/>
      <c r="F1677" s="486"/>
      <c r="G1677" s="486"/>
      <c r="H1677" s="486"/>
      <c r="I1677" s="486"/>
      <c r="J1677" s="486"/>
      <c r="K1677" s="486"/>
      <c r="L1677" s="486"/>
      <c r="M1677" s="606" t="str">
        <f>Translations!$B$677</f>
        <v>Stebėsenos plane šiam sukėlikliui suteiktas identifikatorius:</v>
      </c>
      <c r="N1677" s="705"/>
      <c r="O1677" s="1305"/>
      <c r="P1677" s="33"/>
      <c r="Q1677" s="33"/>
      <c r="R1677" s="33"/>
      <c r="S1677" s="172"/>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2" t="b">
        <f>BZ1675</f>
        <v>1</v>
      </c>
    </row>
    <row r="1678" spans="1:78" s="140" customFormat="1" ht="5.0999999999999996" customHeight="1" x14ac:dyDescent="0.2">
      <c r="A1678" s="784"/>
      <c r="B1678" s="1316"/>
      <c r="D1678" s="178"/>
      <c r="O1678" s="1317"/>
      <c r="P1678" s="488"/>
      <c r="Q1678" s="488"/>
      <c r="R1678" s="488"/>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row>
    <row r="1679" spans="1:78" s="140" customFormat="1" x14ac:dyDescent="0.2">
      <c r="A1679" s="784"/>
      <c r="B1679" s="1316"/>
      <c r="D1679" s="1618" t="str">
        <f>Translations!$B$160</f>
        <v>Pastabos:</v>
      </c>
      <c r="E1679" s="1619"/>
      <c r="F1679" s="1605"/>
      <c r="G1679" s="1606"/>
      <c r="H1679" s="1606"/>
      <c r="I1679" s="1606"/>
      <c r="J1679" s="1606"/>
      <c r="K1679" s="1606"/>
      <c r="L1679" s="1606"/>
      <c r="M1679" s="1606"/>
      <c r="N1679" s="1607"/>
      <c r="O1679" s="1317"/>
      <c r="P1679" s="488"/>
      <c r="Q1679" s="488"/>
      <c r="R1679" s="488"/>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2" t="b">
        <f>BZ1675</f>
        <v>1</v>
      </c>
    </row>
    <row r="1680" spans="1:78" s="28" customFormat="1" ht="12.75" customHeight="1" thickBot="1" x14ac:dyDescent="0.25">
      <c r="A1680" s="777"/>
      <c r="B1680" s="1312"/>
      <c r="C1680" s="490"/>
      <c r="D1680" s="491"/>
      <c r="E1680" s="492"/>
      <c r="F1680" s="490"/>
      <c r="G1680" s="493"/>
      <c r="H1680" s="493"/>
      <c r="I1680" s="493"/>
      <c r="J1680" s="493"/>
      <c r="K1680" s="493"/>
      <c r="L1680" s="493"/>
      <c r="M1680" s="493"/>
      <c r="N1680" s="493"/>
      <c r="O1680" s="1313"/>
      <c r="P1680" s="485"/>
      <c r="Q1680" s="485"/>
      <c r="R1680" s="485"/>
      <c r="S1680" s="58"/>
      <c r="T1680" s="58"/>
      <c r="U1680" s="489"/>
      <c r="V1680" s="58"/>
      <c r="W1680" s="58"/>
      <c r="X1680" s="489"/>
      <c r="Y1680" s="58"/>
      <c r="Z1680" s="58"/>
      <c r="AA1680" s="58"/>
      <c r="AB1680" s="58"/>
      <c r="AC1680" s="58"/>
      <c r="AD1680" s="58"/>
      <c r="AE1680" s="58"/>
      <c r="AF1680" s="58"/>
      <c r="AG1680" s="58"/>
      <c r="AH1680" s="58"/>
      <c r="AI1680" s="58"/>
      <c r="AJ1680" s="58"/>
      <c r="AK1680" s="58"/>
      <c r="AL1680" s="58"/>
      <c r="AM1680" s="58"/>
      <c r="AN1680" s="58"/>
      <c r="AO1680" s="58"/>
      <c r="AP1680" s="58"/>
      <c r="AQ1680" s="58"/>
      <c r="AR1680" s="58"/>
      <c r="AS1680" s="58"/>
      <c r="AT1680" s="58"/>
      <c r="AU1680" s="58"/>
      <c r="AV1680" s="58"/>
      <c r="AW1680" s="58"/>
      <c r="AX1680" s="58"/>
      <c r="AY1680" s="58"/>
      <c r="AZ1680" s="58"/>
      <c r="BA1680" s="58"/>
      <c r="BB1680" s="58"/>
      <c r="BC1680" s="58"/>
      <c r="BD1680" s="58"/>
      <c r="BE1680" s="58"/>
      <c r="BF1680" s="58"/>
      <c r="BG1680" s="58"/>
      <c r="BH1680" s="58"/>
      <c r="BI1680" s="30"/>
      <c r="BJ1680" s="30"/>
      <c r="BK1680" s="30"/>
      <c r="BL1680" s="58"/>
      <c r="BM1680" s="58"/>
      <c r="BN1680" s="58"/>
      <c r="BO1680" s="58"/>
      <c r="BP1680" s="58"/>
      <c r="BQ1680" s="58"/>
      <c r="BR1680" s="58"/>
      <c r="BS1680" s="58"/>
      <c r="BT1680" s="58"/>
      <c r="BU1680" s="58"/>
      <c r="BV1680" s="58"/>
      <c r="BW1680" s="58"/>
      <c r="BX1680" s="58"/>
      <c r="BY1680" s="58"/>
      <c r="BZ1680" s="58"/>
    </row>
    <row r="1681" spans="1:78" s="28" customFormat="1" ht="12.75" customHeight="1" thickBot="1" x14ac:dyDescent="0.25">
      <c r="A1681" s="782"/>
      <c r="B1681" s="1312"/>
      <c r="C1681" s="486"/>
      <c r="D1681" s="178"/>
      <c r="E1681" s="487"/>
      <c r="F1681" s="486"/>
      <c r="G1681" s="478"/>
      <c r="H1681" s="478"/>
      <c r="I1681" s="478"/>
      <c r="J1681" s="478"/>
      <c r="K1681" s="486"/>
      <c r="L1681" s="478"/>
      <c r="M1681" s="478"/>
      <c r="N1681" s="478"/>
      <c r="O1681" s="1313"/>
      <c r="P1681" s="485"/>
      <c r="Q1681" s="485"/>
      <c r="R1681" s="485"/>
      <c r="S1681" s="23"/>
      <c r="T1681" s="27" t="str">
        <f>IF(ISBLANK(E1682),"",MATCH(E1682,CNTR_SourceStreamNames,0))</f>
        <v/>
      </c>
      <c r="U1681" s="609" t="str">
        <f>IF(ISBLANK(E1682),"",INDEX(B_InstallationDescription!$D$71:$D$145,MATCH(E1682,CNTR_SourceStreamNames,0)))</f>
        <v/>
      </c>
      <c r="V1681" s="76"/>
      <c r="W1681" s="56"/>
      <c r="X1681" s="56"/>
      <c r="Y1681" s="56"/>
      <c r="Z1681" s="58"/>
      <c r="AA1681" s="58"/>
      <c r="AB1681" s="58"/>
      <c r="AC1681" s="58"/>
      <c r="AD1681" s="58"/>
      <c r="AE1681" s="58"/>
      <c r="AF1681" s="58"/>
      <c r="AG1681" s="58"/>
      <c r="AH1681" s="58"/>
      <c r="AI1681" s="58"/>
      <c r="AJ1681" s="58"/>
      <c r="AK1681" s="482"/>
      <c r="AL1681" s="58"/>
      <c r="AM1681" s="58"/>
      <c r="AN1681" s="58"/>
      <c r="AO1681" s="58"/>
      <c r="AP1681" s="58"/>
      <c r="AQ1681" s="58"/>
      <c r="AR1681" s="58"/>
      <c r="AS1681" s="58"/>
      <c r="AT1681" s="58"/>
      <c r="AU1681" s="58"/>
      <c r="AV1681" s="58"/>
      <c r="AW1681" s="58"/>
      <c r="AX1681" s="58"/>
      <c r="AY1681" s="58"/>
      <c r="AZ1681" s="58"/>
      <c r="BA1681" s="58"/>
      <c r="BB1681" s="58"/>
      <c r="BC1681" s="58"/>
      <c r="BD1681" s="58"/>
      <c r="BE1681" s="58"/>
      <c r="BF1681" s="58"/>
      <c r="BG1681" s="58"/>
      <c r="BH1681" s="56"/>
      <c r="BI1681" s="56"/>
      <c r="BJ1681" s="56"/>
      <c r="BK1681" s="56"/>
      <c r="BL1681" s="56"/>
      <c r="BM1681" s="56"/>
      <c r="BN1681" s="56"/>
      <c r="BO1681" s="56"/>
      <c r="BP1681" s="56"/>
      <c r="BQ1681" s="56"/>
      <c r="BR1681" s="56"/>
      <c r="BS1681" s="56"/>
      <c r="BT1681" s="56"/>
      <c r="BU1681" s="56"/>
      <c r="BV1681" s="56"/>
      <c r="BW1681" s="56"/>
      <c r="BX1681" s="56"/>
      <c r="BY1681" s="56"/>
      <c r="BZ1681" s="484" t="s">
        <v>259</v>
      </c>
    </row>
    <row r="1682" spans="1:78" s="140" customFormat="1" ht="15" customHeight="1" thickBot="1" x14ac:dyDescent="0.25">
      <c r="A1682" s="1302" t="str">
        <f>IF(E1682="","","PRINT")</f>
        <v/>
      </c>
      <c r="B1682" s="1248"/>
      <c r="C1682" s="608">
        <f>C1655+1</f>
        <v>61</v>
      </c>
      <c r="D1682" s="164"/>
      <c r="E1682" s="1610"/>
      <c r="F1682" s="1611"/>
      <c r="G1682" s="1611"/>
      <c r="H1682" s="1611"/>
      <c r="I1682" s="1611"/>
      <c r="J1682" s="1612"/>
      <c r="K1682" s="1623" t="str">
        <f>IF(E1683="","",INDEX(EUwideConstants!$F$353:$F$394,MATCH(E1683,EUConst_TierActivityListNames,0)))</f>
        <v/>
      </c>
      <c r="L1682" s="1624"/>
      <c r="M1682" s="494" t="str">
        <f>Translations!$B$665</f>
        <v>CO2, iškastinio kuro kilmės:</v>
      </c>
      <c r="N1682" s="1012" t="str">
        <f>IF(OR(K1682="",T1683=TRUE),"",INDEX(BC1696:BE1696,MATCH(K1682,BC1692:BE1692,0)))</f>
        <v/>
      </c>
      <c r="O1682" s="1314" t="s">
        <v>257</v>
      </c>
      <c r="P1682" s="1303" t="str">
        <f>IF(AND(E1682&lt;&gt;"",COUNTIF(P1683:$P$2089,"PRINT")=0),"PRINT","")</f>
        <v/>
      </c>
      <c r="Q1682" s="343" t="str">
        <f>EUconst_SumCO2 &amp; "_" &amp; K1682</f>
        <v>SUM_CO2_</v>
      </c>
      <c r="R1682" s="485"/>
      <c r="S1682" s="23"/>
      <c r="T1682" s="500" t="s">
        <v>387</v>
      </c>
      <c r="U1682" s="23"/>
      <c r="V1682" s="76"/>
      <c r="W1682" s="56"/>
      <c r="X1682" s="58"/>
      <c r="Y1682" s="58"/>
      <c r="Z1682" s="58"/>
      <c r="AA1682" s="58"/>
      <c r="AB1682" s="58"/>
      <c r="AC1682" s="58"/>
      <c r="AD1682" s="58"/>
      <c r="AE1682" s="58"/>
      <c r="AF1682" s="58"/>
      <c r="AG1682" s="58"/>
      <c r="AH1682" s="58"/>
      <c r="AI1682" s="333"/>
      <c r="AJ1682" s="333"/>
      <c r="AK1682" s="333"/>
      <c r="AL1682" s="333"/>
      <c r="AM1682" s="333"/>
      <c r="AN1682" s="333"/>
      <c r="AO1682" s="333"/>
      <c r="AP1682" s="333"/>
      <c r="AQ1682" s="333"/>
      <c r="AR1682" s="333"/>
      <c r="AS1682" s="333"/>
      <c r="AT1682" s="333"/>
      <c r="AU1682" s="333"/>
      <c r="AV1682" s="333"/>
      <c r="AW1682" s="333"/>
      <c r="AX1682" s="333"/>
      <c r="AY1682" s="333"/>
      <c r="AZ1682" s="333"/>
      <c r="BA1682" s="333"/>
      <c r="BB1682" s="333"/>
      <c r="BC1682" s="333"/>
      <c r="BD1682" s="333"/>
      <c r="BE1682" s="333"/>
      <c r="BF1682" s="333"/>
      <c r="BG1682" s="333"/>
      <c r="BH1682" s="834">
        <f>AR1692</f>
        <v>0</v>
      </c>
      <c r="BI1682" s="834" t="str">
        <f>AJ1692</f>
        <v/>
      </c>
      <c r="BJ1682" s="834">
        <f>AR1694</f>
        <v>0</v>
      </c>
      <c r="BK1682" s="834" t="str">
        <f>AJ1694</f>
        <v/>
      </c>
      <c r="BL1682" s="834">
        <f>AR1695</f>
        <v>0</v>
      </c>
      <c r="BM1682" s="834" t="str">
        <f>AJ1695</f>
        <v/>
      </c>
      <c r="BN1682" s="834">
        <f>AR1696</f>
        <v>1</v>
      </c>
      <c r="BO1682" s="834">
        <f>AR1697</f>
        <v>1</v>
      </c>
      <c r="BP1682" s="834">
        <f>AR1698</f>
        <v>0</v>
      </c>
      <c r="BQ1682" s="834" t="str">
        <f>AJ1698</f>
        <v/>
      </c>
      <c r="BR1682" s="834">
        <f>AR1699</f>
        <v>0</v>
      </c>
      <c r="BS1682" s="834">
        <f>AR1700</f>
        <v>0</v>
      </c>
      <c r="BT1682" s="834" t="str">
        <f>N1682</f>
        <v/>
      </c>
      <c r="BU1682" s="834" t="str">
        <f>N1683</f>
        <v/>
      </c>
      <c r="BV1682" s="834" t="str">
        <f>R1685</f>
        <v/>
      </c>
      <c r="BW1682" s="834" t="str">
        <f>R1691</f>
        <v/>
      </c>
      <c r="BX1682" s="834" t="str">
        <f>R1692</f>
        <v/>
      </c>
      <c r="BY1682" s="56"/>
      <c r="BZ1682" s="610" t="b">
        <f>CNTR_CalcRelevant=EUconst_NotRelevant</f>
        <v>0</v>
      </c>
    </row>
    <row r="1683" spans="1:78" s="140" customFormat="1" ht="15" customHeight="1" thickBot="1" x14ac:dyDescent="0.25">
      <c r="A1683" s="777"/>
      <c r="B1683" s="1248"/>
      <c r="C1683" s="164"/>
      <c r="D1683" s="164"/>
      <c r="E1683" s="1625" t="str">
        <f>IF(ISBLANK(E1682),"",IF(INDEX(B_InstallationDescription!$E$71:$E$145,MATCH(U1681,B_InstallationDescription!$D$71:$D$145,0))&gt;0,INDEX(B_InstallationDescription!$E$71:$E$145,MATCH(U1681,B_InstallationDescription!$D$71:$D$145,0)),""))</f>
        <v/>
      </c>
      <c r="F1683" s="1626"/>
      <c r="G1683" s="1626"/>
      <c r="H1683" s="1626"/>
      <c r="I1683" s="1626"/>
      <c r="J1683" s="1627"/>
      <c r="M1683" s="337" t="str">
        <f>Translations!$B$666</f>
        <v>CO2, biomasės kilmės.:</v>
      </c>
      <c r="N1683" s="1013" t="str">
        <f>IF(OR(K1682="",T1683=TRUE),"",INDEX(BC1695:BE1695,MATCH(K1682,BC1692:BE1692,0)))</f>
        <v/>
      </c>
      <c r="O1683" s="1315" t="s">
        <v>257</v>
      </c>
      <c r="P1683" s="485"/>
      <c r="Q1683" s="343" t="str">
        <f>EUconst_SumBioCO2 &amp; "_" &amp; K1682</f>
        <v>SUM_bioCO2_</v>
      </c>
      <c r="R1683" s="485"/>
      <c r="S1683" s="23"/>
      <c r="T1683" s="48" t="str">
        <f>IF(E1683="","",MATCH(E1683,EUConst_TierActivityListNames,0)&gt;40)</f>
        <v/>
      </c>
      <c r="U1683" s="23"/>
      <c r="V1683" s="76"/>
      <c r="W1683" s="56"/>
      <c r="X1683" s="58"/>
      <c r="Y1683" s="27" t="s">
        <v>91</v>
      </c>
      <c r="Z1683" s="30"/>
      <c r="AA1683" s="30"/>
      <c r="AB1683" s="30"/>
      <c r="AC1683" s="30"/>
      <c r="AD1683" s="30"/>
      <c r="AE1683" s="27" t="s">
        <v>297</v>
      </c>
      <c r="AF1683" s="58"/>
      <c r="AG1683" s="495"/>
      <c r="AH1683" s="30"/>
      <c r="AI1683" s="30"/>
      <c r="AJ1683" s="495"/>
      <c r="AK1683" s="495"/>
      <c r="AL1683" s="333"/>
      <c r="AM1683" s="27" t="s">
        <v>303</v>
      </c>
      <c r="AN1683" s="496"/>
      <c r="AO1683" s="496"/>
      <c r="AP1683" s="30"/>
      <c r="AQ1683" s="30"/>
      <c r="AR1683" s="30"/>
      <c r="AS1683" s="30"/>
      <c r="AT1683" s="30"/>
      <c r="AU1683" s="30"/>
      <c r="AV1683" s="27" t="s">
        <v>310</v>
      </c>
      <c r="AW1683" s="30"/>
      <c r="AX1683" s="483"/>
      <c r="AY1683" s="30"/>
      <c r="AZ1683" s="30"/>
      <c r="BA1683" s="30"/>
      <c r="BB1683" s="27" t="s">
        <v>217</v>
      </c>
      <c r="BC1683" s="30"/>
      <c r="BD1683" s="30"/>
      <c r="BE1683" s="30"/>
      <c r="BF1683" s="30"/>
      <c r="BG1683" s="27" t="s">
        <v>486</v>
      </c>
      <c r="BH1683" s="833" t="s">
        <v>552</v>
      </c>
      <c r="BI1683" s="833" t="s">
        <v>487</v>
      </c>
      <c r="BJ1683" s="833" t="s">
        <v>211</v>
      </c>
      <c r="BK1683" s="833" t="s">
        <v>488</v>
      </c>
      <c r="BL1683" s="833" t="s">
        <v>68</v>
      </c>
      <c r="BM1683" s="833" t="s">
        <v>489</v>
      </c>
      <c r="BN1683" s="833" t="s">
        <v>490</v>
      </c>
      <c r="BO1683" s="833" t="s">
        <v>491</v>
      </c>
      <c r="BP1683" s="833" t="s">
        <v>214</v>
      </c>
      <c r="BQ1683" s="833" t="s">
        <v>492</v>
      </c>
      <c r="BR1683" s="833" t="s">
        <v>493</v>
      </c>
      <c r="BS1683" s="833" t="s">
        <v>494</v>
      </c>
      <c r="BT1683" s="833" t="s">
        <v>287</v>
      </c>
      <c r="BU1683" s="833" t="s">
        <v>495</v>
      </c>
      <c r="BV1683" s="833" t="s">
        <v>498</v>
      </c>
      <c r="BW1683" s="833" t="s">
        <v>496</v>
      </c>
      <c r="BX1683" s="833" t="s">
        <v>497</v>
      </c>
      <c r="BY1683" s="30"/>
      <c r="BZ1683" s="30"/>
    </row>
    <row r="1684" spans="1:78" s="140" customFormat="1" ht="5.0999999999999996" customHeight="1" thickBot="1" x14ac:dyDescent="0.25">
      <c r="A1684" s="777"/>
      <c r="B1684" s="1248"/>
      <c r="C1684" s="164"/>
      <c r="D1684" s="164"/>
      <c r="E1684" s="164"/>
      <c r="F1684" s="164"/>
      <c r="G1684" s="164"/>
      <c r="M1684" s="141"/>
      <c r="N1684" s="141"/>
      <c r="O1684" s="1305"/>
      <c r="P1684" s="33"/>
      <c r="Q1684" s="33"/>
      <c r="R1684" s="33"/>
      <c r="S1684" s="23"/>
      <c r="T1684" s="23"/>
      <c r="U1684" s="23"/>
      <c r="V1684" s="76"/>
      <c r="W1684" s="30"/>
      <c r="X1684" s="30"/>
      <c r="Y1684" s="485"/>
      <c r="Z1684" s="30"/>
      <c r="AA1684" s="30"/>
      <c r="AB1684" s="30"/>
      <c r="AC1684" s="30"/>
      <c r="AD1684" s="30"/>
      <c r="AE1684" s="30"/>
      <c r="AF1684" s="58"/>
      <c r="AG1684" s="30"/>
      <c r="AH1684" s="30"/>
      <c r="AI1684" s="30"/>
      <c r="AJ1684" s="495"/>
      <c r="AK1684" s="495"/>
      <c r="AL1684" s="333"/>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row>
    <row r="1685" spans="1:78" s="140" customFormat="1" ht="12.75" customHeight="1" thickBot="1" x14ac:dyDescent="0.25">
      <c r="A1685" s="777"/>
      <c r="B1685" s="1248"/>
      <c r="C1685" s="164"/>
      <c r="D1685" s="164"/>
      <c r="E1685" s="1628" t="str">
        <f>IF(E1682="","",IF(T1683=TRUE,HYPERLINK("#JUMP_14",EUconst_MsgGoOnPFC),HYPERLINK("#JUMP_E_8",EUconst_FurtherGuidancePoint1)))</f>
        <v/>
      </c>
      <c r="F1685" s="1628"/>
      <c r="G1685" s="1628"/>
      <c r="H1685" s="1628"/>
      <c r="I1685" s="1628"/>
      <c r="J1685" s="1628"/>
      <c r="K1685" s="1628"/>
      <c r="L1685" s="1628"/>
      <c r="M1685" s="1628"/>
      <c r="N1685" s="141"/>
      <c r="O1685" s="1305"/>
      <c r="P1685" s="33"/>
      <c r="Q1685" s="343" t="str">
        <f>EUconst_SumNonSustBioCO2 &amp; "_" &amp; K1682</f>
        <v>SUM_bioNonSustCO2_</v>
      </c>
      <c r="R1685" s="698" t="str">
        <f>IF(OR(K1682="",T1683=TRUE),"",ROUND(INDEX(BC1694:BE1694,MATCH(K1682,BC1692:BE1692,0)),0))</f>
        <v/>
      </c>
      <c r="S1685" s="23"/>
      <c r="T1685" s="23"/>
      <c r="U1685" s="23"/>
      <c r="V1685" s="30"/>
      <c r="W1685" s="30"/>
      <c r="X1685" s="30"/>
      <c r="Y1685" s="58"/>
      <c r="Z1685" s="30"/>
      <c r="AA1685" s="30"/>
      <c r="AB1685" s="30"/>
      <c r="AC1685" s="30"/>
      <c r="AD1685" s="30"/>
      <c r="AE1685" s="30"/>
      <c r="AF1685" s="58"/>
      <c r="AG1685" s="30"/>
      <c r="AH1685" s="30"/>
      <c r="AI1685" s="30"/>
      <c r="AJ1685" s="495"/>
      <c r="AK1685" s="495"/>
      <c r="AL1685" s="333"/>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row>
    <row r="1686" spans="1:78" s="140" customFormat="1" ht="5.0999999999999996" customHeight="1" thickBot="1" x14ac:dyDescent="0.25">
      <c r="A1686" s="777"/>
      <c r="B1686" s="1248"/>
      <c r="C1686" s="164"/>
      <c r="D1686" s="164"/>
      <c r="E1686" s="164"/>
      <c r="F1686" s="164"/>
      <c r="G1686" s="164"/>
      <c r="M1686" s="141"/>
      <c r="N1686" s="141"/>
      <c r="O1686" s="1305"/>
      <c r="P1686" s="23"/>
      <c r="Q1686" s="23"/>
      <c r="R1686" s="23"/>
      <c r="S1686" s="23"/>
      <c r="T1686" s="23"/>
      <c r="U1686" s="23"/>
      <c r="V1686" s="30"/>
      <c r="W1686" s="30"/>
      <c r="X1686" s="30"/>
      <c r="Y1686" s="485"/>
      <c r="Z1686" s="30"/>
      <c r="AA1686" s="30"/>
      <c r="AB1686" s="30"/>
      <c r="AC1686" s="30"/>
      <c r="AD1686" s="30"/>
      <c r="AE1686" s="30"/>
      <c r="AF1686" s="58"/>
      <c r="AG1686" s="30"/>
      <c r="AH1686" s="30"/>
      <c r="AI1686" s="30"/>
      <c r="AJ1686" s="495"/>
      <c r="AK1686" s="495"/>
      <c r="AL1686" s="333"/>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row>
    <row r="1687" spans="1:78" s="140" customFormat="1" ht="12.75" customHeight="1" thickBot="1" x14ac:dyDescent="0.25">
      <c r="A1687" s="777"/>
      <c r="B1687" s="1248"/>
      <c r="C1687" s="783" t="s">
        <v>4</v>
      </c>
      <c r="D1687" s="503" t="str">
        <f>Translations!$B$622</f>
        <v>VD:</v>
      </c>
      <c r="E1687" s="1631" t="str">
        <f>Translations!$B$667</f>
        <v>Ar veiklos duomenys gaunami sudedant išmatuotus kiekius (t. y. ne atliekant nuolatinius matavimus)?</v>
      </c>
      <c r="F1687" s="1631"/>
      <c r="G1687" s="1631"/>
      <c r="H1687" s="1631"/>
      <c r="I1687" s="1631"/>
      <c r="J1687" s="1631"/>
      <c r="K1687" s="1631"/>
      <c r="L1687" s="1122"/>
      <c r="M1687" s="498"/>
      <c r="O1687" s="1305"/>
      <c r="P1687" s="23"/>
      <c r="Q1687" s="23"/>
      <c r="R1687" s="23"/>
      <c r="S1687" s="23"/>
      <c r="T1687" s="23"/>
      <c r="U1687" s="23"/>
      <c r="V1687" s="30"/>
      <c r="W1687" s="30"/>
      <c r="X1687" s="30"/>
      <c r="Y1687" s="485"/>
      <c r="Z1687" s="30"/>
      <c r="AA1687" s="30"/>
      <c r="AB1687" s="30"/>
      <c r="AC1687" s="1115" t="b">
        <f>AND(E1682&lt;&gt;"",T1683&lt;&gt;TRUE)</f>
        <v>0</v>
      </c>
      <c r="AD1687" s="30"/>
      <c r="AE1687" s="30"/>
      <c r="AF1687" s="58"/>
      <c r="AG1687" s="30"/>
      <c r="AH1687" s="30"/>
      <c r="AI1687" s="30"/>
      <c r="AJ1687" s="495"/>
      <c r="AK1687" s="495"/>
      <c r="AL1687" s="333"/>
      <c r="AM1687" s="30"/>
      <c r="AN1687" s="30"/>
      <c r="AO1687" s="30"/>
      <c r="AP1687" s="30"/>
      <c r="AQ1687" s="30"/>
      <c r="AR1687" s="30"/>
      <c r="AS1687" s="30"/>
      <c r="AT1687" s="1115" t="b">
        <f>MSPara_BatchReportingMandatory&lt;&gt;TRUE</f>
        <v>0</v>
      </c>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1115" t="b">
        <f>OR(CNTR_CalcRelevant=EUconst_NotRelevant,AND(COUNTA(CNTR_ListRelevantSections)&gt;0,OR(T1683=TRUE,E1682="")))</f>
        <v>1</v>
      </c>
    </row>
    <row r="1688" spans="1:78" s="140" customFormat="1" ht="5.0999999999999996" customHeight="1" thickBot="1" x14ac:dyDescent="0.25">
      <c r="A1688" s="777"/>
      <c r="B1688" s="1248"/>
      <c r="C1688" s="164"/>
      <c r="D1688" s="164"/>
      <c r="E1688" s="164"/>
      <c r="F1688" s="164"/>
      <c r="G1688" s="164"/>
      <c r="H1688" s="486"/>
      <c r="I1688" s="486"/>
      <c r="J1688" s="486"/>
      <c r="K1688" s="486"/>
      <c r="L1688" s="486"/>
      <c r="M1688" s="498"/>
      <c r="O1688" s="1305"/>
      <c r="P1688" s="23"/>
      <c r="Q1688" s="23"/>
      <c r="R1688" s="23"/>
      <c r="S1688" s="23"/>
      <c r="T1688" s="23"/>
      <c r="U1688" s="23"/>
      <c r="V1688" s="30"/>
      <c r="W1688" s="30"/>
      <c r="X1688" s="30"/>
      <c r="Y1688" s="485"/>
      <c r="Z1688" s="30"/>
      <c r="AA1688" s="30"/>
      <c r="AB1688" s="30"/>
      <c r="AC1688" s="483"/>
      <c r="AD1688" s="30"/>
      <c r="AE1688" s="30"/>
      <c r="AF1688" s="58"/>
      <c r="AG1688" s="30"/>
      <c r="AH1688" s="30"/>
      <c r="AI1688" s="30"/>
      <c r="AJ1688" s="495"/>
      <c r="AK1688" s="495"/>
      <c r="AL1688" s="333"/>
      <c r="AM1688" s="30"/>
      <c r="AN1688" s="30"/>
      <c r="AO1688" s="30"/>
      <c r="AP1688" s="30"/>
      <c r="AQ1688" s="30"/>
      <c r="AR1688" s="30"/>
      <c r="AS1688" s="30"/>
      <c r="AT1688" s="483"/>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483"/>
    </row>
    <row r="1689" spans="1:78" s="140" customFormat="1" ht="12.75" customHeight="1" thickBot="1" x14ac:dyDescent="0.25">
      <c r="A1689" s="777"/>
      <c r="B1689" s="1248"/>
      <c r="C1689" s="783" t="s">
        <v>5</v>
      </c>
      <c r="D1689" s="503" t="str">
        <f>Translations!$B$622</f>
        <v>VD:</v>
      </c>
      <c r="E1689" s="1105" t="str">
        <f>Translations!$B$668</f>
        <v>Pradinis kiekis:</v>
      </c>
      <c r="F1689" s="1123"/>
      <c r="G1689" s="1106" t="str">
        <f>Translations!$B$669</f>
        <v>Galutinis kiekis:</v>
      </c>
      <c r="H1689" s="1123"/>
      <c r="I1689" s="1106" t="str">
        <f>Translations!$B$670</f>
        <v>Įsigytas kiekis:</v>
      </c>
      <c r="J1689" s="1123"/>
      <c r="K1689" s="1106" t="str">
        <f>Translations!$B$671</f>
        <v>Perduotas kiekis:</v>
      </c>
      <c r="L1689" s="1123"/>
      <c r="M1689" s="1107" t="str">
        <f>IF(AND(L1687=TRUE,COUNT(F1689,H1689,J1689,L1689)&lt;4),EUconst_ERR_Incomplete,"")</f>
        <v/>
      </c>
      <c r="O1689" s="1305"/>
      <c r="P1689" s="23"/>
      <c r="Q1689" s="23"/>
      <c r="R1689" s="23"/>
      <c r="S1689" s="23"/>
      <c r="T1689" s="23"/>
      <c r="U1689" s="23"/>
      <c r="V1689" s="30"/>
      <c r="W1689" s="30"/>
      <c r="X1689" s="30"/>
      <c r="Y1689" s="485"/>
      <c r="Z1689" s="30"/>
      <c r="AA1689" s="30"/>
      <c r="AB1689" s="30"/>
      <c r="AC1689" s="1115" t="b">
        <f>AC1687</f>
        <v>0</v>
      </c>
      <c r="AD1689" s="30"/>
      <c r="AE1689" s="30"/>
      <c r="AF1689" s="58"/>
      <c r="AG1689" s="30"/>
      <c r="AH1689" s="30"/>
      <c r="AI1689" s="30"/>
      <c r="AJ1689" s="495"/>
      <c r="AK1689" s="495"/>
      <c r="AL1689" s="333"/>
      <c r="AM1689" s="30"/>
      <c r="AN1689" s="30"/>
      <c r="AO1689" s="30"/>
      <c r="AP1689" s="30"/>
      <c r="AQ1689" s="30"/>
      <c r="AR1689" s="30"/>
      <c r="AS1689" s="30"/>
      <c r="AT1689" s="1115" t="b">
        <f>AND(AT1687=TRUE,L1687="")</f>
        <v>0</v>
      </c>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1115" t="b">
        <f>OR(BZ1687,AND(NOT(ISBLANK(L1687)),L1687=FALSE))</f>
        <v>1</v>
      </c>
    </row>
    <row r="1690" spans="1:78" s="140" customFormat="1" ht="5.0999999999999996" customHeight="1" thickBot="1" x14ac:dyDescent="0.25">
      <c r="A1690" s="777"/>
      <c r="B1690" s="1248"/>
      <c r="C1690" s="164"/>
      <c r="D1690" s="164"/>
      <c r="E1690" s="164"/>
      <c r="F1690" s="164"/>
      <c r="G1690" s="164"/>
      <c r="M1690" s="141"/>
      <c r="N1690" s="141"/>
      <c r="O1690" s="1305"/>
      <c r="P1690" s="23"/>
      <c r="Q1690" s="23"/>
      <c r="R1690" s="23"/>
      <c r="S1690" s="23"/>
      <c r="T1690" s="23"/>
      <c r="U1690" s="23"/>
      <c r="V1690" s="30"/>
      <c r="W1690" s="30"/>
      <c r="X1690" s="30"/>
      <c r="Y1690" s="485"/>
      <c r="Z1690" s="30"/>
      <c r="AA1690" s="30"/>
      <c r="AB1690" s="30"/>
      <c r="AC1690" s="30"/>
      <c r="AD1690" s="30"/>
      <c r="AE1690" s="30"/>
      <c r="AF1690" s="58"/>
      <c r="AG1690" s="30"/>
      <c r="AH1690" s="30"/>
      <c r="AI1690" s="30"/>
      <c r="AJ1690" s="495"/>
      <c r="AK1690" s="495"/>
      <c r="AL1690" s="333"/>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row>
    <row r="1691" spans="1:78" s="140" customFormat="1" ht="12.75" customHeight="1" thickBot="1" x14ac:dyDescent="0.25">
      <c r="A1691" s="777"/>
      <c r="B1691" s="1248"/>
      <c r="C1691" s="164"/>
      <c r="D1691" s="164"/>
      <c r="E1691" s="164"/>
      <c r="F1691" s="497" t="str">
        <f>Translations!$B$333</f>
        <v>Pakopa</v>
      </c>
      <c r="G1691" s="1613" t="str">
        <f>Translations!$B$672</f>
        <v>pakopos aprašas</v>
      </c>
      <c r="H1691" s="1613"/>
      <c r="I1691" s="1608" t="str">
        <f>Translations!$B$158</f>
        <v>Vienetas</v>
      </c>
      <c r="J1691" s="1608"/>
      <c r="K1691" s="1608" t="str">
        <f>Translations!$B$673</f>
        <v>Vertė</v>
      </c>
      <c r="L1691" s="1608"/>
      <c r="M1691" s="498" t="str">
        <f>Translations!$B$610</f>
        <v>klaida</v>
      </c>
      <c r="O1691" s="1305"/>
      <c r="P1691" s="499"/>
      <c r="Q1691" s="343" t="str">
        <f>EUconst_SumEnergyIN &amp; "_" &amp; K1682</f>
        <v>SUM_EnergyIN_</v>
      </c>
      <c r="R1691" s="390" t="str">
        <f>IF(OR(K1682="",T1683)=TRUE,"",INDEX(BC1697:BE1697,MATCH(K1682,BC1692:BE1692,0)))</f>
        <v/>
      </c>
      <c r="S1691" s="30"/>
      <c r="T1691" s="480"/>
      <c r="U1691" s="30"/>
      <c r="V1691" s="500" t="s">
        <v>298</v>
      </c>
      <c r="W1691" s="30"/>
      <c r="X1691" s="30"/>
      <c r="Y1691" s="485" t="s">
        <v>560</v>
      </c>
      <c r="Z1691" s="485" t="s">
        <v>313</v>
      </c>
      <c r="AA1691" s="30"/>
      <c r="AB1691" s="30"/>
      <c r="AC1691" s="496" t="s">
        <v>304</v>
      </c>
      <c r="AD1691" s="30"/>
      <c r="AE1691" s="30"/>
      <c r="AF1691" s="483" t="s">
        <v>300</v>
      </c>
      <c r="AG1691" s="483" t="s">
        <v>301</v>
      </c>
      <c r="AH1691" s="485" t="s">
        <v>299</v>
      </c>
      <c r="AI1691" s="495" t="s">
        <v>302</v>
      </c>
      <c r="AJ1691" s="495" t="s">
        <v>561</v>
      </c>
      <c r="AK1691" s="501" t="s">
        <v>306</v>
      </c>
      <c r="AL1691" s="333"/>
      <c r="AM1691" s="30"/>
      <c r="AN1691" s="483" t="s">
        <v>300</v>
      </c>
      <c r="AO1691" s="483" t="s">
        <v>301</v>
      </c>
      <c r="AP1691" s="502" t="s">
        <v>305</v>
      </c>
      <c r="AQ1691" s="495" t="s">
        <v>563</v>
      </c>
      <c r="AR1691" s="495" t="s">
        <v>562</v>
      </c>
      <c r="AS1691" s="501" t="s">
        <v>599</v>
      </c>
      <c r="AT1691" s="501" t="s">
        <v>599</v>
      </c>
      <c r="AU1691" s="30"/>
      <c r="AV1691" s="483"/>
      <c r="AW1691" s="483"/>
      <c r="AX1691" s="483" t="s">
        <v>316</v>
      </c>
      <c r="AY1691" s="483"/>
      <c r="AZ1691" s="483"/>
      <c r="BA1691" s="483"/>
      <c r="BB1691" s="483"/>
      <c r="BC1691" s="483"/>
      <c r="BD1691" s="483"/>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484" t="s">
        <v>259</v>
      </c>
    </row>
    <row r="1692" spans="1:78" s="140" customFormat="1" ht="12.75" customHeight="1" thickBot="1" x14ac:dyDescent="0.25">
      <c r="A1692" s="777"/>
      <c r="B1692" s="1248"/>
      <c r="C1692" s="753" t="s">
        <v>194</v>
      </c>
      <c r="D1692" s="503" t="str">
        <f>Translations!$B$622</f>
        <v>VD:</v>
      </c>
      <c r="E1692" s="504"/>
      <c r="F1692" s="393"/>
      <c r="G1692" s="1603" t="str">
        <f>IF(OR(ISBLANK(F1692),F1692=EUconst_NoTier),"",IF(Z1692=0,EUconst_NA,IF(ISERROR(Z1692),"",Z1692)))</f>
        <v/>
      </c>
      <c r="H1692" s="1604"/>
      <c r="I1692" s="1108" t="str">
        <f>IF(J1692&lt;&gt;"","",AI1692)</f>
        <v/>
      </c>
      <c r="J1692" s="1109"/>
      <c r="K1692" s="1116" t="str">
        <f>IF(L1692="",AQ1692,"")</f>
        <v/>
      </c>
      <c r="L1692" s="1199"/>
      <c r="M1692" s="700" t="str">
        <f>IF(AND(E1683&lt;&gt;"",OR(F1692="",COUNT(K1692:L1692)=0),Y1692&lt;&gt;EUconst_NA,T1683&lt;&gt;TRUE),EUconst_ERR_Incomplete,IF(COUNTIF(AX1692:AZ1692,TRUE)&gt;0,EUconst_ERR_Inconsistent,""))</f>
        <v/>
      </c>
      <c r="O1692" s="1305"/>
      <c r="P1692" s="635"/>
      <c r="Q1692" s="343" t="str">
        <f>EUconst_SumBioEnergyIN &amp; "_" &amp; K1682</f>
        <v>SUM_BioEnergyIN_</v>
      </c>
      <c r="R1692" s="390" t="str">
        <f>IF(OR(K1682="",T1683)=TRUE,"",INDEX(BC1698:BE1698,MATCH(K1682,BC1692:BE1692,0)))</f>
        <v/>
      </c>
      <c r="S1692" s="30"/>
      <c r="T1692" s="505" t="str">
        <f>EUconst_CNTR_ActivityData&amp;E1683</f>
        <v>ActivityData_</v>
      </c>
      <c r="U1692" s="488"/>
      <c r="V1692" s="505" t="str">
        <f>IF(E1682="","",INDEX(B_InstallationDescription!$I$71:$I$145,MATCH(U1681,B_InstallationDescription!$D$71:$D$145,0)))</f>
        <v/>
      </c>
      <c r="W1692" s="495" t="s">
        <v>533</v>
      </c>
      <c r="X1692" s="488"/>
      <c r="Y1692" s="506" t="str">
        <f>IF(OR(T1683=TRUE,E1683=""),"",INDEX(EUwideConstants!$N:$N,MATCH(T1692,EUwideConstants!$Q:$Q,0)))</f>
        <v/>
      </c>
      <c r="Z1692" s="507" t="str">
        <f>IF(ISBLANK(F1692),"",IF(F1692=EUconst_NA,"",INDEX(EUwideConstants!$H:$M,MATCH(T1692,EUwideConstants!$Q:$Q,0),MATCH(F1692,CNTR_TierList,0))))</f>
        <v/>
      </c>
      <c r="AA1692" s="508" t="s">
        <v>299</v>
      </c>
      <c r="AB1692" s="495"/>
      <c r="AC1692" s="509" t="b">
        <f>AC1687</f>
        <v>0</v>
      </c>
      <c r="AD1692" s="30"/>
      <c r="AE1692" s="510" t="str">
        <f>EUconst_CNTR_ActivityData&amp;EUconst_Unit</f>
        <v>ActivityData_Vienetas</v>
      </c>
      <c r="AF1692" s="511" t="str">
        <f>IF(AC1692=TRUE, IF(COUNTIF(MSPara_SourceStreamCategory,V1692)=0,"",INDEX(MSPara_CalcFactorsMatrix,MATCH(V1692,MSPara_SourceStreamCategory,0),MATCH(AE1692&amp;"_"&amp;2,MSPara_CalcFactors,0))),"")</f>
        <v/>
      </c>
      <c r="AG1692" s="512" t="str">
        <f>IF(AC1692=TRUE, IF(COUNTIF(MSPara_SourceStreamCategory,V1692)=0,"",INDEX(MSPara_CalcFactorsMatrix,MATCH(V1692,MSPara_SourceStreamCategory,0),MATCH(AE1692&amp;"_"&amp;1,MSPara_CalcFactors,0))),"")</f>
        <v/>
      </c>
      <c r="AH1692" s="509" t="str">
        <f>IF(OR(AF1692="",AF1692=EUconst_NA),IF(OR(AG1692=EUconst_NA,AG1692=""),"",AG1692),AF1692)</f>
        <v/>
      </c>
      <c r="AI1692" s="506" t="str">
        <f>IF(AC1692=TRUE,IF(AH1692="",EUconst_t,AH1692),"")</f>
        <v/>
      </c>
      <c r="AJ1692" s="513" t="str">
        <f>IF(J1692="",AI1692,J1692)</f>
        <v/>
      </c>
      <c r="AK1692" s="514" t="b">
        <f>IF(K1682=EUconst_Fuel,J1692&lt;&gt;"",FALSE)</f>
        <v>0</v>
      </c>
      <c r="AL1692" s="333"/>
      <c r="AM1692" s="505" t="str">
        <f>EUconst_CNTR_ActivityData&amp;EUconst_Value</f>
        <v>ActivityData_Vertė</v>
      </c>
      <c r="AN1692" s="496"/>
      <c r="AO1692" s="496"/>
      <c r="AP1692" s="509" t="b">
        <f>AND(AND(AH1692&lt;&gt;"",AJ1692&lt;&gt;""),AJ1692=AH1692)</f>
        <v>0</v>
      </c>
      <c r="AQ1692" s="610" t="str">
        <f>IF(L1687=TRUE,SUM(F1689)-SUM(H1689)+SUM(J1689)-SUM(L1689),"")</f>
        <v/>
      </c>
      <c r="AR1692" s="509">
        <f>IF(Y1692=EUconst_NA,0,IF(COUNT(K1692:L1692)=0,0,IF(L1692="",K1692,L1692)))</f>
        <v>0</v>
      </c>
      <c r="AS1692" s="1115" t="b">
        <f>AND(AC1692=TRUE,OR(L1692&lt;&gt;"",AQ1692=""))</f>
        <v>0</v>
      </c>
      <c r="AT1692" s="1115" t="b">
        <f>AND(AC1692=TRUE,NOT(AS1692))</f>
        <v>0</v>
      </c>
      <c r="AU1692" s="30"/>
      <c r="AV1692" s="483" t="s">
        <v>309</v>
      </c>
      <c r="AW1692" s="483" t="s">
        <v>314</v>
      </c>
      <c r="AX1692" s="515"/>
      <c r="AY1692" s="30" t="s">
        <v>536</v>
      </c>
      <c r="AZ1692" s="30"/>
      <c r="BA1692" s="30"/>
      <c r="BB1692" s="495"/>
      <c r="BC1692" s="484" t="str">
        <f>EUconst_Fuel</f>
        <v>Degimas</v>
      </c>
      <c r="BD1692" s="484" t="str">
        <f>EUconst_ProcessCarbonate</f>
        <v>Proceso metu išsiskiriančios ŠESD</v>
      </c>
      <c r="BE1692" s="484" t="str">
        <f>EUconst_MassBalance</f>
        <v>Masės balansas</v>
      </c>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515" t="b">
        <f>BZ1687</f>
        <v>1</v>
      </c>
    </row>
    <row r="1693" spans="1:78" s="140" customFormat="1" ht="5.0999999999999996" customHeight="1" thickBot="1" x14ac:dyDescent="0.25">
      <c r="A1693" s="777"/>
      <c r="B1693" s="1248"/>
      <c r="C1693" s="783"/>
      <c r="D1693" s="298"/>
      <c r="F1693" s="141"/>
      <c r="G1693" s="141"/>
      <c r="H1693" s="141" t="s">
        <v>233</v>
      </c>
      <c r="I1693" s="516"/>
      <c r="J1693" s="516"/>
      <c r="K1693" s="141"/>
      <c r="L1693" s="141"/>
      <c r="M1693" s="701"/>
      <c r="O1693" s="1305"/>
      <c r="P1693" s="33"/>
      <c r="Q1693" s="33"/>
      <c r="R1693" s="33"/>
      <c r="S1693" s="30"/>
      <c r="T1693" s="153"/>
      <c r="U1693" s="488"/>
      <c r="V1693" s="30"/>
      <c r="W1693" s="30"/>
      <c r="X1693" s="488"/>
      <c r="Y1693" s="517"/>
      <c r="Z1693" s="30"/>
      <c r="AA1693" s="30"/>
      <c r="AB1693" s="30"/>
      <c r="AC1693" s="30"/>
      <c r="AD1693" s="30"/>
      <c r="AE1693" s="30"/>
      <c r="AF1693" s="30"/>
      <c r="AG1693" s="30"/>
      <c r="AH1693" s="30"/>
      <c r="AI1693" s="30"/>
      <c r="AJ1693" s="30"/>
      <c r="AK1693" s="30"/>
      <c r="AL1693" s="333"/>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484"/>
    </row>
    <row r="1694" spans="1:78" s="140" customFormat="1" ht="12.75" customHeight="1" thickBot="1" x14ac:dyDescent="0.25">
      <c r="A1694" s="777"/>
      <c r="B1694" s="1248"/>
      <c r="C1694" s="783" t="s">
        <v>195</v>
      </c>
      <c r="D1694" s="503" t="str">
        <f>Translations!$B$634</f>
        <v>(prelim.) ITF:</v>
      </c>
      <c r="E1694" s="504"/>
      <c r="F1694" s="518"/>
      <c r="G1694" s="1603" t="str">
        <f t="shared" ref="G1694:G1700" si="420">IF(OR(ISBLANK(F1694),F1694=EUconst_NoTier),"",IF(Z1694=0,EUconst_NotApplicable,IF(ISERROR(Z1694),"",Z1694)))</f>
        <v/>
      </c>
      <c r="H1694" s="1609"/>
      <c r="I1694" s="1110" t="str">
        <f>IF(J1694&lt;&gt;"","",AI1694)</f>
        <v/>
      </c>
      <c r="J1694" s="1111"/>
      <c r="K1694" s="519" t="str">
        <f t="shared" ref="K1694:K1700" si="421">IF(L1694="",AQ1694,"")</f>
        <v/>
      </c>
      <c r="L1694" s="520"/>
      <c r="M1694" s="700" t="str">
        <f>IF(AND(E1683&lt;&gt;"",OR(F1694="",COUNT(K1694:L1694)=0),Y1694&lt;&gt;EUconst_NA,T1683&lt;&gt;TRUE),EUconst_ERR_Incomplete,IF(COUNTIF(AX1694:AZ1694,TRUE)&gt;0,EUconst_ERR_Inconsistent,""))</f>
        <v/>
      </c>
      <c r="N1694" s="486"/>
      <c r="O1694" s="1305"/>
      <c r="P1694" s="33"/>
      <c r="Q1694" s="33"/>
      <c r="R1694" s="33"/>
      <c r="S1694" s="30"/>
      <c r="T1694" s="521" t="str">
        <f>EUconst_CNTR_EF&amp;E1683</f>
        <v>EF_</v>
      </c>
      <c r="U1694" s="488"/>
      <c r="V1694" s="522" t="str">
        <f>V1692</f>
        <v/>
      </c>
      <c r="W1694" s="30"/>
      <c r="X1694" s="488"/>
      <c r="Y1694" s="523" t="str">
        <f>IF(OR(T1683=TRUE,E1683=""),"",IF(F1694=EUconst_NA,EUconst_NA,INDEX(EUwideConstants!$N:$N,MATCH(T1694,EUwideConstants!$Q:$Q,0))))</f>
        <v/>
      </c>
      <c r="Z1694" s="524" t="str">
        <f>IF(ISBLANK(F1694),"",IF(F1694=EUconst_NA,"",INDEX(EUwideConstants!$H:$M,MATCH(T1694,EUwideConstants!$Q:$Q,0),MATCH(F1694,CNTR_TierList,0))))</f>
        <v/>
      </c>
      <c r="AA1694" s="525" t="str">
        <f>IF(COUNTIF(EUconst_DefaultValues,Z1694)&gt;0,MATCH(Z1694,EUconst_DefaultValues,0),"")</f>
        <v/>
      </c>
      <c r="AB1694" s="30"/>
      <c r="AC1694" s="526" t="b">
        <f>AND(AC1692,Y1694&lt;&gt;EUconst_NA)</f>
        <v>0</v>
      </c>
      <c r="AD1694" s="30"/>
      <c r="AE1694" s="510" t="str">
        <f>EUconst_CNTR_EF&amp;EUconst_Unit</f>
        <v>EF_Vienetas</v>
      </c>
      <c r="AF1694" s="527" t="str">
        <f>IF(AC1694=TRUE, IF(COUNTIF(MSPara_SourceStreamCategory,V1694)=0,"",INDEX(MSPara_CalcFactorsMatrix,MATCH(V1694,MSPara_SourceStreamCategory,0),MATCH(AE1694&amp;"_"&amp;2,MSPara_CalcFactors,0))),"")</f>
        <v/>
      </c>
      <c r="AG1694" s="528" t="str">
        <f>IF(AC1694=TRUE, IF(COUNTIF(MSPara_SourceStreamCategory,V1694)=0,"",INDEX(MSPara_CalcFactorsMatrix,MATCH(V1694,MSPara_SourceStreamCategory,0),MATCH(AE1694&amp;"_"&amp;1,MSPara_CalcFactors,0))),"")</f>
        <v/>
      </c>
      <c r="AH1694" s="529" t="str">
        <f>IF(AA1694="","",INDEX(AF1694:AG1694,3-AA1694))</f>
        <v/>
      </c>
      <c r="AI1694" s="530" t="str">
        <f>IF(AC1694=TRUE,IF(OR(AH1694="",AH1694=EUconst_NA),IF(K1682=EUconst_Fuel,EUconst_tCO2pTJ,EUconst_tCO2pt),AH1694),"")</f>
        <v/>
      </c>
      <c r="AJ1694" s="526" t="str">
        <f>IF(J1694="",AI1694,J1694)</f>
        <v/>
      </c>
      <c r="AK1694" s="531" t="b">
        <f>IF(K1682=EUconst_Fuel,J1694&lt;&gt;"",FALSE)</f>
        <v>0</v>
      </c>
      <c r="AL1694" s="333"/>
      <c r="AM1694" s="510" t="str">
        <f>EUconst_CNTR_EF&amp;EUconst_Value</f>
        <v>EF_Vertė</v>
      </c>
      <c r="AN1694" s="532" t="str">
        <f>IF(AC1694=TRUE,IF(COUNTIF(MSPara_SourceStreamCategory,V1694)=0,"",INDEX(MSPara_CalcFactorsMatrix,MATCH(V1694,MSPara_SourceStreamCategory,0),MATCH(AM1694&amp;"_"&amp;2,MSPara_CalcFactors,0))),"")</f>
        <v/>
      </c>
      <c r="AO1694" s="533" t="str">
        <f>IF(AC1694=TRUE,IF(COUNTIF(MSPara_SourceStreamCategory,V1694)=0,"",INDEX(MSPara_CalcFactorsMatrix,MATCH(V1694,MSPara_SourceStreamCategory,0),MATCH(AM1694&amp;"_"&amp;1,MSPara_CalcFactors,0))),"")</f>
        <v/>
      </c>
      <c r="AP1694" s="526" t="b">
        <f>AND(AND(AH1694&lt;&gt;"",AJ1694&lt;&gt;""),AJ1694=AH1694)</f>
        <v>0</v>
      </c>
      <c r="AQ1694" s="534" t="str">
        <f>IF(AND(AA1694&lt;&gt;"",AP1694=TRUE),IF(OR(INDEX(AN1694:AO1694,3-AA1694)=EUconst_NA,INDEX(AN1694:AO1694,3-AA1694)=0),"",INDEX(AN1694:AO1694,3-AA1694)),"")</f>
        <v/>
      </c>
      <c r="AR1694" s="526">
        <f>IF(AC1694=TRUE,IF(COUNT(K1694:L1694)=0,0,IF(L1694="",K1694,L1694)),0)</f>
        <v>0</v>
      </c>
      <c r="AS1694" s="522" t="b">
        <f>AND(AC1694=TRUE,OR(AND(F1694&lt;&gt;"",NOT(ISNUMBER(AA1694))),L1694&lt;&gt;"",F1694="",AQ1694=""))</f>
        <v>0</v>
      </c>
      <c r="AT1694" s="522" t="b">
        <f t="shared" ref="AT1694:AT1700" si="422">AND(AC1694=TRUE,NOT(AS1694))</f>
        <v>0</v>
      </c>
      <c r="AU1694" s="30"/>
      <c r="AV1694" s="535" t="b">
        <f t="shared" ref="AV1694:AV1700" si="423">AND(ISNUMBER(AA1694),AQ1694="")</f>
        <v>0</v>
      </c>
      <c r="AW1694" s="536" t="b">
        <f t="shared" ref="AW1694:AW1700" si="424">AND(ISNUMBER(AA1694),AQ1694&lt;&gt;AR1694)</f>
        <v>0</v>
      </c>
      <c r="AX1694" s="537" t="b">
        <f>OR(AND(AJ1692=EUconst_kNm3,AJ1694=EUconst_tCO2pt),AND(AJ1692=EUconst_t,AJ1694=EUconst_tCO2pkNm3))</f>
        <v>0</v>
      </c>
      <c r="AY1694" s="522" t="b">
        <f t="shared" ref="AY1694:AY1700" si="425">AND(L1694&lt;&gt;"",Y1694=EUconst_NA)</f>
        <v>0</v>
      </c>
      <c r="AZ1694" s="30"/>
      <c r="BA1694" s="30"/>
      <c r="BB1694" s="538" t="s">
        <v>588</v>
      </c>
      <c r="BC1694" s="537" t="str">
        <f>IF(K1682=BC1692,AR1692*IF(AJ1694=EUconst_tCO2pTJ,(AR1695/1000),1)*AR1694*AR1696*AR1700,"")</f>
        <v/>
      </c>
      <c r="BD1694" s="515" t="str">
        <f>IF(K1682=BD1692,AR1692*AR1694*AR1697*AR1700,"")</f>
        <v/>
      </c>
      <c r="BE1694" s="514" t="str">
        <f>IF(K1682=BE1692,3.664*AR1692*AR1698*AR1700,"")</f>
        <v/>
      </c>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522" t="b">
        <f>OR(BZ1692,Y1694=EUconst_NA)</f>
        <v>1</v>
      </c>
    </row>
    <row r="1695" spans="1:78" s="140" customFormat="1" ht="12.75" customHeight="1" thickBot="1" x14ac:dyDescent="0.25">
      <c r="A1695" s="777"/>
      <c r="B1695" s="1248"/>
      <c r="C1695" s="783" t="s">
        <v>196</v>
      </c>
      <c r="D1695" s="503" t="str">
        <f>Translations!$B$636</f>
        <v>GŠV:</v>
      </c>
      <c r="E1695" s="504"/>
      <c r="F1695" s="539"/>
      <c r="G1695" s="1603" t="str">
        <f t="shared" si="420"/>
        <v/>
      </c>
      <c r="H1695" s="1604"/>
      <c r="I1695" s="1112" t="str">
        <f>AJ1695</f>
        <v/>
      </c>
      <c r="J1695" s="540"/>
      <c r="K1695" s="541" t="str">
        <f t="shared" si="421"/>
        <v/>
      </c>
      <c r="L1695" s="542"/>
      <c r="M1695" s="700" t="str">
        <f>IF(AND(E1683&lt;&gt;"",OR(F1695="",COUNT(K1695:L1695)=0),Y1695&lt;&gt;EUconst_NA,T1683&lt;&gt;TRUE),EUconst_ERR_Incomplete,IF(COUNTIF(AX1695:AZ1695,TRUE)&gt;0,EUconst_ERR_Inconsistent,""))</f>
        <v/>
      </c>
      <c r="O1695" s="1305"/>
      <c r="P1695" s="33"/>
      <c r="Q1695" s="33"/>
      <c r="R1695" s="33"/>
      <c r="S1695" s="30"/>
      <c r="T1695" s="543" t="str">
        <f>EUconst_CNTR_NCV&amp;E1683</f>
        <v>NCV_</v>
      </c>
      <c r="U1695" s="488"/>
      <c r="V1695" s="544" t="str">
        <f t="shared" ref="V1695:V1700" si="426">V1694</f>
        <v/>
      </c>
      <c r="W1695" s="30"/>
      <c r="X1695" s="488"/>
      <c r="Y1695" s="545" t="str">
        <f>IF(OR(T1683=TRUE,E1683=""),"",IF(F1695=EUconst_NA,EUconst_NA,INDEX(EUwideConstants!$N:$N,MATCH(T1695,EUwideConstants!$Q:$Q,0))))</f>
        <v/>
      </c>
      <c r="Z1695" s="546" t="str">
        <f>IF(ISBLANK(F1695),"",IF(F1695=EUconst_NA,"",INDEX(EUwideConstants!$H:$M,MATCH(T1695,EUwideConstants!$Q:$Q,0),MATCH(F1695,CNTR_TierList,0))))</f>
        <v/>
      </c>
      <c r="AA1695" s="547" t="str">
        <f>IF(COUNTIF(EUconst_DefaultValues,Z1695)&gt;0,MATCH(Z1695,EUconst_DefaultValues,0),"")</f>
        <v/>
      </c>
      <c r="AB1695" s="30"/>
      <c r="AC1695" s="548" t="b">
        <f>AND(AC1692,Y1695&lt;&gt;EUconst_NA)</f>
        <v>0</v>
      </c>
      <c r="AD1695" s="30"/>
      <c r="AE1695" s="549" t="str">
        <f>EUconst_CNTR_NCV&amp;EUconst_Unit</f>
        <v>NCV_Vienetas</v>
      </c>
      <c r="AF1695" s="550" t="str">
        <f>IF(AC1695=TRUE, IF(COUNTIF(MSPara_SourceStreamCategory,V1695)=0,"",INDEX(MSPara_CalcFactorsMatrix,MATCH(V1695,MSPara_SourceStreamCategory,0),MATCH(AE1695&amp;"_"&amp;2,MSPara_CalcFactors,0))),"")</f>
        <v/>
      </c>
      <c r="AG1695" s="551" t="str">
        <f>IF(AC1695=TRUE, IF(COUNTIF(MSPara_SourceStreamCategory,V1695)=0,"",INDEX(MSPara_CalcFactorsMatrix,MATCH(V1695,MSPara_SourceStreamCategory,0),MATCH(AE1695&amp;"_"&amp;1,MSPara_CalcFactors,0))),"")</f>
        <v/>
      </c>
      <c r="AH1695" s="552" t="str">
        <f>IF(AA1695="","",INDEX(AF1695:AG1695,3-AA1695))</f>
        <v/>
      </c>
      <c r="AI1695" s="553"/>
      <c r="AJ1695" s="548" t="str">
        <f>IF(AC1695=TRUE,IF(AJ1692="","",IF(AJ1692=EUconst_kNm3,EUconst_GJpkNm3,EUconst_GJpt)),"")</f>
        <v/>
      </c>
      <c r="AK1695" s="554"/>
      <c r="AL1695" s="333"/>
      <c r="AM1695" s="549" t="str">
        <f>EUconst_CNTR_NCV&amp;EUconst_Value</f>
        <v>NCV_Vertė</v>
      </c>
      <c r="AN1695" s="555" t="str">
        <f>IF(AC1695=TRUE,IF(COUNTIF(MSPara_SourceStreamCategory,V1695)=0,"",INDEX(MSPara_CalcFactorsMatrix,MATCH(V1695,MSPara_SourceStreamCategory,0),MATCH(AM1695&amp;"_"&amp;2,MSPara_CalcFactors,0))),"")</f>
        <v/>
      </c>
      <c r="AO1695" s="556" t="str">
        <f>IF(AC1695=TRUE,IF(COUNTIF(MSPara_SourceStreamCategory,V1695)=0,"",INDEX(MSPara_CalcFactorsMatrix,MATCH(V1695,MSPara_SourceStreamCategory,0),MATCH(AM1695&amp;"_"&amp;1,MSPara_CalcFactors,0))),"")</f>
        <v/>
      </c>
      <c r="AP1695" s="548" t="b">
        <f>AND(AND(AH1695&lt;&gt;"",AJ1695&lt;&gt;""),AJ1695=AH1695)</f>
        <v>0</v>
      </c>
      <c r="AQ1695" s="557" t="str">
        <f>IF(AND(AA1695&lt;&gt;"",AP1695=TRUE),IF(OR(INDEX(AN1695:AO1695,3-AA1695)=EUconst_NA,INDEX(AN1695:AO1695,3-AA1695)=0),"",INDEX(AN1695:AO1695,3-AA1695)),"")</f>
        <v/>
      </c>
      <c r="AR1695" s="548">
        <f>IF(AC1695=TRUE,IF(COUNT(K1695:L1695)=0,0,IF(L1695="",K1695,L1695)),0)</f>
        <v>0</v>
      </c>
      <c r="AS1695" s="544" t="b">
        <f>AND(AC1695=TRUE,OR(AND(F1695&lt;&gt;"",NOT(ISNUMBER(AA1695))),L1695&lt;&gt;"",F1695="",AQ1695=""))</f>
        <v>0</v>
      </c>
      <c r="AT1695" s="544" t="b">
        <f t="shared" si="422"/>
        <v>0</v>
      </c>
      <c r="AU1695" s="30"/>
      <c r="AV1695" s="558" t="b">
        <f t="shared" si="423"/>
        <v>0</v>
      </c>
      <c r="AW1695" s="559" t="b">
        <f t="shared" si="424"/>
        <v>0</v>
      </c>
      <c r="AX1695" s="30"/>
      <c r="AY1695" s="544" t="b">
        <f t="shared" si="425"/>
        <v>0</v>
      </c>
      <c r="AZ1695" s="30"/>
      <c r="BA1695" s="30"/>
      <c r="BB1695" s="538" t="s">
        <v>589</v>
      </c>
      <c r="BC1695" s="537" t="str">
        <f>IF(K1682=BC1692,AR1692*IF(AJ1694=EUconst_tCO2pTJ,(AR1695/1000),1)*AR1694*AR1696*AR1699,"")</f>
        <v/>
      </c>
      <c r="BD1695" s="515" t="str">
        <f>IF(K1682=BD1692,AR1692*AR1694*AR1697*AR1699,"")</f>
        <v/>
      </c>
      <c r="BE1695" s="514" t="str">
        <f>IF(K1682=BE1692,3.664*AR1692*AR1698*AR1699,"")</f>
        <v/>
      </c>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544" t="b">
        <f>OR(BZ1692,Y1695=EUconst_NA)</f>
        <v>1</v>
      </c>
    </row>
    <row r="1696" spans="1:78" s="140" customFormat="1" ht="12.75" customHeight="1" thickBot="1" x14ac:dyDescent="0.25">
      <c r="A1696" s="777"/>
      <c r="B1696" s="1248"/>
      <c r="C1696" s="783" t="s">
        <v>197</v>
      </c>
      <c r="D1696" s="503" t="str">
        <f>Translations!$B$638</f>
        <v>Oksidacijos koef.:</v>
      </c>
      <c r="E1696" s="504"/>
      <c r="F1696" s="539"/>
      <c r="G1696" s="1603" t="str">
        <f t="shared" si="420"/>
        <v/>
      </c>
      <c r="H1696" s="1604"/>
      <c r="I1696" s="1113" t="str">
        <f>IF(OR(AC1696=FALSE,Y1696=EUconst_NA),"","-")</f>
        <v/>
      </c>
      <c r="J1696" s="560"/>
      <c r="K1696" s="561" t="str">
        <f t="shared" si="421"/>
        <v/>
      </c>
      <c r="L1696" s="694"/>
      <c r="M1696" s="700" t="str">
        <f>IF(AND(E1683&lt;&gt;"",OR(F1696="",COUNT(K1696:L1696)=0),Y1696&lt;&gt;EUconst_NA,T1683&lt;&gt;TRUE),EUconst_ERR_Incomplete,IF(COUNTIF(AX1696:AZ1696,TRUE)&gt;0,EUconst_ERR_Inconsistent,""))</f>
        <v/>
      </c>
      <c r="O1696" s="1305"/>
      <c r="P1696" s="33"/>
      <c r="Q1696" s="33"/>
      <c r="R1696" s="33"/>
      <c r="S1696" s="30"/>
      <c r="T1696" s="543" t="str">
        <f>EUconst_CNTR_OxidationFactor&amp;E1683</f>
        <v>OxF_</v>
      </c>
      <c r="U1696" s="488"/>
      <c r="V1696" s="544" t="str">
        <f t="shared" si="426"/>
        <v/>
      </c>
      <c r="W1696" s="30"/>
      <c r="X1696" s="488"/>
      <c r="Y1696" s="545" t="str">
        <f>IF(OR(T1683=TRUE,E1683=""),"",INDEX(EUwideConstants!$N:$N,MATCH(T1696,EUwideConstants!$Q:$Q,0)))</f>
        <v/>
      </c>
      <c r="Z1696" s="546" t="str">
        <f>IF(ISBLANK(F1696),"",IF(F1696=EUconst_NA,"",INDEX(EUwideConstants!$H:$M,MATCH(T1696,EUwideConstants!$Q:$Q,0),MATCH(F1696,CNTR_TierList,0))))</f>
        <v/>
      </c>
      <c r="AA1696" s="525" t="str">
        <f>IF(F1696=1,1,"")</f>
        <v/>
      </c>
      <c r="AB1696" s="30"/>
      <c r="AC1696" s="548" t="b">
        <f>AND(AC1692,Y1696&lt;&gt;EUconst_NA)</f>
        <v>0</v>
      </c>
      <c r="AD1696" s="30"/>
      <c r="AE1696" s="563"/>
      <c r="AG1696" s="564"/>
      <c r="AH1696" s="553"/>
      <c r="AI1696" s="565"/>
      <c r="AJ1696" s="553"/>
      <c r="AK1696" s="566"/>
      <c r="AL1696" s="333"/>
      <c r="AM1696" s="549" t="str">
        <f>EUconst_CNTR_OxidationFactor&amp;EUconst_Value</f>
        <v>OxF_Vertė</v>
      </c>
      <c r="AN1696" s="567"/>
      <c r="AO1696" s="525">
        <v>1</v>
      </c>
      <c r="AP1696" s="553"/>
      <c r="AQ1696" s="568" t="str">
        <f>IF(AA1696="","",AO1696)</f>
        <v/>
      </c>
      <c r="AR1696" s="548">
        <f>IF(AC1696=TRUE,IF(COUNT(K1696:L1696)=0,0,IF(L1696="",K1696,L1696)),1)</f>
        <v>1</v>
      </c>
      <c r="AS1696" s="544" t="b">
        <f>AND(AC1696=TRUE,OR(ISNUMBER(L1696),NOT(ISNUMBER(AA1696))))</f>
        <v>0</v>
      </c>
      <c r="AT1696" s="544" t="b">
        <f t="shared" si="422"/>
        <v>0</v>
      </c>
      <c r="AU1696" s="30"/>
      <c r="AV1696" s="558" t="b">
        <f t="shared" si="423"/>
        <v>0</v>
      </c>
      <c r="AW1696" s="559" t="b">
        <f t="shared" si="424"/>
        <v>0</v>
      </c>
      <c r="AX1696" s="30"/>
      <c r="AY1696" s="585" t="b">
        <f t="shared" si="425"/>
        <v>0</v>
      </c>
      <c r="AZ1696" s="522" t="b">
        <f>AR1696&gt;100%</f>
        <v>0</v>
      </c>
      <c r="BA1696" s="30"/>
      <c r="BB1696" s="538" t="s">
        <v>287</v>
      </c>
      <c r="BC1696" s="537" t="str">
        <f>IF(K1682=BC1692,AR1692*IF(AJ1694=EUconst_tCO2pTJ,(AR1695/1000),1)*AR1694*AR1696*(1-AR1699),"")</f>
        <v/>
      </c>
      <c r="BD1696" s="515" t="str">
        <f>IF(K1682=BD1692,AR1692*AR1694*AR1697*(1-AR1699),"")</f>
        <v/>
      </c>
      <c r="BE1696" s="514" t="str">
        <f>IF(K1682=BE1692,3.664*AR1692*AR1698*(1-AR1699),"")</f>
        <v/>
      </c>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544" t="b">
        <f>OR(BZ1692,Y1696=EUconst_NA)</f>
        <v>1</v>
      </c>
    </row>
    <row r="1697" spans="1:78" s="140" customFormat="1" ht="12.75" customHeight="1" thickBot="1" x14ac:dyDescent="0.25">
      <c r="A1697" s="777"/>
      <c r="B1697" s="1248"/>
      <c r="C1697" s="783" t="s">
        <v>198</v>
      </c>
      <c r="D1697" s="503" t="str">
        <f>Translations!$B$639</f>
        <v>Konversijos koef.:</v>
      </c>
      <c r="E1697" s="504"/>
      <c r="F1697" s="539"/>
      <c r="G1697" s="1603" t="str">
        <f t="shared" si="420"/>
        <v/>
      </c>
      <c r="H1697" s="1604"/>
      <c r="I1697" s="1113" t="str">
        <f>IF(OR(AC1697=FALSE,Y1697=EUconst_NA),"","-")</f>
        <v/>
      </c>
      <c r="J1697" s="560"/>
      <c r="K1697" s="561" t="str">
        <f t="shared" si="421"/>
        <v/>
      </c>
      <c r="L1697" s="694"/>
      <c r="M1697" s="700" t="str">
        <f>IF(AND(E1683&lt;&gt;"",OR(F1697="",COUNT(K1697:L1697)=0),Y1697&lt;&gt;EUconst_NA,T1683&lt;&gt;TRUE),EUconst_ERR_Incomplete,IF(COUNTIF(AX1697:AZ1697,TRUE)&gt;0,EUconst_ERR_Inconsistent,""))</f>
        <v/>
      </c>
      <c r="O1697" s="1305"/>
      <c r="P1697" s="33"/>
      <c r="Q1697" s="33"/>
      <c r="R1697" s="33"/>
      <c r="S1697" s="30"/>
      <c r="T1697" s="543" t="str">
        <f>EUconst_CNTR_ConversionFactor&amp;E1683</f>
        <v>ConvF_</v>
      </c>
      <c r="U1697" s="488"/>
      <c r="V1697" s="544" t="str">
        <f t="shared" si="426"/>
        <v/>
      </c>
      <c r="W1697" s="30"/>
      <c r="X1697" s="488"/>
      <c r="Y1697" s="545" t="str">
        <f>IF(OR(T1683=TRUE,E1683=""),"",INDEX(EUwideConstants!$N:$N,MATCH(T1697,EUwideConstants!$Q:$Q,0)))</f>
        <v/>
      </c>
      <c r="Z1697" s="546" t="str">
        <f>IF(ISBLANK(F1697),"",IF(F1697=EUconst_NA,"",INDEX(EUwideConstants!$H:$M,MATCH(T1697,EUwideConstants!$Q:$Q,0),MATCH(F1697,CNTR_TierList,0))))</f>
        <v/>
      </c>
      <c r="AA1697" s="573" t="str">
        <f>IF(F1697=1,1,"")</f>
        <v/>
      </c>
      <c r="AB1697" s="30"/>
      <c r="AC1697" s="548" t="b">
        <f>AND(AC1692,Y1697&lt;&gt;EUconst_NA)</f>
        <v>0</v>
      </c>
      <c r="AD1697" s="30"/>
      <c r="AE1697" s="563"/>
      <c r="AG1697" s="564"/>
      <c r="AH1697" s="574"/>
      <c r="AI1697" s="565"/>
      <c r="AJ1697" s="574"/>
      <c r="AK1697" s="566"/>
      <c r="AL1697" s="333"/>
      <c r="AM1697" s="549" t="str">
        <f>EUconst_CNTR_ConversionFactor&amp;EUconst_Value</f>
        <v>ConvF_Vertė</v>
      </c>
      <c r="AN1697" s="575"/>
      <c r="AO1697" s="573">
        <v>1</v>
      </c>
      <c r="AP1697" s="574"/>
      <c r="AQ1697" s="576" t="str">
        <f>IF(AA1697="","",AO1697)</f>
        <v/>
      </c>
      <c r="AR1697" s="548">
        <f>IF(AC1697=TRUE,IF(COUNT(K1697:L1697)=0,0,IF(L1697="",K1697,L1697)),1)</f>
        <v>1</v>
      </c>
      <c r="AS1697" s="544" t="b">
        <f>AND(AC1697=TRUE,OR(ISNUMBER(L1697),NOT(ISNUMBER(AA1697))))</f>
        <v>0</v>
      </c>
      <c r="AT1697" s="544" t="b">
        <f t="shared" si="422"/>
        <v>0</v>
      </c>
      <c r="AU1697" s="30"/>
      <c r="AV1697" s="558" t="b">
        <f t="shared" si="423"/>
        <v>0</v>
      </c>
      <c r="AW1697" s="559" t="b">
        <f t="shared" si="424"/>
        <v>0</v>
      </c>
      <c r="AX1697" s="30"/>
      <c r="AY1697" s="585" t="b">
        <f t="shared" si="425"/>
        <v>0</v>
      </c>
      <c r="AZ1697" s="571" t="b">
        <f>AR1697&gt;100%</f>
        <v>0</v>
      </c>
      <c r="BA1697" s="30"/>
      <c r="BB1697" s="569" t="s">
        <v>481</v>
      </c>
      <c r="BC1697" s="570">
        <f>AR1692*AR1695/1000*(1-AR1699)</f>
        <v>0</v>
      </c>
      <c r="BD1697" s="571">
        <f>BC1697</f>
        <v>0</v>
      </c>
      <c r="BE1697" s="572">
        <f>BC1697</f>
        <v>0</v>
      </c>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544" t="b">
        <f>OR(BZ1692,Y1697=EUconst_NA)</f>
        <v>1</v>
      </c>
    </row>
    <row r="1698" spans="1:78" s="140" customFormat="1" ht="12.75" customHeight="1" thickBot="1" x14ac:dyDescent="0.25">
      <c r="A1698" s="777"/>
      <c r="B1698" s="1248"/>
      <c r="C1698" s="783" t="s">
        <v>324</v>
      </c>
      <c r="D1698" s="503" t="str">
        <f>Translations!$B$640</f>
        <v>Anglies kiekis (C):</v>
      </c>
      <c r="E1698" s="504"/>
      <c r="F1698" s="539"/>
      <c r="G1698" s="1603" t="str">
        <f t="shared" si="420"/>
        <v/>
      </c>
      <c r="H1698" s="1604"/>
      <c r="I1698" s="1113" t="str">
        <f>AJ1698</f>
        <v/>
      </c>
      <c r="J1698" s="577"/>
      <c r="K1698" s="578" t="str">
        <f t="shared" si="421"/>
        <v/>
      </c>
      <c r="L1698" s="579"/>
      <c r="M1698" s="700" t="str">
        <f>IF(AND(E1683&lt;&gt;"",OR(F1698="",COUNT(K1698:L1698)=0),Y1698&lt;&gt;EUconst_NA,T1683&lt;&gt;TRUE),EUconst_ERR_Incomplete,IF(COUNTIF(AX1698:AZ1698,TRUE)&gt;0,EUconst_ERR_Inconsistent,""))</f>
        <v/>
      </c>
      <c r="O1698" s="1305"/>
      <c r="P1698" s="33"/>
      <c r="Q1698" s="33"/>
      <c r="R1698" s="33"/>
      <c r="S1698" s="30"/>
      <c r="T1698" s="543" t="str">
        <f>EUconst_CNTR_CarbonContent&amp;E1683</f>
        <v>CarbC_</v>
      </c>
      <c r="U1698" s="488"/>
      <c r="V1698" s="544" t="str">
        <f t="shared" si="426"/>
        <v/>
      </c>
      <c r="W1698" s="30"/>
      <c r="X1698" s="488"/>
      <c r="Y1698" s="545" t="str">
        <f>IF(OR(T1683=TRUE,E1683=""),"",INDEX(EUwideConstants!$N:$N,MATCH(T1698,EUwideConstants!$Q:$Q,0)))</f>
        <v/>
      </c>
      <c r="Z1698" s="546" t="str">
        <f>IF(ISBLANK(F1698),"",IF(F1698=EUconst_NA,"",INDEX(EUwideConstants!$H:$M,MATCH(T1698,EUwideConstants!$Q:$Q,0),MATCH(F1698,CNTR_TierList,0))))</f>
        <v/>
      </c>
      <c r="AA1698" s="580" t="str">
        <f>IF(COUNTIF(EUconst_DefaultValues,Z1698)&gt;0,MATCH(Z1698,EUconst_DefaultValues,0),"")</f>
        <v/>
      </c>
      <c r="AB1698" s="30"/>
      <c r="AC1698" s="548" t="b">
        <f>AND(AC1692,Y1698&lt;&gt;EUconst_NA)</f>
        <v>0</v>
      </c>
      <c r="AD1698" s="30"/>
      <c r="AE1698" s="549" t="str">
        <f>EUconst_CNTR_CarbonContent&amp;EUconst_Unit</f>
        <v>CarbC_Vienetas</v>
      </c>
      <c r="AF1698" s="550" t="str">
        <f>IF(AC1698=TRUE, IF(COUNTIF(MSPara_SourceStreamCategory,V1698)=0,"",INDEX(MSPara_CalcFactorsMatrix,MATCH(V1698,MSPara_SourceStreamCategory,0),MATCH(AE1698&amp;"_"&amp;2,MSPara_CalcFactors,0))),"")</f>
        <v/>
      </c>
      <c r="AG1698" s="551" t="str">
        <f>IF(AC1698=TRUE, IF(COUNTIF(MSPara_SourceStreamCategory,V1698)=0,"",INDEX(MSPara_CalcFactorsMatrix,MATCH(V1698,MSPara_SourceStreamCategory,0),MATCH(AE1698&amp;"_"&amp;1,MSPara_CalcFactors,0))),"")</f>
        <v/>
      </c>
      <c r="AH1698" s="581" t="str">
        <f>IF(AA1698="","",INDEX(AF1698:AG1698,3-AA1698))</f>
        <v/>
      </c>
      <c r="AI1698" s="565"/>
      <c r="AJ1698" s="582" t="str">
        <f>IF(AC1698=TRUE,IF(AJ1692="","",IF(AJ1692=EUconst_kNm3,EUconst_tCpkNm3,EUconst_tCpt)),"")</f>
        <v/>
      </c>
      <c r="AK1698" s="566"/>
      <c r="AL1698" s="333"/>
      <c r="AM1698" s="549" t="str">
        <f>EUconst_CNTR_CarbonContent&amp;EUconst_Value</f>
        <v>CarbC_Vertė</v>
      </c>
      <c r="AN1698" s="555" t="str">
        <f>IF(AC1698=TRUE,IF(COUNTIF(MSPara_SourceStreamCategory,V1698)=0,"",INDEX(MSPara_CalcFactorsMatrix,MATCH(V1698,MSPara_SourceStreamCategory,0),MATCH(AM1698&amp;"_"&amp;2,MSPara_CalcFactors,0))),"")</f>
        <v/>
      </c>
      <c r="AO1698" s="583" t="str">
        <f>IF(AC1698=TRUE,IF(COUNTIF(MSPara_SourceStreamCategory,V1698)=0,"",INDEX(MSPara_CalcFactorsMatrix,MATCH(V1698,MSPara_SourceStreamCategory,0),MATCH(AM1698&amp;"_"&amp;1,MSPara_CalcFactors,0))),"")</f>
        <v/>
      </c>
      <c r="AP1698" s="548" t="b">
        <f>AND(AND(AH1698&lt;&gt;"",AJ1698&lt;&gt;""),AJ1698=AH1698)</f>
        <v>0</v>
      </c>
      <c r="AQ1698" s="584" t="str">
        <f>IF(AND(AA1698&lt;&gt;"",AP1698=TRUE),IF(OR(INDEX(AN1698:AO1698,3-AA1698)=EUconst_NA,INDEX(AN1698:AO1698,3-AA1698)=0),"",INDEX(AN1698:AO1698,3-AA1698)),"")</f>
        <v/>
      </c>
      <c r="AR1698" s="548">
        <f>IF(AC1698=TRUE,IF(COUNT(K1698:L1698)=0,0,IF(L1698="",K1698,L1698)),0)</f>
        <v>0</v>
      </c>
      <c r="AS1698" s="544" t="b">
        <f>AND(AC1698=TRUE,OR(AND(F1698&lt;&gt;"",NOT(ISNUMBER(AA1698))),L1698&lt;&gt;"",F1698="",AQ1698=""))</f>
        <v>0</v>
      </c>
      <c r="AT1698" s="544" t="b">
        <f t="shared" si="422"/>
        <v>0</v>
      </c>
      <c r="AU1698" s="30"/>
      <c r="AV1698" s="558" t="b">
        <f t="shared" si="423"/>
        <v>0</v>
      </c>
      <c r="AW1698" s="559" t="b">
        <f t="shared" si="424"/>
        <v>0</v>
      </c>
      <c r="AX1698" s="537" t="b">
        <f>OR(AND(AJ1692=EUconst_kNm3,AJ1698=EUconst_tCpt),AND(AJ1692=EUconst_t,AJ1698=EUconst_tCpkNm3))</f>
        <v>0</v>
      </c>
      <c r="AY1698" s="544" t="b">
        <f t="shared" si="425"/>
        <v>0</v>
      </c>
      <c r="AZ1698" s="30"/>
      <c r="BA1698" s="30"/>
      <c r="BB1698" s="569" t="s">
        <v>482</v>
      </c>
      <c r="BC1698" s="570">
        <f>AR1692*AR1695/1000*AR1699</f>
        <v>0</v>
      </c>
      <c r="BD1698" s="571">
        <f>BC1698</f>
        <v>0</v>
      </c>
      <c r="BE1698" s="572">
        <f>BC1698</f>
        <v>0</v>
      </c>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544" t="b">
        <f>OR(BZ1692,Y1698=EUconst_NA)</f>
        <v>1</v>
      </c>
    </row>
    <row r="1699" spans="1:78" s="140" customFormat="1" ht="12.75" customHeight="1" x14ac:dyDescent="0.2">
      <c r="A1699" s="777"/>
      <c r="B1699" s="1248"/>
      <c r="C1699" s="753" t="s">
        <v>325</v>
      </c>
      <c r="D1699" s="503" t="str">
        <f>Translations!$B$641</f>
        <v>Biomasės dalis (BioC):</v>
      </c>
      <c r="E1699" s="504"/>
      <c r="F1699" s="539"/>
      <c r="G1699" s="1603" t="str">
        <f t="shared" si="420"/>
        <v/>
      </c>
      <c r="H1699" s="1604"/>
      <c r="I1699" s="1113" t="str">
        <f>IF(OR(AC1699=FALSE,Y1699=EUconst_NA),"","-")</f>
        <v/>
      </c>
      <c r="J1699" s="560"/>
      <c r="K1699" s="561" t="str">
        <f t="shared" si="421"/>
        <v/>
      </c>
      <c r="L1699" s="694"/>
      <c r="M1699" s="700" t="str">
        <f>IF(AND(E1683&lt;&gt;"",OR(F1699="",COUNT(K1699:L1699)=0),Y1699&lt;&gt;EUconst_NA,T1683&lt;&gt;TRUE),EUconst_ERR_Incomplete,IF(COUNTIF(AX1699:AZ1699,TRUE)&gt;0,EUconst_ERR_Inconsistent,""))</f>
        <v/>
      </c>
      <c r="O1699" s="1305"/>
      <c r="P1699" s="635"/>
      <c r="Q1699" s="635"/>
      <c r="R1699" s="635"/>
      <c r="S1699" s="30"/>
      <c r="T1699" s="543" t="str">
        <f>EUconst_CNTR_BiomassContent&amp;E1683</f>
        <v>BioC_</v>
      </c>
      <c r="U1699" s="488"/>
      <c r="V1699" s="585" t="str">
        <f t="shared" si="426"/>
        <v/>
      </c>
      <c r="W1699" s="522" t="str">
        <f>IF(COUNTIF(MSPara_SourceStreamCategory,V1699)=0,"",INDEX(MSPara_IsFossil,MATCH(V1699,MSPara_SourceStreamCategory,0)))</f>
        <v/>
      </c>
      <c r="X1699" s="488"/>
      <c r="Y1699" s="545" t="str">
        <f>IF(OR(T1683=TRUE,E1683=""),"",IF(OR(W1699=TRUE,F1699=EUconst_NA),EUconst_NA,INDEX(EUwideConstants!$N:$N,MATCH(T1699,EUwideConstants!$Q:$Q,0))))</f>
        <v/>
      </c>
      <c r="Z1699" s="546" t="str">
        <f>IF(ISBLANK(F1699),"",IF(F1699=EUconst_NA,"",INDEX(EUwideConstants!$H:$M,MATCH(T1699,EUwideConstants!$Q:$Q,0),MATCH(F1699,CNTR_TierList,0))))</f>
        <v/>
      </c>
      <c r="AA1699" s="586" t="str">
        <f>IF(F1699=1,1,"")</f>
        <v/>
      </c>
      <c r="AB1699" s="30"/>
      <c r="AC1699" s="548" t="b">
        <f>AND(AC1692,Y1699&lt;&gt;EUconst_NA)</f>
        <v>0</v>
      </c>
      <c r="AD1699" s="30"/>
      <c r="AE1699" s="563"/>
      <c r="AG1699" s="564"/>
      <c r="AH1699" s="553"/>
      <c r="AI1699" s="565"/>
      <c r="AJ1699" s="553"/>
      <c r="AK1699" s="566"/>
      <c r="AL1699" s="333"/>
      <c r="AM1699" s="549" t="str">
        <f>EUconst_CNTR_BiomassContent&amp;EUconst_Value</f>
        <v>BioC_Vertė</v>
      </c>
      <c r="AO1699" s="587" t="str">
        <f>IF(AC1699=TRUE,IF(COUNTIF(MSPara_SourceStreamCategory,V1699)=0,"",INDEX(MSPara_CalcFactorsMatrix,MATCH(V1699,MSPara_SourceStreamCategory,0),MATCH(AM1699&amp;"_"&amp;2,MSPara_CalcFactors,0))),"")</f>
        <v/>
      </c>
      <c r="AP1699" s="553"/>
      <c r="AQ1699" s="568" t="str">
        <f>IF(OR(AA1699="",AO1699=EUconst_NA),"",AO1699)</f>
        <v/>
      </c>
      <c r="AR1699" s="548">
        <f>IF(AC1699=TRUE,IF(COUNT(K1699:L1699)=0,0,IF(L1699="",K1699,L1699)),0)</f>
        <v>0</v>
      </c>
      <c r="AS1699" s="544" t="b">
        <f>AND(AC1699=TRUE,OR(AND(F1699&lt;&gt;"",NOT(ISNUMBER(AA1699))),L1699&lt;&gt;"",F1699="",AQ1699=""))</f>
        <v>0</v>
      </c>
      <c r="AT1699" s="544" t="b">
        <f t="shared" si="422"/>
        <v>0</v>
      </c>
      <c r="AU1699" s="30"/>
      <c r="AV1699" s="558" t="b">
        <f t="shared" si="423"/>
        <v>0</v>
      </c>
      <c r="AW1699" s="559" t="b">
        <f t="shared" si="424"/>
        <v>0</v>
      </c>
      <c r="AX1699" s="30"/>
      <c r="AY1699" s="585" t="b">
        <f t="shared" si="425"/>
        <v>0</v>
      </c>
      <c r="AZ1699" s="522" t="b">
        <f>OR(AR1699&gt;100%,(AR1699+AR1700)&gt;100%)</f>
        <v>0</v>
      </c>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544" t="b">
        <f>OR(BZ1692,Y1699=EUconst_NA)</f>
        <v>1</v>
      </c>
    </row>
    <row r="1700" spans="1:78" s="140" customFormat="1" ht="12.75" customHeight="1" thickBot="1" x14ac:dyDescent="0.25">
      <c r="A1700" s="777"/>
      <c r="B1700" s="1248"/>
      <c r="C1700" s="753" t="s">
        <v>448</v>
      </c>
      <c r="D1700" s="503" t="str">
        <f>Translations!$B$647</f>
        <v>Netvarios BioC dalis:</v>
      </c>
      <c r="E1700" s="504"/>
      <c r="F1700" s="588"/>
      <c r="G1700" s="1603" t="str">
        <f t="shared" si="420"/>
        <v/>
      </c>
      <c r="H1700" s="1604"/>
      <c r="I1700" s="1114" t="str">
        <f>IF(OR(AC1700=FALSE,Y1700=EUconst_NA),"","-")</f>
        <v/>
      </c>
      <c r="J1700" s="560"/>
      <c r="K1700" s="589" t="str">
        <f t="shared" si="421"/>
        <v/>
      </c>
      <c r="L1700" s="1100"/>
      <c r="M1700" s="700" t="str">
        <f>IF(AND(E1683&lt;&gt;"",OR(F1700="",COUNT(K1700:L1700)=0),Y1700&lt;&gt;EUconst_NA,T1683&lt;&gt;TRUE),EUconst_ERR_Incomplete,IF(COUNTIF(AX1700:AZ1700,TRUE)&gt;0,EUconst_ERR_Inconsistent,""))</f>
        <v/>
      </c>
      <c r="O1700" s="1305"/>
      <c r="P1700" s="635"/>
      <c r="Q1700" s="635"/>
      <c r="R1700" s="635"/>
      <c r="S1700" s="30"/>
      <c r="T1700" s="590" t="str">
        <f>EUconst_CNTR_BiomassContent&amp;E1683</f>
        <v>BioC_</v>
      </c>
      <c r="U1700" s="488"/>
      <c r="V1700" s="570" t="str">
        <f t="shared" si="426"/>
        <v/>
      </c>
      <c r="W1700" s="571" t="str">
        <f>IF(COUNTIF(MSPara_SourceStreamCategory,V1700)=0,"",INDEX(MSPara_IsFossil,MATCH(V1700,MSPara_SourceStreamCategory,0)))</f>
        <v/>
      </c>
      <c r="X1700" s="488"/>
      <c r="Y1700" s="591" t="str">
        <f>IF(OR(T1683=TRUE,E1683=""),"",IF(OR(W1700=TRUE,F1700=EUconst_NA),EUconst_NA,INDEX(EUwideConstants!$N:$N,MATCH(T1700,EUwideConstants!$Q:$Q,0))))</f>
        <v/>
      </c>
      <c r="Z1700" s="592" t="str">
        <f>IF(ISBLANK(F1700),"",IF(F1700=EUconst_NA,"",INDEX(EUwideConstants!$H:$M,MATCH(T1700,EUwideConstants!$Q:$Q,0),MATCH(F1700,CNTR_TierList,0))))</f>
        <v/>
      </c>
      <c r="AA1700" s="593" t="str">
        <f>IF(F1700=1,1,"")</f>
        <v/>
      </c>
      <c r="AB1700" s="30"/>
      <c r="AC1700" s="594" t="b">
        <f>AND(AC1692,Y1700&lt;&gt;EUconst_NA)</f>
        <v>0</v>
      </c>
      <c r="AD1700" s="30"/>
      <c r="AE1700" s="595"/>
      <c r="AF1700" s="596"/>
      <c r="AG1700" s="597"/>
      <c r="AH1700" s="598"/>
      <c r="AI1700" s="598"/>
      <c r="AJ1700" s="598"/>
      <c r="AK1700" s="599"/>
      <c r="AL1700" s="333"/>
      <c r="AM1700" s="600" t="str">
        <f>EUconst_CNTR_BiomassContent&amp;EUconst_Value</f>
        <v>BioC_Vertė</v>
      </c>
      <c r="AN1700" s="596"/>
      <c r="AO1700" s="601" t="str">
        <f>IF(AC1700=TRUE,IF(COUNTIF(MSPara_SourceStreamCategory,V1700)=0,"",INDEX(MSPara_CalcFactorsMatrix,MATCH(V1700,MSPara_SourceStreamCategory,0),MATCH(AM1700&amp;"_"&amp;2,MSPara_CalcFactors,0))),"")</f>
        <v/>
      </c>
      <c r="AP1700" s="598"/>
      <c r="AQ1700" s="602" t="str">
        <f>IF(OR(AA1700="",AO1700=EUconst_NA),"",AO1700)</f>
        <v/>
      </c>
      <c r="AR1700" s="594">
        <f>IF(AC1700=TRUE,IF(COUNT(K1700:L1700)=0,0,IF(L1700="",K1700,L1700)),0)</f>
        <v>0</v>
      </c>
      <c r="AS1700" s="603" t="b">
        <f>AND(AC1700=TRUE,OR(AND(F1700&lt;&gt;"",NOT(ISNUMBER(AA1700))),L1700&lt;&gt;"",F1700="",AQ1700=""))</f>
        <v>0</v>
      </c>
      <c r="AT1700" s="603" t="b">
        <f t="shared" si="422"/>
        <v>0</v>
      </c>
      <c r="AU1700" s="30"/>
      <c r="AV1700" s="604" t="b">
        <f t="shared" si="423"/>
        <v>0</v>
      </c>
      <c r="AW1700" s="605" t="b">
        <f t="shared" si="424"/>
        <v>0</v>
      </c>
      <c r="AX1700" s="30"/>
      <c r="AY1700" s="570" t="b">
        <f t="shared" si="425"/>
        <v>0</v>
      </c>
      <c r="AZ1700" s="571" t="b">
        <f>OR(AR1699&gt;100%,(AR1699+AR1700)&gt;100%)</f>
        <v>0</v>
      </c>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571" t="b">
        <f>OR(BZ1692,Y1700=EUconst_NA)</f>
        <v>1</v>
      </c>
    </row>
    <row r="1701" spans="1:78" s="140" customFormat="1" ht="5.0999999999999996" customHeight="1" x14ac:dyDescent="0.2">
      <c r="A1701" s="777"/>
      <c r="B1701" s="1248"/>
      <c r="C1701" s="164"/>
      <c r="D1701" s="178"/>
      <c r="O1701" s="1305"/>
      <c r="P1701" s="33"/>
      <c r="Q1701" s="33"/>
      <c r="R1701" s="33"/>
      <c r="S1701" s="172"/>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row>
    <row r="1702" spans="1:78" s="140" customFormat="1" ht="12.75" customHeight="1" x14ac:dyDescent="0.2">
      <c r="A1702" s="777"/>
      <c r="B1702" s="1248"/>
      <c r="C1702" s="164"/>
      <c r="D1702" s="1629" t="str">
        <f>Translations!$B$674</f>
        <v>Pakopos galioja nuo:</v>
      </c>
      <c r="E1702" s="1629"/>
      <c r="F1702" s="1630"/>
      <c r="G1702" s="1014"/>
      <c r="H1702" s="606" t="str">
        <f>Translations!$B$675</f>
        <v>iki:</v>
      </c>
      <c r="I1702" s="1014"/>
      <c r="J1702" s="1620" t="str">
        <f>Translations!$B$676</f>
        <v>Atliekų katalogo numeris (jeigu taikytina):</v>
      </c>
      <c r="K1702" s="1621"/>
      <c r="L1702" s="1621"/>
      <c r="M1702" s="1622"/>
      <c r="N1702" s="1232"/>
      <c r="O1702" s="1305"/>
      <c r="P1702" s="33"/>
      <c r="Q1702" s="33"/>
      <c r="R1702" s="33"/>
      <c r="S1702" s="1233"/>
      <c r="T1702" s="483"/>
      <c r="U1702" s="483"/>
      <c r="V1702" s="48" t="b">
        <f>IF(V1692="",FALSE,INDEX(CNTR_IsWaste,MATCH(V1692,MSParameters!$A$218:$A$376,0)))</f>
        <v>0</v>
      </c>
      <c r="W1702" s="1233" t="s">
        <v>1689</v>
      </c>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2" t="b">
        <f>BZ1692</f>
        <v>1</v>
      </c>
    </row>
    <row r="1703" spans="1:78" s="140" customFormat="1" ht="5.0999999999999996" customHeight="1" x14ac:dyDescent="0.2">
      <c r="A1703" s="777"/>
      <c r="B1703" s="1248"/>
      <c r="C1703" s="164"/>
      <c r="D1703" s="606"/>
      <c r="E1703" s="486"/>
      <c r="F1703" s="486"/>
      <c r="G1703" s="486"/>
      <c r="H1703" s="486"/>
      <c r="I1703" s="486"/>
      <c r="J1703" s="486"/>
      <c r="K1703" s="486"/>
      <c r="L1703" s="486"/>
      <c r="M1703" s="486"/>
      <c r="N1703" s="486"/>
      <c r="O1703" s="1305"/>
      <c r="P1703" s="33"/>
      <c r="Q1703" s="33"/>
      <c r="R1703" s="33"/>
      <c r="S1703" s="172"/>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row>
    <row r="1704" spans="1:78" s="140" customFormat="1" ht="12.75" customHeight="1" x14ac:dyDescent="0.2">
      <c r="A1704" s="777"/>
      <c r="B1704" s="1248"/>
      <c r="C1704" s="164"/>
      <c r="D1704" s="486"/>
      <c r="E1704" s="486"/>
      <c r="F1704" s="486"/>
      <c r="G1704" s="486"/>
      <c r="H1704" s="486"/>
      <c r="I1704" s="486"/>
      <c r="J1704" s="486"/>
      <c r="K1704" s="486"/>
      <c r="L1704" s="486"/>
      <c r="M1704" s="606" t="str">
        <f>Translations!$B$677</f>
        <v>Stebėsenos plane šiam sukėlikliui suteiktas identifikatorius:</v>
      </c>
      <c r="N1704" s="705"/>
      <c r="O1704" s="1305"/>
      <c r="P1704" s="33"/>
      <c r="Q1704" s="33"/>
      <c r="R1704" s="33"/>
      <c r="S1704" s="172"/>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2" t="b">
        <f>BZ1702</f>
        <v>1</v>
      </c>
    </row>
    <row r="1705" spans="1:78" s="140" customFormat="1" ht="5.0999999999999996" customHeight="1" x14ac:dyDescent="0.2">
      <c r="A1705" s="784"/>
      <c r="B1705" s="1316"/>
      <c r="D1705" s="178"/>
      <c r="O1705" s="1317"/>
      <c r="P1705" s="488"/>
      <c r="Q1705" s="488"/>
      <c r="R1705" s="488"/>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row>
    <row r="1706" spans="1:78" s="140" customFormat="1" x14ac:dyDescent="0.2">
      <c r="A1706" s="784"/>
      <c r="B1706" s="1316"/>
      <c r="D1706" s="1618" t="str">
        <f>Translations!$B$160</f>
        <v>Pastabos:</v>
      </c>
      <c r="E1706" s="1619"/>
      <c r="F1706" s="1605"/>
      <c r="G1706" s="1606"/>
      <c r="H1706" s="1606"/>
      <c r="I1706" s="1606"/>
      <c r="J1706" s="1606"/>
      <c r="K1706" s="1606"/>
      <c r="L1706" s="1606"/>
      <c r="M1706" s="1606"/>
      <c r="N1706" s="1607"/>
      <c r="O1706" s="1317"/>
      <c r="P1706" s="488"/>
      <c r="Q1706" s="488"/>
      <c r="R1706" s="488"/>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2" t="b">
        <f>BZ1702</f>
        <v>1</v>
      </c>
    </row>
    <row r="1707" spans="1:78" s="28" customFormat="1" ht="12.75" customHeight="1" thickBot="1" x14ac:dyDescent="0.25">
      <c r="A1707" s="777"/>
      <c r="B1707" s="1312"/>
      <c r="C1707" s="490"/>
      <c r="D1707" s="491"/>
      <c r="E1707" s="492"/>
      <c r="F1707" s="490"/>
      <c r="G1707" s="493"/>
      <c r="H1707" s="493"/>
      <c r="I1707" s="493"/>
      <c r="J1707" s="493"/>
      <c r="K1707" s="493"/>
      <c r="L1707" s="493"/>
      <c r="M1707" s="493"/>
      <c r="N1707" s="493"/>
      <c r="O1707" s="1313"/>
      <c r="P1707" s="485"/>
      <c r="Q1707" s="485"/>
      <c r="R1707" s="485"/>
      <c r="S1707" s="58"/>
      <c r="T1707" s="58"/>
      <c r="U1707" s="489"/>
      <c r="V1707" s="58"/>
      <c r="W1707" s="58"/>
      <c r="X1707" s="489"/>
      <c r="Y1707" s="58"/>
      <c r="Z1707" s="58"/>
      <c r="AA1707" s="58"/>
      <c r="AB1707" s="58"/>
      <c r="AC1707" s="58"/>
      <c r="AD1707" s="58"/>
      <c r="AE1707" s="58"/>
      <c r="AF1707" s="58"/>
      <c r="AG1707" s="58"/>
      <c r="AH1707" s="58"/>
      <c r="AI1707" s="58"/>
      <c r="AJ1707" s="58"/>
      <c r="AK1707" s="58"/>
      <c r="AL1707" s="58"/>
      <c r="AM1707" s="58"/>
      <c r="AN1707" s="58"/>
      <c r="AO1707" s="58"/>
      <c r="AP1707" s="58"/>
      <c r="AQ1707" s="58"/>
      <c r="AR1707" s="58"/>
      <c r="AS1707" s="58"/>
      <c r="AT1707" s="58"/>
      <c r="AU1707" s="58"/>
      <c r="AV1707" s="58"/>
      <c r="AW1707" s="58"/>
      <c r="AX1707" s="58"/>
      <c r="AY1707" s="58"/>
      <c r="AZ1707" s="58"/>
      <c r="BA1707" s="58"/>
      <c r="BB1707" s="58"/>
      <c r="BC1707" s="58"/>
      <c r="BD1707" s="58"/>
      <c r="BE1707" s="58"/>
      <c r="BF1707" s="58"/>
      <c r="BG1707" s="58"/>
      <c r="BH1707" s="58"/>
      <c r="BI1707" s="30"/>
      <c r="BJ1707" s="30"/>
      <c r="BK1707" s="30"/>
      <c r="BL1707" s="58"/>
      <c r="BM1707" s="58"/>
      <c r="BN1707" s="58"/>
      <c r="BO1707" s="58"/>
      <c r="BP1707" s="58"/>
      <c r="BQ1707" s="58"/>
      <c r="BR1707" s="58"/>
      <c r="BS1707" s="58"/>
      <c r="BT1707" s="58"/>
      <c r="BU1707" s="58"/>
      <c r="BV1707" s="58"/>
      <c r="BW1707" s="58"/>
      <c r="BX1707" s="58"/>
      <c r="BY1707" s="58"/>
      <c r="BZ1707" s="58"/>
    </row>
    <row r="1708" spans="1:78" s="28" customFormat="1" ht="12.75" customHeight="1" thickBot="1" x14ac:dyDescent="0.25">
      <c r="A1708" s="782"/>
      <c r="B1708" s="1312"/>
      <c r="C1708" s="486"/>
      <c r="D1708" s="178"/>
      <c r="E1708" s="487"/>
      <c r="F1708" s="486"/>
      <c r="G1708" s="478"/>
      <c r="H1708" s="478"/>
      <c r="I1708" s="478"/>
      <c r="J1708" s="478"/>
      <c r="K1708" s="486"/>
      <c r="L1708" s="478"/>
      <c r="M1708" s="478"/>
      <c r="N1708" s="478"/>
      <c r="O1708" s="1313"/>
      <c r="P1708" s="485"/>
      <c r="Q1708" s="485"/>
      <c r="R1708" s="485"/>
      <c r="S1708" s="23"/>
      <c r="T1708" s="27" t="str">
        <f>IF(ISBLANK(E1709),"",MATCH(E1709,CNTR_SourceStreamNames,0))</f>
        <v/>
      </c>
      <c r="U1708" s="609" t="str">
        <f>IF(ISBLANK(E1709),"",INDEX(B_InstallationDescription!$D$71:$D$145,MATCH(E1709,CNTR_SourceStreamNames,0)))</f>
        <v/>
      </c>
      <c r="V1708" s="76"/>
      <c r="W1708" s="56"/>
      <c r="X1708" s="56"/>
      <c r="Y1708" s="56"/>
      <c r="Z1708" s="58"/>
      <c r="AA1708" s="58"/>
      <c r="AB1708" s="58"/>
      <c r="AC1708" s="58"/>
      <c r="AD1708" s="58"/>
      <c r="AE1708" s="58"/>
      <c r="AF1708" s="58"/>
      <c r="AG1708" s="58"/>
      <c r="AH1708" s="58"/>
      <c r="AI1708" s="58"/>
      <c r="AJ1708" s="58"/>
      <c r="AK1708" s="482"/>
      <c r="AL1708" s="58"/>
      <c r="AM1708" s="58"/>
      <c r="AN1708" s="58"/>
      <c r="AO1708" s="58"/>
      <c r="AP1708" s="58"/>
      <c r="AQ1708" s="58"/>
      <c r="AR1708" s="58"/>
      <c r="AS1708" s="58"/>
      <c r="AT1708" s="58"/>
      <c r="AU1708" s="58"/>
      <c r="AV1708" s="58"/>
      <c r="AW1708" s="58"/>
      <c r="AX1708" s="58"/>
      <c r="AY1708" s="58"/>
      <c r="AZ1708" s="58"/>
      <c r="BA1708" s="58"/>
      <c r="BB1708" s="58"/>
      <c r="BC1708" s="58"/>
      <c r="BD1708" s="58"/>
      <c r="BE1708" s="58"/>
      <c r="BF1708" s="58"/>
      <c r="BG1708" s="58"/>
      <c r="BH1708" s="56"/>
      <c r="BI1708" s="56"/>
      <c r="BJ1708" s="56"/>
      <c r="BK1708" s="56"/>
      <c r="BL1708" s="56"/>
      <c r="BM1708" s="56"/>
      <c r="BN1708" s="56"/>
      <c r="BO1708" s="56"/>
      <c r="BP1708" s="56"/>
      <c r="BQ1708" s="56"/>
      <c r="BR1708" s="56"/>
      <c r="BS1708" s="56"/>
      <c r="BT1708" s="56"/>
      <c r="BU1708" s="56"/>
      <c r="BV1708" s="56"/>
      <c r="BW1708" s="56"/>
      <c r="BX1708" s="56"/>
      <c r="BY1708" s="56"/>
      <c r="BZ1708" s="484" t="s">
        <v>259</v>
      </c>
    </row>
    <row r="1709" spans="1:78" s="140" customFormat="1" ht="15" customHeight="1" thickBot="1" x14ac:dyDescent="0.25">
      <c r="A1709" s="1302" t="str">
        <f>IF(E1709="","","PRINT")</f>
        <v/>
      </c>
      <c r="B1709" s="1248"/>
      <c r="C1709" s="608">
        <f>C1682+1</f>
        <v>62</v>
      </c>
      <c r="D1709" s="164"/>
      <c r="E1709" s="1610"/>
      <c r="F1709" s="1611"/>
      <c r="G1709" s="1611"/>
      <c r="H1709" s="1611"/>
      <c r="I1709" s="1611"/>
      <c r="J1709" s="1612"/>
      <c r="K1709" s="1623" t="str">
        <f>IF(E1710="","",INDEX(EUwideConstants!$F$353:$F$394,MATCH(E1710,EUConst_TierActivityListNames,0)))</f>
        <v/>
      </c>
      <c r="L1709" s="1624"/>
      <c r="M1709" s="494" t="str">
        <f>Translations!$B$665</f>
        <v>CO2, iškastinio kuro kilmės:</v>
      </c>
      <c r="N1709" s="1012" t="str">
        <f>IF(OR(K1709="",T1710=TRUE),"",INDEX(BC1723:BE1723,MATCH(K1709,BC1719:BE1719,0)))</f>
        <v/>
      </c>
      <c r="O1709" s="1314" t="s">
        <v>257</v>
      </c>
      <c r="P1709" s="1303" t="str">
        <f>IF(AND(E1709&lt;&gt;"",COUNTIF(P1710:$P$2089,"PRINT")=0),"PRINT","")</f>
        <v/>
      </c>
      <c r="Q1709" s="343" t="str">
        <f>EUconst_SumCO2 &amp; "_" &amp; K1709</f>
        <v>SUM_CO2_</v>
      </c>
      <c r="R1709" s="485"/>
      <c r="S1709" s="23"/>
      <c r="T1709" s="500" t="s">
        <v>387</v>
      </c>
      <c r="U1709" s="23"/>
      <c r="V1709" s="76"/>
      <c r="W1709" s="56"/>
      <c r="X1709" s="58"/>
      <c r="Y1709" s="58"/>
      <c r="Z1709" s="58"/>
      <c r="AA1709" s="58"/>
      <c r="AB1709" s="58"/>
      <c r="AC1709" s="58"/>
      <c r="AD1709" s="58"/>
      <c r="AE1709" s="58"/>
      <c r="AF1709" s="58"/>
      <c r="AG1709" s="58"/>
      <c r="AH1709" s="58"/>
      <c r="AI1709" s="333"/>
      <c r="AJ1709" s="333"/>
      <c r="AK1709" s="333"/>
      <c r="AL1709" s="333"/>
      <c r="AM1709" s="333"/>
      <c r="AN1709" s="333"/>
      <c r="AO1709" s="333"/>
      <c r="AP1709" s="333"/>
      <c r="AQ1709" s="333"/>
      <c r="AR1709" s="333"/>
      <c r="AS1709" s="333"/>
      <c r="AT1709" s="333"/>
      <c r="AU1709" s="333"/>
      <c r="AV1709" s="333"/>
      <c r="AW1709" s="333"/>
      <c r="AX1709" s="333"/>
      <c r="AY1709" s="333"/>
      <c r="AZ1709" s="333"/>
      <c r="BA1709" s="333"/>
      <c r="BB1709" s="333"/>
      <c r="BC1709" s="333"/>
      <c r="BD1709" s="333"/>
      <c r="BE1709" s="333"/>
      <c r="BF1709" s="333"/>
      <c r="BG1709" s="333"/>
      <c r="BH1709" s="834">
        <f>AR1719</f>
        <v>0</v>
      </c>
      <c r="BI1709" s="834" t="str">
        <f>AJ1719</f>
        <v/>
      </c>
      <c r="BJ1709" s="834">
        <f>AR1721</f>
        <v>0</v>
      </c>
      <c r="BK1709" s="834" t="str">
        <f>AJ1721</f>
        <v/>
      </c>
      <c r="BL1709" s="834">
        <f>AR1722</f>
        <v>0</v>
      </c>
      <c r="BM1709" s="834" t="str">
        <f>AJ1722</f>
        <v/>
      </c>
      <c r="BN1709" s="834">
        <f>AR1723</f>
        <v>1</v>
      </c>
      <c r="BO1709" s="834">
        <f>AR1724</f>
        <v>1</v>
      </c>
      <c r="BP1709" s="834">
        <f>AR1725</f>
        <v>0</v>
      </c>
      <c r="BQ1709" s="834" t="str">
        <f>AJ1725</f>
        <v/>
      </c>
      <c r="BR1709" s="834">
        <f>AR1726</f>
        <v>0</v>
      </c>
      <c r="BS1709" s="834">
        <f>AR1727</f>
        <v>0</v>
      </c>
      <c r="BT1709" s="834" t="str">
        <f>N1709</f>
        <v/>
      </c>
      <c r="BU1709" s="834" t="str">
        <f>N1710</f>
        <v/>
      </c>
      <c r="BV1709" s="834" t="str">
        <f>R1712</f>
        <v/>
      </c>
      <c r="BW1709" s="834" t="str">
        <f>R1718</f>
        <v/>
      </c>
      <c r="BX1709" s="834" t="str">
        <f>R1719</f>
        <v/>
      </c>
      <c r="BY1709" s="56"/>
      <c r="BZ1709" s="610" t="b">
        <f>CNTR_CalcRelevant=EUconst_NotRelevant</f>
        <v>0</v>
      </c>
    </row>
    <row r="1710" spans="1:78" s="140" customFormat="1" ht="15" customHeight="1" thickBot="1" x14ac:dyDescent="0.25">
      <c r="A1710" s="777"/>
      <c r="B1710" s="1248"/>
      <c r="C1710" s="164"/>
      <c r="D1710" s="164"/>
      <c r="E1710" s="1625" t="str">
        <f>IF(ISBLANK(E1709),"",IF(INDEX(B_InstallationDescription!$E$71:$E$145,MATCH(U1708,B_InstallationDescription!$D$71:$D$145,0))&gt;0,INDEX(B_InstallationDescription!$E$71:$E$145,MATCH(U1708,B_InstallationDescription!$D$71:$D$145,0)),""))</f>
        <v/>
      </c>
      <c r="F1710" s="1626"/>
      <c r="G1710" s="1626"/>
      <c r="H1710" s="1626"/>
      <c r="I1710" s="1626"/>
      <c r="J1710" s="1627"/>
      <c r="M1710" s="337" t="str">
        <f>Translations!$B$666</f>
        <v>CO2, biomasės kilmės.:</v>
      </c>
      <c r="N1710" s="1013" t="str">
        <f>IF(OR(K1709="",T1710=TRUE),"",INDEX(BC1722:BE1722,MATCH(K1709,BC1719:BE1719,0)))</f>
        <v/>
      </c>
      <c r="O1710" s="1315" t="s">
        <v>257</v>
      </c>
      <c r="P1710" s="485"/>
      <c r="Q1710" s="343" t="str">
        <f>EUconst_SumBioCO2 &amp; "_" &amp; K1709</f>
        <v>SUM_bioCO2_</v>
      </c>
      <c r="R1710" s="485"/>
      <c r="S1710" s="23"/>
      <c r="T1710" s="48" t="str">
        <f>IF(E1710="","",MATCH(E1710,EUConst_TierActivityListNames,0)&gt;40)</f>
        <v/>
      </c>
      <c r="U1710" s="23"/>
      <c r="V1710" s="76"/>
      <c r="W1710" s="56"/>
      <c r="X1710" s="58"/>
      <c r="Y1710" s="27" t="s">
        <v>91</v>
      </c>
      <c r="Z1710" s="30"/>
      <c r="AA1710" s="30"/>
      <c r="AB1710" s="30"/>
      <c r="AC1710" s="30"/>
      <c r="AD1710" s="30"/>
      <c r="AE1710" s="27" t="s">
        <v>297</v>
      </c>
      <c r="AF1710" s="58"/>
      <c r="AG1710" s="495"/>
      <c r="AH1710" s="30"/>
      <c r="AI1710" s="30"/>
      <c r="AJ1710" s="495"/>
      <c r="AK1710" s="495"/>
      <c r="AL1710" s="333"/>
      <c r="AM1710" s="27" t="s">
        <v>303</v>
      </c>
      <c r="AN1710" s="496"/>
      <c r="AO1710" s="496"/>
      <c r="AP1710" s="30"/>
      <c r="AQ1710" s="30"/>
      <c r="AR1710" s="30"/>
      <c r="AS1710" s="30"/>
      <c r="AT1710" s="30"/>
      <c r="AU1710" s="30"/>
      <c r="AV1710" s="27" t="s">
        <v>310</v>
      </c>
      <c r="AW1710" s="30"/>
      <c r="AX1710" s="483"/>
      <c r="AY1710" s="30"/>
      <c r="AZ1710" s="30"/>
      <c r="BA1710" s="30"/>
      <c r="BB1710" s="27" t="s">
        <v>217</v>
      </c>
      <c r="BC1710" s="30"/>
      <c r="BD1710" s="30"/>
      <c r="BE1710" s="30"/>
      <c r="BF1710" s="30"/>
      <c r="BG1710" s="27" t="s">
        <v>486</v>
      </c>
      <c r="BH1710" s="833" t="s">
        <v>552</v>
      </c>
      <c r="BI1710" s="833" t="s">
        <v>487</v>
      </c>
      <c r="BJ1710" s="833" t="s">
        <v>211</v>
      </c>
      <c r="BK1710" s="833" t="s">
        <v>488</v>
      </c>
      <c r="BL1710" s="833" t="s">
        <v>68</v>
      </c>
      <c r="BM1710" s="833" t="s">
        <v>489</v>
      </c>
      <c r="BN1710" s="833" t="s">
        <v>490</v>
      </c>
      <c r="BO1710" s="833" t="s">
        <v>491</v>
      </c>
      <c r="BP1710" s="833" t="s">
        <v>214</v>
      </c>
      <c r="BQ1710" s="833" t="s">
        <v>492</v>
      </c>
      <c r="BR1710" s="833" t="s">
        <v>493</v>
      </c>
      <c r="BS1710" s="833" t="s">
        <v>494</v>
      </c>
      <c r="BT1710" s="833" t="s">
        <v>287</v>
      </c>
      <c r="BU1710" s="833" t="s">
        <v>495</v>
      </c>
      <c r="BV1710" s="833" t="s">
        <v>498</v>
      </c>
      <c r="BW1710" s="833" t="s">
        <v>496</v>
      </c>
      <c r="BX1710" s="833" t="s">
        <v>497</v>
      </c>
      <c r="BY1710" s="30"/>
      <c r="BZ1710" s="30"/>
    </row>
    <row r="1711" spans="1:78" s="140" customFormat="1" ht="5.0999999999999996" customHeight="1" thickBot="1" x14ac:dyDescent="0.25">
      <c r="A1711" s="777"/>
      <c r="B1711" s="1248"/>
      <c r="C1711" s="164"/>
      <c r="D1711" s="164"/>
      <c r="E1711" s="164"/>
      <c r="F1711" s="164"/>
      <c r="G1711" s="164"/>
      <c r="M1711" s="141"/>
      <c r="N1711" s="141"/>
      <c r="O1711" s="1305"/>
      <c r="P1711" s="33"/>
      <c r="Q1711" s="33"/>
      <c r="R1711" s="33"/>
      <c r="S1711" s="23"/>
      <c r="T1711" s="23"/>
      <c r="U1711" s="23"/>
      <c r="V1711" s="76"/>
      <c r="W1711" s="30"/>
      <c r="X1711" s="30"/>
      <c r="Y1711" s="485"/>
      <c r="Z1711" s="30"/>
      <c r="AA1711" s="30"/>
      <c r="AB1711" s="30"/>
      <c r="AC1711" s="30"/>
      <c r="AD1711" s="30"/>
      <c r="AE1711" s="30"/>
      <c r="AF1711" s="58"/>
      <c r="AG1711" s="30"/>
      <c r="AH1711" s="30"/>
      <c r="AI1711" s="30"/>
      <c r="AJ1711" s="495"/>
      <c r="AK1711" s="495"/>
      <c r="AL1711" s="333"/>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row>
    <row r="1712" spans="1:78" s="140" customFormat="1" ht="12.75" customHeight="1" thickBot="1" x14ac:dyDescent="0.25">
      <c r="A1712" s="777"/>
      <c r="B1712" s="1248"/>
      <c r="C1712" s="164"/>
      <c r="D1712" s="164"/>
      <c r="E1712" s="1628" t="str">
        <f>IF(E1709="","",IF(T1710=TRUE,HYPERLINK("#JUMP_14",EUconst_MsgGoOnPFC),HYPERLINK("#JUMP_E_8",EUconst_FurtherGuidancePoint1)))</f>
        <v/>
      </c>
      <c r="F1712" s="1628"/>
      <c r="G1712" s="1628"/>
      <c r="H1712" s="1628"/>
      <c r="I1712" s="1628"/>
      <c r="J1712" s="1628"/>
      <c r="K1712" s="1628"/>
      <c r="L1712" s="1628"/>
      <c r="M1712" s="1628"/>
      <c r="N1712" s="141"/>
      <c r="O1712" s="1305"/>
      <c r="P1712" s="33"/>
      <c r="Q1712" s="343" t="str">
        <f>EUconst_SumNonSustBioCO2 &amp; "_" &amp; K1709</f>
        <v>SUM_bioNonSustCO2_</v>
      </c>
      <c r="R1712" s="698" t="str">
        <f>IF(OR(K1709="",T1710=TRUE),"",ROUND(INDEX(BC1721:BE1721,MATCH(K1709,BC1719:BE1719,0)),0))</f>
        <v/>
      </c>
      <c r="S1712" s="23"/>
      <c r="T1712" s="23"/>
      <c r="U1712" s="23"/>
      <c r="V1712" s="30"/>
      <c r="W1712" s="30"/>
      <c r="X1712" s="30"/>
      <c r="Y1712" s="58"/>
      <c r="Z1712" s="30"/>
      <c r="AA1712" s="30"/>
      <c r="AB1712" s="30"/>
      <c r="AC1712" s="30"/>
      <c r="AD1712" s="30"/>
      <c r="AE1712" s="30"/>
      <c r="AF1712" s="58"/>
      <c r="AG1712" s="30"/>
      <c r="AH1712" s="30"/>
      <c r="AI1712" s="30"/>
      <c r="AJ1712" s="495"/>
      <c r="AK1712" s="495"/>
      <c r="AL1712" s="333"/>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row>
    <row r="1713" spans="1:78" s="140" customFormat="1" ht="5.0999999999999996" customHeight="1" thickBot="1" x14ac:dyDescent="0.25">
      <c r="A1713" s="777"/>
      <c r="B1713" s="1248"/>
      <c r="C1713" s="164"/>
      <c r="D1713" s="164"/>
      <c r="E1713" s="164"/>
      <c r="F1713" s="164"/>
      <c r="G1713" s="164"/>
      <c r="M1713" s="141"/>
      <c r="N1713" s="141"/>
      <c r="O1713" s="1305"/>
      <c r="P1713" s="23"/>
      <c r="Q1713" s="23"/>
      <c r="R1713" s="23"/>
      <c r="S1713" s="23"/>
      <c r="T1713" s="23"/>
      <c r="U1713" s="23"/>
      <c r="V1713" s="30"/>
      <c r="W1713" s="30"/>
      <c r="X1713" s="30"/>
      <c r="Y1713" s="485"/>
      <c r="Z1713" s="30"/>
      <c r="AA1713" s="30"/>
      <c r="AB1713" s="30"/>
      <c r="AC1713" s="30"/>
      <c r="AD1713" s="30"/>
      <c r="AE1713" s="30"/>
      <c r="AF1713" s="58"/>
      <c r="AG1713" s="30"/>
      <c r="AH1713" s="30"/>
      <c r="AI1713" s="30"/>
      <c r="AJ1713" s="495"/>
      <c r="AK1713" s="495"/>
      <c r="AL1713" s="333"/>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row>
    <row r="1714" spans="1:78" s="140" customFormat="1" ht="12.75" customHeight="1" thickBot="1" x14ac:dyDescent="0.25">
      <c r="A1714" s="777"/>
      <c r="B1714" s="1248"/>
      <c r="C1714" s="783" t="s">
        <v>4</v>
      </c>
      <c r="D1714" s="503" t="str">
        <f>Translations!$B$622</f>
        <v>VD:</v>
      </c>
      <c r="E1714" s="1631" t="str">
        <f>Translations!$B$667</f>
        <v>Ar veiklos duomenys gaunami sudedant išmatuotus kiekius (t. y. ne atliekant nuolatinius matavimus)?</v>
      </c>
      <c r="F1714" s="1631"/>
      <c r="G1714" s="1631"/>
      <c r="H1714" s="1631"/>
      <c r="I1714" s="1631"/>
      <c r="J1714" s="1631"/>
      <c r="K1714" s="1631"/>
      <c r="L1714" s="1122"/>
      <c r="M1714" s="498"/>
      <c r="O1714" s="1305"/>
      <c r="P1714" s="23"/>
      <c r="Q1714" s="23"/>
      <c r="R1714" s="23"/>
      <c r="S1714" s="23"/>
      <c r="T1714" s="23"/>
      <c r="U1714" s="23"/>
      <c r="V1714" s="30"/>
      <c r="W1714" s="30"/>
      <c r="X1714" s="30"/>
      <c r="Y1714" s="485"/>
      <c r="Z1714" s="30"/>
      <c r="AA1714" s="30"/>
      <c r="AB1714" s="30"/>
      <c r="AC1714" s="1115" t="b">
        <f>AND(E1709&lt;&gt;"",T1710&lt;&gt;TRUE)</f>
        <v>0</v>
      </c>
      <c r="AD1714" s="30"/>
      <c r="AE1714" s="30"/>
      <c r="AF1714" s="58"/>
      <c r="AG1714" s="30"/>
      <c r="AH1714" s="30"/>
      <c r="AI1714" s="30"/>
      <c r="AJ1714" s="495"/>
      <c r="AK1714" s="495"/>
      <c r="AL1714" s="333"/>
      <c r="AM1714" s="30"/>
      <c r="AN1714" s="30"/>
      <c r="AO1714" s="30"/>
      <c r="AP1714" s="30"/>
      <c r="AQ1714" s="30"/>
      <c r="AR1714" s="30"/>
      <c r="AS1714" s="30"/>
      <c r="AT1714" s="1115" t="b">
        <f>MSPara_BatchReportingMandatory&lt;&gt;TRUE</f>
        <v>0</v>
      </c>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1115" t="b">
        <f>OR(CNTR_CalcRelevant=EUconst_NotRelevant,AND(COUNTA(CNTR_ListRelevantSections)&gt;0,OR(T1710=TRUE,E1709="")))</f>
        <v>1</v>
      </c>
    </row>
    <row r="1715" spans="1:78" s="140" customFormat="1" ht="5.0999999999999996" customHeight="1" thickBot="1" x14ac:dyDescent="0.25">
      <c r="A1715" s="777"/>
      <c r="B1715" s="1248"/>
      <c r="C1715" s="164"/>
      <c r="D1715" s="164"/>
      <c r="E1715" s="164"/>
      <c r="F1715" s="164"/>
      <c r="G1715" s="164"/>
      <c r="H1715" s="486"/>
      <c r="I1715" s="486"/>
      <c r="J1715" s="486"/>
      <c r="K1715" s="486"/>
      <c r="L1715" s="486"/>
      <c r="M1715" s="498"/>
      <c r="O1715" s="1305"/>
      <c r="P1715" s="23"/>
      <c r="Q1715" s="23"/>
      <c r="R1715" s="23"/>
      <c r="S1715" s="23"/>
      <c r="T1715" s="23"/>
      <c r="U1715" s="23"/>
      <c r="V1715" s="30"/>
      <c r="W1715" s="30"/>
      <c r="X1715" s="30"/>
      <c r="Y1715" s="485"/>
      <c r="Z1715" s="30"/>
      <c r="AA1715" s="30"/>
      <c r="AB1715" s="30"/>
      <c r="AC1715" s="483"/>
      <c r="AD1715" s="30"/>
      <c r="AE1715" s="30"/>
      <c r="AF1715" s="58"/>
      <c r="AG1715" s="30"/>
      <c r="AH1715" s="30"/>
      <c r="AI1715" s="30"/>
      <c r="AJ1715" s="495"/>
      <c r="AK1715" s="495"/>
      <c r="AL1715" s="333"/>
      <c r="AM1715" s="30"/>
      <c r="AN1715" s="30"/>
      <c r="AO1715" s="30"/>
      <c r="AP1715" s="30"/>
      <c r="AQ1715" s="30"/>
      <c r="AR1715" s="30"/>
      <c r="AS1715" s="30"/>
      <c r="AT1715" s="483"/>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483"/>
    </row>
    <row r="1716" spans="1:78" s="140" customFormat="1" ht="12.75" customHeight="1" thickBot="1" x14ac:dyDescent="0.25">
      <c r="A1716" s="777"/>
      <c r="B1716" s="1248"/>
      <c r="C1716" s="783" t="s">
        <v>5</v>
      </c>
      <c r="D1716" s="503" t="str">
        <f>Translations!$B$622</f>
        <v>VD:</v>
      </c>
      <c r="E1716" s="1105" t="str">
        <f>Translations!$B$668</f>
        <v>Pradinis kiekis:</v>
      </c>
      <c r="F1716" s="1123"/>
      <c r="G1716" s="1106" t="str">
        <f>Translations!$B$669</f>
        <v>Galutinis kiekis:</v>
      </c>
      <c r="H1716" s="1123"/>
      <c r="I1716" s="1106" t="str">
        <f>Translations!$B$670</f>
        <v>Įsigytas kiekis:</v>
      </c>
      <c r="J1716" s="1123"/>
      <c r="K1716" s="1106" t="str">
        <f>Translations!$B$671</f>
        <v>Perduotas kiekis:</v>
      </c>
      <c r="L1716" s="1123"/>
      <c r="M1716" s="1107" t="str">
        <f>IF(AND(L1714=TRUE,COUNT(F1716,H1716,J1716,L1716)&lt;4),EUconst_ERR_Incomplete,"")</f>
        <v/>
      </c>
      <c r="O1716" s="1305"/>
      <c r="P1716" s="23"/>
      <c r="Q1716" s="23"/>
      <c r="R1716" s="23"/>
      <c r="S1716" s="23"/>
      <c r="T1716" s="23"/>
      <c r="U1716" s="23"/>
      <c r="V1716" s="30"/>
      <c r="W1716" s="30"/>
      <c r="X1716" s="30"/>
      <c r="Y1716" s="485"/>
      <c r="Z1716" s="30"/>
      <c r="AA1716" s="30"/>
      <c r="AB1716" s="30"/>
      <c r="AC1716" s="1115" t="b">
        <f>AC1714</f>
        <v>0</v>
      </c>
      <c r="AD1716" s="30"/>
      <c r="AE1716" s="30"/>
      <c r="AF1716" s="58"/>
      <c r="AG1716" s="30"/>
      <c r="AH1716" s="30"/>
      <c r="AI1716" s="30"/>
      <c r="AJ1716" s="495"/>
      <c r="AK1716" s="495"/>
      <c r="AL1716" s="333"/>
      <c r="AM1716" s="30"/>
      <c r="AN1716" s="30"/>
      <c r="AO1716" s="30"/>
      <c r="AP1716" s="30"/>
      <c r="AQ1716" s="30"/>
      <c r="AR1716" s="30"/>
      <c r="AS1716" s="30"/>
      <c r="AT1716" s="1115" t="b">
        <f>AND(AT1714=TRUE,L1714="")</f>
        <v>0</v>
      </c>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1115" t="b">
        <f>OR(BZ1714,AND(NOT(ISBLANK(L1714)),L1714=FALSE))</f>
        <v>1</v>
      </c>
    </row>
    <row r="1717" spans="1:78" s="140" customFormat="1" ht="5.0999999999999996" customHeight="1" thickBot="1" x14ac:dyDescent="0.25">
      <c r="A1717" s="777"/>
      <c r="B1717" s="1248"/>
      <c r="C1717" s="164"/>
      <c r="D1717" s="164"/>
      <c r="E1717" s="164"/>
      <c r="F1717" s="164"/>
      <c r="G1717" s="164"/>
      <c r="M1717" s="141"/>
      <c r="N1717" s="141"/>
      <c r="O1717" s="1305"/>
      <c r="P1717" s="23"/>
      <c r="Q1717" s="23"/>
      <c r="R1717" s="23"/>
      <c r="S1717" s="23"/>
      <c r="T1717" s="23"/>
      <c r="U1717" s="23"/>
      <c r="V1717" s="30"/>
      <c r="W1717" s="30"/>
      <c r="X1717" s="30"/>
      <c r="Y1717" s="485"/>
      <c r="Z1717" s="30"/>
      <c r="AA1717" s="30"/>
      <c r="AB1717" s="30"/>
      <c r="AC1717" s="30"/>
      <c r="AD1717" s="30"/>
      <c r="AE1717" s="30"/>
      <c r="AF1717" s="58"/>
      <c r="AG1717" s="30"/>
      <c r="AH1717" s="30"/>
      <c r="AI1717" s="30"/>
      <c r="AJ1717" s="495"/>
      <c r="AK1717" s="495"/>
      <c r="AL1717" s="333"/>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row>
    <row r="1718" spans="1:78" s="140" customFormat="1" ht="12.75" customHeight="1" thickBot="1" x14ac:dyDescent="0.25">
      <c r="A1718" s="777"/>
      <c r="B1718" s="1248"/>
      <c r="C1718" s="164"/>
      <c r="D1718" s="164"/>
      <c r="E1718" s="164"/>
      <c r="F1718" s="497" t="str">
        <f>Translations!$B$333</f>
        <v>Pakopa</v>
      </c>
      <c r="G1718" s="1613" t="str">
        <f>Translations!$B$672</f>
        <v>pakopos aprašas</v>
      </c>
      <c r="H1718" s="1613"/>
      <c r="I1718" s="1608" t="str">
        <f>Translations!$B$158</f>
        <v>Vienetas</v>
      </c>
      <c r="J1718" s="1608"/>
      <c r="K1718" s="1608" t="str">
        <f>Translations!$B$673</f>
        <v>Vertė</v>
      </c>
      <c r="L1718" s="1608"/>
      <c r="M1718" s="498" t="str">
        <f>Translations!$B$610</f>
        <v>klaida</v>
      </c>
      <c r="O1718" s="1305"/>
      <c r="P1718" s="499"/>
      <c r="Q1718" s="343" t="str">
        <f>EUconst_SumEnergyIN &amp; "_" &amp; K1709</f>
        <v>SUM_EnergyIN_</v>
      </c>
      <c r="R1718" s="390" t="str">
        <f>IF(OR(K1709="",T1710)=TRUE,"",INDEX(BC1724:BE1724,MATCH(K1709,BC1719:BE1719,0)))</f>
        <v/>
      </c>
      <c r="S1718" s="30"/>
      <c r="T1718" s="480"/>
      <c r="U1718" s="30"/>
      <c r="V1718" s="500" t="s">
        <v>298</v>
      </c>
      <c r="W1718" s="30"/>
      <c r="X1718" s="30"/>
      <c r="Y1718" s="485" t="s">
        <v>560</v>
      </c>
      <c r="Z1718" s="485" t="s">
        <v>313</v>
      </c>
      <c r="AA1718" s="30"/>
      <c r="AB1718" s="30"/>
      <c r="AC1718" s="496" t="s">
        <v>304</v>
      </c>
      <c r="AD1718" s="30"/>
      <c r="AE1718" s="30"/>
      <c r="AF1718" s="483" t="s">
        <v>300</v>
      </c>
      <c r="AG1718" s="483" t="s">
        <v>301</v>
      </c>
      <c r="AH1718" s="485" t="s">
        <v>299</v>
      </c>
      <c r="AI1718" s="495" t="s">
        <v>302</v>
      </c>
      <c r="AJ1718" s="495" t="s">
        <v>561</v>
      </c>
      <c r="AK1718" s="501" t="s">
        <v>306</v>
      </c>
      <c r="AL1718" s="333"/>
      <c r="AM1718" s="30"/>
      <c r="AN1718" s="483" t="s">
        <v>300</v>
      </c>
      <c r="AO1718" s="483" t="s">
        <v>301</v>
      </c>
      <c r="AP1718" s="502" t="s">
        <v>305</v>
      </c>
      <c r="AQ1718" s="495" t="s">
        <v>563</v>
      </c>
      <c r="AR1718" s="495" t="s">
        <v>562</v>
      </c>
      <c r="AS1718" s="501" t="s">
        <v>599</v>
      </c>
      <c r="AT1718" s="501" t="s">
        <v>599</v>
      </c>
      <c r="AU1718" s="30"/>
      <c r="AV1718" s="483"/>
      <c r="AW1718" s="483"/>
      <c r="AX1718" s="483" t="s">
        <v>316</v>
      </c>
      <c r="AY1718" s="483"/>
      <c r="AZ1718" s="483"/>
      <c r="BA1718" s="483"/>
      <c r="BB1718" s="483"/>
      <c r="BC1718" s="483"/>
      <c r="BD1718" s="483"/>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484" t="s">
        <v>259</v>
      </c>
    </row>
    <row r="1719" spans="1:78" s="140" customFormat="1" ht="12.75" customHeight="1" thickBot="1" x14ac:dyDescent="0.25">
      <c r="A1719" s="777"/>
      <c r="B1719" s="1248"/>
      <c r="C1719" s="753" t="s">
        <v>194</v>
      </c>
      <c r="D1719" s="503" t="str">
        <f>Translations!$B$622</f>
        <v>VD:</v>
      </c>
      <c r="E1719" s="504"/>
      <c r="F1719" s="393"/>
      <c r="G1719" s="1603" t="str">
        <f>IF(OR(ISBLANK(F1719),F1719=EUconst_NoTier),"",IF(Z1719=0,EUconst_NA,IF(ISERROR(Z1719),"",Z1719)))</f>
        <v/>
      </c>
      <c r="H1719" s="1604"/>
      <c r="I1719" s="1108" t="str">
        <f>IF(J1719&lt;&gt;"","",AI1719)</f>
        <v/>
      </c>
      <c r="J1719" s="1109"/>
      <c r="K1719" s="1116" t="str">
        <f>IF(L1719="",AQ1719,"")</f>
        <v/>
      </c>
      <c r="L1719" s="1199"/>
      <c r="M1719" s="700" t="str">
        <f>IF(AND(E1710&lt;&gt;"",OR(F1719="",COUNT(K1719:L1719)=0),Y1719&lt;&gt;EUconst_NA,T1710&lt;&gt;TRUE),EUconst_ERR_Incomplete,IF(COUNTIF(AX1719:AZ1719,TRUE)&gt;0,EUconst_ERR_Inconsistent,""))</f>
        <v/>
      </c>
      <c r="O1719" s="1305"/>
      <c r="P1719" s="635"/>
      <c r="Q1719" s="343" t="str">
        <f>EUconst_SumBioEnergyIN &amp; "_" &amp; K1709</f>
        <v>SUM_BioEnergyIN_</v>
      </c>
      <c r="R1719" s="390" t="str">
        <f>IF(OR(K1709="",T1710)=TRUE,"",INDEX(BC1725:BE1725,MATCH(K1709,BC1719:BE1719,0)))</f>
        <v/>
      </c>
      <c r="S1719" s="30"/>
      <c r="T1719" s="505" t="str">
        <f>EUconst_CNTR_ActivityData&amp;E1710</f>
        <v>ActivityData_</v>
      </c>
      <c r="U1719" s="488"/>
      <c r="V1719" s="505" t="str">
        <f>IF(E1709="","",INDEX(B_InstallationDescription!$I$71:$I$145,MATCH(U1708,B_InstallationDescription!$D$71:$D$145,0)))</f>
        <v/>
      </c>
      <c r="W1719" s="495" t="s">
        <v>533</v>
      </c>
      <c r="X1719" s="488"/>
      <c r="Y1719" s="506" t="str">
        <f>IF(OR(T1710=TRUE,E1710=""),"",INDEX(EUwideConstants!$N:$N,MATCH(T1719,EUwideConstants!$Q:$Q,0)))</f>
        <v/>
      </c>
      <c r="Z1719" s="507" t="str">
        <f>IF(ISBLANK(F1719),"",IF(F1719=EUconst_NA,"",INDEX(EUwideConstants!$H:$M,MATCH(T1719,EUwideConstants!$Q:$Q,0),MATCH(F1719,CNTR_TierList,0))))</f>
        <v/>
      </c>
      <c r="AA1719" s="508" t="s">
        <v>299</v>
      </c>
      <c r="AB1719" s="495"/>
      <c r="AC1719" s="509" t="b">
        <f>AC1714</f>
        <v>0</v>
      </c>
      <c r="AD1719" s="30"/>
      <c r="AE1719" s="510" t="str">
        <f>EUconst_CNTR_ActivityData&amp;EUconst_Unit</f>
        <v>ActivityData_Vienetas</v>
      </c>
      <c r="AF1719" s="511" t="str">
        <f>IF(AC1719=TRUE, IF(COUNTIF(MSPara_SourceStreamCategory,V1719)=0,"",INDEX(MSPara_CalcFactorsMatrix,MATCH(V1719,MSPara_SourceStreamCategory,0),MATCH(AE1719&amp;"_"&amp;2,MSPara_CalcFactors,0))),"")</f>
        <v/>
      </c>
      <c r="AG1719" s="512" t="str">
        <f>IF(AC1719=TRUE, IF(COUNTIF(MSPara_SourceStreamCategory,V1719)=0,"",INDEX(MSPara_CalcFactorsMatrix,MATCH(V1719,MSPara_SourceStreamCategory,0),MATCH(AE1719&amp;"_"&amp;1,MSPara_CalcFactors,0))),"")</f>
        <v/>
      </c>
      <c r="AH1719" s="509" t="str">
        <f>IF(OR(AF1719="",AF1719=EUconst_NA),IF(OR(AG1719=EUconst_NA,AG1719=""),"",AG1719),AF1719)</f>
        <v/>
      </c>
      <c r="AI1719" s="506" t="str">
        <f>IF(AC1719=TRUE,IF(AH1719="",EUconst_t,AH1719),"")</f>
        <v/>
      </c>
      <c r="AJ1719" s="513" t="str">
        <f>IF(J1719="",AI1719,J1719)</f>
        <v/>
      </c>
      <c r="AK1719" s="514" t="b">
        <f>IF(K1709=EUconst_Fuel,J1719&lt;&gt;"",FALSE)</f>
        <v>0</v>
      </c>
      <c r="AL1719" s="333"/>
      <c r="AM1719" s="505" t="str">
        <f>EUconst_CNTR_ActivityData&amp;EUconst_Value</f>
        <v>ActivityData_Vertė</v>
      </c>
      <c r="AN1719" s="496"/>
      <c r="AO1719" s="496"/>
      <c r="AP1719" s="509" t="b">
        <f>AND(AND(AH1719&lt;&gt;"",AJ1719&lt;&gt;""),AJ1719=AH1719)</f>
        <v>0</v>
      </c>
      <c r="AQ1719" s="610" t="str">
        <f>IF(L1714=TRUE,SUM(F1716)-SUM(H1716)+SUM(J1716)-SUM(L1716),"")</f>
        <v/>
      </c>
      <c r="AR1719" s="509">
        <f>IF(Y1719=EUconst_NA,0,IF(COUNT(K1719:L1719)=0,0,IF(L1719="",K1719,L1719)))</f>
        <v>0</v>
      </c>
      <c r="AS1719" s="1115" t="b">
        <f>AND(AC1719=TRUE,OR(L1719&lt;&gt;"",AQ1719=""))</f>
        <v>0</v>
      </c>
      <c r="AT1719" s="1115" t="b">
        <f>AND(AC1719=TRUE,NOT(AS1719))</f>
        <v>0</v>
      </c>
      <c r="AU1719" s="30"/>
      <c r="AV1719" s="483" t="s">
        <v>309</v>
      </c>
      <c r="AW1719" s="483" t="s">
        <v>314</v>
      </c>
      <c r="AX1719" s="515"/>
      <c r="AY1719" s="30" t="s">
        <v>536</v>
      </c>
      <c r="AZ1719" s="30"/>
      <c r="BA1719" s="30"/>
      <c r="BB1719" s="495"/>
      <c r="BC1719" s="484" t="str">
        <f>EUconst_Fuel</f>
        <v>Degimas</v>
      </c>
      <c r="BD1719" s="484" t="str">
        <f>EUconst_ProcessCarbonate</f>
        <v>Proceso metu išsiskiriančios ŠESD</v>
      </c>
      <c r="BE1719" s="484" t="str">
        <f>EUconst_MassBalance</f>
        <v>Masės balansas</v>
      </c>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515" t="b">
        <f>BZ1714</f>
        <v>1</v>
      </c>
    </row>
    <row r="1720" spans="1:78" s="140" customFormat="1" ht="5.0999999999999996" customHeight="1" thickBot="1" x14ac:dyDescent="0.25">
      <c r="A1720" s="777"/>
      <c r="B1720" s="1248"/>
      <c r="C1720" s="783"/>
      <c r="D1720" s="298"/>
      <c r="F1720" s="141"/>
      <c r="G1720" s="141"/>
      <c r="H1720" s="141" t="s">
        <v>233</v>
      </c>
      <c r="I1720" s="516"/>
      <c r="J1720" s="516"/>
      <c r="K1720" s="141"/>
      <c r="L1720" s="141"/>
      <c r="M1720" s="701"/>
      <c r="O1720" s="1305"/>
      <c r="P1720" s="33"/>
      <c r="Q1720" s="33"/>
      <c r="R1720" s="33"/>
      <c r="S1720" s="30"/>
      <c r="T1720" s="153"/>
      <c r="U1720" s="488"/>
      <c r="V1720" s="30"/>
      <c r="W1720" s="30"/>
      <c r="X1720" s="488"/>
      <c r="Y1720" s="517"/>
      <c r="Z1720" s="30"/>
      <c r="AA1720" s="30"/>
      <c r="AB1720" s="30"/>
      <c r="AC1720" s="30"/>
      <c r="AD1720" s="30"/>
      <c r="AE1720" s="30"/>
      <c r="AF1720" s="30"/>
      <c r="AG1720" s="30"/>
      <c r="AH1720" s="30"/>
      <c r="AI1720" s="30"/>
      <c r="AJ1720" s="30"/>
      <c r="AK1720" s="30"/>
      <c r="AL1720" s="333"/>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484"/>
    </row>
    <row r="1721" spans="1:78" s="140" customFormat="1" ht="12.75" customHeight="1" thickBot="1" x14ac:dyDescent="0.25">
      <c r="A1721" s="777"/>
      <c r="B1721" s="1248"/>
      <c r="C1721" s="783" t="s">
        <v>195</v>
      </c>
      <c r="D1721" s="503" t="str">
        <f>Translations!$B$634</f>
        <v>(prelim.) ITF:</v>
      </c>
      <c r="E1721" s="504"/>
      <c r="F1721" s="518"/>
      <c r="G1721" s="1603" t="str">
        <f t="shared" ref="G1721:G1727" si="427">IF(OR(ISBLANK(F1721),F1721=EUconst_NoTier),"",IF(Z1721=0,EUconst_NotApplicable,IF(ISERROR(Z1721),"",Z1721)))</f>
        <v/>
      </c>
      <c r="H1721" s="1609"/>
      <c r="I1721" s="1110" t="str">
        <f>IF(J1721&lt;&gt;"","",AI1721)</f>
        <v/>
      </c>
      <c r="J1721" s="1111"/>
      <c r="K1721" s="519" t="str">
        <f t="shared" ref="K1721:K1727" si="428">IF(L1721="",AQ1721,"")</f>
        <v/>
      </c>
      <c r="L1721" s="520"/>
      <c r="M1721" s="700" t="str">
        <f>IF(AND(E1710&lt;&gt;"",OR(F1721="",COUNT(K1721:L1721)=0),Y1721&lt;&gt;EUconst_NA,T1710&lt;&gt;TRUE),EUconst_ERR_Incomplete,IF(COUNTIF(AX1721:AZ1721,TRUE)&gt;0,EUconst_ERR_Inconsistent,""))</f>
        <v/>
      </c>
      <c r="N1721" s="486"/>
      <c r="O1721" s="1305"/>
      <c r="P1721" s="33"/>
      <c r="Q1721" s="33"/>
      <c r="R1721" s="33"/>
      <c r="S1721" s="30"/>
      <c r="T1721" s="521" t="str">
        <f>EUconst_CNTR_EF&amp;E1710</f>
        <v>EF_</v>
      </c>
      <c r="U1721" s="488"/>
      <c r="V1721" s="522" t="str">
        <f>V1719</f>
        <v/>
      </c>
      <c r="W1721" s="30"/>
      <c r="X1721" s="488"/>
      <c r="Y1721" s="523" t="str">
        <f>IF(OR(T1710=TRUE,E1710=""),"",IF(F1721=EUconst_NA,EUconst_NA,INDEX(EUwideConstants!$N:$N,MATCH(T1721,EUwideConstants!$Q:$Q,0))))</f>
        <v/>
      </c>
      <c r="Z1721" s="524" t="str">
        <f>IF(ISBLANK(F1721),"",IF(F1721=EUconst_NA,"",INDEX(EUwideConstants!$H:$M,MATCH(T1721,EUwideConstants!$Q:$Q,0),MATCH(F1721,CNTR_TierList,0))))</f>
        <v/>
      </c>
      <c r="AA1721" s="525" t="str">
        <f>IF(COUNTIF(EUconst_DefaultValues,Z1721)&gt;0,MATCH(Z1721,EUconst_DefaultValues,0),"")</f>
        <v/>
      </c>
      <c r="AB1721" s="30"/>
      <c r="AC1721" s="526" t="b">
        <f>AND(AC1719,Y1721&lt;&gt;EUconst_NA)</f>
        <v>0</v>
      </c>
      <c r="AD1721" s="30"/>
      <c r="AE1721" s="510" t="str">
        <f>EUconst_CNTR_EF&amp;EUconst_Unit</f>
        <v>EF_Vienetas</v>
      </c>
      <c r="AF1721" s="527" t="str">
        <f>IF(AC1721=TRUE, IF(COUNTIF(MSPara_SourceStreamCategory,V1721)=0,"",INDEX(MSPara_CalcFactorsMatrix,MATCH(V1721,MSPara_SourceStreamCategory,0),MATCH(AE1721&amp;"_"&amp;2,MSPara_CalcFactors,0))),"")</f>
        <v/>
      </c>
      <c r="AG1721" s="528" t="str">
        <f>IF(AC1721=TRUE, IF(COUNTIF(MSPara_SourceStreamCategory,V1721)=0,"",INDEX(MSPara_CalcFactorsMatrix,MATCH(V1721,MSPara_SourceStreamCategory,0),MATCH(AE1721&amp;"_"&amp;1,MSPara_CalcFactors,0))),"")</f>
        <v/>
      </c>
      <c r="AH1721" s="529" t="str">
        <f>IF(AA1721="","",INDEX(AF1721:AG1721,3-AA1721))</f>
        <v/>
      </c>
      <c r="AI1721" s="530" t="str">
        <f>IF(AC1721=TRUE,IF(OR(AH1721="",AH1721=EUconst_NA),IF(K1709=EUconst_Fuel,EUconst_tCO2pTJ,EUconst_tCO2pt),AH1721),"")</f>
        <v/>
      </c>
      <c r="AJ1721" s="526" t="str">
        <f>IF(J1721="",AI1721,J1721)</f>
        <v/>
      </c>
      <c r="AK1721" s="531" t="b">
        <f>IF(K1709=EUconst_Fuel,J1721&lt;&gt;"",FALSE)</f>
        <v>0</v>
      </c>
      <c r="AL1721" s="333"/>
      <c r="AM1721" s="510" t="str">
        <f>EUconst_CNTR_EF&amp;EUconst_Value</f>
        <v>EF_Vertė</v>
      </c>
      <c r="AN1721" s="532" t="str">
        <f>IF(AC1721=TRUE,IF(COUNTIF(MSPara_SourceStreamCategory,V1721)=0,"",INDEX(MSPara_CalcFactorsMatrix,MATCH(V1721,MSPara_SourceStreamCategory,0),MATCH(AM1721&amp;"_"&amp;2,MSPara_CalcFactors,0))),"")</f>
        <v/>
      </c>
      <c r="AO1721" s="533" t="str">
        <f>IF(AC1721=TRUE,IF(COUNTIF(MSPara_SourceStreamCategory,V1721)=0,"",INDEX(MSPara_CalcFactorsMatrix,MATCH(V1721,MSPara_SourceStreamCategory,0),MATCH(AM1721&amp;"_"&amp;1,MSPara_CalcFactors,0))),"")</f>
        <v/>
      </c>
      <c r="AP1721" s="526" t="b">
        <f>AND(AND(AH1721&lt;&gt;"",AJ1721&lt;&gt;""),AJ1721=AH1721)</f>
        <v>0</v>
      </c>
      <c r="AQ1721" s="534" t="str">
        <f>IF(AND(AA1721&lt;&gt;"",AP1721=TRUE),IF(OR(INDEX(AN1721:AO1721,3-AA1721)=EUconst_NA,INDEX(AN1721:AO1721,3-AA1721)=0),"",INDEX(AN1721:AO1721,3-AA1721)),"")</f>
        <v/>
      </c>
      <c r="AR1721" s="526">
        <f>IF(AC1721=TRUE,IF(COUNT(K1721:L1721)=0,0,IF(L1721="",K1721,L1721)),0)</f>
        <v>0</v>
      </c>
      <c r="AS1721" s="522" t="b">
        <f>AND(AC1721=TRUE,OR(AND(F1721&lt;&gt;"",NOT(ISNUMBER(AA1721))),L1721&lt;&gt;"",F1721="",AQ1721=""))</f>
        <v>0</v>
      </c>
      <c r="AT1721" s="522" t="b">
        <f t="shared" ref="AT1721:AT1727" si="429">AND(AC1721=TRUE,NOT(AS1721))</f>
        <v>0</v>
      </c>
      <c r="AU1721" s="30"/>
      <c r="AV1721" s="535" t="b">
        <f t="shared" ref="AV1721:AV1727" si="430">AND(ISNUMBER(AA1721),AQ1721="")</f>
        <v>0</v>
      </c>
      <c r="AW1721" s="536" t="b">
        <f t="shared" ref="AW1721:AW1727" si="431">AND(ISNUMBER(AA1721),AQ1721&lt;&gt;AR1721)</f>
        <v>0</v>
      </c>
      <c r="AX1721" s="537" t="b">
        <f>OR(AND(AJ1719=EUconst_kNm3,AJ1721=EUconst_tCO2pt),AND(AJ1719=EUconst_t,AJ1721=EUconst_tCO2pkNm3))</f>
        <v>0</v>
      </c>
      <c r="AY1721" s="522" t="b">
        <f t="shared" ref="AY1721:AY1727" si="432">AND(L1721&lt;&gt;"",Y1721=EUconst_NA)</f>
        <v>0</v>
      </c>
      <c r="AZ1721" s="30"/>
      <c r="BA1721" s="30"/>
      <c r="BB1721" s="538" t="s">
        <v>588</v>
      </c>
      <c r="BC1721" s="537" t="str">
        <f>IF(K1709=BC1719,AR1719*IF(AJ1721=EUconst_tCO2pTJ,(AR1722/1000),1)*AR1721*AR1723*AR1727,"")</f>
        <v/>
      </c>
      <c r="BD1721" s="515" t="str">
        <f>IF(K1709=BD1719,AR1719*AR1721*AR1724*AR1727,"")</f>
        <v/>
      </c>
      <c r="BE1721" s="514" t="str">
        <f>IF(K1709=BE1719,3.664*AR1719*AR1725*AR1727,"")</f>
        <v/>
      </c>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522" t="b">
        <f>OR(BZ1719,Y1721=EUconst_NA)</f>
        <v>1</v>
      </c>
    </row>
    <row r="1722" spans="1:78" s="140" customFormat="1" ht="12.75" customHeight="1" thickBot="1" x14ac:dyDescent="0.25">
      <c r="A1722" s="777"/>
      <c r="B1722" s="1248"/>
      <c r="C1722" s="783" t="s">
        <v>196</v>
      </c>
      <c r="D1722" s="503" t="str">
        <f>Translations!$B$636</f>
        <v>GŠV:</v>
      </c>
      <c r="E1722" s="504"/>
      <c r="F1722" s="539"/>
      <c r="G1722" s="1603" t="str">
        <f t="shared" si="427"/>
        <v/>
      </c>
      <c r="H1722" s="1604"/>
      <c r="I1722" s="1112" t="str">
        <f>AJ1722</f>
        <v/>
      </c>
      <c r="J1722" s="540"/>
      <c r="K1722" s="541" t="str">
        <f t="shared" si="428"/>
        <v/>
      </c>
      <c r="L1722" s="542"/>
      <c r="M1722" s="700" t="str">
        <f>IF(AND(E1710&lt;&gt;"",OR(F1722="",COUNT(K1722:L1722)=0),Y1722&lt;&gt;EUconst_NA,T1710&lt;&gt;TRUE),EUconst_ERR_Incomplete,IF(COUNTIF(AX1722:AZ1722,TRUE)&gt;0,EUconst_ERR_Inconsistent,""))</f>
        <v/>
      </c>
      <c r="O1722" s="1305"/>
      <c r="P1722" s="33"/>
      <c r="Q1722" s="33"/>
      <c r="R1722" s="33"/>
      <c r="S1722" s="30"/>
      <c r="T1722" s="543" t="str">
        <f>EUconst_CNTR_NCV&amp;E1710</f>
        <v>NCV_</v>
      </c>
      <c r="U1722" s="488"/>
      <c r="V1722" s="544" t="str">
        <f t="shared" ref="V1722:V1727" si="433">V1721</f>
        <v/>
      </c>
      <c r="W1722" s="30"/>
      <c r="X1722" s="488"/>
      <c r="Y1722" s="545" t="str">
        <f>IF(OR(T1710=TRUE,E1710=""),"",IF(F1722=EUconst_NA,EUconst_NA,INDEX(EUwideConstants!$N:$N,MATCH(T1722,EUwideConstants!$Q:$Q,0))))</f>
        <v/>
      </c>
      <c r="Z1722" s="546" t="str">
        <f>IF(ISBLANK(F1722),"",IF(F1722=EUconst_NA,"",INDEX(EUwideConstants!$H:$M,MATCH(T1722,EUwideConstants!$Q:$Q,0),MATCH(F1722,CNTR_TierList,0))))</f>
        <v/>
      </c>
      <c r="AA1722" s="547" t="str">
        <f>IF(COUNTIF(EUconst_DefaultValues,Z1722)&gt;0,MATCH(Z1722,EUconst_DefaultValues,0),"")</f>
        <v/>
      </c>
      <c r="AB1722" s="30"/>
      <c r="AC1722" s="548" t="b">
        <f>AND(AC1719,Y1722&lt;&gt;EUconst_NA)</f>
        <v>0</v>
      </c>
      <c r="AD1722" s="30"/>
      <c r="AE1722" s="549" t="str">
        <f>EUconst_CNTR_NCV&amp;EUconst_Unit</f>
        <v>NCV_Vienetas</v>
      </c>
      <c r="AF1722" s="550" t="str">
        <f>IF(AC1722=TRUE, IF(COUNTIF(MSPara_SourceStreamCategory,V1722)=0,"",INDEX(MSPara_CalcFactorsMatrix,MATCH(V1722,MSPara_SourceStreamCategory,0),MATCH(AE1722&amp;"_"&amp;2,MSPara_CalcFactors,0))),"")</f>
        <v/>
      </c>
      <c r="AG1722" s="551" t="str">
        <f>IF(AC1722=TRUE, IF(COUNTIF(MSPara_SourceStreamCategory,V1722)=0,"",INDEX(MSPara_CalcFactorsMatrix,MATCH(V1722,MSPara_SourceStreamCategory,0),MATCH(AE1722&amp;"_"&amp;1,MSPara_CalcFactors,0))),"")</f>
        <v/>
      </c>
      <c r="AH1722" s="552" t="str">
        <f>IF(AA1722="","",INDEX(AF1722:AG1722,3-AA1722))</f>
        <v/>
      </c>
      <c r="AI1722" s="553"/>
      <c r="AJ1722" s="548" t="str">
        <f>IF(AC1722=TRUE,IF(AJ1719="","",IF(AJ1719=EUconst_kNm3,EUconst_GJpkNm3,EUconst_GJpt)),"")</f>
        <v/>
      </c>
      <c r="AK1722" s="554"/>
      <c r="AL1722" s="333"/>
      <c r="AM1722" s="549" t="str">
        <f>EUconst_CNTR_NCV&amp;EUconst_Value</f>
        <v>NCV_Vertė</v>
      </c>
      <c r="AN1722" s="555" t="str">
        <f>IF(AC1722=TRUE,IF(COUNTIF(MSPara_SourceStreamCategory,V1722)=0,"",INDEX(MSPara_CalcFactorsMatrix,MATCH(V1722,MSPara_SourceStreamCategory,0),MATCH(AM1722&amp;"_"&amp;2,MSPara_CalcFactors,0))),"")</f>
        <v/>
      </c>
      <c r="AO1722" s="556" t="str">
        <f>IF(AC1722=TRUE,IF(COUNTIF(MSPara_SourceStreamCategory,V1722)=0,"",INDEX(MSPara_CalcFactorsMatrix,MATCH(V1722,MSPara_SourceStreamCategory,0),MATCH(AM1722&amp;"_"&amp;1,MSPara_CalcFactors,0))),"")</f>
        <v/>
      </c>
      <c r="AP1722" s="548" t="b">
        <f>AND(AND(AH1722&lt;&gt;"",AJ1722&lt;&gt;""),AJ1722=AH1722)</f>
        <v>0</v>
      </c>
      <c r="AQ1722" s="557" t="str">
        <f>IF(AND(AA1722&lt;&gt;"",AP1722=TRUE),IF(OR(INDEX(AN1722:AO1722,3-AA1722)=EUconst_NA,INDEX(AN1722:AO1722,3-AA1722)=0),"",INDEX(AN1722:AO1722,3-AA1722)),"")</f>
        <v/>
      </c>
      <c r="AR1722" s="548">
        <f>IF(AC1722=TRUE,IF(COUNT(K1722:L1722)=0,0,IF(L1722="",K1722,L1722)),0)</f>
        <v>0</v>
      </c>
      <c r="AS1722" s="544" t="b">
        <f>AND(AC1722=TRUE,OR(AND(F1722&lt;&gt;"",NOT(ISNUMBER(AA1722))),L1722&lt;&gt;"",F1722="",AQ1722=""))</f>
        <v>0</v>
      </c>
      <c r="AT1722" s="544" t="b">
        <f t="shared" si="429"/>
        <v>0</v>
      </c>
      <c r="AU1722" s="30"/>
      <c r="AV1722" s="558" t="b">
        <f t="shared" si="430"/>
        <v>0</v>
      </c>
      <c r="AW1722" s="559" t="b">
        <f t="shared" si="431"/>
        <v>0</v>
      </c>
      <c r="AX1722" s="30"/>
      <c r="AY1722" s="544" t="b">
        <f t="shared" si="432"/>
        <v>0</v>
      </c>
      <c r="AZ1722" s="30"/>
      <c r="BA1722" s="30"/>
      <c r="BB1722" s="538" t="s">
        <v>589</v>
      </c>
      <c r="BC1722" s="537" t="str">
        <f>IF(K1709=BC1719,AR1719*IF(AJ1721=EUconst_tCO2pTJ,(AR1722/1000),1)*AR1721*AR1723*AR1726,"")</f>
        <v/>
      </c>
      <c r="BD1722" s="515" t="str">
        <f>IF(K1709=BD1719,AR1719*AR1721*AR1724*AR1726,"")</f>
        <v/>
      </c>
      <c r="BE1722" s="514" t="str">
        <f>IF(K1709=BE1719,3.664*AR1719*AR1725*AR1726,"")</f>
        <v/>
      </c>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544" t="b">
        <f>OR(BZ1719,Y1722=EUconst_NA)</f>
        <v>1</v>
      </c>
    </row>
    <row r="1723" spans="1:78" s="140" customFormat="1" ht="12.75" customHeight="1" thickBot="1" x14ac:dyDescent="0.25">
      <c r="A1723" s="777"/>
      <c r="B1723" s="1248"/>
      <c r="C1723" s="783" t="s">
        <v>197</v>
      </c>
      <c r="D1723" s="503" t="str">
        <f>Translations!$B$638</f>
        <v>Oksidacijos koef.:</v>
      </c>
      <c r="E1723" s="504"/>
      <c r="F1723" s="539"/>
      <c r="G1723" s="1603" t="str">
        <f t="shared" si="427"/>
        <v/>
      </c>
      <c r="H1723" s="1604"/>
      <c r="I1723" s="1113" t="str">
        <f>IF(OR(AC1723=FALSE,Y1723=EUconst_NA),"","-")</f>
        <v/>
      </c>
      <c r="J1723" s="560"/>
      <c r="K1723" s="561" t="str">
        <f t="shared" si="428"/>
        <v/>
      </c>
      <c r="L1723" s="694"/>
      <c r="M1723" s="700" t="str">
        <f>IF(AND(E1710&lt;&gt;"",OR(F1723="",COUNT(K1723:L1723)=0),Y1723&lt;&gt;EUconst_NA,T1710&lt;&gt;TRUE),EUconst_ERR_Incomplete,IF(COUNTIF(AX1723:AZ1723,TRUE)&gt;0,EUconst_ERR_Inconsistent,""))</f>
        <v/>
      </c>
      <c r="O1723" s="1305"/>
      <c r="P1723" s="33"/>
      <c r="Q1723" s="33"/>
      <c r="R1723" s="33"/>
      <c r="S1723" s="30"/>
      <c r="T1723" s="543" t="str">
        <f>EUconst_CNTR_OxidationFactor&amp;E1710</f>
        <v>OxF_</v>
      </c>
      <c r="U1723" s="488"/>
      <c r="V1723" s="544" t="str">
        <f t="shared" si="433"/>
        <v/>
      </c>
      <c r="W1723" s="30"/>
      <c r="X1723" s="488"/>
      <c r="Y1723" s="545" t="str">
        <f>IF(OR(T1710=TRUE,E1710=""),"",INDEX(EUwideConstants!$N:$N,MATCH(T1723,EUwideConstants!$Q:$Q,0)))</f>
        <v/>
      </c>
      <c r="Z1723" s="546" t="str">
        <f>IF(ISBLANK(F1723),"",IF(F1723=EUconst_NA,"",INDEX(EUwideConstants!$H:$M,MATCH(T1723,EUwideConstants!$Q:$Q,0),MATCH(F1723,CNTR_TierList,0))))</f>
        <v/>
      </c>
      <c r="AA1723" s="525" t="str">
        <f>IF(F1723=1,1,"")</f>
        <v/>
      </c>
      <c r="AB1723" s="30"/>
      <c r="AC1723" s="548" t="b">
        <f>AND(AC1719,Y1723&lt;&gt;EUconst_NA)</f>
        <v>0</v>
      </c>
      <c r="AD1723" s="30"/>
      <c r="AE1723" s="563"/>
      <c r="AG1723" s="564"/>
      <c r="AH1723" s="553"/>
      <c r="AI1723" s="565"/>
      <c r="AJ1723" s="553"/>
      <c r="AK1723" s="566"/>
      <c r="AL1723" s="333"/>
      <c r="AM1723" s="549" t="str">
        <f>EUconst_CNTR_OxidationFactor&amp;EUconst_Value</f>
        <v>OxF_Vertė</v>
      </c>
      <c r="AN1723" s="567"/>
      <c r="AO1723" s="525">
        <v>1</v>
      </c>
      <c r="AP1723" s="553"/>
      <c r="AQ1723" s="568" t="str">
        <f>IF(AA1723="","",AO1723)</f>
        <v/>
      </c>
      <c r="AR1723" s="548">
        <f>IF(AC1723=TRUE,IF(COUNT(K1723:L1723)=0,0,IF(L1723="",K1723,L1723)),1)</f>
        <v>1</v>
      </c>
      <c r="AS1723" s="544" t="b">
        <f>AND(AC1723=TRUE,OR(ISNUMBER(L1723),NOT(ISNUMBER(AA1723))))</f>
        <v>0</v>
      </c>
      <c r="AT1723" s="544" t="b">
        <f t="shared" si="429"/>
        <v>0</v>
      </c>
      <c r="AU1723" s="30"/>
      <c r="AV1723" s="558" t="b">
        <f t="shared" si="430"/>
        <v>0</v>
      </c>
      <c r="AW1723" s="559" t="b">
        <f t="shared" si="431"/>
        <v>0</v>
      </c>
      <c r="AX1723" s="30"/>
      <c r="AY1723" s="585" t="b">
        <f t="shared" si="432"/>
        <v>0</v>
      </c>
      <c r="AZ1723" s="522" t="b">
        <f>AR1723&gt;100%</f>
        <v>0</v>
      </c>
      <c r="BA1723" s="30"/>
      <c r="BB1723" s="538" t="s">
        <v>287</v>
      </c>
      <c r="BC1723" s="537" t="str">
        <f>IF(K1709=BC1719,AR1719*IF(AJ1721=EUconst_tCO2pTJ,(AR1722/1000),1)*AR1721*AR1723*(1-AR1726),"")</f>
        <v/>
      </c>
      <c r="BD1723" s="515" t="str">
        <f>IF(K1709=BD1719,AR1719*AR1721*AR1724*(1-AR1726),"")</f>
        <v/>
      </c>
      <c r="BE1723" s="514" t="str">
        <f>IF(K1709=BE1719,3.664*AR1719*AR1725*(1-AR1726),"")</f>
        <v/>
      </c>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544" t="b">
        <f>OR(BZ1719,Y1723=EUconst_NA)</f>
        <v>1</v>
      </c>
    </row>
    <row r="1724" spans="1:78" s="140" customFormat="1" ht="12.75" customHeight="1" thickBot="1" x14ac:dyDescent="0.25">
      <c r="A1724" s="777"/>
      <c r="B1724" s="1248"/>
      <c r="C1724" s="783" t="s">
        <v>198</v>
      </c>
      <c r="D1724" s="503" t="str">
        <f>Translations!$B$639</f>
        <v>Konversijos koef.:</v>
      </c>
      <c r="E1724" s="504"/>
      <c r="F1724" s="539"/>
      <c r="G1724" s="1603" t="str">
        <f t="shared" si="427"/>
        <v/>
      </c>
      <c r="H1724" s="1604"/>
      <c r="I1724" s="1113" t="str">
        <f>IF(OR(AC1724=FALSE,Y1724=EUconst_NA),"","-")</f>
        <v/>
      </c>
      <c r="J1724" s="560"/>
      <c r="K1724" s="561" t="str">
        <f t="shared" si="428"/>
        <v/>
      </c>
      <c r="L1724" s="694"/>
      <c r="M1724" s="700" t="str">
        <f>IF(AND(E1710&lt;&gt;"",OR(F1724="",COUNT(K1724:L1724)=0),Y1724&lt;&gt;EUconst_NA,T1710&lt;&gt;TRUE),EUconst_ERR_Incomplete,IF(COUNTIF(AX1724:AZ1724,TRUE)&gt;0,EUconst_ERR_Inconsistent,""))</f>
        <v/>
      </c>
      <c r="O1724" s="1305"/>
      <c r="P1724" s="33"/>
      <c r="Q1724" s="33"/>
      <c r="R1724" s="33"/>
      <c r="S1724" s="30"/>
      <c r="T1724" s="543" t="str">
        <f>EUconst_CNTR_ConversionFactor&amp;E1710</f>
        <v>ConvF_</v>
      </c>
      <c r="U1724" s="488"/>
      <c r="V1724" s="544" t="str">
        <f t="shared" si="433"/>
        <v/>
      </c>
      <c r="W1724" s="30"/>
      <c r="X1724" s="488"/>
      <c r="Y1724" s="545" t="str">
        <f>IF(OR(T1710=TRUE,E1710=""),"",INDEX(EUwideConstants!$N:$N,MATCH(T1724,EUwideConstants!$Q:$Q,0)))</f>
        <v/>
      </c>
      <c r="Z1724" s="546" t="str">
        <f>IF(ISBLANK(F1724),"",IF(F1724=EUconst_NA,"",INDEX(EUwideConstants!$H:$M,MATCH(T1724,EUwideConstants!$Q:$Q,0),MATCH(F1724,CNTR_TierList,0))))</f>
        <v/>
      </c>
      <c r="AA1724" s="573" t="str">
        <f>IF(F1724=1,1,"")</f>
        <v/>
      </c>
      <c r="AB1724" s="30"/>
      <c r="AC1724" s="548" t="b">
        <f>AND(AC1719,Y1724&lt;&gt;EUconst_NA)</f>
        <v>0</v>
      </c>
      <c r="AD1724" s="30"/>
      <c r="AE1724" s="563"/>
      <c r="AG1724" s="564"/>
      <c r="AH1724" s="574"/>
      <c r="AI1724" s="565"/>
      <c r="AJ1724" s="574"/>
      <c r="AK1724" s="566"/>
      <c r="AL1724" s="333"/>
      <c r="AM1724" s="549" t="str">
        <f>EUconst_CNTR_ConversionFactor&amp;EUconst_Value</f>
        <v>ConvF_Vertė</v>
      </c>
      <c r="AN1724" s="575"/>
      <c r="AO1724" s="573">
        <v>1</v>
      </c>
      <c r="AP1724" s="574"/>
      <c r="AQ1724" s="576" t="str">
        <f>IF(AA1724="","",AO1724)</f>
        <v/>
      </c>
      <c r="AR1724" s="548">
        <f>IF(AC1724=TRUE,IF(COUNT(K1724:L1724)=0,0,IF(L1724="",K1724,L1724)),1)</f>
        <v>1</v>
      </c>
      <c r="AS1724" s="544" t="b">
        <f>AND(AC1724=TRUE,OR(ISNUMBER(L1724),NOT(ISNUMBER(AA1724))))</f>
        <v>0</v>
      </c>
      <c r="AT1724" s="544" t="b">
        <f t="shared" si="429"/>
        <v>0</v>
      </c>
      <c r="AU1724" s="30"/>
      <c r="AV1724" s="558" t="b">
        <f t="shared" si="430"/>
        <v>0</v>
      </c>
      <c r="AW1724" s="559" t="b">
        <f t="shared" si="431"/>
        <v>0</v>
      </c>
      <c r="AX1724" s="30"/>
      <c r="AY1724" s="585" t="b">
        <f t="shared" si="432"/>
        <v>0</v>
      </c>
      <c r="AZ1724" s="571" t="b">
        <f>AR1724&gt;100%</f>
        <v>0</v>
      </c>
      <c r="BA1724" s="30"/>
      <c r="BB1724" s="569" t="s">
        <v>481</v>
      </c>
      <c r="BC1724" s="570">
        <f>AR1719*AR1722/1000*(1-AR1726)</f>
        <v>0</v>
      </c>
      <c r="BD1724" s="571">
        <f>BC1724</f>
        <v>0</v>
      </c>
      <c r="BE1724" s="572">
        <f>BC1724</f>
        <v>0</v>
      </c>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544" t="b">
        <f>OR(BZ1719,Y1724=EUconst_NA)</f>
        <v>1</v>
      </c>
    </row>
    <row r="1725" spans="1:78" s="140" customFormat="1" ht="12.75" customHeight="1" thickBot="1" x14ac:dyDescent="0.25">
      <c r="A1725" s="777"/>
      <c r="B1725" s="1248"/>
      <c r="C1725" s="783" t="s">
        <v>324</v>
      </c>
      <c r="D1725" s="503" t="str">
        <f>Translations!$B$640</f>
        <v>Anglies kiekis (C):</v>
      </c>
      <c r="E1725" s="504"/>
      <c r="F1725" s="539"/>
      <c r="G1725" s="1603" t="str">
        <f t="shared" si="427"/>
        <v/>
      </c>
      <c r="H1725" s="1604"/>
      <c r="I1725" s="1113" t="str">
        <f>AJ1725</f>
        <v/>
      </c>
      <c r="J1725" s="577"/>
      <c r="K1725" s="578" t="str">
        <f t="shared" si="428"/>
        <v/>
      </c>
      <c r="L1725" s="579"/>
      <c r="M1725" s="700" t="str">
        <f>IF(AND(E1710&lt;&gt;"",OR(F1725="",COUNT(K1725:L1725)=0),Y1725&lt;&gt;EUconst_NA,T1710&lt;&gt;TRUE),EUconst_ERR_Incomplete,IF(COUNTIF(AX1725:AZ1725,TRUE)&gt;0,EUconst_ERR_Inconsistent,""))</f>
        <v/>
      </c>
      <c r="O1725" s="1305"/>
      <c r="P1725" s="33"/>
      <c r="Q1725" s="33"/>
      <c r="R1725" s="33"/>
      <c r="S1725" s="30"/>
      <c r="T1725" s="543" t="str">
        <f>EUconst_CNTR_CarbonContent&amp;E1710</f>
        <v>CarbC_</v>
      </c>
      <c r="U1725" s="488"/>
      <c r="V1725" s="544" t="str">
        <f t="shared" si="433"/>
        <v/>
      </c>
      <c r="W1725" s="30"/>
      <c r="X1725" s="488"/>
      <c r="Y1725" s="545" t="str">
        <f>IF(OR(T1710=TRUE,E1710=""),"",INDEX(EUwideConstants!$N:$N,MATCH(T1725,EUwideConstants!$Q:$Q,0)))</f>
        <v/>
      </c>
      <c r="Z1725" s="546" t="str">
        <f>IF(ISBLANK(F1725),"",IF(F1725=EUconst_NA,"",INDEX(EUwideConstants!$H:$M,MATCH(T1725,EUwideConstants!$Q:$Q,0),MATCH(F1725,CNTR_TierList,0))))</f>
        <v/>
      </c>
      <c r="AA1725" s="580" t="str">
        <f>IF(COUNTIF(EUconst_DefaultValues,Z1725)&gt;0,MATCH(Z1725,EUconst_DefaultValues,0),"")</f>
        <v/>
      </c>
      <c r="AB1725" s="30"/>
      <c r="AC1725" s="548" t="b">
        <f>AND(AC1719,Y1725&lt;&gt;EUconst_NA)</f>
        <v>0</v>
      </c>
      <c r="AD1725" s="30"/>
      <c r="AE1725" s="549" t="str">
        <f>EUconst_CNTR_CarbonContent&amp;EUconst_Unit</f>
        <v>CarbC_Vienetas</v>
      </c>
      <c r="AF1725" s="550" t="str">
        <f>IF(AC1725=TRUE, IF(COUNTIF(MSPara_SourceStreamCategory,V1725)=0,"",INDEX(MSPara_CalcFactorsMatrix,MATCH(V1725,MSPara_SourceStreamCategory,0),MATCH(AE1725&amp;"_"&amp;2,MSPara_CalcFactors,0))),"")</f>
        <v/>
      </c>
      <c r="AG1725" s="551" t="str">
        <f>IF(AC1725=TRUE, IF(COUNTIF(MSPara_SourceStreamCategory,V1725)=0,"",INDEX(MSPara_CalcFactorsMatrix,MATCH(V1725,MSPara_SourceStreamCategory,0),MATCH(AE1725&amp;"_"&amp;1,MSPara_CalcFactors,0))),"")</f>
        <v/>
      </c>
      <c r="AH1725" s="581" t="str">
        <f>IF(AA1725="","",INDEX(AF1725:AG1725,3-AA1725))</f>
        <v/>
      </c>
      <c r="AI1725" s="565"/>
      <c r="AJ1725" s="582" t="str">
        <f>IF(AC1725=TRUE,IF(AJ1719="","",IF(AJ1719=EUconst_kNm3,EUconst_tCpkNm3,EUconst_tCpt)),"")</f>
        <v/>
      </c>
      <c r="AK1725" s="566"/>
      <c r="AL1725" s="333"/>
      <c r="AM1725" s="549" t="str">
        <f>EUconst_CNTR_CarbonContent&amp;EUconst_Value</f>
        <v>CarbC_Vertė</v>
      </c>
      <c r="AN1725" s="555" t="str">
        <f>IF(AC1725=TRUE,IF(COUNTIF(MSPara_SourceStreamCategory,V1725)=0,"",INDEX(MSPara_CalcFactorsMatrix,MATCH(V1725,MSPara_SourceStreamCategory,0),MATCH(AM1725&amp;"_"&amp;2,MSPara_CalcFactors,0))),"")</f>
        <v/>
      </c>
      <c r="AO1725" s="583" t="str">
        <f>IF(AC1725=TRUE,IF(COUNTIF(MSPara_SourceStreamCategory,V1725)=0,"",INDEX(MSPara_CalcFactorsMatrix,MATCH(V1725,MSPara_SourceStreamCategory,0),MATCH(AM1725&amp;"_"&amp;1,MSPara_CalcFactors,0))),"")</f>
        <v/>
      </c>
      <c r="AP1725" s="548" t="b">
        <f>AND(AND(AH1725&lt;&gt;"",AJ1725&lt;&gt;""),AJ1725=AH1725)</f>
        <v>0</v>
      </c>
      <c r="AQ1725" s="584" t="str">
        <f>IF(AND(AA1725&lt;&gt;"",AP1725=TRUE),IF(OR(INDEX(AN1725:AO1725,3-AA1725)=EUconst_NA,INDEX(AN1725:AO1725,3-AA1725)=0),"",INDEX(AN1725:AO1725,3-AA1725)),"")</f>
        <v/>
      </c>
      <c r="AR1725" s="548">
        <f>IF(AC1725=TRUE,IF(COUNT(K1725:L1725)=0,0,IF(L1725="",K1725,L1725)),0)</f>
        <v>0</v>
      </c>
      <c r="AS1725" s="544" t="b">
        <f>AND(AC1725=TRUE,OR(AND(F1725&lt;&gt;"",NOT(ISNUMBER(AA1725))),L1725&lt;&gt;"",F1725="",AQ1725=""))</f>
        <v>0</v>
      </c>
      <c r="AT1725" s="544" t="b">
        <f t="shared" si="429"/>
        <v>0</v>
      </c>
      <c r="AU1725" s="30"/>
      <c r="AV1725" s="558" t="b">
        <f t="shared" si="430"/>
        <v>0</v>
      </c>
      <c r="AW1725" s="559" t="b">
        <f t="shared" si="431"/>
        <v>0</v>
      </c>
      <c r="AX1725" s="537" t="b">
        <f>OR(AND(AJ1719=EUconst_kNm3,AJ1725=EUconst_tCpt),AND(AJ1719=EUconst_t,AJ1725=EUconst_tCpkNm3))</f>
        <v>0</v>
      </c>
      <c r="AY1725" s="544" t="b">
        <f t="shared" si="432"/>
        <v>0</v>
      </c>
      <c r="AZ1725" s="30"/>
      <c r="BA1725" s="30"/>
      <c r="BB1725" s="569" t="s">
        <v>482</v>
      </c>
      <c r="BC1725" s="570">
        <f>AR1719*AR1722/1000*AR1726</f>
        <v>0</v>
      </c>
      <c r="BD1725" s="571">
        <f>BC1725</f>
        <v>0</v>
      </c>
      <c r="BE1725" s="572">
        <f>BC1725</f>
        <v>0</v>
      </c>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544" t="b">
        <f>OR(BZ1719,Y1725=EUconst_NA)</f>
        <v>1</v>
      </c>
    </row>
    <row r="1726" spans="1:78" s="140" customFormat="1" ht="12.75" customHeight="1" x14ac:dyDescent="0.2">
      <c r="A1726" s="777"/>
      <c r="B1726" s="1248"/>
      <c r="C1726" s="753" t="s">
        <v>325</v>
      </c>
      <c r="D1726" s="503" t="str">
        <f>Translations!$B$641</f>
        <v>Biomasės dalis (BioC):</v>
      </c>
      <c r="E1726" s="504"/>
      <c r="F1726" s="539"/>
      <c r="G1726" s="1603" t="str">
        <f t="shared" si="427"/>
        <v/>
      </c>
      <c r="H1726" s="1604"/>
      <c r="I1726" s="1113" t="str">
        <f>IF(OR(AC1726=FALSE,Y1726=EUconst_NA),"","-")</f>
        <v/>
      </c>
      <c r="J1726" s="560"/>
      <c r="K1726" s="561" t="str">
        <f t="shared" si="428"/>
        <v/>
      </c>
      <c r="L1726" s="694"/>
      <c r="M1726" s="700" t="str">
        <f>IF(AND(E1710&lt;&gt;"",OR(F1726="",COUNT(K1726:L1726)=0),Y1726&lt;&gt;EUconst_NA,T1710&lt;&gt;TRUE),EUconst_ERR_Incomplete,IF(COUNTIF(AX1726:AZ1726,TRUE)&gt;0,EUconst_ERR_Inconsistent,""))</f>
        <v/>
      </c>
      <c r="O1726" s="1305"/>
      <c r="P1726" s="635"/>
      <c r="Q1726" s="635"/>
      <c r="R1726" s="635"/>
      <c r="S1726" s="30"/>
      <c r="T1726" s="543" t="str">
        <f>EUconst_CNTR_BiomassContent&amp;E1710</f>
        <v>BioC_</v>
      </c>
      <c r="U1726" s="488"/>
      <c r="V1726" s="585" t="str">
        <f t="shared" si="433"/>
        <v/>
      </c>
      <c r="W1726" s="522" t="str">
        <f>IF(COUNTIF(MSPara_SourceStreamCategory,V1726)=0,"",INDEX(MSPara_IsFossil,MATCH(V1726,MSPara_SourceStreamCategory,0)))</f>
        <v/>
      </c>
      <c r="X1726" s="488"/>
      <c r="Y1726" s="545" t="str">
        <f>IF(OR(T1710=TRUE,E1710=""),"",IF(OR(W1726=TRUE,F1726=EUconst_NA),EUconst_NA,INDEX(EUwideConstants!$N:$N,MATCH(T1726,EUwideConstants!$Q:$Q,0))))</f>
        <v/>
      </c>
      <c r="Z1726" s="546" t="str">
        <f>IF(ISBLANK(F1726),"",IF(F1726=EUconst_NA,"",INDEX(EUwideConstants!$H:$M,MATCH(T1726,EUwideConstants!$Q:$Q,0),MATCH(F1726,CNTR_TierList,0))))</f>
        <v/>
      </c>
      <c r="AA1726" s="586" t="str">
        <f>IF(F1726=1,1,"")</f>
        <v/>
      </c>
      <c r="AB1726" s="30"/>
      <c r="AC1726" s="548" t="b">
        <f>AND(AC1719,Y1726&lt;&gt;EUconst_NA)</f>
        <v>0</v>
      </c>
      <c r="AD1726" s="30"/>
      <c r="AE1726" s="563"/>
      <c r="AG1726" s="564"/>
      <c r="AH1726" s="553"/>
      <c r="AI1726" s="565"/>
      <c r="AJ1726" s="553"/>
      <c r="AK1726" s="566"/>
      <c r="AL1726" s="333"/>
      <c r="AM1726" s="549" t="str">
        <f>EUconst_CNTR_BiomassContent&amp;EUconst_Value</f>
        <v>BioC_Vertė</v>
      </c>
      <c r="AO1726" s="587" t="str">
        <f>IF(AC1726=TRUE,IF(COUNTIF(MSPara_SourceStreamCategory,V1726)=0,"",INDEX(MSPara_CalcFactorsMatrix,MATCH(V1726,MSPara_SourceStreamCategory,0),MATCH(AM1726&amp;"_"&amp;2,MSPara_CalcFactors,0))),"")</f>
        <v/>
      </c>
      <c r="AP1726" s="553"/>
      <c r="AQ1726" s="568" t="str">
        <f>IF(OR(AA1726="",AO1726=EUconst_NA),"",AO1726)</f>
        <v/>
      </c>
      <c r="AR1726" s="548">
        <f>IF(AC1726=TRUE,IF(COUNT(K1726:L1726)=0,0,IF(L1726="",K1726,L1726)),0)</f>
        <v>0</v>
      </c>
      <c r="AS1726" s="544" t="b">
        <f>AND(AC1726=TRUE,OR(AND(F1726&lt;&gt;"",NOT(ISNUMBER(AA1726))),L1726&lt;&gt;"",F1726="",AQ1726=""))</f>
        <v>0</v>
      </c>
      <c r="AT1726" s="544" t="b">
        <f t="shared" si="429"/>
        <v>0</v>
      </c>
      <c r="AU1726" s="30"/>
      <c r="AV1726" s="558" t="b">
        <f t="shared" si="430"/>
        <v>0</v>
      </c>
      <c r="AW1726" s="559" t="b">
        <f t="shared" si="431"/>
        <v>0</v>
      </c>
      <c r="AX1726" s="30"/>
      <c r="AY1726" s="585" t="b">
        <f t="shared" si="432"/>
        <v>0</v>
      </c>
      <c r="AZ1726" s="522" t="b">
        <f>OR(AR1726&gt;100%,(AR1726+AR1727)&gt;100%)</f>
        <v>0</v>
      </c>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544" t="b">
        <f>OR(BZ1719,Y1726=EUconst_NA)</f>
        <v>1</v>
      </c>
    </row>
    <row r="1727" spans="1:78" s="140" customFormat="1" ht="12.75" customHeight="1" thickBot="1" x14ac:dyDescent="0.25">
      <c r="A1727" s="777"/>
      <c r="B1727" s="1248"/>
      <c r="C1727" s="753" t="s">
        <v>448</v>
      </c>
      <c r="D1727" s="503" t="str">
        <f>Translations!$B$647</f>
        <v>Netvarios BioC dalis:</v>
      </c>
      <c r="E1727" s="504"/>
      <c r="F1727" s="588"/>
      <c r="G1727" s="1603" t="str">
        <f t="shared" si="427"/>
        <v/>
      </c>
      <c r="H1727" s="1604"/>
      <c r="I1727" s="1114" t="str">
        <f>IF(OR(AC1727=FALSE,Y1727=EUconst_NA),"","-")</f>
        <v/>
      </c>
      <c r="J1727" s="560"/>
      <c r="K1727" s="589" t="str">
        <f t="shared" si="428"/>
        <v/>
      </c>
      <c r="L1727" s="1100"/>
      <c r="M1727" s="700" t="str">
        <f>IF(AND(E1710&lt;&gt;"",OR(F1727="",COUNT(K1727:L1727)=0),Y1727&lt;&gt;EUconst_NA,T1710&lt;&gt;TRUE),EUconst_ERR_Incomplete,IF(COUNTIF(AX1727:AZ1727,TRUE)&gt;0,EUconst_ERR_Inconsistent,""))</f>
        <v/>
      </c>
      <c r="O1727" s="1305"/>
      <c r="P1727" s="635"/>
      <c r="Q1727" s="635"/>
      <c r="R1727" s="635"/>
      <c r="S1727" s="30"/>
      <c r="T1727" s="590" t="str">
        <f>EUconst_CNTR_BiomassContent&amp;E1710</f>
        <v>BioC_</v>
      </c>
      <c r="U1727" s="488"/>
      <c r="V1727" s="570" t="str">
        <f t="shared" si="433"/>
        <v/>
      </c>
      <c r="W1727" s="571" t="str">
        <f>IF(COUNTIF(MSPara_SourceStreamCategory,V1727)=0,"",INDEX(MSPara_IsFossil,MATCH(V1727,MSPara_SourceStreamCategory,0)))</f>
        <v/>
      </c>
      <c r="X1727" s="488"/>
      <c r="Y1727" s="591" t="str">
        <f>IF(OR(T1710=TRUE,E1710=""),"",IF(OR(W1727=TRUE,F1727=EUconst_NA),EUconst_NA,INDEX(EUwideConstants!$N:$N,MATCH(T1727,EUwideConstants!$Q:$Q,0))))</f>
        <v/>
      </c>
      <c r="Z1727" s="592" t="str">
        <f>IF(ISBLANK(F1727),"",IF(F1727=EUconst_NA,"",INDEX(EUwideConstants!$H:$M,MATCH(T1727,EUwideConstants!$Q:$Q,0),MATCH(F1727,CNTR_TierList,0))))</f>
        <v/>
      </c>
      <c r="AA1727" s="593" t="str">
        <f>IF(F1727=1,1,"")</f>
        <v/>
      </c>
      <c r="AB1727" s="30"/>
      <c r="AC1727" s="594" t="b">
        <f>AND(AC1719,Y1727&lt;&gt;EUconst_NA)</f>
        <v>0</v>
      </c>
      <c r="AD1727" s="30"/>
      <c r="AE1727" s="595"/>
      <c r="AF1727" s="596"/>
      <c r="AG1727" s="597"/>
      <c r="AH1727" s="598"/>
      <c r="AI1727" s="598"/>
      <c r="AJ1727" s="598"/>
      <c r="AK1727" s="599"/>
      <c r="AL1727" s="333"/>
      <c r="AM1727" s="600" t="str">
        <f>EUconst_CNTR_BiomassContent&amp;EUconst_Value</f>
        <v>BioC_Vertė</v>
      </c>
      <c r="AN1727" s="596"/>
      <c r="AO1727" s="601" t="str">
        <f>IF(AC1727=TRUE,IF(COUNTIF(MSPara_SourceStreamCategory,V1727)=0,"",INDEX(MSPara_CalcFactorsMatrix,MATCH(V1727,MSPara_SourceStreamCategory,0),MATCH(AM1727&amp;"_"&amp;2,MSPara_CalcFactors,0))),"")</f>
        <v/>
      </c>
      <c r="AP1727" s="598"/>
      <c r="AQ1727" s="602" t="str">
        <f>IF(OR(AA1727="",AO1727=EUconst_NA),"",AO1727)</f>
        <v/>
      </c>
      <c r="AR1727" s="594">
        <f>IF(AC1727=TRUE,IF(COUNT(K1727:L1727)=0,0,IF(L1727="",K1727,L1727)),0)</f>
        <v>0</v>
      </c>
      <c r="AS1727" s="603" t="b">
        <f>AND(AC1727=TRUE,OR(AND(F1727&lt;&gt;"",NOT(ISNUMBER(AA1727))),L1727&lt;&gt;"",F1727="",AQ1727=""))</f>
        <v>0</v>
      </c>
      <c r="AT1727" s="603" t="b">
        <f t="shared" si="429"/>
        <v>0</v>
      </c>
      <c r="AU1727" s="30"/>
      <c r="AV1727" s="604" t="b">
        <f t="shared" si="430"/>
        <v>0</v>
      </c>
      <c r="AW1727" s="605" t="b">
        <f t="shared" si="431"/>
        <v>0</v>
      </c>
      <c r="AX1727" s="30"/>
      <c r="AY1727" s="570" t="b">
        <f t="shared" si="432"/>
        <v>0</v>
      </c>
      <c r="AZ1727" s="571" t="b">
        <f>OR(AR1726&gt;100%,(AR1726+AR1727)&gt;100%)</f>
        <v>0</v>
      </c>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571" t="b">
        <f>OR(BZ1719,Y1727=EUconst_NA)</f>
        <v>1</v>
      </c>
    </row>
    <row r="1728" spans="1:78" s="140" customFormat="1" ht="5.0999999999999996" customHeight="1" x14ac:dyDescent="0.2">
      <c r="A1728" s="777"/>
      <c r="B1728" s="1248"/>
      <c r="C1728" s="164"/>
      <c r="D1728" s="178"/>
      <c r="O1728" s="1305"/>
      <c r="P1728" s="33"/>
      <c r="Q1728" s="33"/>
      <c r="R1728" s="33"/>
      <c r="S1728" s="172"/>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row>
    <row r="1729" spans="1:78" s="140" customFormat="1" ht="12.75" customHeight="1" x14ac:dyDescent="0.2">
      <c r="A1729" s="777"/>
      <c r="B1729" s="1248"/>
      <c r="C1729" s="164"/>
      <c r="D1729" s="1629" t="str">
        <f>Translations!$B$674</f>
        <v>Pakopos galioja nuo:</v>
      </c>
      <c r="E1729" s="1629"/>
      <c r="F1729" s="1630"/>
      <c r="G1729" s="1014"/>
      <c r="H1729" s="606" t="str">
        <f>Translations!$B$675</f>
        <v>iki:</v>
      </c>
      <c r="I1729" s="1014"/>
      <c r="J1729" s="1620" t="str">
        <f>Translations!$B$676</f>
        <v>Atliekų katalogo numeris (jeigu taikytina):</v>
      </c>
      <c r="K1729" s="1621"/>
      <c r="L1729" s="1621"/>
      <c r="M1729" s="1622"/>
      <c r="N1729" s="1232"/>
      <c r="O1729" s="1305"/>
      <c r="P1729" s="33"/>
      <c r="Q1729" s="33"/>
      <c r="R1729" s="33"/>
      <c r="S1729" s="1233"/>
      <c r="T1729" s="483"/>
      <c r="U1729" s="483"/>
      <c r="V1729" s="48" t="b">
        <f>IF(V1719="",FALSE,INDEX(CNTR_IsWaste,MATCH(V1719,MSParameters!$A$218:$A$376,0)))</f>
        <v>0</v>
      </c>
      <c r="W1729" s="1233" t="s">
        <v>1689</v>
      </c>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2" t="b">
        <f>BZ1719</f>
        <v>1</v>
      </c>
    </row>
    <row r="1730" spans="1:78" s="140" customFormat="1" ht="5.0999999999999996" customHeight="1" x14ac:dyDescent="0.2">
      <c r="A1730" s="777"/>
      <c r="B1730" s="1248"/>
      <c r="C1730" s="164"/>
      <c r="D1730" s="606"/>
      <c r="E1730" s="486"/>
      <c r="F1730" s="486"/>
      <c r="G1730" s="486"/>
      <c r="H1730" s="486"/>
      <c r="I1730" s="486"/>
      <c r="J1730" s="486"/>
      <c r="K1730" s="486"/>
      <c r="L1730" s="486"/>
      <c r="M1730" s="486"/>
      <c r="N1730" s="486"/>
      <c r="O1730" s="1305"/>
      <c r="P1730" s="33"/>
      <c r="Q1730" s="33"/>
      <c r="R1730" s="33"/>
      <c r="S1730" s="172"/>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row>
    <row r="1731" spans="1:78" s="140" customFormat="1" ht="12.75" customHeight="1" x14ac:dyDescent="0.2">
      <c r="A1731" s="777"/>
      <c r="B1731" s="1248"/>
      <c r="C1731" s="164"/>
      <c r="D1731" s="486"/>
      <c r="E1731" s="486"/>
      <c r="F1731" s="486"/>
      <c r="G1731" s="486"/>
      <c r="H1731" s="486"/>
      <c r="I1731" s="486"/>
      <c r="J1731" s="486"/>
      <c r="K1731" s="486"/>
      <c r="L1731" s="486"/>
      <c r="M1731" s="606" t="str">
        <f>Translations!$B$677</f>
        <v>Stebėsenos plane šiam sukėlikliui suteiktas identifikatorius:</v>
      </c>
      <c r="N1731" s="705"/>
      <c r="O1731" s="1305"/>
      <c r="P1731" s="33"/>
      <c r="Q1731" s="33"/>
      <c r="R1731" s="33"/>
      <c r="S1731" s="172"/>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2" t="b">
        <f>BZ1729</f>
        <v>1</v>
      </c>
    </row>
    <row r="1732" spans="1:78" s="140" customFormat="1" ht="5.0999999999999996" customHeight="1" x14ac:dyDescent="0.2">
      <c r="A1732" s="784"/>
      <c r="B1732" s="1316"/>
      <c r="D1732" s="178"/>
      <c r="O1732" s="1317"/>
      <c r="P1732" s="488"/>
      <c r="Q1732" s="488"/>
      <c r="R1732" s="488"/>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row>
    <row r="1733" spans="1:78" s="140" customFormat="1" x14ac:dyDescent="0.2">
      <c r="A1733" s="784"/>
      <c r="B1733" s="1316"/>
      <c r="D1733" s="1618" t="str">
        <f>Translations!$B$160</f>
        <v>Pastabos:</v>
      </c>
      <c r="E1733" s="1619"/>
      <c r="F1733" s="1605"/>
      <c r="G1733" s="1606"/>
      <c r="H1733" s="1606"/>
      <c r="I1733" s="1606"/>
      <c r="J1733" s="1606"/>
      <c r="K1733" s="1606"/>
      <c r="L1733" s="1606"/>
      <c r="M1733" s="1606"/>
      <c r="N1733" s="1607"/>
      <c r="O1733" s="1317"/>
      <c r="P1733" s="488"/>
      <c r="Q1733" s="488"/>
      <c r="R1733" s="488"/>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2" t="b">
        <f>BZ1729</f>
        <v>1</v>
      </c>
    </row>
    <row r="1734" spans="1:78" s="28" customFormat="1" ht="12.75" customHeight="1" thickBot="1" x14ac:dyDescent="0.25">
      <c r="A1734" s="777"/>
      <c r="B1734" s="1312"/>
      <c r="C1734" s="490"/>
      <c r="D1734" s="491"/>
      <c r="E1734" s="492"/>
      <c r="F1734" s="490"/>
      <c r="G1734" s="493"/>
      <c r="H1734" s="493"/>
      <c r="I1734" s="493"/>
      <c r="J1734" s="493"/>
      <c r="K1734" s="493"/>
      <c r="L1734" s="493"/>
      <c r="M1734" s="493"/>
      <c r="N1734" s="493"/>
      <c r="O1734" s="1313"/>
      <c r="P1734" s="485"/>
      <c r="Q1734" s="485"/>
      <c r="R1734" s="485"/>
      <c r="S1734" s="58"/>
      <c r="T1734" s="58"/>
      <c r="U1734" s="489"/>
      <c r="V1734" s="58"/>
      <c r="W1734" s="58"/>
      <c r="X1734" s="489"/>
      <c r="Y1734" s="58"/>
      <c r="Z1734" s="58"/>
      <c r="AA1734" s="58"/>
      <c r="AB1734" s="58"/>
      <c r="AC1734" s="58"/>
      <c r="AD1734" s="58"/>
      <c r="AE1734" s="58"/>
      <c r="AF1734" s="58"/>
      <c r="AG1734" s="58"/>
      <c r="AH1734" s="58"/>
      <c r="AI1734" s="58"/>
      <c r="AJ1734" s="58"/>
      <c r="AK1734" s="58"/>
      <c r="AL1734" s="58"/>
      <c r="AM1734" s="58"/>
      <c r="AN1734" s="58"/>
      <c r="AO1734" s="58"/>
      <c r="AP1734" s="58"/>
      <c r="AQ1734" s="58"/>
      <c r="AR1734" s="58"/>
      <c r="AS1734" s="58"/>
      <c r="AT1734" s="58"/>
      <c r="AU1734" s="58"/>
      <c r="AV1734" s="58"/>
      <c r="AW1734" s="58"/>
      <c r="AX1734" s="58"/>
      <c r="AY1734" s="58"/>
      <c r="AZ1734" s="58"/>
      <c r="BA1734" s="58"/>
      <c r="BB1734" s="58"/>
      <c r="BC1734" s="58"/>
      <c r="BD1734" s="58"/>
      <c r="BE1734" s="58"/>
      <c r="BF1734" s="58"/>
      <c r="BG1734" s="58"/>
      <c r="BH1734" s="58"/>
      <c r="BI1734" s="30"/>
      <c r="BJ1734" s="30"/>
      <c r="BK1734" s="30"/>
      <c r="BL1734" s="58"/>
      <c r="BM1734" s="58"/>
      <c r="BN1734" s="58"/>
      <c r="BO1734" s="58"/>
      <c r="BP1734" s="58"/>
      <c r="BQ1734" s="58"/>
      <c r="BR1734" s="58"/>
      <c r="BS1734" s="58"/>
      <c r="BT1734" s="58"/>
      <c r="BU1734" s="58"/>
      <c r="BV1734" s="58"/>
      <c r="BW1734" s="58"/>
      <c r="BX1734" s="58"/>
      <c r="BY1734" s="58"/>
      <c r="BZ1734" s="58"/>
    </row>
    <row r="1735" spans="1:78" s="28" customFormat="1" ht="12.75" customHeight="1" thickBot="1" x14ac:dyDescent="0.25">
      <c r="A1735" s="782"/>
      <c r="B1735" s="1312"/>
      <c r="C1735" s="486"/>
      <c r="D1735" s="178"/>
      <c r="E1735" s="487"/>
      <c r="F1735" s="486"/>
      <c r="G1735" s="478"/>
      <c r="H1735" s="478"/>
      <c r="I1735" s="478"/>
      <c r="J1735" s="478"/>
      <c r="K1735" s="486"/>
      <c r="L1735" s="478"/>
      <c r="M1735" s="478"/>
      <c r="N1735" s="478"/>
      <c r="O1735" s="1313"/>
      <c r="P1735" s="485"/>
      <c r="Q1735" s="485"/>
      <c r="R1735" s="485"/>
      <c r="S1735" s="23"/>
      <c r="T1735" s="27" t="str">
        <f>IF(ISBLANK(E1736),"",MATCH(E1736,CNTR_SourceStreamNames,0))</f>
        <v/>
      </c>
      <c r="U1735" s="609" t="str">
        <f>IF(ISBLANK(E1736),"",INDEX(B_InstallationDescription!$D$71:$D$145,MATCH(E1736,CNTR_SourceStreamNames,0)))</f>
        <v/>
      </c>
      <c r="V1735" s="76"/>
      <c r="W1735" s="56"/>
      <c r="X1735" s="56"/>
      <c r="Y1735" s="56"/>
      <c r="Z1735" s="58"/>
      <c r="AA1735" s="58"/>
      <c r="AB1735" s="58"/>
      <c r="AC1735" s="58"/>
      <c r="AD1735" s="58"/>
      <c r="AE1735" s="58"/>
      <c r="AF1735" s="58"/>
      <c r="AG1735" s="58"/>
      <c r="AH1735" s="58"/>
      <c r="AI1735" s="58"/>
      <c r="AJ1735" s="58"/>
      <c r="AK1735" s="482"/>
      <c r="AL1735" s="58"/>
      <c r="AM1735" s="58"/>
      <c r="AN1735" s="58"/>
      <c r="AO1735" s="58"/>
      <c r="AP1735" s="58"/>
      <c r="AQ1735" s="58"/>
      <c r="AR1735" s="58"/>
      <c r="AS1735" s="58"/>
      <c r="AT1735" s="58"/>
      <c r="AU1735" s="58"/>
      <c r="AV1735" s="58"/>
      <c r="AW1735" s="58"/>
      <c r="AX1735" s="58"/>
      <c r="AY1735" s="58"/>
      <c r="AZ1735" s="58"/>
      <c r="BA1735" s="58"/>
      <c r="BB1735" s="58"/>
      <c r="BC1735" s="58"/>
      <c r="BD1735" s="58"/>
      <c r="BE1735" s="58"/>
      <c r="BF1735" s="58"/>
      <c r="BG1735" s="58"/>
      <c r="BH1735" s="56"/>
      <c r="BI1735" s="56"/>
      <c r="BJ1735" s="56"/>
      <c r="BK1735" s="56"/>
      <c r="BL1735" s="56"/>
      <c r="BM1735" s="56"/>
      <c r="BN1735" s="56"/>
      <c r="BO1735" s="56"/>
      <c r="BP1735" s="56"/>
      <c r="BQ1735" s="56"/>
      <c r="BR1735" s="56"/>
      <c r="BS1735" s="56"/>
      <c r="BT1735" s="56"/>
      <c r="BU1735" s="56"/>
      <c r="BV1735" s="56"/>
      <c r="BW1735" s="56"/>
      <c r="BX1735" s="56"/>
      <c r="BY1735" s="56"/>
      <c r="BZ1735" s="484" t="s">
        <v>259</v>
      </c>
    </row>
    <row r="1736" spans="1:78" s="140" customFormat="1" ht="15" customHeight="1" thickBot="1" x14ac:dyDescent="0.25">
      <c r="A1736" s="1302" t="str">
        <f>IF(E1736="","","PRINT")</f>
        <v/>
      </c>
      <c r="B1736" s="1248"/>
      <c r="C1736" s="608">
        <f>C1709+1</f>
        <v>63</v>
      </c>
      <c r="D1736" s="164"/>
      <c r="E1736" s="1610"/>
      <c r="F1736" s="1611"/>
      <c r="G1736" s="1611"/>
      <c r="H1736" s="1611"/>
      <c r="I1736" s="1611"/>
      <c r="J1736" s="1612"/>
      <c r="K1736" s="1623" t="str">
        <f>IF(E1737="","",INDEX(EUwideConstants!$F$353:$F$394,MATCH(E1737,EUConst_TierActivityListNames,0)))</f>
        <v/>
      </c>
      <c r="L1736" s="1624"/>
      <c r="M1736" s="494" t="str">
        <f>Translations!$B$665</f>
        <v>CO2, iškastinio kuro kilmės:</v>
      </c>
      <c r="N1736" s="1012" t="str">
        <f>IF(OR(K1736="",T1737=TRUE),"",INDEX(BC1750:BE1750,MATCH(K1736,BC1746:BE1746,0)))</f>
        <v/>
      </c>
      <c r="O1736" s="1314" t="s">
        <v>257</v>
      </c>
      <c r="P1736" s="1303" t="str">
        <f>IF(AND(E1736&lt;&gt;"",COUNTIF(P1737:$P$2089,"PRINT")=0),"PRINT","")</f>
        <v/>
      </c>
      <c r="Q1736" s="343" t="str">
        <f>EUconst_SumCO2 &amp; "_" &amp; K1736</f>
        <v>SUM_CO2_</v>
      </c>
      <c r="R1736" s="485"/>
      <c r="S1736" s="23"/>
      <c r="T1736" s="500" t="s">
        <v>387</v>
      </c>
      <c r="U1736" s="23"/>
      <c r="V1736" s="76"/>
      <c r="W1736" s="56"/>
      <c r="X1736" s="58"/>
      <c r="Y1736" s="58"/>
      <c r="Z1736" s="58"/>
      <c r="AA1736" s="58"/>
      <c r="AB1736" s="58"/>
      <c r="AC1736" s="58"/>
      <c r="AD1736" s="58"/>
      <c r="AE1736" s="58"/>
      <c r="AF1736" s="58"/>
      <c r="AG1736" s="58"/>
      <c r="AH1736" s="58"/>
      <c r="AI1736" s="333"/>
      <c r="AJ1736" s="333"/>
      <c r="AK1736" s="333"/>
      <c r="AL1736" s="333"/>
      <c r="AM1736" s="333"/>
      <c r="AN1736" s="333"/>
      <c r="AO1736" s="333"/>
      <c r="AP1736" s="333"/>
      <c r="AQ1736" s="333"/>
      <c r="AR1736" s="333"/>
      <c r="AS1736" s="333"/>
      <c r="AT1736" s="333"/>
      <c r="AU1736" s="333"/>
      <c r="AV1736" s="333"/>
      <c r="AW1736" s="333"/>
      <c r="AX1736" s="333"/>
      <c r="AY1736" s="333"/>
      <c r="AZ1736" s="333"/>
      <c r="BA1736" s="333"/>
      <c r="BB1736" s="333"/>
      <c r="BC1736" s="333"/>
      <c r="BD1736" s="333"/>
      <c r="BE1736" s="333"/>
      <c r="BF1736" s="333"/>
      <c r="BG1736" s="333"/>
      <c r="BH1736" s="834">
        <f>AR1746</f>
        <v>0</v>
      </c>
      <c r="BI1736" s="834" t="str">
        <f>AJ1746</f>
        <v/>
      </c>
      <c r="BJ1736" s="834">
        <f>AR1748</f>
        <v>0</v>
      </c>
      <c r="BK1736" s="834" t="str">
        <f>AJ1748</f>
        <v/>
      </c>
      <c r="BL1736" s="834">
        <f>AR1749</f>
        <v>0</v>
      </c>
      <c r="BM1736" s="834" t="str">
        <f>AJ1749</f>
        <v/>
      </c>
      <c r="BN1736" s="834">
        <f>AR1750</f>
        <v>1</v>
      </c>
      <c r="BO1736" s="834">
        <f>AR1751</f>
        <v>1</v>
      </c>
      <c r="BP1736" s="834">
        <f>AR1752</f>
        <v>0</v>
      </c>
      <c r="BQ1736" s="834" t="str">
        <f>AJ1752</f>
        <v/>
      </c>
      <c r="BR1736" s="834">
        <f>AR1753</f>
        <v>0</v>
      </c>
      <c r="BS1736" s="834">
        <f>AR1754</f>
        <v>0</v>
      </c>
      <c r="BT1736" s="834" t="str">
        <f>N1736</f>
        <v/>
      </c>
      <c r="BU1736" s="834" t="str">
        <f>N1737</f>
        <v/>
      </c>
      <c r="BV1736" s="834" t="str">
        <f>R1739</f>
        <v/>
      </c>
      <c r="BW1736" s="834" t="str">
        <f>R1745</f>
        <v/>
      </c>
      <c r="BX1736" s="834" t="str">
        <f>R1746</f>
        <v/>
      </c>
      <c r="BY1736" s="56"/>
      <c r="BZ1736" s="610" t="b">
        <f>CNTR_CalcRelevant=EUconst_NotRelevant</f>
        <v>0</v>
      </c>
    </row>
    <row r="1737" spans="1:78" s="140" customFormat="1" ht="15" customHeight="1" thickBot="1" x14ac:dyDescent="0.25">
      <c r="A1737" s="777"/>
      <c r="B1737" s="1248"/>
      <c r="C1737" s="164"/>
      <c r="D1737" s="164"/>
      <c r="E1737" s="1625" t="str">
        <f>IF(ISBLANK(E1736),"",IF(INDEX(B_InstallationDescription!$E$71:$E$145,MATCH(U1735,B_InstallationDescription!$D$71:$D$145,0))&gt;0,INDEX(B_InstallationDescription!$E$71:$E$145,MATCH(U1735,B_InstallationDescription!$D$71:$D$145,0)),""))</f>
        <v/>
      </c>
      <c r="F1737" s="1626"/>
      <c r="G1737" s="1626"/>
      <c r="H1737" s="1626"/>
      <c r="I1737" s="1626"/>
      <c r="J1737" s="1627"/>
      <c r="M1737" s="337" t="str">
        <f>Translations!$B$666</f>
        <v>CO2, biomasės kilmės.:</v>
      </c>
      <c r="N1737" s="1013" t="str">
        <f>IF(OR(K1736="",T1737=TRUE),"",INDEX(BC1749:BE1749,MATCH(K1736,BC1746:BE1746,0)))</f>
        <v/>
      </c>
      <c r="O1737" s="1315" t="s">
        <v>257</v>
      </c>
      <c r="P1737" s="485"/>
      <c r="Q1737" s="343" t="str">
        <f>EUconst_SumBioCO2 &amp; "_" &amp; K1736</f>
        <v>SUM_bioCO2_</v>
      </c>
      <c r="R1737" s="485"/>
      <c r="S1737" s="23"/>
      <c r="T1737" s="48" t="str">
        <f>IF(E1737="","",MATCH(E1737,EUConst_TierActivityListNames,0)&gt;40)</f>
        <v/>
      </c>
      <c r="U1737" s="23"/>
      <c r="V1737" s="76"/>
      <c r="W1737" s="56"/>
      <c r="X1737" s="58"/>
      <c r="Y1737" s="27" t="s">
        <v>91</v>
      </c>
      <c r="Z1737" s="30"/>
      <c r="AA1737" s="30"/>
      <c r="AB1737" s="30"/>
      <c r="AC1737" s="30"/>
      <c r="AD1737" s="30"/>
      <c r="AE1737" s="27" t="s">
        <v>297</v>
      </c>
      <c r="AF1737" s="58"/>
      <c r="AG1737" s="495"/>
      <c r="AH1737" s="30"/>
      <c r="AI1737" s="30"/>
      <c r="AJ1737" s="495"/>
      <c r="AK1737" s="495"/>
      <c r="AL1737" s="333"/>
      <c r="AM1737" s="27" t="s">
        <v>303</v>
      </c>
      <c r="AN1737" s="496"/>
      <c r="AO1737" s="496"/>
      <c r="AP1737" s="30"/>
      <c r="AQ1737" s="30"/>
      <c r="AR1737" s="30"/>
      <c r="AS1737" s="30"/>
      <c r="AT1737" s="30"/>
      <c r="AU1737" s="30"/>
      <c r="AV1737" s="27" t="s">
        <v>310</v>
      </c>
      <c r="AW1737" s="30"/>
      <c r="AX1737" s="483"/>
      <c r="AY1737" s="30"/>
      <c r="AZ1737" s="30"/>
      <c r="BA1737" s="30"/>
      <c r="BB1737" s="27" t="s">
        <v>217</v>
      </c>
      <c r="BC1737" s="30"/>
      <c r="BD1737" s="30"/>
      <c r="BE1737" s="30"/>
      <c r="BF1737" s="30"/>
      <c r="BG1737" s="27" t="s">
        <v>486</v>
      </c>
      <c r="BH1737" s="833" t="s">
        <v>552</v>
      </c>
      <c r="BI1737" s="833" t="s">
        <v>487</v>
      </c>
      <c r="BJ1737" s="833" t="s">
        <v>211</v>
      </c>
      <c r="BK1737" s="833" t="s">
        <v>488</v>
      </c>
      <c r="BL1737" s="833" t="s">
        <v>68</v>
      </c>
      <c r="BM1737" s="833" t="s">
        <v>489</v>
      </c>
      <c r="BN1737" s="833" t="s">
        <v>490</v>
      </c>
      <c r="BO1737" s="833" t="s">
        <v>491</v>
      </c>
      <c r="BP1737" s="833" t="s">
        <v>214</v>
      </c>
      <c r="BQ1737" s="833" t="s">
        <v>492</v>
      </c>
      <c r="BR1737" s="833" t="s">
        <v>493</v>
      </c>
      <c r="BS1737" s="833" t="s">
        <v>494</v>
      </c>
      <c r="BT1737" s="833" t="s">
        <v>287</v>
      </c>
      <c r="BU1737" s="833" t="s">
        <v>495</v>
      </c>
      <c r="BV1737" s="833" t="s">
        <v>498</v>
      </c>
      <c r="BW1737" s="833" t="s">
        <v>496</v>
      </c>
      <c r="BX1737" s="833" t="s">
        <v>497</v>
      </c>
      <c r="BY1737" s="30"/>
      <c r="BZ1737" s="30"/>
    </row>
    <row r="1738" spans="1:78" s="140" customFormat="1" ht="5.0999999999999996" customHeight="1" thickBot="1" x14ac:dyDescent="0.25">
      <c r="A1738" s="777"/>
      <c r="B1738" s="1248"/>
      <c r="C1738" s="164"/>
      <c r="D1738" s="164"/>
      <c r="E1738" s="164"/>
      <c r="F1738" s="164"/>
      <c r="G1738" s="164"/>
      <c r="M1738" s="141"/>
      <c r="N1738" s="141"/>
      <c r="O1738" s="1305"/>
      <c r="P1738" s="33"/>
      <c r="Q1738" s="33"/>
      <c r="R1738" s="33"/>
      <c r="S1738" s="23"/>
      <c r="T1738" s="23"/>
      <c r="U1738" s="23"/>
      <c r="V1738" s="76"/>
      <c r="W1738" s="30"/>
      <c r="X1738" s="30"/>
      <c r="Y1738" s="485"/>
      <c r="Z1738" s="30"/>
      <c r="AA1738" s="30"/>
      <c r="AB1738" s="30"/>
      <c r="AC1738" s="30"/>
      <c r="AD1738" s="30"/>
      <c r="AE1738" s="30"/>
      <c r="AF1738" s="58"/>
      <c r="AG1738" s="30"/>
      <c r="AH1738" s="30"/>
      <c r="AI1738" s="30"/>
      <c r="AJ1738" s="495"/>
      <c r="AK1738" s="495"/>
      <c r="AL1738" s="333"/>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row>
    <row r="1739" spans="1:78" s="140" customFormat="1" ht="12.75" customHeight="1" thickBot="1" x14ac:dyDescent="0.25">
      <c r="A1739" s="777"/>
      <c r="B1739" s="1248"/>
      <c r="C1739" s="164"/>
      <c r="D1739" s="164"/>
      <c r="E1739" s="1628" t="str">
        <f>IF(E1736="","",IF(T1737=TRUE,HYPERLINK("#JUMP_14",EUconst_MsgGoOnPFC),HYPERLINK("#JUMP_E_8",EUconst_FurtherGuidancePoint1)))</f>
        <v/>
      </c>
      <c r="F1739" s="1628"/>
      <c r="G1739" s="1628"/>
      <c r="H1739" s="1628"/>
      <c r="I1739" s="1628"/>
      <c r="J1739" s="1628"/>
      <c r="K1739" s="1628"/>
      <c r="L1739" s="1628"/>
      <c r="M1739" s="1628"/>
      <c r="N1739" s="141"/>
      <c r="O1739" s="1305"/>
      <c r="P1739" s="33"/>
      <c r="Q1739" s="343" t="str">
        <f>EUconst_SumNonSustBioCO2 &amp; "_" &amp; K1736</f>
        <v>SUM_bioNonSustCO2_</v>
      </c>
      <c r="R1739" s="698" t="str">
        <f>IF(OR(K1736="",T1737=TRUE),"",ROUND(INDEX(BC1748:BE1748,MATCH(K1736,BC1746:BE1746,0)),0))</f>
        <v/>
      </c>
      <c r="S1739" s="23"/>
      <c r="T1739" s="23"/>
      <c r="U1739" s="23"/>
      <c r="V1739" s="30"/>
      <c r="W1739" s="30"/>
      <c r="X1739" s="30"/>
      <c r="Y1739" s="58"/>
      <c r="Z1739" s="30"/>
      <c r="AA1739" s="30"/>
      <c r="AB1739" s="30"/>
      <c r="AC1739" s="30"/>
      <c r="AD1739" s="30"/>
      <c r="AE1739" s="30"/>
      <c r="AF1739" s="58"/>
      <c r="AG1739" s="30"/>
      <c r="AH1739" s="30"/>
      <c r="AI1739" s="30"/>
      <c r="AJ1739" s="495"/>
      <c r="AK1739" s="495"/>
      <c r="AL1739" s="333"/>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row>
    <row r="1740" spans="1:78" s="140" customFormat="1" ht="5.0999999999999996" customHeight="1" thickBot="1" x14ac:dyDescent="0.25">
      <c r="A1740" s="777"/>
      <c r="B1740" s="1248"/>
      <c r="C1740" s="164"/>
      <c r="D1740" s="164"/>
      <c r="E1740" s="164"/>
      <c r="F1740" s="164"/>
      <c r="G1740" s="164"/>
      <c r="M1740" s="141"/>
      <c r="N1740" s="141"/>
      <c r="O1740" s="1305"/>
      <c r="P1740" s="23"/>
      <c r="Q1740" s="23"/>
      <c r="R1740" s="23"/>
      <c r="S1740" s="23"/>
      <c r="T1740" s="23"/>
      <c r="U1740" s="23"/>
      <c r="V1740" s="30"/>
      <c r="W1740" s="30"/>
      <c r="X1740" s="30"/>
      <c r="Y1740" s="485"/>
      <c r="Z1740" s="30"/>
      <c r="AA1740" s="30"/>
      <c r="AB1740" s="30"/>
      <c r="AC1740" s="30"/>
      <c r="AD1740" s="30"/>
      <c r="AE1740" s="30"/>
      <c r="AF1740" s="58"/>
      <c r="AG1740" s="30"/>
      <c r="AH1740" s="30"/>
      <c r="AI1740" s="30"/>
      <c r="AJ1740" s="495"/>
      <c r="AK1740" s="495"/>
      <c r="AL1740" s="333"/>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row>
    <row r="1741" spans="1:78" s="140" customFormat="1" ht="12.75" customHeight="1" thickBot="1" x14ac:dyDescent="0.25">
      <c r="A1741" s="777"/>
      <c r="B1741" s="1248"/>
      <c r="C1741" s="783" t="s">
        <v>4</v>
      </c>
      <c r="D1741" s="503" t="str">
        <f>Translations!$B$622</f>
        <v>VD:</v>
      </c>
      <c r="E1741" s="1631" t="str">
        <f>Translations!$B$667</f>
        <v>Ar veiklos duomenys gaunami sudedant išmatuotus kiekius (t. y. ne atliekant nuolatinius matavimus)?</v>
      </c>
      <c r="F1741" s="1631"/>
      <c r="G1741" s="1631"/>
      <c r="H1741" s="1631"/>
      <c r="I1741" s="1631"/>
      <c r="J1741" s="1631"/>
      <c r="K1741" s="1631"/>
      <c r="L1741" s="1122"/>
      <c r="M1741" s="498"/>
      <c r="O1741" s="1305"/>
      <c r="P1741" s="23"/>
      <c r="Q1741" s="23"/>
      <c r="R1741" s="23"/>
      <c r="S1741" s="23"/>
      <c r="T1741" s="23"/>
      <c r="U1741" s="23"/>
      <c r="V1741" s="30"/>
      <c r="W1741" s="30"/>
      <c r="X1741" s="30"/>
      <c r="Y1741" s="485"/>
      <c r="Z1741" s="30"/>
      <c r="AA1741" s="30"/>
      <c r="AB1741" s="30"/>
      <c r="AC1741" s="1115" t="b">
        <f>AND(E1736&lt;&gt;"",T1737&lt;&gt;TRUE)</f>
        <v>0</v>
      </c>
      <c r="AD1741" s="30"/>
      <c r="AE1741" s="30"/>
      <c r="AF1741" s="58"/>
      <c r="AG1741" s="30"/>
      <c r="AH1741" s="30"/>
      <c r="AI1741" s="30"/>
      <c r="AJ1741" s="495"/>
      <c r="AK1741" s="495"/>
      <c r="AL1741" s="333"/>
      <c r="AM1741" s="30"/>
      <c r="AN1741" s="30"/>
      <c r="AO1741" s="30"/>
      <c r="AP1741" s="30"/>
      <c r="AQ1741" s="30"/>
      <c r="AR1741" s="30"/>
      <c r="AS1741" s="30"/>
      <c r="AT1741" s="1115" t="b">
        <f>MSPara_BatchReportingMandatory&lt;&gt;TRUE</f>
        <v>0</v>
      </c>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1115" t="b">
        <f>OR(CNTR_CalcRelevant=EUconst_NotRelevant,AND(COUNTA(CNTR_ListRelevantSections)&gt;0,OR(T1737=TRUE,E1736="")))</f>
        <v>1</v>
      </c>
    </row>
    <row r="1742" spans="1:78" s="140" customFormat="1" ht="5.0999999999999996" customHeight="1" thickBot="1" x14ac:dyDescent="0.25">
      <c r="A1742" s="777"/>
      <c r="B1742" s="1248"/>
      <c r="C1742" s="164"/>
      <c r="D1742" s="164"/>
      <c r="E1742" s="164"/>
      <c r="F1742" s="164"/>
      <c r="G1742" s="164"/>
      <c r="H1742" s="486"/>
      <c r="I1742" s="486"/>
      <c r="J1742" s="486"/>
      <c r="K1742" s="486"/>
      <c r="L1742" s="486"/>
      <c r="M1742" s="498"/>
      <c r="O1742" s="1305"/>
      <c r="P1742" s="23"/>
      <c r="Q1742" s="23"/>
      <c r="R1742" s="23"/>
      <c r="S1742" s="23"/>
      <c r="T1742" s="23"/>
      <c r="U1742" s="23"/>
      <c r="V1742" s="30"/>
      <c r="W1742" s="30"/>
      <c r="X1742" s="30"/>
      <c r="Y1742" s="485"/>
      <c r="Z1742" s="30"/>
      <c r="AA1742" s="30"/>
      <c r="AB1742" s="30"/>
      <c r="AC1742" s="483"/>
      <c r="AD1742" s="30"/>
      <c r="AE1742" s="30"/>
      <c r="AF1742" s="58"/>
      <c r="AG1742" s="30"/>
      <c r="AH1742" s="30"/>
      <c r="AI1742" s="30"/>
      <c r="AJ1742" s="495"/>
      <c r="AK1742" s="495"/>
      <c r="AL1742" s="333"/>
      <c r="AM1742" s="30"/>
      <c r="AN1742" s="30"/>
      <c r="AO1742" s="30"/>
      <c r="AP1742" s="30"/>
      <c r="AQ1742" s="30"/>
      <c r="AR1742" s="30"/>
      <c r="AS1742" s="30"/>
      <c r="AT1742" s="483"/>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483"/>
    </row>
    <row r="1743" spans="1:78" s="140" customFormat="1" ht="12.75" customHeight="1" thickBot="1" x14ac:dyDescent="0.25">
      <c r="A1743" s="777"/>
      <c r="B1743" s="1248"/>
      <c r="C1743" s="783" t="s">
        <v>5</v>
      </c>
      <c r="D1743" s="503" t="str">
        <f>Translations!$B$622</f>
        <v>VD:</v>
      </c>
      <c r="E1743" s="1105" t="str">
        <f>Translations!$B$668</f>
        <v>Pradinis kiekis:</v>
      </c>
      <c r="F1743" s="1123"/>
      <c r="G1743" s="1106" t="str">
        <f>Translations!$B$669</f>
        <v>Galutinis kiekis:</v>
      </c>
      <c r="H1743" s="1123"/>
      <c r="I1743" s="1106" t="str">
        <f>Translations!$B$670</f>
        <v>Įsigytas kiekis:</v>
      </c>
      <c r="J1743" s="1123"/>
      <c r="K1743" s="1106" t="str">
        <f>Translations!$B$671</f>
        <v>Perduotas kiekis:</v>
      </c>
      <c r="L1743" s="1123"/>
      <c r="M1743" s="1107" t="str">
        <f>IF(AND(L1741=TRUE,COUNT(F1743,H1743,J1743,L1743)&lt;4),EUconst_ERR_Incomplete,"")</f>
        <v/>
      </c>
      <c r="O1743" s="1305"/>
      <c r="P1743" s="23"/>
      <c r="Q1743" s="23"/>
      <c r="R1743" s="23"/>
      <c r="S1743" s="23"/>
      <c r="T1743" s="23"/>
      <c r="U1743" s="23"/>
      <c r="V1743" s="30"/>
      <c r="W1743" s="30"/>
      <c r="X1743" s="30"/>
      <c r="Y1743" s="485"/>
      <c r="Z1743" s="30"/>
      <c r="AA1743" s="30"/>
      <c r="AB1743" s="30"/>
      <c r="AC1743" s="1115" t="b">
        <f>AC1741</f>
        <v>0</v>
      </c>
      <c r="AD1743" s="30"/>
      <c r="AE1743" s="30"/>
      <c r="AF1743" s="58"/>
      <c r="AG1743" s="30"/>
      <c r="AH1743" s="30"/>
      <c r="AI1743" s="30"/>
      <c r="AJ1743" s="495"/>
      <c r="AK1743" s="495"/>
      <c r="AL1743" s="333"/>
      <c r="AM1743" s="30"/>
      <c r="AN1743" s="30"/>
      <c r="AO1743" s="30"/>
      <c r="AP1743" s="30"/>
      <c r="AQ1743" s="30"/>
      <c r="AR1743" s="30"/>
      <c r="AS1743" s="30"/>
      <c r="AT1743" s="1115" t="b">
        <f>AND(AT1741=TRUE,L1741="")</f>
        <v>0</v>
      </c>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1115" t="b">
        <f>OR(BZ1741,AND(NOT(ISBLANK(L1741)),L1741=FALSE))</f>
        <v>1</v>
      </c>
    </row>
    <row r="1744" spans="1:78" s="140" customFormat="1" ht="5.0999999999999996" customHeight="1" thickBot="1" x14ac:dyDescent="0.25">
      <c r="A1744" s="777"/>
      <c r="B1744" s="1248"/>
      <c r="C1744" s="164"/>
      <c r="D1744" s="164"/>
      <c r="E1744" s="164"/>
      <c r="F1744" s="164"/>
      <c r="G1744" s="164"/>
      <c r="M1744" s="141"/>
      <c r="N1744" s="141"/>
      <c r="O1744" s="1305"/>
      <c r="P1744" s="23"/>
      <c r="Q1744" s="23"/>
      <c r="R1744" s="23"/>
      <c r="S1744" s="23"/>
      <c r="T1744" s="23"/>
      <c r="U1744" s="23"/>
      <c r="V1744" s="30"/>
      <c r="W1744" s="30"/>
      <c r="X1744" s="30"/>
      <c r="Y1744" s="485"/>
      <c r="Z1744" s="30"/>
      <c r="AA1744" s="30"/>
      <c r="AB1744" s="30"/>
      <c r="AC1744" s="30"/>
      <c r="AD1744" s="30"/>
      <c r="AE1744" s="30"/>
      <c r="AF1744" s="58"/>
      <c r="AG1744" s="30"/>
      <c r="AH1744" s="30"/>
      <c r="AI1744" s="30"/>
      <c r="AJ1744" s="495"/>
      <c r="AK1744" s="495"/>
      <c r="AL1744" s="333"/>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row>
    <row r="1745" spans="1:78" s="140" customFormat="1" ht="12.75" customHeight="1" thickBot="1" x14ac:dyDescent="0.25">
      <c r="A1745" s="777"/>
      <c r="B1745" s="1248"/>
      <c r="C1745" s="164"/>
      <c r="D1745" s="164"/>
      <c r="E1745" s="164"/>
      <c r="F1745" s="497" t="str">
        <f>Translations!$B$333</f>
        <v>Pakopa</v>
      </c>
      <c r="G1745" s="1613" t="str">
        <f>Translations!$B$672</f>
        <v>pakopos aprašas</v>
      </c>
      <c r="H1745" s="1613"/>
      <c r="I1745" s="1608" t="str">
        <f>Translations!$B$158</f>
        <v>Vienetas</v>
      </c>
      <c r="J1745" s="1608"/>
      <c r="K1745" s="1608" t="str">
        <f>Translations!$B$673</f>
        <v>Vertė</v>
      </c>
      <c r="L1745" s="1608"/>
      <c r="M1745" s="498" t="str">
        <f>Translations!$B$610</f>
        <v>klaida</v>
      </c>
      <c r="O1745" s="1305"/>
      <c r="P1745" s="499"/>
      <c r="Q1745" s="343" t="str">
        <f>EUconst_SumEnergyIN &amp; "_" &amp; K1736</f>
        <v>SUM_EnergyIN_</v>
      </c>
      <c r="R1745" s="390" t="str">
        <f>IF(OR(K1736="",T1737)=TRUE,"",INDEX(BC1751:BE1751,MATCH(K1736,BC1746:BE1746,0)))</f>
        <v/>
      </c>
      <c r="S1745" s="30"/>
      <c r="T1745" s="480"/>
      <c r="U1745" s="30"/>
      <c r="V1745" s="500" t="s">
        <v>298</v>
      </c>
      <c r="W1745" s="30"/>
      <c r="X1745" s="30"/>
      <c r="Y1745" s="485" t="s">
        <v>560</v>
      </c>
      <c r="Z1745" s="485" t="s">
        <v>313</v>
      </c>
      <c r="AA1745" s="30"/>
      <c r="AB1745" s="30"/>
      <c r="AC1745" s="496" t="s">
        <v>304</v>
      </c>
      <c r="AD1745" s="30"/>
      <c r="AE1745" s="30"/>
      <c r="AF1745" s="483" t="s">
        <v>300</v>
      </c>
      <c r="AG1745" s="483" t="s">
        <v>301</v>
      </c>
      <c r="AH1745" s="485" t="s">
        <v>299</v>
      </c>
      <c r="AI1745" s="495" t="s">
        <v>302</v>
      </c>
      <c r="AJ1745" s="495" t="s">
        <v>561</v>
      </c>
      <c r="AK1745" s="501" t="s">
        <v>306</v>
      </c>
      <c r="AL1745" s="333"/>
      <c r="AM1745" s="30"/>
      <c r="AN1745" s="483" t="s">
        <v>300</v>
      </c>
      <c r="AO1745" s="483" t="s">
        <v>301</v>
      </c>
      <c r="AP1745" s="502" t="s">
        <v>305</v>
      </c>
      <c r="AQ1745" s="495" t="s">
        <v>563</v>
      </c>
      <c r="AR1745" s="495" t="s">
        <v>562</v>
      </c>
      <c r="AS1745" s="501" t="s">
        <v>599</v>
      </c>
      <c r="AT1745" s="501" t="s">
        <v>599</v>
      </c>
      <c r="AU1745" s="30"/>
      <c r="AV1745" s="483"/>
      <c r="AW1745" s="483"/>
      <c r="AX1745" s="483" t="s">
        <v>316</v>
      </c>
      <c r="AY1745" s="483"/>
      <c r="AZ1745" s="483"/>
      <c r="BA1745" s="483"/>
      <c r="BB1745" s="483"/>
      <c r="BC1745" s="483"/>
      <c r="BD1745" s="483"/>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484" t="s">
        <v>259</v>
      </c>
    </row>
    <row r="1746" spans="1:78" s="140" customFormat="1" ht="12.75" customHeight="1" thickBot="1" x14ac:dyDescent="0.25">
      <c r="A1746" s="777"/>
      <c r="B1746" s="1248"/>
      <c r="C1746" s="753" t="s">
        <v>194</v>
      </c>
      <c r="D1746" s="503" t="str">
        <f>Translations!$B$622</f>
        <v>VD:</v>
      </c>
      <c r="E1746" s="504"/>
      <c r="F1746" s="393"/>
      <c r="G1746" s="1603" t="str">
        <f>IF(OR(ISBLANK(F1746),F1746=EUconst_NoTier),"",IF(Z1746=0,EUconst_NA,IF(ISERROR(Z1746),"",Z1746)))</f>
        <v/>
      </c>
      <c r="H1746" s="1604"/>
      <c r="I1746" s="1108" t="str">
        <f>IF(J1746&lt;&gt;"","",AI1746)</f>
        <v/>
      </c>
      <c r="J1746" s="1109"/>
      <c r="K1746" s="1116" t="str">
        <f>IF(L1746="",AQ1746,"")</f>
        <v/>
      </c>
      <c r="L1746" s="1199"/>
      <c r="M1746" s="700" t="str">
        <f>IF(AND(E1737&lt;&gt;"",OR(F1746="",COUNT(K1746:L1746)=0),Y1746&lt;&gt;EUconst_NA,T1737&lt;&gt;TRUE),EUconst_ERR_Incomplete,IF(COUNTIF(AX1746:AZ1746,TRUE)&gt;0,EUconst_ERR_Inconsistent,""))</f>
        <v/>
      </c>
      <c r="O1746" s="1305"/>
      <c r="P1746" s="635"/>
      <c r="Q1746" s="343" t="str">
        <f>EUconst_SumBioEnergyIN &amp; "_" &amp; K1736</f>
        <v>SUM_BioEnergyIN_</v>
      </c>
      <c r="R1746" s="390" t="str">
        <f>IF(OR(K1736="",T1737)=TRUE,"",INDEX(BC1752:BE1752,MATCH(K1736,BC1746:BE1746,0)))</f>
        <v/>
      </c>
      <c r="S1746" s="30"/>
      <c r="T1746" s="505" t="str">
        <f>EUconst_CNTR_ActivityData&amp;E1737</f>
        <v>ActivityData_</v>
      </c>
      <c r="U1746" s="488"/>
      <c r="V1746" s="505" t="str">
        <f>IF(E1736="","",INDEX(B_InstallationDescription!$I$71:$I$145,MATCH(U1735,B_InstallationDescription!$D$71:$D$145,0)))</f>
        <v/>
      </c>
      <c r="W1746" s="495" t="s">
        <v>533</v>
      </c>
      <c r="X1746" s="488"/>
      <c r="Y1746" s="506" t="str">
        <f>IF(OR(T1737=TRUE,E1737=""),"",INDEX(EUwideConstants!$N:$N,MATCH(T1746,EUwideConstants!$Q:$Q,0)))</f>
        <v/>
      </c>
      <c r="Z1746" s="507" t="str">
        <f>IF(ISBLANK(F1746),"",IF(F1746=EUconst_NA,"",INDEX(EUwideConstants!$H:$M,MATCH(T1746,EUwideConstants!$Q:$Q,0),MATCH(F1746,CNTR_TierList,0))))</f>
        <v/>
      </c>
      <c r="AA1746" s="508" t="s">
        <v>299</v>
      </c>
      <c r="AB1746" s="495"/>
      <c r="AC1746" s="509" t="b">
        <f>AC1741</f>
        <v>0</v>
      </c>
      <c r="AD1746" s="30"/>
      <c r="AE1746" s="510" t="str">
        <f>EUconst_CNTR_ActivityData&amp;EUconst_Unit</f>
        <v>ActivityData_Vienetas</v>
      </c>
      <c r="AF1746" s="511" t="str">
        <f>IF(AC1746=TRUE, IF(COUNTIF(MSPara_SourceStreamCategory,V1746)=0,"",INDEX(MSPara_CalcFactorsMatrix,MATCH(V1746,MSPara_SourceStreamCategory,0),MATCH(AE1746&amp;"_"&amp;2,MSPara_CalcFactors,0))),"")</f>
        <v/>
      </c>
      <c r="AG1746" s="512" t="str">
        <f>IF(AC1746=TRUE, IF(COUNTIF(MSPara_SourceStreamCategory,V1746)=0,"",INDEX(MSPara_CalcFactorsMatrix,MATCH(V1746,MSPara_SourceStreamCategory,0),MATCH(AE1746&amp;"_"&amp;1,MSPara_CalcFactors,0))),"")</f>
        <v/>
      </c>
      <c r="AH1746" s="509" t="str">
        <f>IF(OR(AF1746="",AF1746=EUconst_NA),IF(OR(AG1746=EUconst_NA,AG1746=""),"",AG1746),AF1746)</f>
        <v/>
      </c>
      <c r="AI1746" s="506" t="str">
        <f>IF(AC1746=TRUE,IF(AH1746="",EUconst_t,AH1746),"")</f>
        <v/>
      </c>
      <c r="AJ1746" s="513" t="str">
        <f>IF(J1746="",AI1746,J1746)</f>
        <v/>
      </c>
      <c r="AK1746" s="514" t="b">
        <f>IF(K1736=EUconst_Fuel,J1746&lt;&gt;"",FALSE)</f>
        <v>0</v>
      </c>
      <c r="AL1746" s="333"/>
      <c r="AM1746" s="505" t="str">
        <f>EUconst_CNTR_ActivityData&amp;EUconst_Value</f>
        <v>ActivityData_Vertė</v>
      </c>
      <c r="AN1746" s="496"/>
      <c r="AO1746" s="496"/>
      <c r="AP1746" s="509" t="b">
        <f>AND(AND(AH1746&lt;&gt;"",AJ1746&lt;&gt;""),AJ1746=AH1746)</f>
        <v>0</v>
      </c>
      <c r="AQ1746" s="610" t="str">
        <f>IF(L1741=TRUE,SUM(F1743)-SUM(H1743)+SUM(J1743)-SUM(L1743),"")</f>
        <v/>
      </c>
      <c r="AR1746" s="509">
        <f>IF(Y1746=EUconst_NA,0,IF(COUNT(K1746:L1746)=0,0,IF(L1746="",K1746,L1746)))</f>
        <v>0</v>
      </c>
      <c r="AS1746" s="1115" t="b">
        <f>AND(AC1746=TRUE,OR(L1746&lt;&gt;"",AQ1746=""))</f>
        <v>0</v>
      </c>
      <c r="AT1746" s="1115" t="b">
        <f>AND(AC1746=TRUE,NOT(AS1746))</f>
        <v>0</v>
      </c>
      <c r="AU1746" s="30"/>
      <c r="AV1746" s="483" t="s">
        <v>309</v>
      </c>
      <c r="AW1746" s="483" t="s">
        <v>314</v>
      </c>
      <c r="AX1746" s="515"/>
      <c r="AY1746" s="30" t="s">
        <v>536</v>
      </c>
      <c r="AZ1746" s="30"/>
      <c r="BA1746" s="30"/>
      <c r="BB1746" s="495"/>
      <c r="BC1746" s="484" t="str">
        <f>EUconst_Fuel</f>
        <v>Degimas</v>
      </c>
      <c r="BD1746" s="484" t="str">
        <f>EUconst_ProcessCarbonate</f>
        <v>Proceso metu išsiskiriančios ŠESD</v>
      </c>
      <c r="BE1746" s="484" t="str">
        <f>EUconst_MassBalance</f>
        <v>Masės balansas</v>
      </c>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515" t="b">
        <f>BZ1741</f>
        <v>1</v>
      </c>
    </row>
    <row r="1747" spans="1:78" s="140" customFormat="1" ht="5.0999999999999996" customHeight="1" thickBot="1" x14ac:dyDescent="0.25">
      <c r="A1747" s="777"/>
      <c r="B1747" s="1248"/>
      <c r="C1747" s="783"/>
      <c r="D1747" s="298"/>
      <c r="F1747" s="141"/>
      <c r="G1747" s="141"/>
      <c r="H1747" s="141" t="s">
        <v>233</v>
      </c>
      <c r="I1747" s="516"/>
      <c r="J1747" s="516"/>
      <c r="K1747" s="141"/>
      <c r="L1747" s="141"/>
      <c r="M1747" s="701"/>
      <c r="O1747" s="1305"/>
      <c r="P1747" s="33"/>
      <c r="Q1747" s="33"/>
      <c r="R1747" s="33"/>
      <c r="S1747" s="30"/>
      <c r="T1747" s="153"/>
      <c r="U1747" s="488"/>
      <c r="V1747" s="30"/>
      <c r="W1747" s="30"/>
      <c r="X1747" s="488"/>
      <c r="Y1747" s="517"/>
      <c r="Z1747" s="30"/>
      <c r="AA1747" s="30"/>
      <c r="AB1747" s="30"/>
      <c r="AC1747" s="30"/>
      <c r="AD1747" s="30"/>
      <c r="AE1747" s="30"/>
      <c r="AF1747" s="30"/>
      <c r="AG1747" s="30"/>
      <c r="AH1747" s="30"/>
      <c r="AI1747" s="30"/>
      <c r="AJ1747" s="30"/>
      <c r="AK1747" s="30"/>
      <c r="AL1747" s="333"/>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484"/>
    </row>
    <row r="1748" spans="1:78" s="140" customFormat="1" ht="12.75" customHeight="1" thickBot="1" x14ac:dyDescent="0.25">
      <c r="A1748" s="777"/>
      <c r="B1748" s="1248"/>
      <c r="C1748" s="783" t="s">
        <v>195</v>
      </c>
      <c r="D1748" s="503" t="str">
        <f>Translations!$B$634</f>
        <v>(prelim.) ITF:</v>
      </c>
      <c r="E1748" s="504"/>
      <c r="F1748" s="518"/>
      <c r="G1748" s="1603" t="str">
        <f t="shared" ref="G1748:G1754" si="434">IF(OR(ISBLANK(F1748),F1748=EUconst_NoTier),"",IF(Z1748=0,EUconst_NotApplicable,IF(ISERROR(Z1748),"",Z1748)))</f>
        <v/>
      </c>
      <c r="H1748" s="1609"/>
      <c r="I1748" s="1110" t="str">
        <f>IF(J1748&lt;&gt;"","",AI1748)</f>
        <v/>
      </c>
      <c r="J1748" s="1111"/>
      <c r="K1748" s="519" t="str">
        <f t="shared" ref="K1748:K1754" si="435">IF(L1748="",AQ1748,"")</f>
        <v/>
      </c>
      <c r="L1748" s="520"/>
      <c r="M1748" s="700" t="str">
        <f>IF(AND(E1737&lt;&gt;"",OR(F1748="",COUNT(K1748:L1748)=0),Y1748&lt;&gt;EUconst_NA,T1737&lt;&gt;TRUE),EUconst_ERR_Incomplete,IF(COUNTIF(AX1748:AZ1748,TRUE)&gt;0,EUconst_ERR_Inconsistent,""))</f>
        <v/>
      </c>
      <c r="N1748" s="486"/>
      <c r="O1748" s="1305"/>
      <c r="P1748" s="33"/>
      <c r="Q1748" s="33"/>
      <c r="R1748" s="33"/>
      <c r="S1748" s="30"/>
      <c r="T1748" s="521" t="str">
        <f>EUconst_CNTR_EF&amp;E1737</f>
        <v>EF_</v>
      </c>
      <c r="U1748" s="488"/>
      <c r="V1748" s="522" t="str">
        <f>V1746</f>
        <v/>
      </c>
      <c r="W1748" s="30"/>
      <c r="X1748" s="488"/>
      <c r="Y1748" s="523" t="str">
        <f>IF(OR(T1737=TRUE,E1737=""),"",IF(F1748=EUconst_NA,EUconst_NA,INDEX(EUwideConstants!$N:$N,MATCH(T1748,EUwideConstants!$Q:$Q,0))))</f>
        <v/>
      </c>
      <c r="Z1748" s="524" t="str">
        <f>IF(ISBLANK(F1748),"",IF(F1748=EUconst_NA,"",INDEX(EUwideConstants!$H:$M,MATCH(T1748,EUwideConstants!$Q:$Q,0),MATCH(F1748,CNTR_TierList,0))))</f>
        <v/>
      </c>
      <c r="AA1748" s="525" t="str">
        <f>IF(COUNTIF(EUconst_DefaultValues,Z1748)&gt;0,MATCH(Z1748,EUconst_DefaultValues,0),"")</f>
        <v/>
      </c>
      <c r="AB1748" s="30"/>
      <c r="AC1748" s="526" t="b">
        <f>AND(AC1746,Y1748&lt;&gt;EUconst_NA)</f>
        <v>0</v>
      </c>
      <c r="AD1748" s="30"/>
      <c r="AE1748" s="510" t="str">
        <f>EUconst_CNTR_EF&amp;EUconst_Unit</f>
        <v>EF_Vienetas</v>
      </c>
      <c r="AF1748" s="527" t="str">
        <f>IF(AC1748=TRUE, IF(COUNTIF(MSPara_SourceStreamCategory,V1748)=0,"",INDEX(MSPara_CalcFactorsMatrix,MATCH(V1748,MSPara_SourceStreamCategory,0),MATCH(AE1748&amp;"_"&amp;2,MSPara_CalcFactors,0))),"")</f>
        <v/>
      </c>
      <c r="AG1748" s="528" t="str">
        <f>IF(AC1748=TRUE, IF(COUNTIF(MSPara_SourceStreamCategory,V1748)=0,"",INDEX(MSPara_CalcFactorsMatrix,MATCH(V1748,MSPara_SourceStreamCategory,0),MATCH(AE1748&amp;"_"&amp;1,MSPara_CalcFactors,0))),"")</f>
        <v/>
      </c>
      <c r="AH1748" s="529" t="str">
        <f>IF(AA1748="","",INDEX(AF1748:AG1748,3-AA1748))</f>
        <v/>
      </c>
      <c r="AI1748" s="530" t="str">
        <f>IF(AC1748=TRUE,IF(OR(AH1748="",AH1748=EUconst_NA),IF(K1736=EUconst_Fuel,EUconst_tCO2pTJ,EUconst_tCO2pt),AH1748),"")</f>
        <v/>
      </c>
      <c r="AJ1748" s="526" t="str">
        <f>IF(J1748="",AI1748,J1748)</f>
        <v/>
      </c>
      <c r="AK1748" s="531" t="b">
        <f>IF(K1736=EUconst_Fuel,J1748&lt;&gt;"",FALSE)</f>
        <v>0</v>
      </c>
      <c r="AL1748" s="333"/>
      <c r="AM1748" s="510" t="str">
        <f>EUconst_CNTR_EF&amp;EUconst_Value</f>
        <v>EF_Vertė</v>
      </c>
      <c r="AN1748" s="532" t="str">
        <f>IF(AC1748=TRUE,IF(COUNTIF(MSPara_SourceStreamCategory,V1748)=0,"",INDEX(MSPara_CalcFactorsMatrix,MATCH(V1748,MSPara_SourceStreamCategory,0),MATCH(AM1748&amp;"_"&amp;2,MSPara_CalcFactors,0))),"")</f>
        <v/>
      </c>
      <c r="AO1748" s="533" t="str">
        <f>IF(AC1748=TRUE,IF(COUNTIF(MSPara_SourceStreamCategory,V1748)=0,"",INDEX(MSPara_CalcFactorsMatrix,MATCH(V1748,MSPara_SourceStreamCategory,0),MATCH(AM1748&amp;"_"&amp;1,MSPara_CalcFactors,0))),"")</f>
        <v/>
      </c>
      <c r="AP1748" s="526" t="b">
        <f>AND(AND(AH1748&lt;&gt;"",AJ1748&lt;&gt;""),AJ1748=AH1748)</f>
        <v>0</v>
      </c>
      <c r="AQ1748" s="534" t="str">
        <f>IF(AND(AA1748&lt;&gt;"",AP1748=TRUE),IF(OR(INDEX(AN1748:AO1748,3-AA1748)=EUconst_NA,INDEX(AN1748:AO1748,3-AA1748)=0),"",INDEX(AN1748:AO1748,3-AA1748)),"")</f>
        <v/>
      </c>
      <c r="AR1748" s="526">
        <f>IF(AC1748=TRUE,IF(COUNT(K1748:L1748)=0,0,IF(L1748="",K1748,L1748)),0)</f>
        <v>0</v>
      </c>
      <c r="AS1748" s="522" t="b">
        <f>AND(AC1748=TRUE,OR(AND(F1748&lt;&gt;"",NOT(ISNUMBER(AA1748))),L1748&lt;&gt;"",F1748="",AQ1748=""))</f>
        <v>0</v>
      </c>
      <c r="AT1748" s="522" t="b">
        <f t="shared" ref="AT1748:AT1754" si="436">AND(AC1748=TRUE,NOT(AS1748))</f>
        <v>0</v>
      </c>
      <c r="AU1748" s="30"/>
      <c r="AV1748" s="535" t="b">
        <f t="shared" ref="AV1748:AV1754" si="437">AND(ISNUMBER(AA1748),AQ1748="")</f>
        <v>0</v>
      </c>
      <c r="AW1748" s="536" t="b">
        <f t="shared" ref="AW1748:AW1754" si="438">AND(ISNUMBER(AA1748),AQ1748&lt;&gt;AR1748)</f>
        <v>0</v>
      </c>
      <c r="AX1748" s="537" t="b">
        <f>OR(AND(AJ1746=EUconst_kNm3,AJ1748=EUconst_tCO2pt),AND(AJ1746=EUconst_t,AJ1748=EUconst_tCO2pkNm3))</f>
        <v>0</v>
      </c>
      <c r="AY1748" s="522" t="b">
        <f t="shared" ref="AY1748:AY1754" si="439">AND(L1748&lt;&gt;"",Y1748=EUconst_NA)</f>
        <v>0</v>
      </c>
      <c r="AZ1748" s="30"/>
      <c r="BA1748" s="30"/>
      <c r="BB1748" s="538" t="s">
        <v>588</v>
      </c>
      <c r="BC1748" s="537" t="str">
        <f>IF(K1736=BC1746,AR1746*IF(AJ1748=EUconst_tCO2pTJ,(AR1749/1000),1)*AR1748*AR1750*AR1754,"")</f>
        <v/>
      </c>
      <c r="BD1748" s="515" t="str">
        <f>IF(K1736=BD1746,AR1746*AR1748*AR1751*AR1754,"")</f>
        <v/>
      </c>
      <c r="BE1748" s="514" t="str">
        <f>IF(K1736=BE1746,3.664*AR1746*AR1752*AR1754,"")</f>
        <v/>
      </c>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522" t="b">
        <f>OR(BZ1746,Y1748=EUconst_NA)</f>
        <v>1</v>
      </c>
    </row>
    <row r="1749" spans="1:78" s="140" customFormat="1" ht="12.75" customHeight="1" thickBot="1" x14ac:dyDescent="0.25">
      <c r="A1749" s="777"/>
      <c r="B1749" s="1248"/>
      <c r="C1749" s="783" t="s">
        <v>196</v>
      </c>
      <c r="D1749" s="503" t="str">
        <f>Translations!$B$636</f>
        <v>GŠV:</v>
      </c>
      <c r="E1749" s="504"/>
      <c r="F1749" s="539"/>
      <c r="G1749" s="1603" t="str">
        <f t="shared" si="434"/>
        <v/>
      </c>
      <c r="H1749" s="1604"/>
      <c r="I1749" s="1112" t="str">
        <f>AJ1749</f>
        <v/>
      </c>
      <c r="J1749" s="540"/>
      <c r="K1749" s="541" t="str">
        <f t="shared" si="435"/>
        <v/>
      </c>
      <c r="L1749" s="542"/>
      <c r="M1749" s="700" t="str">
        <f>IF(AND(E1737&lt;&gt;"",OR(F1749="",COUNT(K1749:L1749)=0),Y1749&lt;&gt;EUconst_NA,T1737&lt;&gt;TRUE),EUconst_ERR_Incomplete,IF(COUNTIF(AX1749:AZ1749,TRUE)&gt;0,EUconst_ERR_Inconsistent,""))</f>
        <v/>
      </c>
      <c r="O1749" s="1305"/>
      <c r="P1749" s="33"/>
      <c r="Q1749" s="33"/>
      <c r="R1749" s="33"/>
      <c r="S1749" s="30"/>
      <c r="T1749" s="543" t="str">
        <f>EUconst_CNTR_NCV&amp;E1737</f>
        <v>NCV_</v>
      </c>
      <c r="U1749" s="488"/>
      <c r="V1749" s="544" t="str">
        <f t="shared" ref="V1749:V1754" si="440">V1748</f>
        <v/>
      </c>
      <c r="W1749" s="30"/>
      <c r="X1749" s="488"/>
      <c r="Y1749" s="545" t="str">
        <f>IF(OR(T1737=TRUE,E1737=""),"",IF(F1749=EUconst_NA,EUconst_NA,INDEX(EUwideConstants!$N:$N,MATCH(T1749,EUwideConstants!$Q:$Q,0))))</f>
        <v/>
      </c>
      <c r="Z1749" s="546" t="str">
        <f>IF(ISBLANK(F1749),"",IF(F1749=EUconst_NA,"",INDEX(EUwideConstants!$H:$M,MATCH(T1749,EUwideConstants!$Q:$Q,0),MATCH(F1749,CNTR_TierList,0))))</f>
        <v/>
      </c>
      <c r="AA1749" s="547" t="str">
        <f>IF(COUNTIF(EUconst_DefaultValues,Z1749)&gt;0,MATCH(Z1749,EUconst_DefaultValues,0),"")</f>
        <v/>
      </c>
      <c r="AB1749" s="30"/>
      <c r="AC1749" s="548" t="b">
        <f>AND(AC1746,Y1749&lt;&gt;EUconst_NA)</f>
        <v>0</v>
      </c>
      <c r="AD1749" s="30"/>
      <c r="AE1749" s="549" t="str">
        <f>EUconst_CNTR_NCV&amp;EUconst_Unit</f>
        <v>NCV_Vienetas</v>
      </c>
      <c r="AF1749" s="550" t="str">
        <f>IF(AC1749=TRUE, IF(COUNTIF(MSPara_SourceStreamCategory,V1749)=0,"",INDEX(MSPara_CalcFactorsMatrix,MATCH(V1749,MSPara_SourceStreamCategory,0),MATCH(AE1749&amp;"_"&amp;2,MSPara_CalcFactors,0))),"")</f>
        <v/>
      </c>
      <c r="AG1749" s="551" t="str">
        <f>IF(AC1749=TRUE, IF(COUNTIF(MSPara_SourceStreamCategory,V1749)=0,"",INDEX(MSPara_CalcFactorsMatrix,MATCH(V1749,MSPara_SourceStreamCategory,0),MATCH(AE1749&amp;"_"&amp;1,MSPara_CalcFactors,0))),"")</f>
        <v/>
      </c>
      <c r="AH1749" s="552" t="str">
        <f>IF(AA1749="","",INDEX(AF1749:AG1749,3-AA1749))</f>
        <v/>
      </c>
      <c r="AI1749" s="553"/>
      <c r="AJ1749" s="548" t="str">
        <f>IF(AC1749=TRUE,IF(AJ1746="","",IF(AJ1746=EUconst_kNm3,EUconst_GJpkNm3,EUconst_GJpt)),"")</f>
        <v/>
      </c>
      <c r="AK1749" s="554"/>
      <c r="AL1749" s="333"/>
      <c r="AM1749" s="549" t="str">
        <f>EUconst_CNTR_NCV&amp;EUconst_Value</f>
        <v>NCV_Vertė</v>
      </c>
      <c r="AN1749" s="555" t="str">
        <f>IF(AC1749=TRUE,IF(COUNTIF(MSPara_SourceStreamCategory,V1749)=0,"",INDEX(MSPara_CalcFactorsMatrix,MATCH(V1749,MSPara_SourceStreamCategory,0),MATCH(AM1749&amp;"_"&amp;2,MSPara_CalcFactors,0))),"")</f>
        <v/>
      </c>
      <c r="AO1749" s="556" t="str">
        <f>IF(AC1749=TRUE,IF(COUNTIF(MSPara_SourceStreamCategory,V1749)=0,"",INDEX(MSPara_CalcFactorsMatrix,MATCH(V1749,MSPara_SourceStreamCategory,0),MATCH(AM1749&amp;"_"&amp;1,MSPara_CalcFactors,0))),"")</f>
        <v/>
      </c>
      <c r="AP1749" s="548" t="b">
        <f>AND(AND(AH1749&lt;&gt;"",AJ1749&lt;&gt;""),AJ1749=AH1749)</f>
        <v>0</v>
      </c>
      <c r="AQ1749" s="557" t="str">
        <f>IF(AND(AA1749&lt;&gt;"",AP1749=TRUE),IF(OR(INDEX(AN1749:AO1749,3-AA1749)=EUconst_NA,INDEX(AN1749:AO1749,3-AA1749)=0),"",INDEX(AN1749:AO1749,3-AA1749)),"")</f>
        <v/>
      </c>
      <c r="AR1749" s="548">
        <f>IF(AC1749=TRUE,IF(COUNT(K1749:L1749)=0,0,IF(L1749="",K1749,L1749)),0)</f>
        <v>0</v>
      </c>
      <c r="AS1749" s="544" t="b">
        <f>AND(AC1749=TRUE,OR(AND(F1749&lt;&gt;"",NOT(ISNUMBER(AA1749))),L1749&lt;&gt;"",F1749="",AQ1749=""))</f>
        <v>0</v>
      </c>
      <c r="AT1749" s="544" t="b">
        <f t="shared" si="436"/>
        <v>0</v>
      </c>
      <c r="AU1749" s="30"/>
      <c r="AV1749" s="558" t="b">
        <f t="shared" si="437"/>
        <v>0</v>
      </c>
      <c r="AW1749" s="559" t="b">
        <f t="shared" si="438"/>
        <v>0</v>
      </c>
      <c r="AX1749" s="30"/>
      <c r="AY1749" s="544" t="b">
        <f t="shared" si="439"/>
        <v>0</v>
      </c>
      <c r="AZ1749" s="30"/>
      <c r="BA1749" s="30"/>
      <c r="BB1749" s="538" t="s">
        <v>589</v>
      </c>
      <c r="BC1749" s="537" t="str">
        <f>IF(K1736=BC1746,AR1746*IF(AJ1748=EUconst_tCO2pTJ,(AR1749/1000),1)*AR1748*AR1750*AR1753,"")</f>
        <v/>
      </c>
      <c r="BD1749" s="515" t="str">
        <f>IF(K1736=BD1746,AR1746*AR1748*AR1751*AR1753,"")</f>
        <v/>
      </c>
      <c r="BE1749" s="514" t="str">
        <f>IF(K1736=BE1746,3.664*AR1746*AR1752*AR1753,"")</f>
        <v/>
      </c>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544" t="b">
        <f>OR(BZ1746,Y1749=EUconst_NA)</f>
        <v>1</v>
      </c>
    </row>
    <row r="1750" spans="1:78" s="140" customFormat="1" ht="12.75" customHeight="1" thickBot="1" x14ac:dyDescent="0.25">
      <c r="A1750" s="777"/>
      <c r="B1750" s="1248"/>
      <c r="C1750" s="783" t="s">
        <v>197</v>
      </c>
      <c r="D1750" s="503" t="str">
        <f>Translations!$B$638</f>
        <v>Oksidacijos koef.:</v>
      </c>
      <c r="E1750" s="504"/>
      <c r="F1750" s="539"/>
      <c r="G1750" s="1603" t="str">
        <f t="shared" si="434"/>
        <v/>
      </c>
      <c r="H1750" s="1604"/>
      <c r="I1750" s="1113" t="str">
        <f>IF(OR(AC1750=FALSE,Y1750=EUconst_NA),"","-")</f>
        <v/>
      </c>
      <c r="J1750" s="560"/>
      <c r="K1750" s="561" t="str">
        <f t="shared" si="435"/>
        <v/>
      </c>
      <c r="L1750" s="694"/>
      <c r="M1750" s="700" t="str">
        <f>IF(AND(E1737&lt;&gt;"",OR(F1750="",COUNT(K1750:L1750)=0),Y1750&lt;&gt;EUconst_NA,T1737&lt;&gt;TRUE),EUconst_ERR_Incomplete,IF(COUNTIF(AX1750:AZ1750,TRUE)&gt;0,EUconst_ERR_Inconsistent,""))</f>
        <v/>
      </c>
      <c r="O1750" s="1305"/>
      <c r="P1750" s="33"/>
      <c r="Q1750" s="33"/>
      <c r="R1750" s="33"/>
      <c r="S1750" s="30"/>
      <c r="T1750" s="543" t="str">
        <f>EUconst_CNTR_OxidationFactor&amp;E1737</f>
        <v>OxF_</v>
      </c>
      <c r="U1750" s="488"/>
      <c r="V1750" s="544" t="str">
        <f t="shared" si="440"/>
        <v/>
      </c>
      <c r="W1750" s="30"/>
      <c r="X1750" s="488"/>
      <c r="Y1750" s="545" t="str">
        <f>IF(OR(T1737=TRUE,E1737=""),"",INDEX(EUwideConstants!$N:$N,MATCH(T1750,EUwideConstants!$Q:$Q,0)))</f>
        <v/>
      </c>
      <c r="Z1750" s="546" t="str">
        <f>IF(ISBLANK(F1750),"",IF(F1750=EUconst_NA,"",INDEX(EUwideConstants!$H:$M,MATCH(T1750,EUwideConstants!$Q:$Q,0),MATCH(F1750,CNTR_TierList,0))))</f>
        <v/>
      </c>
      <c r="AA1750" s="525" t="str">
        <f>IF(F1750=1,1,"")</f>
        <v/>
      </c>
      <c r="AB1750" s="30"/>
      <c r="AC1750" s="548" t="b">
        <f>AND(AC1746,Y1750&lt;&gt;EUconst_NA)</f>
        <v>0</v>
      </c>
      <c r="AD1750" s="30"/>
      <c r="AE1750" s="563"/>
      <c r="AG1750" s="564"/>
      <c r="AH1750" s="553"/>
      <c r="AI1750" s="565"/>
      <c r="AJ1750" s="553"/>
      <c r="AK1750" s="566"/>
      <c r="AL1750" s="333"/>
      <c r="AM1750" s="549" t="str">
        <f>EUconst_CNTR_OxidationFactor&amp;EUconst_Value</f>
        <v>OxF_Vertė</v>
      </c>
      <c r="AN1750" s="567"/>
      <c r="AO1750" s="525">
        <v>1</v>
      </c>
      <c r="AP1750" s="553"/>
      <c r="AQ1750" s="568" t="str">
        <f>IF(AA1750="","",AO1750)</f>
        <v/>
      </c>
      <c r="AR1750" s="548">
        <f>IF(AC1750=TRUE,IF(COUNT(K1750:L1750)=0,0,IF(L1750="",K1750,L1750)),1)</f>
        <v>1</v>
      </c>
      <c r="AS1750" s="544" t="b">
        <f>AND(AC1750=TRUE,OR(ISNUMBER(L1750),NOT(ISNUMBER(AA1750))))</f>
        <v>0</v>
      </c>
      <c r="AT1750" s="544" t="b">
        <f t="shared" si="436"/>
        <v>0</v>
      </c>
      <c r="AU1750" s="30"/>
      <c r="AV1750" s="558" t="b">
        <f t="shared" si="437"/>
        <v>0</v>
      </c>
      <c r="AW1750" s="559" t="b">
        <f t="shared" si="438"/>
        <v>0</v>
      </c>
      <c r="AX1750" s="30"/>
      <c r="AY1750" s="585" t="b">
        <f t="shared" si="439"/>
        <v>0</v>
      </c>
      <c r="AZ1750" s="522" t="b">
        <f>AR1750&gt;100%</f>
        <v>0</v>
      </c>
      <c r="BA1750" s="30"/>
      <c r="BB1750" s="538" t="s">
        <v>287</v>
      </c>
      <c r="BC1750" s="537" t="str">
        <f>IF(K1736=BC1746,AR1746*IF(AJ1748=EUconst_tCO2pTJ,(AR1749/1000),1)*AR1748*AR1750*(1-AR1753),"")</f>
        <v/>
      </c>
      <c r="BD1750" s="515" t="str">
        <f>IF(K1736=BD1746,AR1746*AR1748*AR1751*(1-AR1753),"")</f>
        <v/>
      </c>
      <c r="BE1750" s="514" t="str">
        <f>IF(K1736=BE1746,3.664*AR1746*AR1752*(1-AR1753),"")</f>
        <v/>
      </c>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544" t="b">
        <f>OR(BZ1746,Y1750=EUconst_NA)</f>
        <v>1</v>
      </c>
    </row>
    <row r="1751" spans="1:78" s="140" customFormat="1" ht="12.75" customHeight="1" thickBot="1" x14ac:dyDescent="0.25">
      <c r="A1751" s="777"/>
      <c r="B1751" s="1248"/>
      <c r="C1751" s="783" t="s">
        <v>198</v>
      </c>
      <c r="D1751" s="503" t="str">
        <f>Translations!$B$639</f>
        <v>Konversijos koef.:</v>
      </c>
      <c r="E1751" s="504"/>
      <c r="F1751" s="539"/>
      <c r="G1751" s="1603" t="str">
        <f t="shared" si="434"/>
        <v/>
      </c>
      <c r="H1751" s="1604"/>
      <c r="I1751" s="1113" t="str">
        <f>IF(OR(AC1751=FALSE,Y1751=EUconst_NA),"","-")</f>
        <v/>
      </c>
      <c r="J1751" s="560"/>
      <c r="K1751" s="561" t="str">
        <f t="shared" si="435"/>
        <v/>
      </c>
      <c r="L1751" s="694"/>
      <c r="M1751" s="700" t="str">
        <f>IF(AND(E1737&lt;&gt;"",OR(F1751="",COUNT(K1751:L1751)=0),Y1751&lt;&gt;EUconst_NA,T1737&lt;&gt;TRUE),EUconst_ERR_Incomplete,IF(COUNTIF(AX1751:AZ1751,TRUE)&gt;0,EUconst_ERR_Inconsistent,""))</f>
        <v/>
      </c>
      <c r="O1751" s="1305"/>
      <c r="P1751" s="33"/>
      <c r="Q1751" s="33"/>
      <c r="R1751" s="33"/>
      <c r="S1751" s="30"/>
      <c r="T1751" s="543" t="str">
        <f>EUconst_CNTR_ConversionFactor&amp;E1737</f>
        <v>ConvF_</v>
      </c>
      <c r="U1751" s="488"/>
      <c r="V1751" s="544" t="str">
        <f t="shared" si="440"/>
        <v/>
      </c>
      <c r="W1751" s="30"/>
      <c r="X1751" s="488"/>
      <c r="Y1751" s="545" t="str">
        <f>IF(OR(T1737=TRUE,E1737=""),"",INDEX(EUwideConstants!$N:$N,MATCH(T1751,EUwideConstants!$Q:$Q,0)))</f>
        <v/>
      </c>
      <c r="Z1751" s="546" t="str">
        <f>IF(ISBLANK(F1751),"",IF(F1751=EUconst_NA,"",INDEX(EUwideConstants!$H:$M,MATCH(T1751,EUwideConstants!$Q:$Q,0),MATCH(F1751,CNTR_TierList,0))))</f>
        <v/>
      </c>
      <c r="AA1751" s="573" t="str">
        <f>IF(F1751=1,1,"")</f>
        <v/>
      </c>
      <c r="AB1751" s="30"/>
      <c r="AC1751" s="548" t="b">
        <f>AND(AC1746,Y1751&lt;&gt;EUconst_NA)</f>
        <v>0</v>
      </c>
      <c r="AD1751" s="30"/>
      <c r="AE1751" s="563"/>
      <c r="AG1751" s="564"/>
      <c r="AH1751" s="574"/>
      <c r="AI1751" s="565"/>
      <c r="AJ1751" s="574"/>
      <c r="AK1751" s="566"/>
      <c r="AL1751" s="333"/>
      <c r="AM1751" s="549" t="str">
        <f>EUconst_CNTR_ConversionFactor&amp;EUconst_Value</f>
        <v>ConvF_Vertė</v>
      </c>
      <c r="AN1751" s="575"/>
      <c r="AO1751" s="573">
        <v>1</v>
      </c>
      <c r="AP1751" s="574"/>
      <c r="AQ1751" s="576" t="str">
        <f>IF(AA1751="","",AO1751)</f>
        <v/>
      </c>
      <c r="AR1751" s="548">
        <f>IF(AC1751=TRUE,IF(COUNT(K1751:L1751)=0,0,IF(L1751="",K1751,L1751)),1)</f>
        <v>1</v>
      </c>
      <c r="AS1751" s="544" t="b">
        <f>AND(AC1751=TRUE,OR(ISNUMBER(L1751),NOT(ISNUMBER(AA1751))))</f>
        <v>0</v>
      </c>
      <c r="AT1751" s="544" t="b">
        <f t="shared" si="436"/>
        <v>0</v>
      </c>
      <c r="AU1751" s="30"/>
      <c r="AV1751" s="558" t="b">
        <f t="shared" si="437"/>
        <v>0</v>
      </c>
      <c r="AW1751" s="559" t="b">
        <f t="shared" si="438"/>
        <v>0</v>
      </c>
      <c r="AX1751" s="30"/>
      <c r="AY1751" s="585" t="b">
        <f t="shared" si="439"/>
        <v>0</v>
      </c>
      <c r="AZ1751" s="571" t="b">
        <f>AR1751&gt;100%</f>
        <v>0</v>
      </c>
      <c r="BA1751" s="30"/>
      <c r="BB1751" s="569" t="s">
        <v>481</v>
      </c>
      <c r="BC1751" s="570">
        <f>AR1746*AR1749/1000*(1-AR1753)</f>
        <v>0</v>
      </c>
      <c r="BD1751" s="571">
        <f>BC1751</f>
        <v>0</v>
      </c>
      <c r="BE1751" s="572">
        <f>BC1751</f>
        <v>0</v>
      </c>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544" t="b">
        <f>OR(BZ1746,Y1751=EUconst_NA)</f>
        <v>1</v>
      </c>
    </row>
    <row r="1752" spans="1:78" s="140" customFormat="1" ht="12.75" customHeight="1" thickBot="1" x14ac:dyDescent="0.25">
      <c r="A1752" s="777"/>
      <c r="B1752" s="1248"/>
      <c r="C1752" s="783" t="s">
        <v>324</v>
      </c>
      <c r="D1752" s="503" t="str">
        <f>Translations!$B$640</f>
        <v>Anglies kiekis (C):</v>
      </c>
      <c r="E1752" s="504"/>
      <c r="F1752" s="539"/>
      <c r="G1752" s="1603" t="str">
        <f t="shared" si="434"/>
        <v/>
      </c>
      <c r="H1752" s="1604"/>
      <c r="I1752" s="1113" t="str">
        <f>AJ1752</f>
        <v/>
      </c>
      <c r="J1752" s="577"/>
      <c r="K1752" s="578" t="str">
        <f t="shared" si="435"/>
        <v/>
      </c>
      <c r="L1752" s="579"/>
      <c r="M1752" s="700" t="str">
        <f>IF(AND(E1737&lt;&gt;"",OR(F1752="",COUNT(K1752:L1752)=0),Y1752&lt;&gt;EUconst_NA,T1737&lt;&gt;TRUE),EUconst_ERR_Incomplete,IF(COUNTIF(AX1752:AZ1752,TRUE)&gt;0,EUconst_ERR_Inconsistent,""))</f>
        <v/>
      </c>
      <c r="O1752" s="1305"/>
      <c r="P1752" s="33"/>
      <c r="Q1752" s="33"/>
      <c r="R1752" s="33"/>
      <c r="S1752" s="30"/>
      <c r="T1752" s="543" t="str">
        <f>EUconst_CNTR_CarbonContent&amp;E1737</f>
        <v>CarbC_</v>
      </c>
      <c r="U1752" s="488"/>
      <c r="V1752" s="544" t="str">
        <f t="shared" si="440"/>
        <v/>
      </c>
      <c r="W1752" s="30"/>
      <c r="X1752" s="488"/>
      <c r="Y1752" s="545" t="str">
        <f>IF(OR(T1737=TRUE,E1737=""),"",INDEX(EUwideConstants!$N:$N,MATCH(T1752,EUwideConstants!$Q:$Q,0)))</f>
        <v/>
      </c>
      <c r="Z1752" s="546" t="str">
        <f>IF(ISBLANK(F1752),"",IF(F1752=EUconst_NA,"",INDEX(EUwideConstants!$H:$M,MATCH(T1752,EUwideConstants!$Q:$Q,0),MATCH(F1752,CNTR_TierList,0))))</f>
        <v/>
      </c>
      <c r="AA1752" s="580" t="str">
        <f>IF(COUNTIF(EUconst_DefaultValues,Z1752)&gt;0,MATCH(Z1752,EUconst_DefaultValues,0),"")</f>
        <v/>
      </c>
      <c r="AB1752" s="30"/>
      <c r="AC1752" s="548" t="b">
        <f>AND(AC1746,Y1752&lt;&gt;EUconst_NA)</f>
        <v>0</v>
      </c>
      <c r="AD1752" s="30"/>
      <c r="AE1752" s="549" t="str">
        <f>EUconst_CNTR_CarbonContent&amp;EUconst_Unit</f>
        <v>CarbC_Vienetas</v>
      </c>
      <c r="AF1752" s="550" t="str">
        <f>IF(AC1752=TRUE, IF(COUNTIF(MSPara_SourceStreamCategory,V1752)=0,"",INDEX(MSPara_CalcFactorsMatrix,MATCH(V1752,MSPara_SourceStreamCategory,0),MATCH(AE1752&amp;"_"&amp;2,MSPara_CalcFactors,0))),"")</f>
        <v/>
      </c>
      <c r="AG1752" s="551" t="str">
        <f>IF(AC1752=TRUE, IF(COUNTIF(MSPara_SourceStreamCategory,V1752)=0,"",INDEX(MSPara_CalcFactorsMatrix,MATCH(V1752,MSPara_SourceStreamCategory,0),MATCH(AE1752&amp;"_"&amp;1,MSPara_CalcFactors,0))),"")</f>
        <v/>
      </c>
      <c r="AH1752" s="581" t="str">
        <f>IF(AA1752="","",INDEX(AF1752:AG1752,3-AA1752))</f>
        <v/>
      </c>
      <c r="AI1752" s="565"/>
      <c r="AJ1752" s="582" t="str">
        <f>IF(AC1752=TRUE,IF(AJ1746="","",IF(AJ1746=EUconst_kNm3,EUconst_tCpkNm3,EUconst_tCpt)),"")</f>
        <v/>
      </c>
      <c r="AK1752" s="566"/>
      <c r="AL1752" s="333"/>
      <c r="AM1752" s="549" t="str">
        <f>EUconst_CNTR_CarbonContent&amp;EUconst_Value</f>
        <v>CarbC_Vertė</v>
      </c>
      <c r="AN1752" s="555" t="str">
        <f>IF(AC1752=TRUE,IF(COUNTIF(MSPara_SourceStreamCategory,V1752)=0,"",INDEX(MSPara_CalcFactorsMatrix,MATCH(V1752,MSPara_SourceStreamCategory,0),MATCH(AM1752&amp;"_"&amp;2,MSPara_CalcFactors,0))),"")</f>
        <v/>
      </c>
      <c r="AO1752" s="583" t="str">
        <f>IF(AC1752=TRUE,IF(COUNTIF(MSPara_SourceStreamCategory,V1752)=0,"",INDEX(MSPara_CalcFactorsMatrix,MATCH(V1752,MSPara_SourceStreamCategory,0),MATCH(AM1752&amp;"_"&amp;1,MSPara_CalcFactors,0))),"")</f>
        <v/>
      </c>
      <c r="AP1752" s="548" t="b">
        <f>AND(AND(AH1752&lt;&gt;"",AJ1752&lt;&gt;""),AJ1752=AH1752)</f>
        <v>0</v>
      </c>
      <c r="AQ1752" s="584" t="str">
        <f>IF(AND(AA1752&lt;&gt;"",AP1752=TRUE),IF(OR(INDEX(AN1752:AO1752,3-AA1752)=EUconst_NA,INDEX(AN1752:AO1752,3-AA1752)=0),"",INDEX(AN1752:AO1752,3-AA1752)),"")</f>
        <v/>
      </c>
      <c r="AR1752" s="548">
        <f>IF(AC1752=TRUE,IF(COUNT(K1752:L1752)=0,0,IF(L1752="",K1752,L1752)),0)</f>
        <v>0</v>
      </c>
      <c r="AS1752" s="544" t="b">
        <f>AND(AC1752=TRUE,OR(AND(F1752&lt;&gt;"",NOT(ISNUMBER(AA1752))),L1752&lt;&gt;"",F1752="",AQ1752=""))</f>
        <v>0</v>
      </c>
      <c r="AT1752" s="544" t="b">
        <f t="shared" si="436"/>
        <v>0</v>
      </c>
      <c r="AU1752" s="30"/>
      <c r="AV1752" s="558" t="b">
        <f t="shared" si="437"/>
        <v>0</v>
      </c>
      <c r="AW1752" s="559" t="b">
        <f t="shared" si="438"/>
        <v>0</v>
      </c>
      <c r="AX1752" s="537" t="b">
        <f>OR(AND(AJ1746=EUconst_kNm3,AJ1752=EUconst_tCpt),AND(AJ1746=EUconst_t,AJ1752=EUconst_tCpkNm3))</f>
        <v>0</v>
      </c>
      <c r="AY1752" s="544" t="b">
        <f t="shared" si="439"/>
        <v>0</v>
      </c>
      <c r="AZ1752" s="30"/>
      <c r="BA1752" s="30"/>
      <c r="BB1752" s="569" t="s">
        <v>482</v>
      </c>
      <c r="BC1752" s="570">
        <f>AR1746*AR1749/1000*AR1753</f>
        <v>0</v>
      </c>
      <c r="BD1752" s="571">
        <f>BC1752</f>
        <v>0</v>
      </c>
      <c r="BE1752" s="572">
        <f>BC1752</f>
        <v>0</v>
      </c>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544" t="b">
        <f>OR(BZ1746,Y1752=EUconst_NA)</f>
        <v>1</v>
      </c>
    </row>
    <row r="1753" spans="1:78" s="140" customFormat="1" ht="12.75" customHeight="1" x14ac:dyDescent="0.2">
      <c r="A1753" s="777"/>
      <c r="B1753" s="1248"/>
      <c r="C1753" s="753" t="s">
        <v>325</v>
      </c>
      <c r="D1753" s="503" t="str">
        <f>Translations!$B$641</f>
        <v>Biomasės dalis (BioC):</v>
      </c>
      <c r="E1753" s="504"/>
      <c r="F1753" s="539"/>
      <c r="G1753" s="1603" t="str">
        <f t="shared" si="434"/>
        <v/>
      </c>
      <c r="H1753" s="1604"/>
      <c r="I1753" s="1113" t="str">
        <f>IF(OR(AC1753=FALSE,Y1753=EUconst_NA),"","-")</f>
        <v/>
      </c>
      <c r="J1753" s="560"/>
      <c r="K1753" s="561" t="str">
        <f t="shared" si="435"/>
        <v/>
      </c>
      <c r="L1753" s="694"/>
      <c r="M1753" s="700" t="str">
        <f>IF(AND(E1737&lt;&gt;"",OR(F1753="",COUNT(K1753:L1753)=0),Y1753&lt;&gt;EUconst_NA,T1737&lt;&gt;TRUE),EUconst_ERR_Incomplete,IF(COUNTIF(AX1753:AZ1753,TRUE)&gt;0,EUconst_ERR_Inconsistent,""))</f>
        <v/>
      </c>
      <c r="O1753" s="1305"/>
      <c r="P1753" s="635"/>
      <c r="Q1753" s="635"/>
      <c r="R1753" s="635"/>
      <c r="S1753" s="30"/>
      <c r="T1753" s="543" t="str">
        <f>EUconst_CNTR_BiomassContent&amp;E1737</f>
        <v>BioC_</v>
      </c>
      <c r="U1753" s="488"/>
      <c r="V1753" s="585" t="str">
        <f t="shared" si="440"/>
        <v/>
      </c>
      <c r="W1753" s="522" t="str">
        <f>IF(COUNTIF(MSPara_SourceStreamCategory,V1753)=0,"",INDEX(MSPara_IsFossil,MATCH(V1753,MSPara_SourceStreamCategory,0)))</f>
        <v/>
      </c>
      <c r="X1753" s="488"/>
      <c r="Y1753" s="545" t="str">
        <f>IF(OR(T1737=TRUE,E1737=""),"",IF(OR(W1753=TRUE,F1753=EUconst_NA),EUconst_NA,INDEX(EUwideConstants!$N:$N,MATCH(T1753,EUwideConstants!$Q:$Q,0))))</f>
        <v/>
      </c>
      <c r="Z1753" s="546" t="str">
        <f>IF(ISBLANK(F1753),"",IF(F1753=EUconst_NA,"",INDEX(EUwideConstants!$H:$M,MATCH(T1753,EUwideConstants!$Q:$Q,0),MATCH(F1753,CNTR_TierList,0))))</f>
        <v/>
      </c>
      <c r="AA1753" s="586" t="str">
        <f>IF(F1753=1,1,"")</f>
        <v/>
      </c>
      <c r="AB1753" s="30"/>
      <c r="AC1753" s="548" t="b">
        <f>AND(AC1746,Y1753&lt;&gt;EUconst_NA)</f>
        <v>0</v>
      </c>
      <c r="AD1753" s="30"/>
      <c r="AE1753" s="563"/>
      <c r="AG1753" s="564"/>
      <c r="AH1753" s="553"/>
      <c r="AI1753" s="565"/>
      <c r="AJ1753" s="553"/>
      <c r="AK1753" s="566"/>
      <c r="AL1753" s="333"/>
      <c r="AM1753" s="549" t="str">
        <f>EUconst_CNTR_BiomassContent&amp;EUconst_Value</f>
        <v>BioC_Vertė</v>
      </c>
      <c r="AO1753" s="587" t="str">
        <f>IF(AC1753=TRUE,IF(COUNTIF(MSPara_SourceStreamCategory,V1753)=0,"",INDEX(MSPara_CalcFactorsMatrix,MATCH(V1753,MSPara_SourceStreamCategory,0),MATCH(AM1753&amp;"_"&amp;2,MSPara_CalcFactors,0))),"")</f>
        <v/>
      </c>
      <c r="AP1753" s="553"/>
      <c r="AQ1753" s="568" t="str">
        <f>IF(OR(AA1753="",AO1753=EUconst_NA),"",AO1753)</f>
        <v/>
      </c>
      <c r="AR1753" s="548">
        <f>IF(AC1753=TRUE,IF(COUNT(K1753:L1753)=0,0,IF(L1753="",K1753,L1753)),0)</f>
        <v>0</v>
      </c>
      <c r="AS1753" s="544" t="b">
        <f>AND(AC1753=TRUE,OR(AND(F1753&lt;&gt;"",NOT(ISNUMBER(AA1753))),L1753&lt;&gt;"",F1753="",AQ1753=""))</f>
        <v>0</v>
      </c>
      <c r="AT1753" s="544" t="b">
        <f t="shared" si="436"/>
        <v>0</v>
      </c>
      <c r="AU1753" s="30"/>
      <c r="AV1753" s="558" t="b">
        <f t="shared" si="437"/>
        <v>0</v>
      </c>
      <c r="AW1753" s="559" t="b">
        <f t="shared" si="438"/>
        <v>0</v>
      </c>
      <c r="AX1753" s="30"/>
      <c r="AY1753" s="585" t="b">
        <f t="shared" si="439"/>
        <v>0</v>
      </c>
      <c r="AZ1753" s="522" t="b">
        <f>OR(AR1753&gt;100%,(AR1753+AR1754)&gt;100%)</f>
        <v>0</v>
      </c>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544" t="b">
        <f>OR(BZ1746,Y1753=EUconst_NA)</f>
        <v>1</v>
      </c>
    </row>
    <row r="1754" spans="1:78" s="140" customFormat="1" ht="12.75" customHeight="1" thickBot="1" x14ac:dyDescent="0.25">
      <c r="A1754" s="777"/>
      <c r="B1754" s="1248"/>
      <c r="C1754" s="753" t="s">
        <v>448</v>
      </c>
      <c r="D1754" s="503" t="str">
        <f>Translations!$B$647</f>
        <v>Netvarios BioC dalis:</v>
      </c>
      <c r="E1754" s="504"/>
      <c r="F1754" s="588"/>
      <c r="G1754" s="1603" t="str">
        <f t="shared" si="434"/>
        <v/>
      </c>
      <c r="H1754" s="1604"/>
      <c r="I1754" s="1114" t="str">
        <f>IF(OR(AC1754=FALSE,Y1754=EUconst_NA),"","-")</f>
        <v/>
      </c>
      <c r="J1754" s="560"/>
      <c r="K1754" s="589" t="str">
        <f t="shared" si="435"/>
        <v/>
      </c>
      <c r="L1754" s="1100"/>
      <c r="M1754" s="700" t="str">
        <f>IF(AND(E1737&lt;&gt;"",OR(F1754="",COUNT(K1754:L1754)=0),Y1754&lt;&gt;EUconst_NA,T1737&lt;&gt;TRUE),EUconst_ERR_Incomplete,IF(COUNTIF(AX1754:AZ1754,TRUE)&gt;0,EUconst_ERR_Inconsistent,""))</f>
        <v/>
      </c>
      <c r="O1754" s="1305"/>
      <c r="P1754" s="635"/>
      <c r="Q1754" s="635"/>
      <c r="R1754" s="635"/>
      <c r="S1754" s="30"/>
      <c r="T1754" s="590" t="str">
        <f>EUconst_CNTR_BiomassContent&amp;E1737</f>
        <v>BioC_</v>
      </c>
      <c r="U1754" s="488"/>
      <c r="V1754" s="570" t="str">
        <f t="shared" si="440"/>
        <v/>
      </c>
      <c r="W1754" s="571" t="str">
        <f>IF(COUNTIF(MSPara_SourceStreamCategory,V1754)=0,"",INDEX(MSPara_IsFossil,MATCH(V1754,MSPara_SourceStreamCategory,0)))</f>
        <v/>
      </c>
      <c r="X1754" s="488"/>
      <c r="Y1754" s="591" t="str">
        <f>IF(OR(T1737=TRUE,E1737=""),"",IF(OR(W1754=TRUE,F1754=EUconst_NA),EUconst_NA,INDEX(EUwideConstants!$N:$N,MATCH(T1754,EUwideConstants!$Q:$Q,0))))</f>
        <v/>
      </c>
      <c r="Z1754" s="592" t="str">
        <f>IF(ISBLANK(F1754),"",IF(F1754=EUconst_NA,"",INDEX(EUwideConstants!$H:$M,MATCH(T1754,EUwideConstants!$Q:$Q,0),MATCH(F1754,CNTR_TierList,0))))</f>
        <v/>
      </c>
      <c r="AA1754" s="593" t="str">
        <f>IF(F1754=1,1,"")</f>
        <v/>
      </c>
      <c r="AB1754" s="30"/>
      <c r="AC1754" s="594" t="b">
        <f>AND(AC1746,Y1754&lt;&gt;EUconst_NA)</f>
        <v>0</v>
      </c>
      <c r="AD1754" s="30"/>
      <c r="AE1754" s="595"/>
      <c r="AF1754" s="596"/>
      <c r="AG1754" s="597"/>
      <c r="AH1754" s="598"/>
      <c r="AI1754" s="598"/>
      <c r="AJ1754" s="598"/>
      <c r="AK1754" s="599"/>
      <c r="AL1754" s="333"/>
      <c r="AM1754" s="600" t="str">
        <f>EUconst_CNTR_BiomassContent&amp;EUconst_Value</f>
        <v>BioC_Vertė</v>
      </c>
      <c r="AN1754" s="596"/>
      <c r="AO1754" s="601" t="str">
        <f>IF(AC1754=TRUE,IF(COUNTIF(MSPara_SourceStreamCategory,V1754)=0,"",INDEX(MSPara_CalcFactorsMatrix,MATCH(V1754,MSPara_SourceStreamCategory,0),MATCH(AM1754&amp;"_"&amp;2,MSPara_CalcFactors,0))),"")</f>
        <v/>
      </c>
      <c r="AP1754" s="598"/>
      <c r="AQ1754" s="602" t="str">
        <f>IF(OR(AA1754="",AO1754=EUconst_NA),"",AO1754)</f>
        <v/>
      </c>
      <c r="AR1754" s="594">
        <f>IF(AC1754=TRUE,IF(COUNT(K1754:L1754)=0,0,IF(L1754="",K1754,L1754)),0)</f>
        <v>0</v>
      </c>
      <c r="AS1754" s="603" t="b">
        <f>AND(AC1754=TRUE,OR(AND(F1754&lt;&gt;"",NOT(ISNUMBER(AA1754))),L1754&lt;&gt;"",F1754="",AQ1754=""))</f>
        <v>0</v>
      </c>
      <c r="AT1754" s="603" t="b">
        <f t="shared" si="436"/>
        <v>0</v>
      </c>
      <c r="AU1754" s="30"/>
      <c r="AV1754" s="604" t="b">
        <f t="shared" si="437"/>
        <v>0</v>
      </c>
      <c r="AW1754" s="605" t="b">
        <f t="shared" si="438"/>
        <v>0</v>
      </c>
      <c r="AX1754" s="30"/>
      <c r="AY1754" s="570" t="b">
        <f t="shared" si="439"/>
        <v>0</v>
      </c>
      <c r="AZ1754" s="571" t="b">
        <f>OR(AR1753&gt;100%,(AR1753+AR1754)&gt;100%)</f>
        <v>0</v>
      </c>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571" t="b">
        <f>OR(BZ1746,Y1754=EUconst_NA)</f>
        <v>1</v>
      </c>
    </row>
    <row r="1755" spans="1:78" s="140" customFormat="1" ht="5.0999999999999996" customHeight="1" x14ac:dyDescent="0.2">
      <c r="A1755" s="777"/>
      <c r="B1755" s="1248"/>
      <c r="C1755" s="164"/>
      <c r="D1755" s="178"/>
      <c r="O1755" s="1305"/>
      <c r="P1755" s="33"/>
      <c r="Q1755" s="33"/>
      <c r="R1755" s="33"/>
      <c r="S1755" s="172"/>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row>
    <row r="1756" spans="1:78" s="140" customFormat="1" ht="12.75" customHeight="1" x14ac:dyDescent="0.2">
      <c r="A1756" s="777"/>
      <c r="B1756" s="1248"/>
      <c r="C1756" s="164"/>
      <c r="D1756" s="1629" t="str">
        <f>Translations!$B$674</f>
        <v>Pakopos galioja nuo:</v>
      </c>
      <c r="E1756" s="1629"/>
      <c r="F1756" s="1630"/>
      <c r="G1756" s="1014"/>
      <c r="H1756" s="606" t="str">
        <f>Translations!$B$675</f>
        <v>iki:</v>
      </c>
      <c r="I1756" s="1014"/>
      <c r="J1756" s="1620" t="str">
        <f>Translations!$B$676</f>
        <v>Atliekų katalogo numeris (jeigu taikytina):</v>
      </c>
      <c r="K1756" s="1621"/>
      <c r="L1756" s="1621"/>
      <c r="M1756" s="1622"/>
      <c r="N1756" s="1232"/>
      <c r="O1756" s="1305"/>
      <c r="P1756" s="33"/>
      <c r="Q1756" s="33"/>
      <c r="R1756" s="33"/>
      <c r="S1756" s="1233"/>
      <c r="T1756" s="483"/>
      <c r="U1756" s="483"/>
      <c r="V1756" s="48" t="b">
        <f>IF(V1746="",FALSE,INDEX(CNTR_IsWaste,MATCH(V1746,MSParameters!$A$218:$A$376,0)))</f>
        <v>0</v>
      </c>
      <c r="W1756" s="1233" t="s">
        <v>1689</v>
      </c>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2" t="b">
        <f>BZ1746</f>
        <v>1</v>
      </c>
    </row>
    <row r="1757" spans="1:78" s="140" customFormat="1" ht="5.0999999999999996" customHeight="1" x14ac:dyDescent="0.2">
      <c r="A1757" s="777"/>
      <c r="B1757" s="1248"/>
      <c r="C1757" s="164"/>
      <c r="D1757" s="606"/>
      <c r="E1757" s="486"/>
      <c r="F1757" s="486"/>
      <c r="G1757" s="486"/>
      <c r="H1757" s="486"/>
      <c r="I1757" s="486"/>
      <c r="J1757" s="486"/>
      <c r="K1757" s="486"/>
      <c r="L1757" s="486"/>
      <c r="M1757" s="486"/>
      <c r="N1757" s="486"/>
      <c r="O1757" s="1305"/>
      <c r="P1757" s="33"/>
      <c r="Q1757" s="33"/>
      <c r="R1757" s="33"/>
      <c r="S1757" s="172"/>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row>
    <row r="1758" spans="1:78" s="140" customFormat="1" ht="12.75" customHeight="1" x14ac:dyDescent="0.2">
      <c r="A1758" s="777"/>
      <c r="B1758" s="1248"/>
      <c r="C1758" s="164"/>
      <c r="D1758" s="486"/>
      <c r="E1758" s="486"/>
      <c r="F1758" s="486"/>
      <c r="G1758" s="486"/>
      <c r="H1758" s="486"/>
      <c r="I1758" s="486"/>
      <c r="J1758" s="486"/>
      <c r="K1758" s="486"/>
      <c r="L1758" s="486"/>
      <c r="M1758" s="606" t="str">
        <f>Translations!$B$677</f>
        <v>Stebėsenos plane šiam sukėlikliui suteiktas identifikatorius:</v>
      </c>
      <c r="N1758" s="705"/>
      <c r="O1758" s="1305"/>
      <c r="P1758" s="33"/>
      <c r="Q1758" s="33"/>
      <c r="R1758" s="33"/>
      <c r="S1758" s="172"/>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2" t="b">
        <f>BZ1756</f>
        <v>1</v>
      </c>
    </row>
    <row r="1759" spans="1:78" s="140" customFormat="1" ht="5.0999999999999996" customHeight="1" x14ac:dyDescent="0.2">
      <c r="A1759" s="784"/>
      <c r="B1759" s="1316"/>
      <c r="D1759" s="178"/>
      <c r="O1759" s="1317"/>
      <c r="P1759" s="488"/>
      <c r="Q1759" s="488"/>
      <c r="R1759" s="488"/>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row>
    <row r="1760" spans="1:78" s="140" customFormat="1" x14ac:dyDescent="0.2">
      <c r="A1760" s="784"/>
      <c r="B1760" s="1316"/>
      <c r="D1760" s="1618" t="str">
        <f>Translations!$B$160</f>
        <v>Pastabos:</v>
      </c>
      <c r="E1760" s="1619"/>
      <c r="F1760" s="1605"/>
      <c r="G1760" s="1606"/>
      <c r="H1760" s="1606"/>
      <c r="I1760" s="1606"/>
      <c r="J1760" s="1606"/>
      <c r="K1760" s="1606"/>
      <c r="L1760" s="1606"/>
      <c r="M1760" s="1606"/>
      <c r="N1760" s="1607"/>
      <c r="O1760" s="1317"/>
      <c r="P1760" s="488"/>
      <c r="Q1760" s="488"/>
      <c r="R1760" s="488"/>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2" t="b">
        <f>BZ1756</f>
        <v>1</v>
      </c>
    </row>
    <row r="1761" spans="1:78" s="28" customFormat="1" ht="12.75" customHeight="1" thickBot="1" x14ac:dyDescent="0.25">
      <c r="A1761" s="777"/>
      <c r="B1761" s="1312"/>
      <c r="C1761" s="490"/>
      <c r="D1761" s="491"/>
      <c r="E1761" s="492"/>
      <c r="F1761" s="490"/>
      <c r="G1761" s="493"/>
      <c r="H1761" s="493"/>
      <c r="I1761" s="493"/>
      <c r="J1761" s="493"/>
      <c r="K1761" s="493"/>
      <c r="L1761" s="493"/>
      <c r="M1761" s="493"/>
      <c r="N1761" s="493"/>
      <c r="O1761" s="1313"/>
      <c r="P1761" s="485"/>
      <c r="Q1761" s="485"/>
      <c r="R1761" s="485"/>
      <c r="S1761" s="58"/>
      <c r="T1761" s="58"/>
      <c r="U1761" s="489"/>
      <c r="V1761" s="58"/>
      <c r="W1761" s="58"/>
      <c r="X1761" s="489"/>
      <c r="Y1761" s="58"/>
      <c r="Z1761" s="58"/>
      <c r="AA1761" s="58"/>
      <c r="AB1761" s="58"/>
      <c r="AC1761" s="58"/>
      <c r="AD1761" s="58"/>
      <c r="AE1761" s="58"/>
      <c r="AF1761" s="58"/>
      <c r="AG1761" s="58"/>
      <c r="AH1761" s="58"/>
      <c r="AI1761" s="58"/>
      <c r="AJ1761" s="58"/>
      <c r="AK1761" s="58"/>
      <c r="AL1761" s="58"/>
      <c r="AM1761" s="58"/>
      <c r="AN1761" s="58"/>
      <c r="AO1761" s="58"/>
      <c r="AP1761" s="58"/>
      <c r="AQ1761" s="58"/>
      <c r="AR1761" s="58"/>
      <c r="AS1761" s="58"/>
      <c r="AT1761" s="58"/>
      <c r="AU1761" s="58"/>
      <c r="AV1761" s="58"/>
      <c r="AW1761" s="58"/>
      <c r="AX1761" s="58"/>
      <c r="AY1761" s="58"/>
      <c r="AZ1761" s="58"/>
      <c r="BA1761" s="58"/>
      <c r="BB1761" s="58"/>
      <c r="BC1761" s="58"/>
      <c r="BD1761" s="58"/>
      <c r="BE1761" s="58"/>
      <c r="BF1761" s="58"/>
      <c r="BG1761" s="58"/>
      <c r="BH1761" s="58"/>
      <c r="BI1761" s="30"/>
      <c r="BJ1761" s="30"/>
      <c r="BK1761" s="30"/>
      <c r="BL1761" s="58"/>
      <c r="BM1761" s="58"/>
      <c r="BN1761" s="58"/>
      <c r="BO1761" s="58"/>
      <c r="BP1761" s="58"/>
      <c r="BQ1761" s="58"/>
      <c r="BR1761" s="58"/>
      <c r="BS1761" s="58"/>
      <c r="BT1761" s="58"/>
      <c r="BU1761" s="58"/>
      <c r="BV1761" s="58"/>
      <c r="BW1761" s="58"/>
      <c r="BX1761" s="58"/>
      <c r="BY1761" s="58"/>
      <c r="BZ1761" s="58"/>
    </row>
    <row r="1762" spans="1:78" s="28" customFormat="1" ht="12.75" customHeight="1" thickBot="1" x14ac:dyDescent="0.25">
      <c r="A1762" s="782"/>
      <c r="B1762" s="1312"/>
      <c r="C1762" s="486"/>
      <c r="D1762" s="178"/>
      <c r="E1762" s="487"/>
      <c r="F1762" s="486"/>
      <c r="G1762" s="478"/>
      <c r="H1762" s="478"/>
      <c r="I1762" s="478"/>
      <c r="J1762" s="478"/>
      <c r="K1762" s="486"/>
      <c r="L1762" s="478"/>
      <c r="M1762" s="478"/>
      <c r="N1762" s="478"/>
      <c r="O1762" s="1313"/>
      <c r="P1762" s="485"/>
      <c r="Q1762" s="485"/>
      <c r="R1762" s="485"/>
      <c r="S1762" s="23"/>
      <c r="T1762" s="27" t="str">
        <f>IF(ISBLANK(E1763),"",MATCH(E1763,CNTR_SourceStreamNames,0))</f>
        <v/>
      </c>
      <c r="U1762" s="609" t="str">
        <f>IF(ISBLANK(E1763),"",INDEX(B_InstallationDescription!$D$71:$D$145,MATCH(E1763,CNTR_SourceStreamNames,0)))</f>
        <v/>
      </c>
      <c r="V1762" s="76"/>
      <c r="W1762" s="56"/>
      <c r="X1762" s="56"/>
      <c r="Y1762" s="56"/>
      <c r="Z1762" s="58"/>
      <c r="AA1762" s="58"/>
      <c r="AB1762" s="58"/>
      <c r="AC1762" s="58"/>
      <c r="AD1762" s="58"/>
      <c r="AE1762" s="58"/>
      <c r="AF1762" s="58"/>
      <c r="AG1762" s="58"/>
      <c r="AH1762" s="58"/>
      <c r="AI1762" s="58"/>
      <c r="AJ1762" s="58"/>
      <c r="AK1762" s="482"/>
      <c r="AL1762" s="58"/>
      <c r="AM1762" s="58"/>
      <c r="AN1762" s="58"/>
      <c r="AO1762" s="58"/>
      <c r="AP1762" s="58"/>
      <c r="AQ1762" s="58"/>
      <c r="AR1762" s="58"/>
      <c r="AS1762" s="58"/>
      <c r="AT1762" s="58"/>
      <c r="AU1762" s="58"/>
      <c r="AV1762" s="58"/>
      <c r="AW1762" s="58"/>
      <c r="AX1762" s="58"/>
      <c r="AY1762" s="58"/>
      <c r="AZ1762" s="58"/>
      <c r="BA1762" s="58"/>
      <c r="BB1762" s="58"/>
      <c r="BC1762" s="58"/>
      <c r="BD1762" s="58"/>
      <c r="BE1762" s="58"/>
      <c r="BF1762" s="58"/>
      <c r="BG1762" s="58"/>
      <c r="BH1762" s="56"/>
      <c r="BI1762" s="56"/>
      <c r="BJ1762" s="56"/>
      <c r="BK1762" s="56"/>
      <c r="BL1762" s="56"/>
      <c r="BM1762" s="56"/>
      <c r="BN1762" s="56"/>
      <c r="BO1762" s="56"/>
      <c r="BP1762" s="56"/>
      <c r="BQ1762" s="56"/>
      <c r="BR1762" s="56"/>
      <c r="BS1762" s="56"/>
      <c r="BT1762" s="56"/>
      <c r="BU1762" s="56"/>
      <c r="BV1762" s="56"/>
      <c r="BW1762" s="56"/>
      <c r="BX1762" s="56"/>
      <c r="BY1762" s="56"/>
      <c r="BZ1762" s="484" t="s">
        <v>259</v>
      </c>
    </row>
    <row r="1763" spans="1:78" s="140" customFormat="1" ht="15" customHeight="1" thickBot="1" x14ac:dyDescent="0.25">
      <c r="A1763" s="1302" t="str">
        <f>IF(E1763="","","PRINT")</f>
        <v/>
      </c>
      <c r="B1763" s="1248"/>
      <c r="C1763" s="608">
        <f>C1736+1</f>
        <v>64</v>
      </c>
      <c r="D1763" s="164"/>
      <c r="E1763" s="1610"/>
      <c r="F1763" s="1611"/>
      <c r="G1763" s="1611"/>
      <c r="H1763" s="1611"/>
      <c r="I1763" s="1611"/>
      <c r="J1763" s="1612"/>
      <c r="K1763" s="1623" t="str">
        <f>IF(E1764="","",INDEX(EUwideConstants!$F$353:$F$394,MATCH(E1764,EUConst_TierActivityListNames,0)))</f>
        <v/>
      </c>
      <c r="L1763" s="1624"/>
      <c r="M1763" s="494" t="str">
        <f>Translations!$B$665</f>
        <v>CO2, iškastinio kuro kilmės:</v>
      </c>
      <c r="N1763" s="1012" t="str">
        <f>IF(OR(K1763="",T1764=TRUE),"",INDEX(BC1777:BE1777,MATCH(K1763,BC1773:BE1773,0)))</f>
        <v/>
      </c>
      <c r="O1763" s="1314" t="s">
        <v>257</v>
      </c>
      <c r="P1763" s="1303" t="str">
        <f>IF(AND(E1763&lt;&gt;"",COUNTIF(P1764:$P$2089,"PRINT")=0),"PRINT","")</f>
        <v/>
      </c>
      <c r="Q1763" s="343" t="str">
        <f>EUconst_SumCO2 &amp; "_" &amp; K1763</f>
        <v>SUM_CO2_</v>
      </c>
      <c r="R1763" s="485"/>
      <c r="S1763" s="23"/>
      <c r="T1763" s="500" t="s">
        <v>387</v>
      </c>
      <c r="U1763" s="23"/>
      <c r="V1763" s="76"/>
      <c r="W1763" s="56"/>
      <c r="X1763" s="58"/>
      <c r="Y1763" s="58"/>
      <c r="Z1763" s="58"/>
      <c r="AA1763" s="58"/>
      <c r="AB1763" s="58"/>
      <c r="AC1763" s="58"/>
      <c r="AD1763" s="58"/>
      <c r="AE1763" s="58"/>
      <c r="AF1763" s="58"/>
      <c r="AG1763" s="58"/>
      <c r="AH1763" s="58"/>
      <c r="AI1763" s="333"/>
      <c r="AJ1763" s="333"/>
      <c r="AK1763" s="333"/>
      <c r="AL1763" s="333"/>
      <c r="AM1763" s="333"/>
      <c r="AN1763" s="333"/>
      <c r="AO1763" s="333"/>
      <c r="AP1763" s="333"/>
      <c r="AQ1763" s="333"/>
      <c r="AR1763" s="333"/>
      <c r="AS1763" s="333"/>
      <c r="AT1763" s="333"/>
      <c r="AU1763" s="333"/>
      <c r="AV1763" s="333"/>
      <c r="AW1763" s="333"/>
      <c r="AX1763" s="333"/>
      <c r="AY1763" s="333"/>
      <c r="AZ1763" s="333"/>
      <c r="BA1763" s="333"/>
      <c r="BB1763" s="333"/>
      <c r="BC1763" s="333"/>
      <c r="BD1763" s="333"/>
      <c r="BE1763" s="333"/>
      <c r="BF1763" s="333"/>
      <c r="BG1763" s="333"/>
      <c r="BH1763" s="834">
        <f>AR1773</f>
        <v>0</v>
      </c>
      <c r="BI1763" s="834" t="str">
        <f>AJ1773</f>
        <v/>
      </c>
      <c r="BJ1763" s="834">
        <f>AR1775</f>
        <v>0</v>
      </c>
      <c r="BK1763" s="834" t="str">
        <f>AJ1775</f>
        <v/>
      </c>
      <c r="BL1763" s="834">
        <f>AR1776</f>
        <v>0</v>
      </c>
      <c r="BM1763" s="834" t="str">
        <f>AJ1776</f>
        <v/>
      </c>
      <c r="BN1763" s="834">
        <f>AR1777</f>
        <v>1</v>
      </c>
      <c r="BO1763" s="834">
        <f>AR1778</f>
        <v>1</v>
      </c>
      <c r="BP1763" s="834">
        <f>AR1779</f>
        <v>0</v>
      </c>
      <c r="BQ1763" s="834" t="str">
        <f>AJ1779</f>
        <v/>
      </c>
      <c r="BR1763" s="834">
        <f>AR1780</f>
        <v>0</v>
      </c>
      <c r="BS1763" s="834">
        <f>AR1781</f>
        <v>0</v>
      </c>
      <c r="BT1763" s="834" t="str">
        <f>N1763</f>
        <v/>
      </c>
      <c r="BU1763" s="834" t="str">
        <f>N1764</f>
        <v/>
      </c>
      <c r="BV1763" s="834" t="str">
        <f>R1766</f>
        <v/>
      </c>
      <c r="BW1763" s="834" t="str">
        <f>R1772</f>
        <v/>
      </c>
      <c r="BX1763" s="834" t="str">
        <f>R1773</f>
        <v/>
      </c>
      <c r="BY1763" s="56"/>
      <c r="BZ1763" s="610" t="b">
        <f>CNTR_CalcRelevant=EUconst_NotRelevant</f>
        <v>0</v>
      </c>
    </row>
    <row r="1764" spans="1:78" s="140" customFormat="1" ht="15" customHeight="1" thickBot="1" x14ac:dyDescent="0.25">
      <c r="A1764" s="777"/>
      <c r="B1764" s="1248"/>
      <c r="C1764" s="164"/>
      <c r="D1764" s="164"/>
      <c r="E1764" s="1625" t="str">
        <f>IF(ISBLANK(E1763),"",IF(INDEX(B_InstallationDescription!$E$71:$E$145,MATCH(U1762,B_InstallationDescription!$D$71:$D$145,0))&gt;0,INDEX(B_InstallationDescription!$E$71:$E$145,MATCH(U1762,B_InstallationDescription!$D$71:$D$145,0)),""))</f>
        <v/>
      </c>
      <c r="F1764" s="1626"/>
      <c r="G1764" s="1626"/>
      <c r="H1764" s="1626"/>
      <c r="I1764" s="1626"/>
      <c r="J1764" s="1627"/>
      <c r="M1764" s="337" t="str">
        <f>Translations!$B$666</f>
        <v>CO2, biomasės kilmės.:</v>
      </c>
      <c r="N1764" s="1013" t="str">
        <f>IF(OR(K1763="",T1764=TRUE),"",INDEX(BC1776:BE1776,MATCH(K1763,BC1773:BE1773,0)))</f>
        <v/>
      </c>
      <c r="O1764" s="1315" t="s">
        <v>257</v>
      </c>
      <c r="P1764" s="485"/>
      <c r="Q1764" s="343" t="str">
        <f>EUconst_SumBioCO2 &amp; "_" &amp; K1763</f>
        <v>SUM_bioCO2_</v>
      </c>
      <c r="R1764" s="485"/>
      <c r="S1764" s="23"/>
      <c r="T1764" s="48" t="str">
        <f>IF(E1764="","",MATCH(E1764,EUConst_TierActivityListNames,0)&gt;40)</f>
        <v/>
      </c>
      <c r="U1764" s="23"/>
      <c r="V1764" s="76"/>
      <c r="W1764" s="56"/>
      <c r="X1764" s="58"/>
      <c r="Y1764" s="27" t="s">
        <v>91</v>
      </c>
      <c r="Z1764" s="30"/>
      <c r="AA1764" s="30"/>
      <c r="AB1764" s="30"/>
      <c r="AC1764" s="30"/>
      <c r="AD1764" s="30"/>
      <c r="AE1764" s="27" t="s">
        <v>297</v>
      </c>
      <c r="AF1764" s="58"/>
      <c r="AG1764" s="495"/>
      <c r="AH1764" s="30"/>
      <c r="AI1764" s="30"/>
      <c r="AJ1764" s="495"/>
      <c r="AK1764" s="495"/>
      <c r="AL1764" s="333"/>
      <c r="AM1764" s="27" t="s">
        <v>303</v>
      </c>
      <c r="AN1764" s="496"/>
      <c r="AO1764" s="496"/>
      <c r="AP1764" s="30"/>
      <c r="AQ1764" s="30"/>
      <c r="AR1764" s="30"/>
      <c r="AS1764" s="30"/>
      <c r="AT1764" s="30"/>
      <c r="AU1764" s="30"/>
      <c r="AV1764" s="27" t="s">
        <v>310</v>
      </c>
      <c r="AW1764" s="30"/>
      <c r="AX1764" s="483"/>
      <c r="AY1764" s="30"/>
      <c r="AZ1764" s="30"/>
      <c r="BA1764" s="30"/>
      <c r="BB1764" s="27" t="s">
        <v>217</v>
      </c>
      <c r="BC1764" s="30"/>
      <c r="BD1764" s="30"/>
      <c r="BE1764" s="30"/>
      <c r="BF1764" s="30"/>
      <c r="BG1764" s="27" t="s">
        <v>486</v>
      </c>
      <c r="BH1764" s="833" t="s">
        <v>552</v>
      </c>
      <c r="BI1764" s="833" t="s">
        <v>487</v>
      </c>
      <c r="BJ1764" s="833" t="s">
        <v>211</v>
      </c>
      <c r="BK1764" s="833" t="s">
        <v>488</v>
      </c>
      <c r="BL1764" s="833" t="s">
        <v>68</v>
      </c>
      <c r="BM1764" s="833" t="s">
        <v>489</v>
      </c>
      <c r="BN1764" s="833" t="s">
        <v>490</v>
      </c>
      <c r="BO1764" s="833" t="s">
        <v>491</v>
      </c>
      <c r="BP1764" s="833" t="s">
        <v>214</v>
      </c>
      <c r="BQ1764" s="833" t="s">
        <v>492</v>
      </c>
      <c r="BR1764" s="833" t="s">
        <v>493</v>
      </c>
      <c r="BS1764" s="833" t="s">
        <v>494</v>
      </c>
      <c r="BT1764" s="833" t="s">
        <v>287</v>
      </c>
      <c r="BU1764" s="833" t="s">
        <v>495</v>
      </c>
      <c r="BV1764" s="833" t="s">
        <v>498</v>
      </c>
      <c r="BW1764" s="833" t="s">
        <v>496</v>
      </c>
      <c r="BX1764" s="833" t="s">
        <v>497</v>
      </c>
      <c r="BY1764" s="30"/>
      <c r="BZ1764" s="30"/>
    </row>
    <row r="1765" spans="1:78" s="140" customFormat="1" ht="5.0999999999999996" customHeight="1" thickBot="1" x14ac:dyDescent="0.25">
      <c r="A1765" s="777"/>
      <c r="B1765" s="1248"/>
      <c r="C1765" s="164"/>
      <c r="D1765" s="164"/>
      <c r="E1765" s="164"/>
      <c r="F1765" s="164"/>
      <c r="G1765" s="164"/>
      <c r="M1765" s="141"/>
      <c r="N1765" s="141"/>
      <c r="O1765" s="1305"/>
      <c r="P1765" s="33"/>
      <c r="Q1765" s="33"/>
      <c r="R1765" s="33"/>
      <c r="S1765" s="23"/>
      <c r="T1765" s="23"/>
      <c r="U1765" s="23"/>
      <c r="V1765" s="76"/>
      <c r="W1765" s="30"/>
      <c r="X1765" s="30"/>
      <c r="Y1765" s="485"/>
      <c r="Z1765" s="30"/>
      <c r="AA1765" s="30"/>
      <c r="AB1765" s="30"/>
      <c r="AC1765" s="30"/>
      <c r="AD1765" s="30"/>
      <c r="AE1765" s="30"/>
      <c r="AF1765" s="58"/>
      <c r="AG1765" s="30"/>
      <c r="AH1765" s="30"/>
      <c r="AI1765" s="30"/>
      <c r="AJ1765" s="495"/>
      <c r="AK1765" s="495"/>
      <c r="AL1765" s="333"/>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row>
    <row r="1766" spans="1:78" s="140" customFormat="1" ht="12.75" customHeight="1" thickBot="1" x14ac:dyDescent="0.25">
      <c r="A1766" s="777"/>
      <c r="B1766" s="1248"/>
      <c r="C1766" s="164"/>
      <c r="D1766" s="164"/>
      <c r="E1766" s="1628" t="str">
        <f>IF(E1763="","",IF(T1764=TRUE,HYPERLINK("#JUMP_14",EUconst_MsgGoOnPFC),HYPERLINK("#JUMP_E_8",EUconst_FurtherGuidancePoint1)))</f>
        <v/>
      </c>
      <c r="F1766" s="1628"/>
      <c r="G1766" s="1628"/>
      <c r="H1766" s="1628"/>
      <c r="I1766" s="1628"/>
      <c r="J1766" s="1628"/>
      <c r="K1766" s="1628"/>
      <c r="L1766" s="1628"/>
      <c r="M1766" s="1628"/>
      <c r="N1766" s="141"/>
      <c r="O1766" s="1305"/>
      <c r="P1766" s="33"/>
      <c r="Q1766" s="343" t="str">
        <f>EUconst_SumNonSustBioCO2 &amp; "_" &amp; K1763</f>
        <v>SUM_bioNonSustCO2_</v>
      </c>
      <c r="R1766" s="698" t="str">
        <f>IF(OR(K1763="",T1764=TRUE),"",ROUND(INDEX(BC1775:BE1775,MATCH(K1763,BC1773:BE1773,0)),0))</f>
        <v/>
      </c>
      <c r="S1766" s="23"/>
      <c r="T1766" s="23"/>
      <c r="U1766" s="23"/>
      <c r="V1766" s="30"/>
      <c r="W1766" s="30"/>
      <c r="X1766" s="30"/>
      <c r="Y1766" s="58"/>
      <c r="Z1766" s="30"/>
      <c r="AA1766" s="30"/>
      <c r="AB1766" s="30"/>
      <c r="AC1766" s="30"/>
      <c r="AD1766" s="30"/>
      <c r="AE1766" s="30"/>
      <c r="AF1766" s="58"/>
      <c r="AG1766" s="30"/>
      <c r="AH1766" s="30"/>
      <c r="AI1766" s="30"/>
      <c r="AJ1766" s="495"/>
      <c r="AK1766" s="495"/>
      <c r="AL1766" s="333"/>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row>
    <row r="1767" spans="1:78" s="140" customFormat="1" ht="5.0999999999999996" customHeight="1" thickBot="1" x14ac:dyDescent="0.25">
      <c r="A1767" s="777"/>
      <c r="B1767" s="1248"/>
      <c r="C1767" s="164"/>
      <c r="D1767" s="164"/>
      <c r="E1767" s="164"/>
      <c r="F1767" s="164"/>
      <c r="G1767" s="164"/>
      <c r="M1767" s="141"/>
      <c r="N1767" s="141"/>
      <c r="O1767" s="1305"/>
      <c r="P1767" s="23"/>
      <c r="Q1767" s="23"/>
      <c r="R1767" s="23"/>
      <c r="S1767" s="23"/>
      <c r="T1767" s="23"/>
      <c r="U1767" s="23"/>
      <c r="V1767" s="30"/>
      <c r="W1767" s="30"/>
      <c r="X1767" s="30"/>
      <c r="Y1767" s="485"/>
      <c r="Z1767" s="30"/>
      <c r="AA1767" s="30"/>
      <c r="AB1767" s="30"/>
      <c r="AC1767" s="30"/>
      <c r="AD1767" s="30"/>
      <c r="AE1767" s="30"/>
      <c r="AF1767" s="58"/>
      <c r="AG1767" s="30"/>
      <c r="AH1767" s="30"/>
      <c r="AI1767" s="30"/>
      <c r="AJ1767" s="495"/>
      <c r="AK1767" s="495"/>
      <c r="AL1767" s="333"/>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row>
    <row r="1768" spans="1:78" s="140" customFormat="1" ht="12.75" customHeight="1" thickBot="1" x14ac:dyDescent="0.25">
      <c r="A1768" s="777"/>
      <c r="B1768" s="1248"/>
      <c r="C1768" s="783" t="s">
        <v>4</v>
      </c>
      <c r="D1768" s="503" t="str">
        <f>Translations!$B$622</f>
        <v>VD:</v>
      </c>
      <c r="E1768" s="1631" t="str">
        <f>Translations!$B$667</f>
        <v>Ar veiklos duomenys gaunami sudedant išmatuotus kiekius (t. y. ne atliekant nuolatinius matavimus)?</v>
      </c>
      <c r="F1768" s="1631"/>
      <c r="G1768" s="1631"/>
      <c r="H1768" s="1631"/>
      <c r="I1768" s="1631"/>
      <c r="J1768" s="1631"/>
      <c r="K1768" s="1631"/>
      <c r="L1768" s="1122"/>
      <c r="M1768" s="498"/>
      <c r="O1768" s="1305"/>
      <c r="P1768" s="23"/>
      <c r="Q1768" s="23"/>
      <c r="R1768" s="23"/>
      <c r="S1768" s="23"/>
      <c r="T1768" s="23"/>
      <c r="U1768" s="23"/>
      <c r="V1768" s="30"/>
      <c r="W1768" s="30"/>
      <c r="X1768" s="30"/>
      <c r="Y1768" s="485"/>
      <c r="Z1768" s="30"/>
      <c r="AA1768" s="30"/>
      <c r="AB1768" s="30"/>
      <c r="AC1768" s="1115" t="b">
        <f>AND(E1763&lt;&gt;"",T1764&lt;&gt;TRUE)</f>
        <v>0</v>
      </c>
      <c r="AD1768" s="30"/>
      <c r="AE1768" s="30"/>
      <c r="AF1768" s="58"/>
      <c r="AG1768" s="30"/>
      <c r="AH1768" s="30"/>
      <c r="AI1768" s="30"/>
      <c r="AJ1768" s="495"/>
      <c r="AK1768" s="495"/>
      <c r="AL1768" s="333"/>
      <c r="AM1768" s="30"/>
      <c r="AN1768" s="30"/>
      <c r="AO1768" s="30"/>
      <c r="AP1768" s="30"/>
      <c r="AQ1768" s="30"/>
      <c r="AR1768" s="30"/>
      <c r="AS1768" s="30"/>
      <c r="AT1768" s="1115" t="b">
        <f>MSPara_BatchReportingMandatory&lt;&gt;TRUE</f>
        <v>0</v>
      </c>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1115" t="b">
        <f>OR(CNTR_CalcRelevant=EUconst_NotRelevant,AND(COUNTA(CNTR_ListRelevantSections)&gt;0,OR(T1764=TRUE,E1763="")))</f>
        <v>1</v>
      </c>
    </row>
    <row r="1769" spans="1:78" s="140" customFormat="1" ht="5.0999999999999996" customHeight="1" thickBot="1" x14ac:dyDescent="0.25">
      <c r="A1769" s="777"/>
      <c r="B1769" s="1248"/>
      <c r="C1769" s="164"/>
      <c r="D1769" s="164"/>
      <c r="E1769" s="164"/>
      <c r="F1769" s="164"/>
      <c r="G1769" s="164"/>
      <c r="H1769" s="486"/>
      <c r="I1769" s="486"/>
      <c r="J1769" s="486"/>
      <c r="K1769" s="486"/>
      <c r="L1769" s="486"/>
      <c r="M1769" s="498"/>
      <c r="O1769" s="1305"/>
      <c r="P1769" s="23"/>
      <c r="Q1769" s="23"/>
      <c r="R1769" s="23"/>
      <c r="S1769" s="23"/>
      <c r="T1769" s="23"/>
      <c r="U1769" s="23"/>
      <c r="V1769" s="30"/>
      <c r="W1769" s="30"/>
      <c r="X1769" s="30"/>
      <c r="Y1769" s="485"/>
      <c r="Z1769" s="30"/>
      <c r="AA1769" s="30"/>
      <c r="AB1769" s="30"/>
      <c r="AC1769" s="483"/>
      <c r="AD1769" s="30"/>
      <c r="AE1769" s="30"/>
      <c r="AF1769" s="58"/>
      <c r="AG1769" s="30"/>
      <c r="AH1769" s="30"/>
      <c r="AI1769" s="30"/>
      <c r="AJ1769" s="495"/>
      <c r="AK1769" s="495"/>
      <c r="AL1769" s="333"/>
      <c r="AM1769" s="30"/>
      <c r="AN1769" s="30"/>
      <c r="AO1769" s="30"/>
      <c r="AP1769" s="30"/>
      <c r="AQ1769" s="30"/>
      <c r="AR1769" s="30"/>
      <c r="AS1769" s="30"/>
      <c r="AT1769" s="483"/>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483"/>
    </row>
    <row r="1770" spans="1:78" s="140" customFormat="1" ht="12.75" customHeight="1" thickBot="1" x14ac:dyDescent="0.25">
      <c r="A1770" s="777"/>
      <c r="B1770" s="1248"/>
      <c r="C1770" s="783" t="s">
        <v>5</v>
      </c>
      <c r="D1770" s="503" t="str">
        <f>Translations!$B$622</f>
        <v>VD:</v>
      </c>
      <c r="E1770" s="1105" t="str">
        <f>Translations!$B$668</f>
        <v>Pradinis kiekis:</v>
      </c>
      <c r="F1770" s="1123"/>
      <c r="G1770" s="1106" t="str">
        <f>Translations!$B$669</f>
        <v>Galutinis kiekis:</v>
      </c>
      <c r="H1770" s="1123"/>
      <c r="I1770" s="1106" t="str">
        <f>Translations!$B$670</f>
        <v>Įsigytas kiekis:</v>
      </c>
      <c r="J1770" s="1123"/>
      <c r="K1770" s="1106" t="str">
        <f>Translations!$B$671</f>
        <v>Perduotas kiekis:</v>
      </c>
      <c r="L1770" s="1123"/>
      <c r="M1770" s="1107" t="str">
        <f>IF(AND(L1768=TRUE,COUNT(F1770,H1770,J1770,L1770)&lt;4),EUconst_ERR_Incomplete,"")</f>
        <v/>
      </c>
      <c r="O1770" s="1305"/>
      <c r="P1770" s="23"/>
      <c r="Q1770" s="23"/>
      <c r="R1770" s="23"/>
      <c r="S1770" s="23"/>
      <c r="T1770" s="23"/>
      <c r="U1770" s="23"/>
      <c r="V1770" s="30"/>
      <c r="W1770" s="30"/>
      <c r="X1770" s="30"/>
      <c r="Y1770" s="485"/>
      <c r="Z1770" s="30"/>
      <c r="AA1770" s="30"/>
      <c r="AB1770" s="30"/>
      <c r="AC1770" s="1115" t="b">
        <f>AC1768</f>
        <v>0</v>
      </c>
      <c r="AD1770" s="30"/>
      <c r="AE1770" s="30"/>
      <c r="AF1770" s="58"/>
      <c r="AG1770" s="30"/>
      <c r="AH1770" s="30"/>
      <c r="AI1770" s="30"/>
      <c r="AJ1770" s="495"/>
      <c r="AK1770" s="495"/>
      <c r="AL1770" s="333"/>
      <c r="AM1770" s="30"/>
      <c r="AN1770" s="30"/>
      <c r="AO1770" s="30"/>
      <c r="AP1770" s="30"/>
      <c r="AQ1770" s="30"/>
      <c r="AR1770" s="30"/>
      <c r="AS1770" s="30"/>
      <c r="AT1770" s="1115" t="b">
        <f>AND(AT1768=TRUE,L1768="")</f>
        <v>0</v>
      </c>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1115" t="b">
        <f>OR(BZ1768,AND(NOT(ISBLANK(L1768)),L1768=FALSE))</f>
        <v>1</v>
      </c>
    </row>
    <row r="1771" spans="1:78" s="140" customFormat="1" ht="5.0999999999999996" customHeight="1" thickBot="1" x14ac:dyDescent="0.25">
      <c r="A1771" s="777"/>
      <c r="B1771" s="1248"/>
      <c r="C1771" s="164"/>
      <c r="D1771" s="164"/>
      <c r="E1771" s="164"/>
      <c r="F1771" s="164"/>
      <c r="G1771" s="164"/>
      <c r="M1771" s="141"/>
      <c r="N1771" s="141"/>
      <c r="O1771" s="1305"/>
      <c r="P1771" s="23"/>
      <c r="Q1771" s="23"/>
      <c r="R1771" s="23"/>
      <c r="S1771" s="23"/>
      <c r="T1771" s="23"/>
      <c r="U1771" s="23"/>
      <c r="V1771" s="30"/>
      <c r="W1771" s="30"/>
      <c r="X1771" s="30"/>
      <c r="Y1771" s="485"/>
      <c r="Z1771" s="30"/>
      <c r="AA1771" s="30"/>
      <c r="AB1771" s="30"/>
      <c r="AC1771" s="30"/>
      <c r="AD1771" s="30"/>
      <c r="AE1771" s="30"/>
      <c r="AF1771" s="58"/>
      <c r="AG1771" s="30"/>
      <c r="AH1771" s="30"/>
      <c r="AI1771" s="30"/>
      <c r="AJ1771" s="495"/>
      <c r="AK1771" s="495"/>
      <c r="AL1771" s="333"/>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row>
    <row r="1772" spans="1:78" s="140" customFormat="1" ht="12.75" customHeight="1" thickBot="1" x14ac:dyDescent="0.25">
      <c r="A1772" s="777"/>
      <c r="B1772" s="1248"/>
      <c r="C1772" s="164"/>
      <c r="D1772" s="164"/>
      <c r="E1772" s="164"/>
      <c r="F1772" s="497" t="str">
        <f>Translations!$B$333</f>
        <v>Pakopa</v>
      </c>
      <c r="G1772" s="1613" t="str">
        <f>Translations!$B$672</f>
        <v>pakopos aprašas</v>
      </c>
      <c r="H1772" s="1613"/>
      <c r="I1772" s="1608" t="str">
        <f>Translations!$B$158</f>
        <v>Vienetas</v>
      </c>
      <c r="J1772" s="1608"/>
      <c r="K1772" s="1608" t="str">
        <f>Translations!$B$673</f>
        <v>Vertė</v>
      </c>
      <c r="L1772" s="1608"/>
      <c r="M1772" s="498" t="str">
        <f>Translations!$B$610</f>
        <v>klaida</v>
      </c>
      <c r="O1772" s="1305"/>
      <c r="P1772" s="499"/>
      <c r="Q1772" s="343" t="str">
        <f>EUconst_SumEnergyIN &amp; "_" &amp; K1763</f>
        <v>SUM_EnergyIN_</v>
      </c>
      <c r="R1772" s="390" t="str">
        <f>IF(OR(K1763="",T1764)=TRUE,"",INDEX(BC1778:BE1778,MATCH(K1763,BC1773:BE1773,0)))</f>
        <v/>
      </c>
      <c r="S1772" s="30"/>
      <c r="T1772" s="480"/>
      <c r="U1772" s="30"/>
      <c r="V1772" s="500" t="s">
        <v>298</v>
      </c>
      <c r="W1772" s="30"/>
      <c r="X1772" s="30"/>
      <c r="Y1772" s="485" t="s">
        <v>560</v>
      </c>
      <c r="Z1772" s="485" t="s">
        <v>313</v>
      </c>
      <c r="AA1772" s="30"/>
      <c r="AB1772" s="30"/>
      <c r="AC1772" s="496" t="s">
        <v>304</v>
      </c>
      <c r="AD1772" s="30"/>
      <c r="AE1772" s="30"/>
      <c r="AF1772" s="483" t="s">
        <v>300</v>
      </c>
      <c r="AG1772" s="483" t="s">
        <v>301</v>
      </c>
      <c r="AH1772" s="485" t="s">
        <v>299</v>
      </c>
      <c r="AI1772" s="495" t="s">
        <v>302</v>
      </c>
      <c r="AJ1772" s="495" t="s">
        <v>561</v>
      </c>
      <c r="AK1772" s="501" t="s">
        <v>306</v>
      </c>
      <c r="AL1772" s="333"/>
      <c r="AM1772" s="30"/>
      <c r="AN1772" s="483" t="s">
        <v>300</v>
      </c>
      <c r="AO1772" s="483" t="s">
        <v>301</v>
      </c>
      <c r="AP1772" s="502" t="s">
        <v>305</v>
      </c>
      <c r="AQ1772" s="495" t="s">
        <v>563</v>
      </c>
      <c r="AR1772" s="495" t="s">
        <v>562</v>
      </c>
      <c r="AS1772" s="501" t="s">
        <v>599</v>
      </c>
      <c r="AT1772" s="501" t="s">
        <v>599</v>
      </c>
      <c r="AU1772" s="30"/>
      <c r="AV1772" s="483"/>
      <c r="AW1772" s="483"/>
      <c r="AX1772" s="483" t="s">
        <v>316</v>
      </c>
      <c r="AY1772" s="483"/>
      <c r="AZ1772" s="483"/>
      <c r="BA1772" s="483"/>
      <c r="BB1772" s="483"/>
      <c r="BC1772" s="483"/>
      <c r="BD1772" s="483"/>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484" t="s">
        <v>259</v>
      </c>
    </row>
    <row r="1773" spans="1:78" s="140" customFormat="1" ht="12.75" customHeight="1" thickBot="1" x14ac:dyDescent="0.25">
      <c r="A1773" s="777"/>
      <c r="B1773" s="1248"/>
      <c r="C1773" s="753" t="s">
        <v>194</v>
      </c>
      <c r="D1773" s="503" t="str">
        <f>Translations!$B$622</f>
        <v>VD:</v>
      </c>
      <c r="E1773" s="504"/>
      <c r="F1773" s="393"/>
      <c r="G1773" s="1603" t="str">
        <f>IF(OR(ISBLANK(F1773),F1773=EUconst_NoTier),"",IF(Z1773=0,EUconst_NA,IF(ISERROR(Z1773),"",Z1773)))</f>
        <v/>
      </c>
      <c r="H1773" s="1604"/>
      <c r="I1773" s="1108" t="str">
        <f>IF(J1773&lt;&gt;"","",AI1773)</f>
        <v/>
      </c>
      <c r="J1773" s="1109"/>
      <c r="K1773" s="1116" t="str">
        <f>IF(L1773="",AQ1773,"")</f>
        <v/>
      </c>
      <c r="L1773" s="1199"/>
      <c r="M1773" s="700" t="str">
        <f>IF(AND(E1764&lt;&gt;"",OR(F1773="",COUNT(K1773:L1773)=0),Y1773&lt;&gt;EUconst_NA,T1764&lt;&gt;TRUE),EUconst_ERR_Incomplete,IF(COUNTIF(AX1773:AZ1773,TRUE)&gt;0,EUconst_ERR_Inconsistent,""))</f>
        <v/>
      </c>
      <c r="O1773" s="1305"/>
      <c r="P1773" s="635"/>
      <c r="Q1773" s="343" t="str">
        <f>EUconst_SumBioEnergyIN &amp; "_" &amp; K1763</f>
        <v>SUM_BioEnergyIN_</v>
      </c>
      <c r="R1773" s="390" t="str">
        <f>IF(OR(K1763="",T1764)=TRUE,"",INDEX(BC1779:BE1779,MATCH(K1763,BC1773:BE1773,0)))</f>
        <v/>
      </c>
      <c r="S1773" s="30"/>
      <c r="T1773" s="505" t="str">
        <f>EUconst_CNTR_ActivityData&amp;E1764</f>
        <v>ActivityData_</v>
      </c>
      <c r="U1773" s="488"/>
      <c r="V1773" s="505" t="str">
        <f>IF(E1763="","",INDEX(B_InstallationDescription!$I$71:$I$145,MATCH(U1762,B_InstallationDescription!$D$71:$D$145,0)))</f>
        <v/>
      </c>
      <c r="W1773" s="495" t="s">
        <v>533</v>
      </c>
      <c r="X1773" s="488"/>
      <c r="Y1773" s="506" t="str">
        <f>IF(OR(T1764=TRUE,E1764=""),"",INDEX(EUwideConstants!$N:$N,MATCH(T1773,EUwideConstants!$Q:$Q,0)))</f>
        <v/>
      </c>
      <c r="Z1773" s="507" t="str">
        <f>IF(ISBLANK(F1773),"",IF(F1773=EUconst_NA,"",INDEX(EUwideConstants!$H:$M,MATCH(T1773,EUwideConstants!$Q:$Q,0),MATCH(F1773,CNTR_TierList,0))))</f>
        <v/>
      </c>
      <c r="AA1773" s="508" t="s">
        <v>299</v>
      </c>
      <c r="AB1773" s="495"/>
      <c r="AC1773" s="509" t="b">
        <f>AC1768</f>
        <v>0</v>
      </c>
      <c r="AD1773" s="30"/>
      <c r="AE1773" s="510" t="str">
        <f>EUconst_CNTR_ActivityData&amp;EUconst_Unit</f>
        <v>ActivityData_Vienetas</v>
      </c>
      <c r="AF1773" s="511" t="str">
        <f>IF(AC1773=TRUE, IF(COUNTIF(MSPara_SourceStreamCategory,V1773)=0,"",INDEX(MSPara_CalcFactorsMatrix,MATCH(V1773,MSPara_SourceStreamCategory,0),MATCH(AE1773&amp;"_"&amp;2,MSPara_CalcFactors,0))),"")</f>
        <v/>
      </c>
      <c r="AG1773" s="512" t="str">
        <f>IF(AC1773=TRUE, IF(COUNTIF(MSPara_SourceStreamCategory,V1773)=0,"",INDEX(MSPara_CalcFactorsMatrix,MATCH(V1773,MSPara_SourceStreamCategory,0),MATCH(AE1773&amp;"_"&amp;1,MSPara_CalcFactors,0))),"")</f>
        <v/>
      </c>
      <c r="AH1773" s="509" t="str">
        <f>IF(OR(AF1773="",AF1773=EUconst_NA),IF(OR(AG1773=EUconst_NA,AG1773=""),"",AG1773),AF1773)</f>
        <v/>
      </c>
      <c r="AI1773" s="506" t="str">
        <f>IF(AC1773=TRUE,IF(AH1773="",EUconst_t,AH1773),"")</f>
        <v/>
      </c>
      <c r="AJ1773" s="513" t="str">
        <f>IF(J1773="",AI1773,J1773)</f>
        <v/>
      </c>
      <c r="AK1773" s="514" t="b">
        <f>IF(K1763=EUconst_Fuel,J1773&lt;&gt;"",FALSE)</f>
        <v>0</v>
      </c>
      <c r="AL1773" s="333"/>
      <c r="AM1773" s="505" t="str">
        <f>EUconst_CNTR_ActivityData&amp;EUconst_Value</f>
        <v>ActivityData_Vertė</v>
      </c>
      <c r="AN1773" s="496"/>
      <c r="AO1773" s="496"/>
      <c r="AP1773" s="509" t="b">
        <f>AND(AND(AH1773&lt;&gt;"",AJ1773&lt;&gt;""),AJ1773=AH1773)</f>
        <v>0</v>
      </c>
      <c r="AQ1773" s="610" t="str">
        <f>IF(L1768=TRUE,SUM(F1770)-SUM(H1770)+SUM(J1770)-SUM(L1770),"")</f>
        <v/>
      </c>
      <c r="AR1773" s="509">
        <f>IF(Y1773=EUconst_NA,0,IF(COUNT(K1773:L1773)=0,0,IF(L1773="",K1773,L1773)))</f>
        <v>0</v>
      </c>
      <c r="AS1773" s="1115" t="b">
        <f>AND(AC1773=TRUE,OR(L1773&lt;&gt;"",AQ1773=""))</f>
        <v>0</v>
      </c>
      <c r="AT1773" s="1115" t="b">
        <f>AND(AC1773=TRUE,NOT(AS1773))</f>
        <v>0</v>
      </c>
      <c r="AU1773" s="30"/>
      <c r="AV1773" s="483" t="s">
        <v>309</v>
      </c>
      <c r="AW1773" s="483" t="s">
        <v>314</v>
      </c>
      <c r="AX1773" s="515"/>
      <c r="AY1773" s="30" t="s">
        <v>536</v>
      </c>
      <c r="AZ1773" s="30"/>
      <c r="BA1773" s="30"/>
      <c r="BB1773" s="495"/>
      <c r="BC1773" s="484" t="str">
        <f>EUconst_Fuel</f>
        <v>Degimas</v>
      </c>
      <c r="BD1773" s="484" t="str">
        <f>EUconst_ProcessCarbonate</f>
        <v>Proceso metu išsiskiriančios ŠESD</v>
      </c>
      <c r="BE1773" s="484" t="str">
        <f>EUconst_MassBalance</f>
        <v>Masės balansas</v>
      </c>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515" t="b">
        <f>BZ1768</f>
        <v>1</v>
      </c>
    </row>
    <row r="1774" spans="1:78" s="140" customFormat="1" ht="5.0999999999999996" customHeight="1" thickBot="1" x14ac:dyDescent="0.25">
      <c r="A1774" s="777"/>
      <c r="B1774" s="1248"/>
      <c r="C1774" s="783"/>
      <c r="D1774" s="298"/>
      <c r="F1774" s="141"/>
      <c r="G1774" s="141"/>
      <c r="H1774" s="141" t="s">
        <v>233</v>
      </c>
      <c r="I1774" s="516"/>
      <c r="J1774" s="516"/>
      <c r="K1774" s="141"/>
      <c r="L1774" s="141"/>
      <c r="M1774" s="701"/>
      <c r="O1774" s="1305"/>
      <c r="P1774" s="33"/>
      <c r="Q1774" s="33"/>
      <c r="R1774" s="33"/>
      <c r="S1774" s="30"/>
      <c r="T1774" s="153"/>
      <c r="U1774" s="488"/>
      <c r="V1774" s="30"/>
      <c r="W1774" s="30"/>
      <c r="X1774" s="488"/>
      <c r="Y1774" s="517"/>
      <c r="Z1774" s="30"/>
      <c r="AA1774" s="30"/>
      <c r="AB1774" s="30"/>
      <c r="AC1774" s="30"/>
      <c r="AD1774" s="30"/>
      <c r="AE1774" s="30"/>
      <c r="AF1774" s="30"/>
      <c r="AG1774" s="30"/>
      <c r="AH1774" s="30"/>
      <c r="AI1774" s="30"/>
      <c r="AJ1774" s="30"/>
      <c r="AK1774" s="30"/>
      <c r="AL1774" s="333"/>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484"/>
    </row>
    <row r="1775" spans="1:78" s="140" customFormat="1" ht="12.75" customHeight="1" thickBot="1" x14ac:dyDescent="0.25">
      <c r="A1775" s="777"/>
      <c r="B1775" s="1248"/>
      <c r="C1775" s="783" t="s">
        <v>195</v>
      </c>
      <c r="D1775" s="503" t="str">
        <f>Translations!$B$634</f>
        <v>(prelim.) ITF:</v>
      </c>
      <c r="E1775" s="504"/>
      <c r="F1775" s="518"/>
      <c r="G1775" s="1603" t="str">
        <f t="shared" ref="G1775:G1781" si="441">IF(OR(ISBLANK(F1775),F1775=EUconst_NoTier),"",IF(Z1775=0,EUconst_NotApplicable,IF(ISERROR(Z1775),"",Z1775)))</f>
        <v/>
      </c>
      <c r="H1775" s="1609"/>
      <c r="I1775" s="1110" t="str">
        <f>IF(J1775&lt;&gt;"","",AI1775)</f>
        <v/>
      </c>
      <c r="J1775" s="1111"/>
      <c r="K1775" s="519" t="str">
        <f t="shared" ref="K1775:K1781" si="442">IF(L1775="",AQ1775,"")</f>
        <v/>
      </c>
      <c r="L1775" s="520"/>
      <c r="M1775" s="700" t="str">
        <f>IF(AND(E1764&lt;&gt;"",OR(F1775="",COUNT(K1775:L1775)=0),Y1775&lt;&gt;EUconst_NA,T1764&lt;&gt;TRUE),EUconst_ERR_Incomplete,IF(COUNTIF(AX1775:AZ1775,TRUE)&gt;0,EUconst_ERR_Inconsistent,""))</f>
        <v/>
      </c>
      <c r="N1775" s="486"/>
      <c r="O1775" s="1305"/>
      <c r="P1775" s="33"/>
      <c r="Q1775" s="33"/>
      <c r="R1775" s="33"/>
      <c r="S1775" s="30"/>
      <c r="T1775" s="521" t="str">
        <f>EUconst_CNTR_EF&amp;E1764</f>
        <v>EF_</v>
      </c>
      <c r="U1775" s="488"/>
      <c r="V1775" s="522" t="str">
        <f>V1773</f>
        <v/>
      </c>
      <c r="W1775" s="30"/>
      <c r="X1775" s="488"/>
      <c r="Y1775" s="523" t="str">
        <f>IF(OR(T1764=TRUE,E1764=""),"",IF(F1775=EUconst_NA,EUconst_NA,INDEX(EUwideConstants!$N:$N,MATCH(T1775,EUwideConstants!$Q:$Q,0))))</f>
        <v/>
      </c>
      <c r="Z1775" s="524" t="str">
        <f>IF(ISBLANK(F1775),"",IF(F1775=EUconst_NA,"",INDEX(EUwideConstants!$H:$M,MATCH(T1775,EUwideConstants!$Q:$Q,0),MATCH(F1775,CNTR_TierList,0))))</f>
        <v/>
      </c>
      <c r="AA1775" s="525" t="str">
        <f>IF(COUNTIF(EUconst_DefaultValues,Z1775)&gt;0,MATCH(Z1775,EUconst_DefaultValues,0),"")</f>
        <v/>
      </c>
      <c r="AB1775" s="30"/>
      <c r="AC1775" s="526" t="b">
        <f>AND(AC1773,Y1775&lt;&gt;EUconst_NA)</f>
        <v>0</v>
      </c>
      <c r="AD1775" s="30"/>
      <c r="AE1775" s="510" t="str">
        <f>EUconst_CNTR_EF&amp;EUconst_Unit</f>
        <v>EF_Vienetas</v>
      </c>
      <c r="AF1775" s="527" t="str">
        <f>IF(AC1775=TRUE, IF(COUNTIF(MSPara_SourceStreamCategory,V1775)=0,"",INDEX(MSPara_CalcFactorsMatrix,MATCH(V1775,MSPara_SourceStreamCategory,0),MATCH(AE1775&amp;"_"&amp;2,MSPara_CalcFactors,0))),"")</f>
        <v/>
      </c>
      <c r="AG1775" s="528" t="str">
        <f>IF(AC1775=TRUE, IF(COUNTIF(MSPara_SourceStreamCategory,V1775)=0,"",INDEX(MSPara_CalcFactorsMatrix,MATCH(V1775,MSPara_SourceStreamCategory,0),MATCH(AE1775&amp;"_"&amp;1,MSPara_CalcFactors,0))),"")</f>
        <v/>
      </c>
      <c r="AH1775" s="529" t="str">
        <f>IF(AA1775="","",INDEX(AF1775:AG1775,3-AA1775))</f>
        <v/>
      </c>
      <c r="AI1775" s="530" t="str">
        <f>IF(AC1775=TRUE,IF(OR(AH1775="",AH1775=EUconst_NA),IF(K1763=EUconst_Fuel,EUconst_tCO2pTJ,EUconst_tCO2pt),AH1775),"")</f>
        <v/>
      </c>
      <c r="AJ1775" s="526" t="str">
        <f>IF(J1775="",AI1775,J1775)</f>
        <v/>
      </c>
      <c r="AK1775" s="531" t="b">
        <f>IF(K1763=EUconst_Fuel,J1775&lt;&gt;"",FALSE)</f>
        <v>0</v>
      </c>
      <c r="AL1775" s="333"/>
      <c r="AM1775" s="510" t="str">
        <f>EUconst_CNTR_EF&amp;EUconst_Value</f>
        <v>EF_Vertė</v>
      </c>
      <c r="AN1775" s="532" t="str">
        <f>IF(AC1775=TRUE,IF(COUNTIF(MSPara_SourceStreamCategory,V1775)=0,"",INDEX(MSPara_CalcFactorsMatrix,MATCH(V1775,MSPara_SourceStreamCategory,0),MATCH(AM1775&amp;"_"&amp;2,MSPara_CalcFactors,0))),"")</f>
        <v/>
      </c>
      <c r="AO1775" s="533" t="str">
        <f>IF(AC1775=TRUE,IF(COUNTIF(MSPara_SourceStreamCategory,V1775)=0,"",INDEX(MSPara_CalcFactorsMatrix,MATCH(V1775,MSPara_SourceStreamCategory,0),MATCH(AM1775&amp;"_"&amp;1,MSPara_CalcFactors,0))),"")</f>
        <v/>
      </c>
      <c r="AP1775" s="526" t="b">
        <f>AND(AND(AH1775&lt;&gt;"",AJ1775&lt;&gt;""),AJ1775=AH1775)</f>
        <v>0</v>
      </c>
      <c r="AQ1775" s="534" t="str">
        <f>IF(AND(AA1775&lt;&gt;"",AP1775=TRUE),IF(OR(INDEX(AN1775:AO1775,3-AA1775)=EUconst_NA,INDEX(AN1775:AO1775,3-AA1775)=0),"",INDEX(AN1775:AO1775,3-AA1775)),"")</f>
        <v/>
      </c>
      <c r="AR1775" s="526">
        <f>IF(AC1775=TRUE,IF(COUNT(K1775:L1775)=0,0,IF(L1775="",K1775,L1775)),0)</f>
        <v>0</v>
      </c>
      <c r="AS1775" s="522" t="b">
        <f>AND(AC1775=TRUE,OR(AND(F1775&lt;&gt;"",NOT(ISNUMBER(AA1775))),L1775&lt;&gt;"",F1775="",AQ1775=""))</f>
        <v>0</v>
      </c>
      <c r="AT1775" s="522" t="b">
        <f t="shared" ref="AT1775:AT1781" si="443">AND(AC1775=TRUE,NOT(AS1775))</f>
        <v>0</v>
      </c>
      <c r="AU1775" s="30"/>
      <c r="AV1775" s="535" t="b">
        <f t="shared" ref="AV1775:AV1781" si="444">AND(ISNUMBER(AA1775),AQ1775="")</f>
        <v>0</v>
      </c>
      <c r="AW1775" s="536" t="b">
        <f t="shared" ref="AW1775:AW1781" si="445">AND(ISNUMBER(AA1775),AQ1775&lt;&gt;AR1775)</f>
        <v>0</v>
      </c>
      <c r="AX1775" s="537" t="b">
        <f>OR(AND(AJ1773=EUconst_kNm3,AJ1775=EUconst_tCO2pt),AND(AJ1773=EUconst_t,AJ1775=EUconst_tCO2pkNm3))</f>
        <v>0</v>
      </c>
      <c r="AY1775" s="522" t="b">
        <f t="shared" ref="AY1775:AY1781" si="446">AND(L1775&lt;&gt;"",Y1775=EUconst_NA)</f>
        <v>0</v>
      </c>
      <c r="AZ1775" s="30"/>
      <c r="BA1775" s="30"/>
      <c r="BB1775" s="538" t="s">
        <v>588</v>
      </c>
      <c r="BC1775" s="537" t="str">
        <f>IF(K1763=BC1773,AR1773*IF(AJ1775=EUconst_tCO2pTJ,(AR1776/1000),1)*AR1775*AR1777*AR1781,"")</f>
        <v/>
      </c>
      <c r="BD1775" s="515" t="str">
        <f>IF(K1763=BD1773,AR1773*AR1775*AR1778*AR1781,"")</f>
        <v/>
      </c>
      <c r="BE1775" s="514" t="str">
        <f>IF(K1763=BE1773,3.664*AR1773*AR1779*AR1781,"")</f>
        <v/>
      </c>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522" t="b">
        <f>OR(BZ1773,Y1775=EUconst_NA)</f>
        <v>1</v>
      </c>
    </row>
    <row r="1776" spans="1:78" s="140" customFormat="1" ht="12.75" customHeight="1" thickBot="1" x14ac:dyDescent="0.25">
      <c r="A1776" s="777"/>
      <c r="B1776" s="1248"/>
      <c r="C1776" s="783" t="s">
        <v>196</v>
      </c>
      <c r="D1776" s="503" t="str">
        <f>Translations!$B$636</f>
        <v>GŠV:</v>
      </c>
      <c r="E1776" s="504"/>
      <c r="F1776" s="539"/>
      <c r="G1776" s="1603" t="str">
        <f t="shared" si="441"/>
        <v/>
      </c>
      <c r="H1776" s="1604"/>
      <c r="I1776" s="1112" t="str">
        <f>AJ1776</f>
        <v/>
      </c>
      <c r="J1776" s="540"/>
      <c r="K1776" s="541" t="str">
        <f t="shared" si="442"/>
        <v/>
      </c>
      <c r="L1776" s="542"/>
      <c r="M1776" s="700" t="str">
        <f>IF(AND(E1764&lt;&gt;"",OR(F1776="",COUNT(K1776:L1776)=0),Y1776&lt;&gt;EUconst_NA,T1764&lt;&gt;TRUE),EUconst_ERR_Incomplete,IF(COUNTIF(AX1776:AZ1776,TRUE)&gt;0,EUconst_ERR_Inconsistent,""))</f>
        <v/>
      </c>
      <c r="O1776" s="1305"/>
      <c r="P1776" s="33"/>
      <c r="Q1776" s="33"/>
      <c r="R1776" s="33"/>
      <c r="S1776" s="30"/>
      <c r="T1776" s="543" t="str">
        <f>EUconst_CNTR_NCV&amp;E1764</f>
        <v>NCV_</v>
      </c>
      <c r="U1776" s="488"/>
      <c r="V1776" s="544" t="str">
        <f t="shared" ref="V1776:V1781" si="447">V1775</f>
        <v/>
      </c>
      <c r="W1776" s="30"/>
      <c r="X1776" s="488"/>
      <c r="Y1776" s="545" t="str">
        <f>IF(OR(T1764=TRUE,E1764=""),"",IF(F1776=EUconst_NA,EUconst_NA,INDEX(EUwideConstants!$N:$N,MATCH(T1776,EUwideConstants!$Q:$Q,0))))</f>
        <v/>
      </c>
      <c r="Z1776" s="546" t="str">
        <f>IF(ISBLANK(F1776),"",IF(F1776=EUconst_NA,"",INDEX(EUwideConstants!$H:$M,MATCH(T1776,EUwideConstants!$Q:$Q,0),MATCH(F1776,CNTR_TierList,0))))</f>
        <v/>
      </c>
      <c r="AA1776" s="547" t="str">
        <f>IF(COUNTIF(EUconst_DefaultValues,Z1776)&gt;0,MATCH(Z1776,EUconst_DefaultValues,0),"")</f>
        <v/>
      </c>
      <c r="AB1776" s="30"/>
      <c r="AC1776" s="548" t="b">
        <f>AND(AC1773,Y1776&lt;&gt;EUconst_NA)</f>
        <v>0</v>
      </c>
      <c r="AD1776" s="30"/>
      <c r="AE1776" s="549" t="str">
        <f>EUconst_CNTR_NCV&amp;EUconst_Unit</f>
        <v>NCV_Vienetas</v>
      </c>
      <c r="AF1776" s="550" t="str">
        <f>IF(AC1776=TRUE, IF(COUNTIF(MSPara_SourceStreamCategory,V1776)=0,"",INDEX(MSPara_CalcFactorsMatrix,MATCH(V1776,MSPara_SourceStreamCategory,0),MATCH(AE1776&amp;"_"&amp;2,MSPara_CalcFactors,0))),"")</f>
        <v/>
      </c>
      <c r="AG1776" s="551" t="str">
        <f>IF(AC1776=TRUE, IF(COUNTIF(MSPara_SourceStreamCategory,V1776)=0,"",INDEX(MSPara_CalcFactorsMatrix,MATCH(V1776,MSPara_SourceStreamCategory,0),MATCH(AE1776&amp;"_"&amp;1,MSPara_CalcFactors,0))),"")</f>
        <v/>
      </c>
      <c r="AH1776" s="552" t="str">
        <f>IF(AA1776="","",INDEX(AF1776:AG1776,3-AA1776))</f>
        <v/>
      </c>
      <c r="AI1776" s="553"/>
      <c r="AJ1776" s="548" t="str">
        <f>IF(AC1776=TRUE,IF(AJ1773="","",IF(AJ1773=EUconst_kNm3,EUconst_GJpkNm3,EUconst_GJpt)),"")</f>
        <v/>
      </c>
      <c r="AK1776" s="554"/>
      <c r="AL1776" s="333"/>
      <c r="AM1776" s="549" t="str">
        <f>EUconst_CNTR_NCV&amp;EUconst_Value</f>
        <v>NCV_Vertė</v>
      </c>
      <c r="AN1776" s="555" t="str">
        <f>IF(AC1776=TRUE,IF(COUNTIF(MSPara_SourceStreamCategory,V1776)=0,"",INDEX(MSPara_CalcFactorsMatrix,MATCH(V1776,MSPara_SourceStreamCategory,0),MATCH(AM1776&amp;"_"&amp;2,MSPara_CalcFactors,0))),"")</f>
        <v/>
      </c>
      <c r="AO1776" s="556" t="str">
        <f>IF(AC1776=TRUE,IF(COUNTIF(MSPara_SourceStreamCategory,V1776)=0,"",INDEX(MSPara_CalcFactorsMatrix,MATCH(V1776,MSPara_SourceStreamCategory,0),MATCH(AM1776&amp;"_"&amp;1,MSPara_CalcFactors,0))),"")</f>
        <v/>
      </c>
      <c r="AP1776" s="548" t="b">
        <f>AND(AND(AH1776&lt;&gt;"",AJ1776&lt;&gt;""),AJ1776=AH1776)</f>
        <v>0</v>
      </c>
      <c r="AQ1776" s="557" t="str">
        <f>IF(AND(AA1776&lt;&gt;"",AP1776=TRUE),IF(OR(INDEX(AN1776:AO1776,3-AA1776)=EUconst_NA,INDEX(AN1776:AO1776,3-AA1776)=0),"",INDEX(AN1776:AO1776,3-AA1776)),"")</f>
        <v/>
      </c>
      <c r="AR1776" s="548">
        <f>IF(AC1776=TRUE,IF(COUNT(K1776:L1776)=0,0,IF(L1776="",K1776,L1776)),0)</f>
        <v>0</v>
      </c>
      <c r="AS1776" s="544" t="b">
        <f>AND(AC1776=TRUE,OR(AND(F1776&lt;&gt;"",NOT(ISNUMBER(AA1776))),L1776&lt;&gt;"",F1776="",AQ1776=""))</f>
        <v>0</v>
      </c>
      <c r="AT1776" s="544" t="b">
        <f t="shared" si="443"/>
        <v>0</v>
      </c>
      <c r="AU1776" s="30"/>
      <c r="AV1776" s="558" t="b">
        <f t="shared" si="444"/>
        <v>0</v>
      </c>
      <c r="AW1776" s="559" t="b">
        <f t="shared" si="445"/>
        <v>0</v>
      </c>
      <c r="AX1776" s="30"/>
      <c r="AY1776" s="544" t="b">
        <f t="shared" si="446"/>
        <v>0</v>
      </c>
      <c r="AZ1776" s="30"/>
      <c r="BA1776" s="30"/>
      <c r="BB1776" s="538" t="s">
        <v>589</v>
      </c>
      <c r="BC1776" s="537" t="str">
        <f>IF(K1763=BC1773,AR1773*IF(AJ1775=EUconst_tCO2pTJ,(AR1776/1000),1)*AR1775*AR1777*AR1780,"")</f>
        <v/>
      </c>
      <c r="BD1776" s="515" t="str">
        <f>IF(K1763=BD1773,AR1773*AR1775*AR1778*AR1780,"")</f>
        <v/>
      </c>
      <c r="BE1776" s="514" t="str">
        <f>IF(K1763=BE1773,3.664*AR1773*AR1779*AR1780,"")</f>
        <v/>
      </c>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544" t="b">
        <f>OR(BZ1773,Y1776=EUconst_NA)</f>
        <v>1</v>
      </c>
    </row>
    <row r="1777" spans="1:78" s="140" customFormat="1" ht="12.75" customHeight="1" thickBot="1" x14ac:dyDescent="0.25">
      <c r="A1777" s="777"/>
      <c r="B1777" s="1248"/>
      <c r="C1777" s="783" t="s">
        <v>197</v>
      </c>
      <c r="D1777" s="503" t="str">
        <f>Translations!$B$638</f>
        <v>Oksidacijos koef.:</v>
      </c>
      <c r="E1777" s="504"/>
      <c r="F1777" s="539"/>
      <c r="G1777" s="1603" t="str">
        <f t="shared" si="441"/>
        <v/>
      </c>
      <c r="H1777" s="1604"/>
      <c r="I1777" s="1113" t="str">
        <f>IF(OR(AC1777=FALSE,Y1777=EUconst_NA),"","-")</f>
        <v/>
      </c>
      <c r="J1777" s="560"/>
      <c r="K1777" s="561" t="str">
        <f t="shared" si="442"/>
        <v/>
      </c>
      <c r="L1777" s="694"/>
      <c r="M1777" s="700" t="str">
        <f>IF(AND(E1764&lt;&gt;"",OR(F1777="",COUNT(K1777:L1777)=0),Y1777&lt;&gt;EUconst_NA,T1764&lt;&gt;TRUE),EUconst_ERR_Incomplete,IF(COUNTIF(AX1777:AZ1777,TRUE)&gt;0,EUconst_ERR_Inconsistent,""))</f>
        <v/>
      </c>
      <c r="O1777" s="1305"/>
      <c r="P1777" s="33"/>
      <c r="Q1777" s="33"/>
      <c r="R1777" s="33"/>
      <c r="S1777" s="30"/>
      <c r="T1777" s="543" t="str">
        <f>EUconst_CNTR_OxidationFactor&amp;E1764</f>
        <v>OxF_</v>
      </c>
      <c r="U1777" s="488"/>
      <c r="V1777" s="544" t="str">
        <f t="shared" si="447"/>
        <v/>
      </c>
      <c r="W1777" s="30"/>
      <c r="X1777" s="488"/>
      <c r="Y1777" s="545" t="str">
        <f>IF(OR(T1764=TRUE,E1764=""),"",INDEX(EUwideConstants!$N:$N,MATCH(T1777,EUwideConstants!$Q:$Q,0)))</f>
        <v/>
      </c>
      <c r="Z1777" s="546" t="str">
        <f>IF(ISBLANK(F1777),"",IF(F1777=EUconst_NA,"",INDEX(EUwideConstants!$H:$M,MATCH(T1777,EUwideConstants!$Q:$Q,0),MATCH(F1777,CNTR_TierList,0))))</f>
        <v/>
      </c>
      <c r="AA1777" s="525" t="str">
        <f>IF(F1777=1,1,"")</f>
        <v/>
      </c>
      <c r="AB1777" s="30"/>
      <c r="AC1777" s="548" t="b">
        <f>AND(AC1773,Y1777&lt;&gt;EUconst_NA)</f>
        <v>0</v>
      </c>
      <c r="AD1777" s="30"/>
      <c r="AE1777" s="563"/>
      <c r="AG1777" s="564"/>
      <c r="AH1777" s="553"/>
      <c r="AI1777" s="565"/>
      <c r="AJ1777" s="553"/>
      <c r="AK1777" s="566"/>
      <c r="AL1777" s="333"/>
      <c r="AM1777" s="549" t="str">
        <f>EUconst_CNTR_OxidationFactor&amp;EUconst_Value</f>
        <v>OxF_Vertė</v>
      </c>
      <c r="AN1777" s="567"/>
      <c r="AO1777" s="525">
        <v>1</v>
      </c>
      <c r="AP1777" s="553"/>
      <c r="AQ1777" s="568" t="str">
        <f>IF(AA1777="","",AO1777)</f>
        <v/>
      </c>
      <c r="AR1777" s="548">
        <f>IF(AC1777=TRUE,IF(COUNT(K1777:L1777)=0,0,IF(L1777="",K1777,L1777)),1)</f>
        <v>1</v>
      </c>
      <c r="AS1777" s="544" t="b">
        <f>AND(AC1777=TRUE,OR(ISNUMBER(L1777),NOT(ISNUMBER(AA1777))))</f>
        <v>0</v>
      </c>
      <c r="AT1777" s="544" t="b">
        <f t="shared" si="443"/>
        <v>0</v>
      </c>
      <c r="AU1777" s="30"/>
      <c r="AV1777" s="558" t="b">
        <f t="shared" si="444"/>
        <v>0</v>
      </c>
      <c r="AW1777" s="559" t="b">
        <f t="shared" si="445"/>
        <v>0</v>
      </c>
      <c r="AX1777" s="30"/>
      <c r="AY1777" s="585" t="b">
        <f t="shared" si="446"/>
        <v>0</v>
      </c>
      <c r="AZ1777" s="522" t="b">
        <f>AR1777&gt;100%</f>
        <v>0</v>
      </c>
      <c r="BA1777" s="30"/>
      <c r="BB1777" s="538" t="s">
        <v>287</v>
      </c>
      <c r="BC1777" s="537" t="str">
        <f>IF(K1763=BC1773,AR1773*IF(AJ1775=EUconst_tCO2pTJ,(AR1776/1000),1)*AR1775*AR1777*(1-AR1780),"")</f>
        <v/>
      </c>
      <c r="BD1777" s="515" t="str">
        <f>IF(K1763=BD1773,AR1773*AR1775*AR1778*(1-AR1780),"")</f>
        <v/>
      </c>
      <c r="BE1777" s="514" t="str">
        <f>IF(K1763=BE1773,3.664*AR1773*AR1779*(1-AR1780),"")</f>
        <v/>
      </c>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544" t="b">
        <f>OR(BZ1773,Y1777=EUconst_NA)</f>
        <v>1</v>
      </c>
    </row>
    <row r="1778" spans="1:78" s="140" customFormat="1" ht="12.75" customHeight="1" thickBot="1" x14ac:dyDescent="0.25">
      <c r="A1778" s="777"/>
      <c r="B1778" s="1248"/>
      <c r="C1778" s="783" t="s">
        <v>198</v>
      </c>
      <c r="D1778" s="503" t="str">
        <f>Translations!$B$639</f>
        <v>Konversijos koef.:</v>
      </c>
      <c r="E1778" s="504"/>
      <c r="F1778" s="539"/>
      <c r="G1778" s="1603" t="str">
        <f t="shared" si="441"/>
        <v/>
      </c>
      <c r="H1778" s="1604"/>
      <c r="I1778" s="1113" t="str">
        <f>IF(OR(AC1778=FALSE,Y1778=EUconst_NA),"","-")</f>
        <v/>
      </c>
      <c r="J1778" s="560"/>
      <c r="K1778" s="561" t="str">
        <f t="shared" si="442"/>
        <v/>
      </c>
      <c r="L1778" s="694"/>
      <c r="M1778" s="700" t="str">
        <f>IF(AND(E1764&lt;&gt;"",OR(F1778="",COUNT(K1778:L1778)=0),Y1778&lt;&gt;EUconst_NA,T1764&lt;&gt;TRUE),EUconst_ERR_Incomplete,IF(COUNTIF(AX1778:AZ1778,TRUE)&gt;0,EUconst_ERR_Inconsistent,""))</f>
        <v/>
      </c>
      <c r="O1778" s="1305"/>
      <c r="P1778" s="33"/>
      <c r="Q1778" s="33"/>
      <c r="R1778" s="33"/>
      <c r="S1778" s="30"/>
      <c r="T1778" s="543" t="str">
        <f>EUconst_CNTR_ConversionFactor&amp;E1764</f>
        <v>ConvF_</v>
      </c>
      <c r="U1778" s="488"/>
      <c r="V1778" s="544" t="str">
        <f t="shared" si="447"/>
        <v/>
      </c>
      <c r="W1778" s="30"/>
      <c r="X1778" s="488"/>
      <c r="Y1778" s="545" t="str">
        <f>IF(OR(T1764=TRUE,E1764=""),"",INDEX(EUwideConstants!$N:$N,MATCH(T1778,EUwideConstants!$Q:$Q,0)))</f>
        <v/>
      </c>
      <c r="Z1778" s="546" t="str">
        <f>IF(ISBLANK(F1778),"",IF(F1778=EUconst_NA,"",INDEX(EUwideConstants!$H:$M,MATCH(T1778,EUwideConstants!$Q:$Q,0),MATCH(F1778,CNTR_TierList,0))))</f>
        <v/>
      </c>
      <c r="AA1778" s="573" t="str">
        <f>IF(F1778=1,1,"")</f>
        <v/>
      </c>
      <c r="AB1778" s="30"/>
      <c r="AC1778" s="548" t="b">
        <f>AND(AC1773,Y1778&lt;&gt;EUconst_NA)</f>
        <v>0</v>
      </c>
      <c r="AD1778" s="30"/>
      <c r="AE1778" s="563"/>
      <c r="AG1778" s="564"/>
      <c r="AH1778" s="574"/>
      <c r="AI1778" s="565"/>
      <c r="AJ1778" s="574"/>
      <c r="AK1778" s="566"/>
      <c r="AL1778" s="333"/>
      <c r="AM1778" s="549" t="str">
        <f>EUconst_CNTR_ConversionFactor&amp;EUconst_Value</f>
        <v>ConvF_Vertė</v>
      </c>
      <c r="AN1778" s="575"/>
      <c r="AO1778" s="573">
        <v>1</v>
      </c>
      <c r="AP1778" s="574"/>
      <c r="AQ1778" s="576" t="str">
        <f>IF(AA1778="","",AO1778)</f>
        <v/>
      </c>
      <c r="AR1778" s="548">
        <f>IF(AC1778=TRUE,IF(COUNT(K1778:L1778)=0,0,IF(L1778="",K1778,L1778)),1)</f>
        <v>1</v>
      </c>
      <c r="AS1778" s="544" t="b">
        <f>AND(AC1778=TRUE,OR(ISNUMBER(L1778),NOT(ISNUMBER(AA1778))))</f>
        <v>0</v>
      </c>
      <c r="AT1778" s="544" t="b">
        <f t="shared" si="443"/>
        <v>0</v>
      </c>
      <c r="AU1778" s="30"/>
      <c r="AV1778" s="558" t="b">
        <f t="shared" si="444"/>
        <v>0</v>
      </c>
      <c r="AW1778" s="559" t="b">
        <f t="shared" si="445"/>
        <v>0</v>
      </c>
      <c r="AX1778" s="30"/>
      <c r="AY1778" s="585" t="b">
        <f t="shared" si="446"/>
        <v>0</v>
      </c>
      <c r="AZ1778" s="571" t="b">
        <f>AR1778&gt;100%</f>
        <v>0</v>
      </c>
      <c r="BA1778" s="30"/>
      <c r="BB1778" s="569" t="s">
        <v>481</v>
      </c>
      <c r="BC1778" s="570">
        <f>AR1773*AR1776/1000*(1-AR1780)</f>
        <v>0</v>
      </c>
      <c r="BD1778" s="571">
        <f>BC1778</f>
        <v>0</v>
      </c>
      <c r="BE1778" s="572">
        <f>BC1778</f>
        <v>0</v>
      </c>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544" t="b">
        <f>OR(BZ1773,Y1778=EUconst_NA)</f>
        <v>1</v>
      </c>
    </row>
    <row r="1779" spans="1:78" s="140" customFormat="1" ht="12.75" customHeight="1" thickBot="1" x14ac:dyDescent="0.25">
      <c r="A1779" s="777"/>
      <c r="B1779" s="1248"/>
      <c r="C1779" s="783" t="s">
        <v>324</v>
      </c>
      <c r="D1779" s="503" t="str">
        <f>Translations!$B$640</f>
        <v>Anglies kiekis (C):</v>
      </c>
      <c r="E1779" s="504"/>
      <c r="F1779" s="539"/>
      <c r="G1779" s="1603" t="str">
        <f t="shared" si="441"/>
        <v/>
      </c>
      <c r="H1779" s="1604"/>
      <c r="I1779" s="1113" t="str">
        <f>AJ1779</f>
        <v/>
      </c>
      <c r="J1779" s="577"/>
      <c r="K1779" s="578" t="str">
        <f t="shared" si="442"/>
        <v/>
      </c>
      <c r="L1779" s="579"/>
      <c r="M1779" s="700" t="str">
        <f>IF(AND(E1764&lt;&gt;"",OR(F1779="",COUNT(K1779:L1779)=0),Y1779&lt;&gt;EUconst_NA,T1764&lt;&gt;TRUE),EUconst_ERR_Incomplete,IF(COUNTIF(AX1779:AZ1779,TRUE)&gt;0,EUconst_ERR_Inconsistent,""))</f>
        <v/>
      </c>
      <c r="O1779" s="1305"/>
      <c r="P1779" s="33"/>
      <c r="Q1779" s="33"/>
      <c r="R1779" s="33"/>
      <c r="S1779" s="30"/>
      <c r="T1779" s="543" t="str">
        <f>EUconst_CNTR_CarbonContent&amp;E1764</f>
        <v>CarbC_</v>
      </c>
      <c r="U1779" s="488"/>
      <c r="V1779" s="544" t="str">
        <f t="shared" si="447"/>
        <v/>
      </c>
      <c r="W1779" s="30"/>
      <c r="X1779" s="488"/>
      <c r="Y1779" s="545" t="str">
        <f>IF(OR(T1764=TRUE,E1764=""),"",INDEX(EUwideConstants!$N:$N,MATCH(T1779,EUwideConstants!$Q:$Q,0)))</f>
        <v/>
      </c>
      <c r="Z1779" s="546" t="str">
        <f>IF(ISBLANK(F1779),"",IF(F1779=EUconst_NA,"",INDEX(EUwideConstants!$H:$M,MATCH(T1779,EUwideConstants!$Q:$Q,0),MATCH(F1779,CNTR_TierList,0))))</f>
        <v/>
      </c>
      <c r="AA1779" s="580" t="str">
        <f>IF(COUNTIF(EUconst_DefaultValues,Z1779)&gt;0,MATCH(Z1779,EUconst_DefaultValues,0),"")</f>
        <v/>
      </c>
      <c r="AB1779" s="30"/>
      <c r="AC1779" s="548" t="b">
        <f>AND(AC1773,Y1779&lt;&gt;EUconst_NA)</f>
        <v>0</v>
      </c>
      <c r="AD1779" s="30"/>
      <c r="AE1779" s="549" t="str">
        <f>EUconst_CNTR_CarbonContent&amp;EUconst_Unit</f>
        <v>CarbC_Vienetas</v>
      </c>
      <c r="AF1779" s="550" t="str">
        <f>IF(AC1779=TRUE, IF(COUNTIF(MSPara_SourceStreamCategory,V1779)=0,"",INDEX(MSPara_CalcFactorsMatrix,MATCH(V1779,MSPara_SourceStreamCategory,0),MATCH(AE1779&amp;"_"&amp;2,MSPara_CalcFactors,0))),"")</f>
        <v/>
      </c>
      <c r="AG1779" s="551" t="str">
        <f>IF(AC1779=TRUE, IF(COUNTIF(MSPara_SourceStreamCategory,V1779)=0,"",INDEX(MSPara_CalcFactorsMatrix,MATCH(V1779,MSPara_SourceStreamCategory,0),MATCH(AE1779&amp;"_"&amp;1,MSPara_CalcFactors,0))),"")</f>
        <v/>
      </c>
      <c r="AH1779" s="581" t="str">
        <f>IF(AA1779="","",INDEX(AF1779:AG1779,3-AA1779))</f>
        <v/>
      </c>
      <c r="AI1779" s="565"/>
      <c r="AJ1779" s="582" t="str">
        <f>IF(AC1779=TRUE,IF(AJ1773="","",IF(AJ1773=EUconst_kNm3,EUconst_tCpkNm3,EUconst_tCpt)),"")</f>
        <v/>
      </c>
      <c r="AK1779" s="566"/>
      <c r="AL1779" s="333"/>
      <c r="AM1779" s="549" t="str">
        <f>EUconst_CNTR_CarbonContent&amp;EUconst_Value</f>
        <v>CarbC_Vertė</v>
      </c>
      <c r="AN1779" s="555" t="str">
        <f>IF(AC1779=TRUE,IF(COUNTIF(MSPara_SourceStreamCategory,V1779)=0,"",INDEX(MSPara_CalcFactorsMatrix,MATCH(V1779,MSPara_SourceStreamCategory,0),MATCH(AM1779&amp;"_"&amp;2,MSPara_CalcFactors,0))),"")</f>
        <v/>
      </c>
      <c r="AO1779" s="583" t="str">
        <f>IF(AC1779=TRUE,IF(COUNTIF(MSPara_SourceStreamCategory,V1779)=0,"",INDEX(MSPara_CalcFactorsMatrix,MATCH(V1779,MSPara_SourceStreamCategory,0),MATCH(AM1779&amp;"_"&amp;1,MSPara_CalcFactors,0))),"")</f>
        <v/>
      </c>
      <c r="AP1779" s="548" t="b">
        <f>AND(AND(AH1779&lt;&gt;"",AJ1779&lt;&gt;""),AJ1779=AH1779)</f>
        <v>0</v>
      </c>
      <c r="AQ1779" s="584" t="str">
        <f>IF(AND(AA1779&lt;&gt;"",AP1779=TRUE),IF(OR(INDEX(AN1779:AO1779,3-AA1779)=EUconst_NA,INDEX(AN1779:AO1779,3-AA1779)=0),"",INDEX(AN1779:AO1779,3-AA1779)),"")</f>
        <v/>
      </c>
      <c r="AR1779" s="548">
        <f>IF(AC1779=TRUE,IF(COUNT(K1779:L1779)=0,0,IF(L1779="",K1779,L1779)),0)</f>
        <v>0</v>
      </c>
      <c r="AS1779" s="544" t="b">
        <f>AND(AC1779=TRUE,OR(AND(F1779&lt;&gt;"",NOT(ISNUMBER(AA1779))),L1779&lt;&gt;"",F1779="",AQ1779=""))</f>
        <v>0</v>
      </c>
      <c r="AT1779" s="544" t="b">
        <f t="shared" si="443"/>
        <v>0</v>
      </c>
      <c r="AU1779" s="30"/>
      <c r="AV1779" s="558" t="b">
        <f t="shared" si="444"/>
        <v>0</v>
      </c>
      <c r="AW1779" s="559" t="b">
        <f t="shared" si="445"/>
        <v>0</v>
      </c>
      <c r="AX1779" s="537" t="b">
        <f>OR(AND(AJ1773=EUconst_kNm3,AJ1779=EUconst_tCpt),AND(AJ1773=EUconst_t,AJ1779=EUconst_tCpkNm3))</f>
        <v>0</v>
      </c>
      <c r="AY1779" s="544" t="b">
        <f t="shared" si="446"/>
        <v>0</v>
      </c>
      <c r="AZ1779" s="30"/>
      <c r="BA1779" s="30"/>
      <c r="BB1779" s="569" t="s">
        <v>482</v>
      </c>
      <c r="BC1779" s="570">
        <f>AR1773*AR1776/1000*AR1780</f>
        <v>0</v>
      </c>
      <c r="BD1779" s="571">
        <f>BC1779</f>
        <v>0</v>
      </c>
      <c r="BE1779" s="572">
        <f>BC1779</f>
        <v>0</v>
      </c>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544" t="b">
        <f>OR(BZ1773,Y1779=EUconst_NA)</f>
        <v>1</v>
      </c>
    </row>
    <row r="1780" spans="1:78" s="140" customFormat="1" ht="12.75" customHeight="1" x14ac:dyDescent="0.2">
      <c r="A1780" s="777"/>
      <c r="B1780" s="1248"/>
      <c r="C1780" s="753" t="s">
        <v>325</v>
      </c>
      <c r="D1780" s="503" t="str">
        <f>Translations!$B$641</f>
        <v>Biomasės dalis (BioC):</v>
      </c>
      <c r="E1780" s="504"/>
      <c r="F1780" s="539"/>
      <c r="G1780" s="1603" t="str">
        <f t="shared" si="441"/>
        <v/>
      </c>
      <c r="H1780" s="1604"/>
      <c r="I1780" s="1113" t="str">
        <f>IF(OR(AC1780=FALSE,Y1780=EUconst_NA),"","-")</f>
        <v/>
      </c>
      <c r="J1780" s="560"/>
      <c r="K1780" s="561" t="str">
        <f t="shared" si="442"/>
        <v/>
      </c>
      <c r="L1780" s="694"/>
      <c r="M1780" s="700" t="str">
        <f>IF(AND(E1764&lt;&gt;"",OR(F1780="",COUNT(K1780:L1780)=0),Y1780&lt;&gt;EUconst_NA,T1764&lt;&gt;TRUE),EUconst_ERR_Incomplete,IF(COUNTIF(AX1780:AZ1780,TRUE)&gt;0,EUconst_ERR_Inconsistent,""))</f>
        <v/>
      </c>
      <c r="O1780" s="1305"/>
      <c r="P1780" s="635"/>
      <c r="Q1780" s="635"/>
      <c r="R1780" s="635"/>
      <c r="S1780" s="30"/>
      <c r="T1780" s="543" t="str">
        <f>EUconst_CNTR_BiomassContent&amp;E1764</f>
        <v>BioC_</v>
      </c>
      <c r="U1780" s="488"/>
      <c r="V1780" s="585" t="str">
        <f t="shared" si="447"/>
        <v/>
      </c>
      <c r="W1780" s="522" t="str">
        <f>IF(COUNTIF(MSPara_SourceStreamCategory,V1780)=0,"",INDEX(MSPara_IsFossil,MATCH(V1780,MSPara_SourceStreamCategory,0)))</f>
        <v/>
      </c>
      <c r="X1780" s="488"/>
      <c r="Y1780" s="545" t="str">
        <f>IF(OR(T1764=TRUE,E1764=""),"",IF(OR(W1780=TRUE,F1780=EUconst_NA),EUconst_NA,INDEX(EUwideConstants!$N:$N,MATCH(T1780,EUwideConstants!$Q:$Q,0))))</f>
        <v/>
      </c>
      <c r="Z1780" s="546" t="str">
        <f>IF(ISBLANK(F1780),"",IF(F1780=EUconst_NA,"",INDEX(EUwideConstants!$H:$M,MATCH(T1780,EUwideConstants!$Q:$Q,0),MATCH(F1780,CNTR_TierList,0))))</f>
        <v/>
      </c>
      <c r="AA1780" s="586" t="str">
        <f>IF(F1780=1,1,"")</f>
        <v/>
      </c>
      <c r="AB1780" s="30"/>
      <c r="AC1780" s="548" t="b">
        <f>AND(AC1773,Y1780&lt;&gt;EUconst_NA)</f>
        <v>0</v>
      </c>
      <c r="AD1780" s="30"/>
      <c r="AE1780" s="563"/>
      <c r="AG1780" s="564"/>
      <c r="AH1780" s="553"/>
      <c r="AI1780" s="565"/>
      <c r="AJ1780" s="553"/>
      <c r="AK1780" s="566"/>
      <c r="AL1780" s="333"/>
      <c r="AM1780" s="549" t="str">
        <f>EUconst_CNTR_BiomassContent&amp;EUconst_Value</f>
        <v>BioC_Vertė</v>
      </c>
      <c r="AO1780" s="587" t="str">
        <f>IF(AC1780=TRUE,IF(COUNTIF(MSPara_SourceStreamCategory,V1780)=0,"",INDEX(MSPara_CalcFactorsMatrix,MATCH(V1780,MSPara_SourceStreamCategory,0),MATCH(AM1780&amp;"_"&amp;2,MSPara_CalcFactors,0))),"")</f>
        <v/>
      </c>
      <c r="AP1780" s="553"/>
      <c r="AQ1780" s="568" t="str">
        <f>IF(OR(AA1780="",AO1780=EUconst_NA),"",AO1780)</f>
        <v/>
      </c>
      <c r="AR1780" s="548">
        <f>IF(AC1780=TRUE,IF(COUNT(K1780:L1780)=0,0,IF(L1780="",K1780,L1780)),0)</f>
        <v>0</v>
      </c>
      <c r="AS1780" s="544" t="b">
        <f>AND(AC1780=TRUE,OR(AND(F1780&lt;&gt;"",NOT(ISNUMBER(AA1780))),L1780&lt;&gt;"",F1780="",AQ1780=""))</f>
        <v>0</v>
      </c>
      <c r="AT1780" s="544" t="b">
        <f t="shared" si="443"/>
        <v>0</v>
      </c>
      <c r="AU1780" s="30"/>
      <c r="AV1780" s="558" t="b">
        <f t="shared" si="444"/>
        <v>0</v>
      </c>
      <c r="AW1780" s="559" t="b">
        <f t="shared" si="445"/>
        <v>0</v>
      </c>
      <c r="AX1780" s="30"/>
      <c r="AY1780" s="585" t="b">
        <f t="shared" si="446"/>
        <v>0</v>
      </c>
      <c r="AZ1780" s="522" t="b">
        <f>OR(AR1780&gt;100%,(AR1780+AR1781)&gt;100%)</f>
        <v>0</v>
      </c>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544" t="b">
        <f>OR(BZ1773,Y1780=EUconst_NA)</f>
        <v>1</v>
      </c>
    </row>
    <row r="1781" spans="1:78" s="140" customFormat="1" ht="12.75" customHeight="1" thickBot="1" x14ac:dyDescent="0.25">
      <c r="A1781" s="777"/>
      <c r="B1781" s="1248"/>
      <c r="C1781" s="753" t="s">
        <v>448</v>
      </c>
      <c r="D1781" s="503" t="str">
        <f>Translations!$B$647</f>
        <v>Netvarios BioC dalis:</v>
      </c>
      <c r="E1781" s="504"/>
      <c r="F1781" s="588"/>
      <c r="G1781" s="1603" t="str">
        <f t="shared" si="441"/>
        <v/>
      </c>
      <c r="H1781" s="1604"/>
      <c r="I1781" s="1114" t="str">
        <f>IF(OR(AC1781=FALSE,Y1781=EUconst_NA),"","-")</f>
        <v/>
      </c>
      <c r="J1781" s="560"/>
      <c r="K1781" s="589" t="str">
        <f t="shared" si="442"/>
        <v/>
      </c>
      <c r="L1781" s="1100"/>
      <c r="M1781" s="700" t="str">
        <f>IF(AND(E1764&lt;&gt;"",OR(F1781="",COUNT(K1781:L1781)=0),Y1781&lt;&gt;EUconst_NA,T1764&lt;&gt;TRUE),EUconst_ERR_Incomplete,IF(COUNTIF(AX1781:AZ1781,TRUE)&gt;0,EUconst_ERR_Inconsistent,""))</f>
        <v/>
      </c>
      <c r="O1781" s="1305"/>
      <c r="P1781" s="635"/>
      <c r="Q1781" s="635"/>
      <c r="R1781" s="635"/>
      <c r="S1781" s="30"/>
      <c r="T1781" s="590" t="str">
        <f>EUconst_CNTR_BiomassContent&amp;E1764</f>
        <v>BioC_</v>
      </c>
      <c r="U1781" s="488"/>
      <c r="V1781" s="570" t="str">
        <f t="shared" si="447"/>
        <v/>
      </c>
      <c r="W1781" s="571" t="str">
        <f>IF(COUNTIF(MSPara_SourceStreamCategory,V1781)=0,"",INDEX(MSPara_IsFossil,MATCH(V1781,MSPara_SourceStreamCategory,0)))</f>
        <v/>
      </c>
      <c r="X1781" s="488"/>
      <c r="Y1781" s="591" t="str">
        <f>IF(OR(T1764=TRUE,E1764=""),"",IF(OR(W1781=TRUE,F1781=EUconst_NA),EUconst_NA,INDEX(EUwideConstants!$N:$N,MATCH(T1781,EUwideConstants!$Q:$Q,0))))</f>
        <v/>
      </c>
      <c r="Z1781" s="592" t="str">
        <f>IF(ISBLANK(F1781),"",IF(F1781=EUconst_NA,"",INDEX(EUwideConstants!$H:$M,MATCH(T1781,EUwideConstants!$Q:$Q,0),MATCH(F1781,CNTR_TierList,0))))</f>
        <v/>
      </c>
      <c r="AA1781" s="593" t="str">
        <f>IF(F1781=1,1,"")</f>
        <v/>
      </c>
      <c r="AB1781" s="30"/>
      <c r="AC1781" s="594" t="b">
        <f>AND(AC1773,Y1781&lt;&gt;EUconst_NA)</f>
        <v>0</v>
      </c>
      <c r="AD1781" s="30"/>
      <c r="AE1781" s="595"/>
      <c r="AF1781" s="596"/>
      <c r="AG1781" s="597"/>
      <c r="AH1781" s="598"/>
      <c r="AI1781" s="598"/>
      <c r="AJ1781" s="598"/>
      <c r="AK1781" s="599"/>
      <c r="AL1781" s="333"/>
      <c r="AM1781" s="600" t="str">
        <f>EUconst_CNTR_BiomassContent&amp;EUconst_Value</f>
        <v>BioC_Vertė</v>
      </c>
      <c r="AN1781" s="596"/>
      <c r="AO1781" s="601" t="str">
        <f>IF(AC1781=TRUE,IF(COUNTIF(MSPara_SourceStreamCategory,V1781)=0,"",INDEX(MSPara_CalcFactorsMatrix,MATCH(V1781,MSPara_SourceStreamCategory,0),MATCH(AM1781&amp;"_"&amp;2,MSPara_CalcFactors,0))),"")</f>
        <v/>
      </c>
      <c r="AP1781" s="598"/>
      <c r="AQ1781" s="602" t="str">
        <f>IF(OR(AA1781="",AO1781=EUconst_NA),"",AO1781)</f>
        <v/>
      </c>
      <c r="AR1781" s="594">
        <f>IF(AC1781=TRUE,IF(COUNT(K1781:L1781)=0,0,IF(L1781="",K1781,L1781)),0)</f>
        <v>0</v>
      </c>
      <c r="AS1781" s="603" t="b">
        <f>AND(AC1781=TRUE,OR(AND(F1781&lt;&gt;"",NOT(ISNUMBER(AA1781))),L1781&lt;&gt;"",F1781="",AQ1781=""))</f>
        <v>0</v>
      </c>
      <c r="AT1781" s="603" t="b">
        <f t="shared" si="443"/>
        <v>0</v>
      </c>
      <c r="AU1781" s="30"/>
      <c r="AV1781" s="604" t="b">
        <f t="shared" si="444"/>
        <v>0</v>
      </c>
      <c r="AW1781" s="605" t="b">
        <f t="shared" si="445"/>
        <v>0</v>
      </c>
      <c r="AX1781" s="30"/>
      <c r="AY1781" s="570" t="b">
        <f t="shared" si="446"/>
        <v>0</v>
      </c>
      <c r="AZ1781" s="571" t="b">
        <f>OR(AR1780&gt;100%,(AR1780+AR1781)&gt;100%)</f>
        <v>0</v>
      </c>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571" t="b">
        <f>OR(BZ1773,Y1781=EUconst_NA)</f>
        <v>1</v>
      </c>
    </row>
    <row r="1782" spans="1:78" s="140" customFormat="1" ht="5.0999999999999996" customHeight="1" x14ac:dyDescent="0.2">
      <c r="A1782" s="777"/>
      <c r="B1782" s="1248"/>
      <c r="C1782" s="164"/>
      <c r="D1782" s="178"/>
      <c r="O1782" s="1305"/>
      <c r="P1782" s="33"/>
      <c r="Q1782" s="33"/>
      <c r="R1782" s="33"/>
      <c r="S1782" s="172"/>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row>
    <row r="1783" spans="1:78" s="140" customFormat="1" ht="12.75" customHeight="1" x14ac:dyDescent="0.2">
      <c r="A1783" s="777"/>
      <c r="B1783" s="1248"/>
      <c r="C1783" s="164"/>
      <c r="D1783" s="1629" t="str">
        <f>Translations!$B$674</f>
        <v>Pakopos galioja nuo:</v>
      </c>
      <c r="E1783" s="1629"/>
      <c r="F1783" s="1630"/>
      <c r="G1783" s="1014"/>
      <c r="H1783" s="606" t="str">
        <f>Translations!$B$675</f>
        <v>iki:</v>
      </c>
      <c r="I1783" s="1014"/>
      <c r="J1783" s="1620" t="str">
        <f>Translations!$B$676</f>
        <v>Atliekų katalogo numeris (jeigu taikytina):</v>
      </c>
      <c r="K1783" s="1621"/>
      <c r="L1783" s="1621"/>
      <c r="M1783" s="1622"/>
      <c r="N1783" s="1232"/>
      <c r="O1783" s="1305"/>
      <c r="P1783" s="33"/>
      <c r="Q1783" s="33"/>
      <c r="R1783" s="33"/>
      <c r="S1783" s="1233"/>
      <c r="T1783" s="483"/>
      <c r="U1783" s="483"/>
      <c r="V1783" s="48" t="b">
        <f>IF(V1773="",FALSE,INDEX(CNTR_IsWaste,MATCH(V1773,MSParameters!$A$218:$A$376,0)))</f>
        <v>0</v>
      </c>
      <c r="W1783" s="1233" t="s">
        <v>1689</v>
      </c>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2" t="b">
        <f>BZ1773</f>
        <v>1</v>
      </c>
    </row>
    <row r="1784" spans="1:78" s="140" customFormat="1" ht="5.0999999999999996" customHeight="1" x14ac:dyDescent="0.2">
      <c r="A1784" s="777"/>
      <c r="B1784" s="1248"/>
      <c r="C1784" s="164"/>
      <c r="D1784" s="606"/>
      <c r="E1784" s="486"/>
      <c r="F1784" s="486"/>
      <c r="G1784" s="486"/>
      <c r="H1784" s="486"/>
      <c r="I1784" s="486"/>
      <c r="J1784" s="486"/>
      <c r="K1784" s="486"/>
      <c r="L1784" s="486"/>
      <c r="M1784" s="486"/>
      <c r="N1784" s="486"/>
      <c r="O1784" s="1305"/>
      <c r="P1784" s="33"/>
      <c r="Q1784" s="33"/>
      <c r="R1784" s="33"/>
      <c r="S1784" s="172"/>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row>
    <row r="1785" spans="1:78" s="140" customFormat="1" ht="12.75" customHeight="1" x14ac:dyDescent="0.2">
      <c r="A1785" s="777"/>
      <c r="B1785" s="1248"/>
      <c r="C1785" s="164"/>
      <c r="D1785" s="486"/>
      <c r="E1785" s="486"/>
      <c r="F1785" s="486"/>
      <c r="G1785" s="486"/>
      <c r="H1785" s="486"/>
      <c r="I1785" s="486"/>
      <c r="J1785" s="486"/>
      <c r="K1785" s="486"/>
      <c r="L1785" s="486"/>
      <c r="M1785" s="606" t="str">
        <f>Translations!$B$677</f>
        <v>Stebėsenos plane šiam sukėlikliui suteiktas identifikatorius:</v>
      </c>
      <c r="N1785" s="705"/>
      <c r="O1785" s="1305"/>
      <c r="P1785" s="33"/>
      <c r="Q1785" s="33"/>
      <c r="R1785" s="33"/>
      <c r="S1785" s="172"/>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2" t="b">
        <f>BZ1783</f>
        <v>1</v>
      </c>
    </row>
    <row r="1786" spans="1:78" s="140" customFormat="1" ht="5.0999999999999996" customHeight="1" x14ac:dyDescent="0.2">
      <c r="A1786" s="784"/>
      <c r="B1786" s="1316"/>
      <c r="D1786" s="178"/>
      <c r="O1786" s="1317"/>
      <c r="P1786" s="488"/>
      <c r="Q1786" s="488"/>
      <c r="R1786" s="488"/>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row>
    <row r="1787" spans="1:78" s="140" customFormat="1" x14ac:dyDescent="0.2">
      <c r="A1787" s="784"/>
      <c r="B1787" s="1316"/>
      <c r="D1787" s="1618" t="str">
        <f>Translations!$B$160</f>
        <v>Pastabos:</v>
      </c>
      <c r="E1787" s="1619"/>
      <c r="F1787" s="1605"/>
      <c r="G1787" s="1606"/>
      <c r="H1787" s="1606"/>
      <c r="I1787" s="1606"/>
      <c r="J1787" s="1606"/>
      <c r="K1787" s="1606"/>
      <c r="L1787" s="1606"/>
      <c r="M1787" s="1606"/>
      <c r="N1787" s="1607"/>
      <c r="O1787" s="1317"/>
      <c r="P1787" s="488"/>
      <c r="Q1787" s="488"/>
      <c r="R1787" s="488"/>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2" t="b">
        <f>BZ1783</f>
        <v>1</v>
      </c>
    </row>
    <row r="1788" spans="1:78" s="28" customFormat="1" ht="12.75" customHeight="1" thickBot="1" x14ac:dyDescent="0.25">
      <c r="A1788" s="777"/>
      <c r="B1788" s="1312"/>
      <c r="C1788" s="490"/>
      <c r="D1788" s="491"/>
      <c r="E1788" s="492"/>
      <c r="F1788" s="490"/>
      <c r="G1788" s="493"/>
      <c r="H1788" s="493"/>
      <c r="I1788" s="493"/>
      <c r="J1788" s="493"/>
      <c r="K1788" s="493"/>
      <c r="L1788" s="493"/>
      <c r="M1788" s="493"/>
      <c r="N1788" s="493"/>
      <c r="O1788" s="1313"/>
      <c r="P1788" s="485"/>
      <c r="Q1788" s="485"/>
      <c r="R1788" s="485"/>
      <c r="S1788" s="58"/>
      <c r="T1788" s="58"/>
      <c r="U1788" s="489"/>
      <c r="V1788" s="58"/>
      <c r="W1788" s="58"/>
      <c r="X1788" s="489"/>
      <c r="Y1788" s="58"/>
      <c r="Z1788" s="58"/>
      <c r="AA1788" s="58"/>
      <c r="AB1788" s="58"/>
      <c r="AC1788" s="58"/>
      <c r="AD1788" s="58"/>
      <c r="AE1788" s="58"/>
      <c r="AF1788" s="58"/>
      <c r="AG1788" s="58"/>
      <c r="AH1788" s="58"/>
      <c r="AI1788" s="58"/>
      <c r="AJ1788" s="58"/>
      <c r="AK1788" s="58"/>
      <c r="AL1788" s="58"/>
      <c r="AM1788" s="58"/>
      <c r="AN1788" s="58"/>
      <c r="AO1788" s="58"/>
      <c r="AP1788" s="58"/>
      <c r="AQ1788" s="58"/>
      <c r="AR1788" s="58"/>
      <c r="AS1788" s="58"/>
      <c r="AT1788" s="58"/>
      <c r="AU1788" s="58"/>
      <c r="AV1788" s="58"/>
      <c r="AW1788" s="58"/>
      <c r="AX1788" s="58"/>
      <c r="AY1788" s="58"/>
      <c r="AZ1788" s="58"/>
      <c r="BA1788" s="58"/>
      <c r="BB1788" s="58"/>
      <c r="BC1788" s="58"/>
      <c r="BD1788" s="58"/>
      <c r="BE1788" s="58"/>
      <c r="BF1788" s="58"/>
      <c r="BG1788" s="58"/>
      <c r="BH1788" s="58"/>
      <c r="BI1788" s="30"/>
      <c r="BJ1788" s="30"/>
      <c r="BK1788" s="30"/>
      <c r="BL1788" s="58"/>
      <c r="BM1788" s="58"/>
      <c r="BN1788" s="58"/>
      <c r="BO1788" s="58"/>
      <c r="BP1788" s="58"/>
      <c r="BQ1788" s="58"/>
      <c r="BR1788" s="58"/>
      <c r="BS1788" s="58"/>
      <c r="BT1788" s="58"/>
      <c r="BU1788" s="58"/>
      <c r="BV1788" s="58"/>
      <c r="BW1788" s="58"/>
      <c r="BX1788" s="58"/>
      <c r="BY1788" s="58"/>
      <c r="BZ1788" s="58"/>
    </row>
    <row r="1789" spans="1:78" s="28" customFormat="1" ht="12.75" customHeight="1" thickBot="1" x14ac:dyDescent="0.25">
      <c r="A1789" s="782"/>
      <c r="B1789" s="1312"/>
      <c r="C1789" s="486"/>
      <c r="D1789" s="178"/>
      <c r="E1789" s="487"/>
      <c r="F1789" s="486"/>
      <c r="G1789" s="478"/>
      <c r="H1789" s="478"/>
      <c r="I1789" s="478"/>
      <c r="J1789" s="478"/>
      <c r="K1789" s="486"/>
      <c r="L1789" s="478"/>
      <c r="M1789" s="478"/>
      <c r="N1789" s="478"/>
      <c r="O1789" s="1313"/>
      <c r="P1789" s="485"/>
      <c r="Q1789" s="485"/>
      <c r="R1789" s="485"/>
      <c r="S1789" s="23"/>
      <c r="T1789" s="27" t="str">
        <f>IF(ISBLANK(E1790),"",MATCH(E1790,CNTR_SourceStreamNames,0))</f>
        <v/>
      </c>
      <c r="U1789" s="609" t="str">
        <f>IF(ISBLANK(E1790),"",INDEX(B_InstallationDescription!$D$71:$D$145,MATCH(E1790,CNTR_SourceStreamNames,0)))</f>
        <v/>
      </c>
      <c r="V1789" s="76"/>
      <c r="W1789" s="56"/>
      <c r="X1789" s="56"/>
      <c r="Y1789" s="56"/>
      <c r="Z1789" s="58"/>
      <c r="AA1789" s="58"/>
      <c r="AB1789" s="58"/>
      <c r="AC1789" s="58"/>
      <c r="AD1789" s="58"/>
      <c r="AE1789" s="58"/>
      <c r="AF1789" s="58"/>
      <c r="AG1789" s="58"/>
      <c r="AH1789" s="58"/>
      <c r="AI1789" s="58"/>
      <c r="AJ1789" s="58"/>
      <c r="AK1789" s="482"/>
      <c r="AL1789" s="58"/>
      <c r="AM1789" s="58"/>
      <c r="AN1789" s="58"/>
      <c r="AO1789" s="58"/>
      <c r="AP1789" s="58"/>
      <c r="AQ1789" s="58"/>
      <c r="AR1789" s="58"/>
      <c r="AS1789" s="58"/>
      <c r="AT1789" s="58"/>
      <c r="AU1789" s="58"/>
      <c r="AV1789" s="58"/>
      <c r="AW1789" s="58"/>
      <c r="AX1789" s="58"/>
      <c r="AY1789" s="58"/>
      <c r="AZ1789" s="58"/>
      <c r="BA1789" s="58"/>
      <c r="BB1789" s="58"/>
      <c r="BC1789" s="58"/>
      <c r="BD1789" s="58"/>
      <c r="BE1789" s="58"/>
      <c r="BF1789" s="58"/>
      <c r="BG1789" s="58"/>
      <c r="BH1789" s="56"/>
      <c r="BI1789" s="56"/>
      <c r="BJ1789" s="56"/>
      <c r="BK1789" s="56"/>
      <c r="BL1789" s="56"/>
      <c r="BM1789" s="56"/>
      <c r="BN1789" s="56"/>
      <c r="BO1789" s="56"/>
      <c r="BP1789" s="56"/>
      <c r="BQ1789" s="56"/>
      <c r="BR1789" s="56"/>
      <c r="BS1789" s="56"/>
      <c r="BT1789" s="56"/>
      <c r="BU1789" s="56"/>
      <c r="BV1789" s="56"/>
      <c r="BW1789" s="56"/>
      <c r="BX1789" s="56"/>
      <c r="BY1789" s="56"/>
      <c r="BZ1789" s="484" t="s">
        <v>259</v>
      </c>
    </row>
    <row r="1790" spans="1:78" s="140" customFormat="1" ht="15" customHeight="1" thickBot="1" x14ac:dyDescent="0.25">
      <c r="A1790" s="1302" t="str">
        <f>IF(E1790="","","PRINT")</f>
        <v/>
      </c>
      <c r="B1790" s="1248"/>
      <c r="C1790" s="608">
        <f>C1763+1</f>
        <v>65</v>
      </c>
      <c r="D1790" s="164"/>
      <c r="E1790" s="1610"/>
      <c r="F1790" s="1611"/>
      <c r="G1790" s="1611"/>
      <c r="H1790" s="1611"/>
      <c r="I1790" s="1611"/>
      <c r="J1790" s="1612"/>
      <c r="K1790" s="1623" t="str">
        <f>IF(E1791="","",INDEX(EUwideConstants!$F$353:$F$394,MATCH(E1791,EUConst_TierActivityListNames,0)))</f>
        <v/>
      </c>
      <c r="L1790" s="1624"/>
      <c r="M1790" s="494" t="str">
        <f>Translations!$B$665</f>
        <v>CO2, iškastinio kuro kilmės:</v>
      </c>
      <c r="N1790" s="1012" t="str">
        <f>IF(OR(K1790="",T1791=TRUE),"",INDEX(BC1804:BE1804,MATCH(K1790,BC1800:BE1800,0)))</f>
        <v/>
      </c>
      <c r="O1790" s="1314" t="s">
        <v>257</v>
      </c>
      <c r="P1790" s="1303" t="str">
        <f>IF(AND(E1790&lt;&gt;"",COUNTIF(P1791:$P$2089,"PRINT")=0),"PRINT","")</f>
        <v/>
      </c>
      <c r="Q1790" s="343" t="str">
        <f>EUconst_SumCO2 &amp; "_" &amp; K1790</f>
        <v>SUM_CO2_</v>
      </c>
      <c r="R1790" s="485"/>
      <c r="S1790" s="23"/>
      <c r="T1790" s="500" t="s">
        <v>387</v>
      </c>
      <c r="U1790" s="23"/>
      <c r="V1790" s="76"/>
      <c r="W1790" s="56"/>
      <c r="X1790" s="58"/>
      <c r="Y1790" s="58"/>
      <c r="Z1790" s="58"/>
      <c r="AA1790" s="58"/>
      <c r="AB1790" s="58"/>
      <c r="AC1790" s="58"/>
      <c r="AD1790" s="58"/>
      <c r="AE1790" s="58"/>
      <c r="AF1790" s="58"/>
      <c r="AG1790" s="58"/>
      <c r="AH1790" s="58"/>
      <c r="AI1790" s="333"/>
      <c r="AJ1790" s="333"/>
      <c r="AK1790" s="333"/>
      <c r="AL1790" s="333"/>
      <c r="AM1790" s="333"/>
      <c r="AN1790" s="333"/>
      <c r="AO1790" s="333"/>
      <c r="AP1790" s="333"/>
      <c r="AQ1790" s="333"/>
      <c r="AR1790" s="333"/>
      <c r="AS1790" s="333"/>
      <c r="AT1790" s="333"/>
      <c r="AU1790" s="333"/>
      <c r="AV1790" s="333"/>
      <c r="AW1790" s="333"/>
      <c r="AX1790" s="333"/>
      <c r="AY1790" s="333"/>
      <c r="AZ1790" s="333"/>
      <c r="BA1790" s="333"/>
      <c r="BB1790" s="333"/>
      <c r="BC1790" s="333"/>
      <c r="BD1790" s="333"/>
      <c r="BE1790" s="333"/>
      <c r="BF1790" s="333"/>
      <c r="BG1790" s="333"/>
      <c r="BH1790" s="834">
        <f>AR1800</f>
        <v>0</v>
      </c>
      <c r="BI1790" s="834" t="str">
        <f>AJ1800</f>
        <v/>
      </c>
      <c r="BJ1790" s="834">
        <f>AR1802</f>
        <v>0</v>
      </c>
      <c r="BK1790" s="834" t="str">
        <f>AJ1802</f>
        <v/>
      </c>
      <c r="BL1790" s="834">
        <f>AR1803</f>
        <v>0</v>
      </c>
      <c r="BM1790" s="834" t="str">
        <f>AJ1803</f>
        <v/>
      </c>
      <c r="BN1790" s="834">
        <f>AR1804</f>
        <v>1</v>
      </c>
      <c r="BO1790" s="834">
        <f>AR1805</f>
        <v>1</v>
      </c>
      <c r="BP1790" s="834">
        <f>AR1806</f>
        <v>0</v>
      </c>
      <c r="BQ1790" s="834" t="str">
        <f>AJ1806</f>
        <v/>
      </c>
      <c r="BR1790" s="834">
        <f>AR1807</f>
        <v>0</v>
      </c>
      <c r="BS1790" s="834">
        <f>AR1808</f>
        <v>0</v>
      </c>
      <c r="BT1790" s="834" t="str">
        <f>N1790</f>
        <v/>
      </c>
      <c r="BU1790" s="834" t="str">
        <f>N1791</f>
        <v/>
      </c>
      <c r="BV1790" s="834" t="str">
        <f>R1793</f>
        <v/>
      </c>
      <c r="BW1790" s="834" t="str">
        <f>R1799</f>
        <v/>
      </c>
      <c r="BX1790" s="834" t="str">
        <f>R1800</f>
        <v/>
      </c>
      <c r="BY1790" s="56"/>
      <c r="BZ1790" s="610" t="b">
        <f>CNTR_CalcRelevant=EUconst_NotRelevant</f>
        <v>0</v>
      </c>
    </row>
    <row r="1791" spans="1:78" s="140" customFormat="1" ht="15" customHeight="1" thickBot="1" x14ac:dyDescent="0.25">
      <c r="A1791" s="777"/>
      <c r="B1791" s="1248"/>
      <c r="C1791" s="164"/>
      <c r="D1791" s="164"/>
      <c r="E1791" s="1625" t="str">
        <f>IF(ISBLANK(E1790),"",IF(INDEX(B_InstallationDescription!$E$71:$E$145,MATCH(U1789,B_InstallationDescription!$D$71:$D$145,0))&gt;0,INDEX(B_InstallationDescription!$E$71:$E$145,MATCH(U1789,B_InstallationDescription!$D$71:$D$145,0)),""))</f>
        <v/>
      </c>
      <c r="F1791" s="1626"/>
      <c r="G1791" s="1626"/>
      <c r="H1791" s="1626"/>
      <c r="I1791" s="1626"/>
      <c r="J1791" s="1627"/>
      <c r="M1791" s="337" t="str">
        <f>Translations!$B$666</f>
        <v>CO2, biomasės kilmės.:</v>
      </c>
      <c r="N1791" s="1013" t="str">
        <f>IF(OR(K1790="",T1791=TRUE),"",INDEX(BC1803:BE1803,MATCH(K1790,BC1800:BE1800,0)))</f>
        <v/>
      </c>
      <c r="O1791" s="1315" t="s">
        <v>257</v>
      </c>
      <c r="P1791" s="485"/>
      <c r="Q1791" s="343" t="str">
        <f>EUconst_SumBioCO2 &amp; "_" &amp; K1790</f>
        <v>SUM_bioCO2_</v>
      </c>
      <c r="R1791" s="485"/>
      <c r="S1791" s="23"/>
      <c r="T1791" s="48" t="str">
        <f>IF(E1791="","",MATCH(E1791,EUConst_TierActivityListNames,0)&gt;40)</f>
        <v/>
      </c>
      <c r="U1791" s="23"/>
      <c r="V1791" s="76"/>
      <c r="W1791" s="56"/>
      <c r="X1791" s="58"/>
      <c r="Y1791" s="27" t="s">
        <v>91</v>
      </c>
      <c r="Z1791" s="30"/>
      <c r="AA1791" s="30"/>
      <c r="AB1791" s="30"/>
      <c r="AC1791" s="30"/>
      <c r="AD1791" s="30"/>
      <c r="AE1791" s="27" t="s">
        <v>297</v>
      </c>
      <c r="AF1791" s="58"/>
      <c r="AG1791" s="495"/>
      <c r="AH1791" s="30"/>
      <c r="AI1791" s="30"/>
      <c r="AJ1791" s="495"/>
      <c r="AK1791" s="495"/>
      <c r="AL1791" s="333"/>
      <c r="AM1791" s="27" t="s">
        <v>303</v>
      </c>
      <c r="AN1791" s="496"/>
      <c r="AO1791" s="496"/>
      <c r="AP1791" s="30"/>
      <c r="AQ1791" s="30"/>
      <c r="AR1791" s="30"/>
      <c r="AS1791" s="30"/>
      <c r="AT1791" s="30"/>
      <c r="AU1791" s="30"/>
      <c r="AV1791" s="27" t="s">
        <v>310</v>
      </c>
      <c r="AW1791" s="30"/>
      <c r="AX1791" s="483"/>
      <c r="AY1791" s="30"/>
      <c r="AZ1791" s="30"/>
      <c r="BA1791" s="30"/>
      <c r="BB1791" s="27" t="s">
        <v>217</v>
      </c>
      <c r="BC1791" s="30"/>
      <c r="BD1791" s="30"/>
      <c r="BE1791" s="30"/>
      <c r="BF1791" s="30"/>
      <c r="BG1791" s="27" t="s">
        <v>486</v>
      </c>
      <c r="BH1791" s="833" t="s">
        <v>552</v>
      </c>
      <c r="BI1791" s="833" t="s">
        <v>487</v>
      </c>
      <c r="BJ1791" s="833" t="s">
        <v>211</v>
      </c>
      <c r="BK1791" s="833" t="s">
        <v>488</v>
      </c>
      <c r="BL1791" s="833" t="s">
        <v>68</v>
      </c>
      <c r="BM1791" s="833" t="s">
        <v>489</v>
      </c>
      <c r="BN1791" s="833" t="s">
        <v>490</v>
      </c>
      <c r="BO1791" s="833" t="s">
        <v>491</v>
      </c>
      <c r="BP1791" s="833" t="s">
        <v>214</v>
      </c>
      <c r="BQ1791" s="833" t="s">
        <v>492</v>
      </c>
      <c r="BR1791" s="833" t="s">
        <v>493</v>
      </c>
      <c r="BS1791" s="833" t="s">
        <v>494</v>
      </c>
      <c r="BT1791" s="833" t="s">
        <v>287</v>
      </c>
      <c r="BU1791" s="833" t="s">
        <v>495</v>
      </c>
      <c r="BV1791" s="833" t="s">
        <v>498</v>
      </c>
      <c r="BW1791" s="833" t="s">
        <v>496</v>
      </c>
      <c r="BX1791" s="833" t="s">
        <v>497</v>
      </c>
      <c r="BY1791" s="30"/>
      <c r="BZ1791" s="30"/>
    </row>
    <row r="1792" spans="1:78" s="140" customFormat="1" ht="5.0999999999999996" customHeight="1" thickBot="1" x14ac:dyDescent="0.25">
      <c r="A1792" s="777"/>
      <c r="B1792" s="1248"/>
      <c r="C1792" s="164"/>
      <c r="D1792" s="164"/>
      <c r="E1792" s="164"/>
      <c r="F1792" s="164"/>
      <c r="G1792" s="164"/>
      <c r="M1792" s="141"/>
      <c r="N1792" s="141"/>
      <c r="O1792" s="1305"/>
      <c r="P1792" s="33"/>
      <c r="Q1792" s="33"/>
      <c r="R1792" s="33"/>
      <c r="S1792" s="23"/>
      <c r="T1792" s="23"/>
      <c r="U1792" s="23"/>
      <c r="V1792" s="76"/>
      <c r="W1792" s="30"/>
      <c r="X1792" s="30"/>
      <c r="Y1792" s="485"/>
      <c r="Z1792" s="30"/>
      <c r="AA1792" s="30"/>
      <c r="AB1792" s="30"/>
      <c r="AC1792" s="30"/>
      <c r="AD1792" s="30"/>
      <c r="AE1792" s="30"/>
      <c r="AF1792" s="58"/>
      <c r="AG1792" s="30"/>
      <c r="AH1792" s="30"/>
      <c r="AI1792" s="30"/>
      <c r="AJ1792" s="495"/>
      <c r="AK1792" s="495"/>
      <c r="AL1792" s="333"/>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row>
    <row r="1793" spans="1:78" s="140" customFormat="1" ht="12.75" customHeight="1" thickBot="1" x14ac:dyDescent="0.25">
      <c r="A1793" s="777"/>
      <c r="B1793" s="1248"/>
      <c r="C1793" s="164"/>
      <c r="D1793" s="164"/>
      <c r="E1793" s="1628" t="str">
        <f>IF(E1790="","",IF(T1791=TRUE,HYPERLINK("#JUMP_14",EUconst_MsgGoOnPFC),HYPERLINK("#JUMP_E_8",EUconst_FurtherGuidancePoint1)))</f>
        <v/>
      </c>
      <c r="F1793" s="1628"/>
      <c r="G1793" s="1628"/>
      <c r="H1793" s="1628"/>
      <c r="I1793" s="1628"/>
      <c r="J1793" s="1628"/>
      <c r="K1793" s="1628"/>
      <c r="L1793" s="1628"/>
      <c r="M1793" s="1628"/>
      <c r="N1793" s="141"/>
      <c r="O1793" s="1305"/>
      <c r="P1793" s="33"/>
      <c r="Q1793" s="343" t="str">
        <f>EUconst_SumNonSustBioCO2 &amp; "_" &amp; K1790</f>
        <v>SUM_bioNonSustCO2_</v>
      </c>
      <c r="R1793" s="698" t="str">
        <f>IF(OR(K1790="",T1791=TRUE),"",ROUND(INDEX(BC1802:BE1802,MATCH(K1790,BC1800:BE1800,0)),0))</f>
        <v/>
      </c>
      <c r="S1793" s="23"/>
      <c r="T1793" s="23"/>
      <c r="U1793" s="23"/>
      <c r="V1793" s="30"/>
      <c r="W1793" s="30"/>
      <c r="X1793" s="30"/>
      <c r="Y1793" s="58"/>
      <c r="Z1793" s="30"/>
      <c r="AA1793" s="30"/>
      <c r="AB1793" s="30"/>
      <c r="AC1793" s="30"/>
      <c r="AD1793" s="30"/>
      <c r="AE1793" s="30"/>
      <c r="AF1793" s="58"/>
      <c r="AG1793" s="30"/>
      <c r="AH1793" s="30"/>
      <c r="AI1793" s="30"/>
      <c r="AJ1793" s="495"/>
      <c r="AK1793" s="495"/>
      <c r="AL1793" s="333"/>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row>
    <row r="1794" spans="1:78" s="140" customFormat="1" ht="5.0999999999999996" customHeight="1" thickBot="1" x14ac:dyDescent="0.25">
      <c r="A1794" s="777"/>
      <c r="B1794" s="1248"/>
      <c r="C1794" s="164"/>
      <c r="D1794" s="164"/>
      <c r="E1794" s="164"/>
      <c r="F1794" s="164"/>
      <c r="G1794" s="164"/>
      <c r="M1794" s="141"/>
      <c r="N1794" s="141"/>
      <c r="O1794" s="1305"/>
      <c r="P1794" s="23"/>
      <c r="Q1794" s="23"/>
      <c r="R1794" s="23"/>
      <c r="S1794" s="23"/>
      <c r="T1794" s="23"/>
      <c r="U1794" s="23"/>
      <c r="V1794" s="30"/>
      <c r="W1794" s="30"/>
      <c r="X1794" s="30"/>
      <c r="Y1794" s="485"/>
      <c r="Z1794" s="30"/>
      <c r="AA1794" s="30"/>
      <c r="AB1794" s="30"/>
      <c r="AC1794" s="30"/>
      <c r="AD1794" s="30"/>
      <c r="AE1794" s="30"/>
      <c r="AF1794" s="58"/>
      <c r="AG1794" s="30"/>
      <c r="AH1794" s="30"/>
      <c r="AI1794" s="30"/>
      <c r="AJ1794" s="495"/>
      <c r="AK1794" s="495"/>
      <c r="AL1794" s="333"/>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row>
    <row r="1795" spans="1:78" s="140" customFormat="1" ht="12.75" customHeight="1" thickBot="1" x14ac:dyDescent="0.25">
      <c r="A1795" s="777"/>
      <c r="B1795" s="1248"/>
      <c r="C1795" s="783" t="s">
        <v>4</v>
      </c>
      <c r="D1795" s="503" t="str">
        <f>Translations!$B$622</f>
        <v>VD:</v>
      </c>
      <c r="E1795" s="1631" t="str">
        <f>Translations!$B$667</f>
        <v>Ar veiklos duomenys gaunami sudedant išmatuotus kiekius (t. y. ne atliekant nuolatinius matavimus)?</v>
      </c>
      <c r="F1795" s="1631"/>
      <c r="G1795" s="1631"/>
      <c r="H1795" s="1631"/>
      <c r="I1795" s="1631"/>
      <c r="J1795" s="1631"/>
      <c r="K1795" s="1631"/>
      <c r="L1795" s="1122"/>
      <c r="M1795" s="498"/>
      <c r="O1795" s="1305"/>
      <c r="P1795" s="23"/>
      <c r="Q1795" s="23"/>
      <c r="R1795" s="23"/>
      <c r="S1795" s="23"/>
      <c r="T1795" s="23"/>
      <c r="U1795" s="23"/>
      <c r="V1795" s="30"/>
      <c r="W1795" s="30"/>
      <c r="X1795" s="30"/>
      <c r="Y1795" s="485"/>
      <c r="Z1795" s="30"/>
      <c r="AA1795" s="30"/>
      <c r="AB1795" s="30"/>
      <c r="AC1795" s="1115" t="b">
        <f>AND(E1790&lt;&gt;"",T1791&lt;&gt;TRUE)</f>
        <v>0</v>
      </c>
      <c r="AD1795" s="30"/>
      <c r="AE1795" s="30"/>
      <c r="AF1795" s="58"/>
      <c r="AG1795" s="30"/>
      <c r="AH1795" s="30"/>
      <c r="AI1795" s="30"/>
      <c r="AJ1795" s="495"/>
      <c r="AK1795" s="495"/>
      <c r="AL1795" s="333"/>
      <c r="AM1795" s="30"/>
      <c r="AN1795" s="30"/>
      <c r="AO1795" s="30"/>
      <c r="AP1795" s="30"/>
      <c r="AQ1795" s="30"/>
      <c r="AR1795" s="30"/>
      <c r="AS1795" s="30"/>
      <c r="AT1795" s="1115" t="b">
        <f>MSPara_BatchReportingMandatory&lt;&gt;TRUE</f>
        <v>0</v>
      </c>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1115" t="b">
        <f>OR(CNTR_CalcRelevant=EUconst_NotRelevant,AND(COUNTA(CNTR_ListRelevantSections)&gt;0,OR(T1791=TRUE,E1790="")))</f>
        <v>1</v>
      </c>
    </row>
    <row r="1796" spans="1:78" s="140" customFormat="1" ht="5.0999999999999996" customHeight="1" thickBot="1" x14ac:dyDescent="0.25">
      <c r="A1796" s="777"/>
      <c r="B1796" s="1248"/>
      <c r="C1796" s="164"/>
      <c r="D1796" s="164"/>
      <c r="E1796" s="164"/>
      <c r="F1796" s="164"/>
      <c r="G1796" s="164"/>
      <c r="H1796" s="486"/>
      <c r="I1796" s="486"/>
      <c r="J1796" s="486"/>
      <c r="K1796" s="486"/>
      <c r="L1796" s="486"/>
      <c r="M1796" s="498"/>
      <c r="O1796" s="1305"/>
      <c r="P1796" s="23"/>
      <c r="Q1796" s="23"/>
      <c r="R1796" s="23"/>
      <c r="S1796" s="23"/>
      <c r="T1796" s="23"/>
      <c r="U1796" s="23"/>
      <c r="V1796" s="30"/>
      <c r="W1796" s="30"/>
      <c r="X1796" s="30"/>
      <c r="Y1796" s="485"/>
      <c r="Z1796" s="30"/>
      <c r="AA1796" s="30"/>
      <c r="AB1796" s="30"/>
      <c r="AC1796" s="483"/>
      <c r="AD1796" s="30"/>
      <c r="AE1796" s="30"/>
      <c r="AF1796" s="58"/>
      <c r="AG1796" s="30"/>
      <c r="AH1796" s="30"/>
      <c r="AI1796" s="30"/>
      <c r="AJ1796" s="495"/>
      <c r="AK1796" s="495"/>
      <c r="AL1796" s="333"/>
      <c r="AM1796" s="30"/>
      <c r="AN1796" s="30"/>
      <c r="AO1796" s="30"/>
      <c r="AP1796" s="30"/>
      <c r="AQ1796" s="30"/>
      <c r="AR1796" s="30"/>
      <c r="AS1796" s="30"/>
      <c r="AT1796" s="483"/>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483"/>
    </row>
    <row r="1797" spans="1:78" s="140" customFormat="1" ht="12.75" customHeight="1" thickBot="1" x14ac:dyDescent="0.25">
      <c r="A1797" s="777"/>
      <c r="B1797" s="1248"/>
      <c r="C1797" s="783" t="s">
        <v>5</v>
      </c>
      <c r="D1797" s="503" t="str">
        <f>Translations!$B$622</f>
        <v>VD:</v>
      </c>
      <c r="E1797" s="1105" t="str">
        <f>Translations!$B$668</f>
        <v>Pradinis kiekis:</v>
      </c>
      <c r="F1797" s="1123"/>
      <c r="G1797" s="1106" t="str">
        <f>Translations!$B$669</f>
        <v>Galutinis kiekis:</v>
      </c>
      <c r="H1797" s="1123"/>
      <c r="I1797" s="1106" t="str">
        <f>Translations!$B$670</f>
        <v>Įsigytas kiekis:</v>
      </c>
      <c r="J1797" s="1123"/>
      <c r="K1797" s="1106" t="str">
        <f>Translations!$B$671</f>
        <v>Perduotas kiekis:</v>
      </c>
      <c r="L1797" s="1123"/>
      <c r="M1797" s="1107" t="str">
        <f>IF(AND(L1795=TRUE,COUNT(F1797,H1797,J1797,L1797)&lt;4),EUconst_ERR_Incomplete,"")</f>
        <v/>
      </c>
      <c r="O1797" s="1305"/>
      <c r="P1797" s="23"/>
      <c r="Q1797" s="23"/>
      <c r="R1797" s="23"/>
      <c r="S1797" s="23"/>
      <c r="T1797" s="23"/>
      <c r="U1797" s="23"/>
      <c r="V1797" s="30"/>
      <c r="W1797" s="30"/>
      <c r="X1797" s="30"/>
      <c r="Y1797" s="485"/>
      <c r="Z1797" s="30"/>
      <c r="AA1797" s="30"/>
      <c r="AB1797" s="30"/>
      <c r="AC1797" s="1115" t="b">
        <f>AC1795</f>
        <v>0</v>
      </c>
      <c r="AD1797" s="30"/>
      <c r="AE1797" s="30"/>
      <c r="AF1797" s="58"/>
      <c r="AG1797" s="30"/>
      <c r="AH1797" s="30"/>
      <c r="AI1797" s="30"/>
      <c r="AJ1797" s="495"/>
      <c r="AK1797" s="495"/>
      <c r="AL1797" s="333"/>
      <c r="AM1797" s="30"/>
      <c r="AN1797" s="30"/>
      <c r="AO1797" s="30"/>
      <c r="AP1797" s="30"/>
      <c r="AQ1797" s="30"/>
      <c r="AR1797" s="30"/>
      <c r="AS1797" s="30"/>
      <c r="AT1797" s="1115" t="b">
        <f>AND(AT1795=TRUE,L1795="")</f>
        <v>0</v>
      </c>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1115" t="b">
        <f>OR(BZ1795,AND(NOT(ISBLANK(L1795)),L1795=FALSE))</f>
        <v>1</v>
      </c>
    </row>
    <row r="1798" spans="1:78" s="140" customFormat="1" ht="5.0999999999999996" customHeight="1" thickBot="1" x14ac:dyDescent="0.25">
      <c r="A1798" s="777"/>
      <c r="B1798" s="1248"/>
      <c r="C1798" s="164"/>
      <c r="D1798" s="164"/>
      <c r="E1798" s="164"/>
      <c r="F1798" s="164"/>
      <c r="G1798" s="164"/>
      <c r="M1798" s="141"/>
      <c r="N1798" s="141"/>
      <c r="O1798" s="1305"/>
      <c r="P1798" s="23"/>
      <c r="Q1798" s="23"/>
      <c r="R1798" s="23"/>
      <c r="S1798" s="23"/>
      <c r="T1798" s="23"/>
      <c r="U1798" s="23"/>
      <c r="V1798" s="30"/>
      <c r="W1798" s="30"/>
      <c r="X1798" s="30"/>
      <c r="Y1798" s="485"/>
      <c r="Z1798" s="30"/>
      <c r="AA1798" s="30"/>
      <c r="AB1798" s="30"/>
      <c r="AC1798" s="30"/>
      <c r="AD1798" s="30"/>
      <c r="AE1798" s="30"/>
      <c r="AF1798" s="58"/>
      <c r="AG1798" s="30"/>
      <c r="AH1798" s="30"/>
      <c r="AI1798" s="30"/>
      <c r="AJ1798" s="495"/>
      <c r="AK1798" s="495"/>
      <c r="AL1798" s="333"/>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row>
    <row r="1799" spans="1:78" s="140" customFormat="1" ht="12.75" customHeight="1" thickBot="1" x14ac:dyDescent="0.25">
      <c r="A1799" s="777"/>
      <c r="B1799" s="1248"/>
      <c r="C1799" s="164"/>
      <c r="D1799" s="164"/>
      <c r="E1799" s="164"/>
      <c r="F1799" s="497" t="str">
        <f>Translations!$B$333</f>
        <v>Pakopa</v>
      </c>
      <c r="G1799" s="1613" t="str">
        <f>Translations!$B$672</f>
        <v>pakopos aprašas</v>
      </c>
      <c r="H1799" s="1613"/>
      <c r="I1799" s="1608" t="str">
        <f>Translations!$B$158</f>
        <v>Vienetas</v>
      </c>
      <c r="J1799" s="1608"/>
      <c r="K1799" s="1608" t="str">
        <f>Translations!$B$673</f>
        <v>Vertė</v>
      </c>
      <c r="L1799" s="1608"/>
      <c r="M1799" s="498" t="str">
        <f>Translations!$B$610</f>
        <v>klaida</v>
      </c>
      <c r="O1799" s="1305"/>
      <c r="P1799" s="499"/>
      <c r="Q1799" s="343" t="str">
        <f>EUconst_SumEnergyIN &amp; "_" &amp; K1790</f>
        <v>SUM_EnergyIN_</v>
      </c>
      <c r="R1799" s="390" t="str">
        <f>IF(OR(K1790="",T1791)=TRUE,"",INDEX(BC1805:BE1805,MATCH(K1790,BC1800:BE1800,0)))</f>
        <v/>
      </c>
      <c r="S1799" s="30"/>
      <c r="T1799" s="480"/>
      <c r="U1799" s="30"/>
      <c r="V1799" s="500" t="s">
        <v>298</v>
      </c>
      <c r="W1799" s="30"/>
      <c r="X1799" s="30"/>
      <c r="Y1799" s="485" t="s">
        <v>560</v>
      </c>
      <c r="Z1799" s="485" t="s">
        <v>313</v>
      </c>
      <c r="AA1799" s="30"/>
      <c r="AB1799" s="30"/>
      <c r="AC1799" s="496" t="s">
        <v>304</v>
      </c>
      <c r="AD1799" s="30"/>
      <c r="AE1799" s="30"/>
      <c r="AF1799" s="483" t="s">
        <v>300</v>
      </c>
      <c r="AG1799" s="483" t="s">
        <v>301</v>
      </c>
      <c r="AH1799" s="485" t="s">
        <v>299</v>
      </c>
      <c r="AI1799" s="495" t="s">
        <v>302</v>
      </c>
      <c r="AJ1799" s="495" t="s">
        <v>561</v>
      </c>
      <c r="AK1799" s="501" t="s">
        <v>306</v>
      </c>
      <c r="AL1799" s="333"/>
      <c r="AM1799" s="30"/>
      <c r="AN1799" s="483" t="s">
        <v>300</v>
      </c>
      <c r="AO1799" s="483" t="s">
        <v>301</v>
      </c>
      <c r="AP1799" s="502" t="s">
        <v>305</v>
      </c>
      <c r="AQ1799" s="495" t="s">
        <v>563</v>
      </c>
      <c r="AR1799" s="495" t="s">
        <v>562</v>
      </c>
      <c r="AS1799" s="501" t="s">
        <v>599</v>
      </c>
      <c r="AT1799" s="501" t="s">
        <v>599</v>
      </c>
      <c r="AU1799" s="30"/>
      <c r="AV1799" s="483"/>
      <c r="AW1799" s="483"/>
      <c r="AX1799" s="483" t="s">
        <v>316</v>
      </c>
      <c r="AY1799" s="483"/>
      <c r="AZ1799" s="483"/>
      <c r="BA1799" s="483"/>
      <c r="BB1799" s="483"/>
      <c r="BC1799" s="483"/>
      <c r="BD1799" s="483"/>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484" t="s">
        <v>259</v>
      </c>
    </row>
    <row r="1800" spans="1:78" s="140" customFormat="1" ht="12.75" customHeight="1" thickBot="1" x14ac:dyDescent="0.25">
      <c r="A1800" s="777"/>
      <c r="B1800" s="1248"/>
      <c r="C1800" s="753" t="s">
        <v>194</v>
      </c>
      <c r="D1800" s="503" t="str">
        <f>Translations!$B$622</f>
        <v>VD:</v>
      </c>
      <c r="E1800" s="504"/>
      <c r="F1800" s="393"/>
      <c r="G1800" s="1603" t="str">
        <f>IF(OR(ISBLANK(F1800),F1800=EUconst_NoTier),"",IF(Z1800=0,EUconst_NA,IF(ISERROR(Z1800),"",Z1800)))</f>
        <v/>
      </c>
      <c r="H1800" s="1604"/>
      <c r="I1800" s="1108" t="str">
        <f>IF(J1800&lt;&gt;"","",AI1800)</f>
        <v/>
      </c>
      <c r="J1800" s="1109"/>
      <c r="K1800" s="1116" t="str">
        <f>IF(L1800="",AQ1800,"")</f>
        <v/>
      </c>
      <c r="L1800" s="1199"/>
      <c r="M1800" s="700" t="str">
        <f>IF(AND(E1791&lt;&gt;"",OR(F1800="",COUNT(K1800:L1800)=0),Y1800&lt;&gt;EUconst_NA,T1791&lt;&gt;TRUE),EUconst_ERR_Incomplete,IF(COUNTIF(AX1800:AZ1800,TRUE)&gt;0,EUconst_ERR_Inconsistent,""))</f>
        <v/>
      </c>
      <c r="O1800" s="1305"/>
      <c r="P1800" s="635"/>
      <c r="Q1800" s="343" t="str">
        <f>EUconst_SumBioEnergyIN &amp; "_" &amp; K1790</f>
        <v>SUM_BioEnergyIN_</v>
      </c>
      <c r="R1800" s="390" t="str">
        <f>IF(OR(K1790="",T1791)=TRUE,"",INDEX(BC1806:BE1806,MATCH(K1790,BC1800:BE1800,0)))</f>
        <v/>
      </c>
      <c r="S1800" s="30"/>
      <c r="T1800" s="505" t="str">
        <f>EUconst_CNTR_ActivityData&amp;E1791</f>
        <v>ActivityData_</v>
      </c>
      <c r="U1800" s="488"/>
      <c r="V1800" s="505" t="str">
        <f>IF(E1790="","",INDEX(B_InstallationDescription!$I$71:$I$145,MATCH(U1789,B_InstallationDescription!$D$71:$D$145,0)))</f>
        <v/>
      </c>
      <c r="W1800" s="495" t="s">
        <v>533</v>
      </c>
      <c r="X1800" s="488"/>
      <c r="Y1800" s="506" t="str">
        <f>IF(OR(T1791=TRUE,E1791=""),"",INDEX(EUwideConstants!$N:$N,MATCH(T1800,EUwideConstants!$Q:$Q,0)))</f>
        <v/>
      </c>
      <c r="Z1800" s="507" t="str">
        <f>IF(ISBLANK(F1800),"",IF(F1800=EUconst_NA,"",INDEX(EUwideConstants!$H:$M,MATCH(T1800,EUwideConstants!$Q:$Q,0),MATCH(F1800,CNTR_TierList,0))))</f>
        <v/>
      </c>
      <c r="AA1800" s="508" t="s">
        <v>299</v>
      </c>
      <c r="AB1800" s="495"/>
      <c r="AC1800" s="509" t="b">
        <f>AC1795</f>
        <v>0</v>
      </c>
      <c r="AD1800" s="30"/>
      <c r="AE1800" s="510" t="str">
        <f>EUconst_CNTR_ActivityData&amp;EUconst_Unit</f>
        <v>ActivityData_Vienetas</v>
      </c>
      <c r="AF1800" s="511" t="str">
        <f>IF(AC1800=TRUE, IF(COUNTIF(MSPara_SourceStreamCategory,V1800)=0,"",INDEX(MSPara_CalcFactorsMatrix,MATCH(V1800,MSPara_SourceStreamCategory,0),MATCH(AE1800&amp;"_"&amp;2,MSPara_CalcFactors,0))),"")</f>
        <v/>
      </c>
      <c r="AG1800" s="512" t="str">
        <f>IF(AC1800=TRUE, IF(COUNTIF(MSPara_SourceStreamCategory,V1800)=0,"",INDEX(MSPara_CalcFactorsMatrix,MATCH(V1800,MSPara_SourceStreamCategory,0),MATCH(AE1800&amp;"_"&amp;1,MSPara_CalcFactors,0))),"")</f>
        <v/>
      </c>
      <c r="AH1800" s="509" t="str">
        <f>IF(OR(AF1800="",AF1800=EUconst_NA),IF(OR(AG1800=EUconst_NA,AG1800=""),"",AG1800),AF1800)</f>
        <v/>
      </c>
      <c r="AI1800" s="506" t="str">
        <f>IF(AC1800=TRUE,IF(AH1800="",EUconst_t,AH1800),"")</f>
        <v/>
      </c>
      <c r="AJ1800" s="513" t="str">
        <f>IF(J1800="",AI1800,J1800)</f>
        <v/>
      </c>
      <c r="AK1800" s="514" t="b">
        <f>IF(K1790=EUconst_Fuel,J1800&lt;&gt;"",FALSE)</f>
        <v>0</v>
      </c>
      <c r="AL1800" s="333"/>
      <c r="AM1800" s="505" t="str">
        <f>EUconst_CNTR_ActivityData&amp;EUconst_Value</f>
        <v>ActivityData_Vertė</v>
      </c>
      <c r="AN1800" s="496"/>
      <c r="AO1800" s="496"/>
      <c r="AP1800" s="509" t="b">
        <f>AND(AND(AH1800&lt;&gt;"",AJ1800&lt;&gt;""),AJ1800=AH1800)</f>
        <v>0</v>
      </c>
      <c r="AQ1800" s="610" t="str">
        <f>IF(L1795=TRUE,SUM(F1797)-SUM(H1797)+SUM(J1797)-SUM(L1797),"")</f>
        <v/>
      </c>
      <c r="AR1800" s="509">
        <f>IF(Y1800=EUconst_NA,0,IF(COUNT(K1800:L1800)=0,0,IF(L1800="",K1800,L1800)))</f>
        <v>0</v>
      </c>
      <c r="AS1800" s="1115" t="b">
        <f>AND(AC1800=TRUE,OR(L1800&lt;&gt;"",AQ1800=""))</f>
        <v>0</v>
      </c>
      <c r="AT1800" s="1115" t="b">
        <f>AND(AC1800=TRUE,NOT(AS1800))</f>
        <v>0</v>
      </c>
      <c r="AU1800" s="30"/>
      <c r="AV1800" s="483" t="s">
        <v>309</v>
      </c>
      <c r="AW1800" s="483" t="s">
        <v>314</v>
      </c>
      <c r="AX1800" s="515"/>
      <c r="AY1800" s="30" t="s">
        <v>536</v>
      </c>
      <c r="AZ1800" s="30"/>
      <c r="BA1800" s="30"/>
      <c r="BB1800" s="495"/>
      <c r="BC1800" s="484" t="str">
        <f>EUconst_Fuel</f>
        <v>Degimas</v>
      </c>
      <c r="BD1800" s="484" t="str">
        <f>EUconst_ProcessCarbonate</f>
        <v>Proceso metu išsiskiriančios ŠESD</v>
      </c>
      <c r="BE1800" s="484" t="str">
        <f>EUconst_MassBalance</f>
        <v>Masės balansas</v>
      </c>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515" t="b">
        <f>BZ1795</f>
        <v>1</v>
      </c>
    </row>
    <row r="1801" spans="1:78" s="140" customFormat="1" ht="5.0999999999999996" customHeight="1" thickBot="1" x14ac:dyDescent="0.25">
      <c r="A1801" s="777"/>
      <c r="B1801" s="1248"/>
      <c r="C1801" s="783"/>
      <c r="D1801" s="298"/>
      <c r="F1801" s="141"/>
      <c r="G1801" s="141"/>
      <c r="H1801" s="141" t="s">
        <v>233</v>
      </c>
      <c r="I1801" s="516"/>
      <c r="J1801" s="516"/>
      <c r="K1801" s="141"/>
      <c r="L1801" s="141"/>
      <c r="M1801" s="701"/>
      <c r="O1801" s="1305"/>
      <c r="P1801" s="33"/>
      <c r="Q1801" s="33"/>
      <c r="R1801" s="33"/>
      <c r="S1801" s="30"/>
      <c r="T1801" s="153"/>
      <c r="U1801" s="488"/>
      <c r="V1801" s="30"/>
      <c r="W1801" s="30"/>
      <c r="X1801" s="488"/>
      <c r="Y1801" s="517"/>
      <c r="Z1801" s="30"/>
      <c r="AA1801" s="30"/>
      <c r="AB1801" s="30"/>
      <c r="AC1801" s="30"/>
      <c r="AD1801" s="30"/>
      <c r="AE1801" s="30"/>
      <c r="AF1801" s="30"/>
      <c r="AG1801" s="30"/>
      <c r="AH1801" s="30"/>
      <c r="AI1801" s="30"/>
      <c r="AJ1801" s="30"/>
      <c r="AK1801" s="30"/>
      <c r="AL1801" s="333"/>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484"/>
    </row>
    <row r="1802" spans="1:78" s="140" customFormat="1" ht="12.75" customHeight="1" thickBot="1" x14ac:dyDescent="0.25">
      <c r="A1802" s="777"/>
      <c r="B1802" s="1248"/>
      <c r="C1802" s="783" t="s">
        <v>195</v>
      </c>
      <c r="D1802" s="503" t="str">
        <f>Translations!$B$634</f>
        <v>(prelim.) ITF:</v>
      </c>
      <c r="E1802" s="504"/>
      <c r="F1802" s="518"/>
      <c r="G1802" s="1603" t="str">
        <f t="shared" ref="G1802:G1808" si="448">IF(OR(ISBLANK(F1802),F1802=EUconst_NoTier),"",IF(Z1802=0,EUconst_NotApplicable,IF(ISERROR(Z1802),"",Z1802)))</f>
        <v/>
      </c>
      <c r="H1802" s="1609"/>
      <c r="I1802" s="1110" t="str">
        <f>IF(J1802&lt;&gt;"","",AI1802)</f>
        <v/>
      </c>
      <c r="J1802" s="1111"/>
      <c r="K1802" s="519" t="str">
        <f t="shared" ref="K1802:K1808" si="449">IF(L1802="",AQ1802,"")</f>
        <v/>
      </c>
      <c r="L1802" s="520"/>
      <c r="M1802" s="700" t="str">
        <f>IF(AND(E1791&lt;&gt;"",OR(F1802="",COUNT(K1802:L1802)=0),Y1802&lt;&gt;EUconst_NA,T1791&lt;&gt;TRUE),EUconst_ERR_Incomplete,IF(COUNTIF(AX1802:AZ1802,TRUE)&gt;0,EUconst_ERR_Inconsistent,""))</f>
        <v/>
      </c>
      <c r="N1802" s="486"/>
      <c r="O1802" s="1305"/>
      <c r="P1802" s="33"/>
      <c r="Q1802" s="33"/>
      <c r="R1802" s="33"/>
      <c r="S1802" s="30"/>
      <c r="T1802" s="521" t="str">
        <f>EUconst_CNTR_EF&amp;E1791</f>
        <v>EF_</v>
      </c>
      <c r="U1802" s="488"/>
      <c r="V1802" s="522" t="str">
        <f>V1800</f>
        <v/>
      </c>
      <c r="W1802" s="30"/>
      <c r="X1802" s="488"/>
      <c r="Y1802" s="523" t="str">
        <f>IF(OR(T1791=TRUE,E1791=""),"",IF(F1802=EUconst_NA,EUconst_NA,INDEX(EUwideConstants!$N:$N,MATCH(T1802,EUwideConstants!$Q:$Q,0))))</f>
        <v/>
      </c>
      <c r="Z1802" s="524" t="str">
        <f>IF(ISBLANK(F1802),"",IF(F1802=EUconst_NA,"",INDEX(EUwideConstants!$H:$M,MATCH(T1802,EUwideConstants!$Q:$Q,0),MATCH(F1802,CNTR_TierList,0))))</f>
        <v/>
      </c>
      <c r="AA1802" s="525" t="str">
        <f>IF(COUNTIF(EUconst_DefaultValues,Z1802)&gt;0,MATCH(Z1802,EUconst_DefaultValues,0),"")</f>
        <v/>
      </c>
      <c r="AB1802" s="30"/>
      <c r="AC1802" s="526" t="b">
        <f>AND(AC1800,Y1802&lt;&gt;EUconst_NA)</f>
        <v>0</v>
      </c>
      <c r="AD1802" s="30"/>
      <c r="AE1802" s="510" t="str">
        <f>EUconst_CNTR_EF&amp;EUconst_Unit</f>
        <v>EF_Vienetas</v>
      </c>
      <c r="AF1802" s="527" t="str">
        <f>IF(AC1802=TRUE, IF(COUNTIF(MSPara_SourceStreamCategory,V1802)=0,"",INDEX(MSPara_CalcFactorsMatrix,MATCH(V1802,MSPara_SourceStreamCategory,0),MATCH(AE1802&amp;"_"&amp;2,MSPara_CalcFactors,0))),"")</f>
        <v/>
      </c>
      <c r="AG1802" s="528" t="str">
        <f>IF(AC1802=TRUE, IF(COUNTIF(MSPara_SourceStreamCategory,V1802)=0,"",INDEX(MSPara_CalcFactorsMatrix,MATCH(V1802,MSPara_SourceStreamCategory,0),MATCH(AE1802&amp;"_"&amp;1,MSPara_CalcFactors,0))),"")</f>
        <v/>
      </c>
      <c r="AH1802" s="529" t="str">
        <f>IF(AA1802="","",INDEX(AF1802:AG1802,3-AA1802))</f>
        <v/>
      </c>
      <c r="AI1802" s="530" t="str">
        <f>IF(AC1802=TRUE,IF(OR(AH1802="",AH1802=EUconst_NA),IF(K1790=EUconst_Fuel,EUconst_tCO2pTJ,EUconst_tCO2pt),AH1802),"")</f>
        <v/>
      </c>
      <c r="AJ1802" s="526" t="str">
        <f>IF(J1802="",AI1802,J1802)</f>
        <v/>
      </c>
      <c r="AK1802" s="531" t="b">
        <f>IF(K1790=EUconst_Fuel,J1802&lt;&gt;"",FALSE)</f>
        <v>0</v>
      </c>
      <c r="AL1802" s="333"/>
      <c r="AM1802" s="510" t="str">
        <f>EUconst_CNTR_EF&amp;EUconst_Value</f>
        <v>EF_Vertė</v>
      </c>
      <c r="AN1802" s="532" t="str">
        <f>IF(AC1802=TRUE,IF(COUNTIF(MSPara_SourceStreamCategory,V1802)=0,"",INDEX(MSPara_CalcFactorsMatrix,MATCH(V1802,MSPara_SourceStreamCategory,0),MATCH(AM1802&amp;"_"&amp;2,MSPara_CalcFactors,0))),"")</f>
        <v/>
      </c>
      <c r="AO1802" s="533" t="str">
        <f>IF(AC1802=TRUE,IF(COUNTIF(MSPara_SourceStreamCategory,V1802)=0,"",INDEX(MSPara_CalcFactorsMatrix,MATCH(V1802,MSPara_SourceStreamCategory,0),MATCH(AM1802&amp;"_"&amp;1,MSPara_CalcFactors,0))),"")</f>
        <v/>
      </c>
      <c r="AP1802" s="526" t="b">
        <f>AND(AND(AH1802&lt;&gt;"",AJ1802&lt;&gt;""),AJ1802=AH1802)</f>
        <v>0</v>
      </c>
      <c r="AQ1802" s="534" t="str">
        <f>IF(AND(AA1802&lt;&gt;"",AP1802=TRUE),IF(OR(INDEX(AN1802:AO1802,3-AA1802)=EUconst_NA,INDEX(AN1802:AO1802,3-AA1802)=0),"",INDEX(AN1802:AO1802,3-AA1802)),"")</f>
        <v/>
      </c>
      <c r="AR1802" s="526">
        <f>IF(AC1802=TRUE,IF(COUNT(K1802:L1802)=0,0,IF(L1802="",K1802,L1802)),0)</f>
        <v>0</v>
      </c>
      <c r="AS1802" s="522" t="b">
        <f>AND(AC1802=TRUE,OR(AND(F1802&lt;&gt;"",NOT(ISNUMBER(AA1802))),L1802&lt;&gt;"",F1802="",AQ1802=""))</f>
        <v>0</v>
      </c>
      <c r="AT1802" s="522" t="b">
        <f t="shared" ref="AT1802:AT1808" si="450">AND(AC1802=TRUE,NOT(AS1802))</f>
        <v>0</v>
      </c>
      <c r="AU1802" s="30"/>
      <c r="AV1802" s="535" t="b">
        <f t="shared" ref="AV1802:AV1808" si="451">AND(ISNUMBER(AA1802),AQ1802="")</f>
        <v>0</v>
      </c>
      <c r="AW1802" s="536" t="b">
        <f t="shared" ref="AW1802:AW1808" si="452">AND(ISNUMBER(AA1802),AQ1802&lt;&gt;AR1802)</f>
        <v>0</v>
      </c>
      <c r="AX1802" s="537" t="b">
        <f>OR(AND(AJ1800=EUconst_kNm3,AJ1802=EUconst_tCO2pt),AND(AJ1800=EUconst_t,AJ1802=EUconst_tCO2pkNm3))</f>
        <v>0</v>
      </c>
      <c r="AY1802" s="522" t="b">
        <f t="shared" ref="AY1802:AY1808" si="453">AND(L1802&lt;&gt;"",Y1802=EUconst_NA)</f>
        <v>0</v>
      </c>
      <c r="AZ1802" s="30"/>
      <c r="BA1802" s="30"/>
      <c r="BB1802" s="538" t="s">
        <v>588</v>
      </c>
      <c r="BC1802" s="537" t="str">
        <f>IF(K1790=BC1800,AR1800*IF(AJ1802=EUconst_tCO2pTJ,(AR1803/1000),1)*AR1802*AR1804*AR1808,"")</f>
        <v/>
      </c>
      <c r="BD1802" s="515" t="str">
        <f>IF(K1790=BD1800,AR1800*AR1802*AR1805*AR1808,"")</f>
        <v/>
      </c>
      <c r="BE1802" s="514" t="str">
        <f>IF(K1790=BE1800,3.664*AR1800*AR1806*AR1808,"")</f>
        <v/>
      </c>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522" t="b">
        <f>OR(BZ1800,Y1802=EUconst_NA)</f>
        <v>1</v>
      </c>
    </row>
    <row r="1803" spans="1:78" s="140" customFormat="1" ht="12.75" customHeight="1" thickBot="1" x14ac:dyDescent="0.25">
      <c r="A1803" s="777"/>
      <c r="B1803" s="1248"/>
      <c r="C1803" s="783" t="s">
        <v>196</v>
      </c>
      <c r="D1803" s="503" t="str">
        <f>Translations!$B$636</f>
        <v>GŠV:</v>
      </c>
      <c r="E1803" s="504"/>
      <c r="F1803" s="539"/>
      <c r="G1803" s="1603" t="str">
        <f t="shared" si="448"/>
        <v/>
      </c>
      <c r="H1803" s="1604"/>
      <c r="I1803" s="1112" t="str">
        <f>AJ1803</f>
        <v/>
      </c>
      <c r="J1803" s="540"/>
      <c r="K1803" s="541" t="str">
        <f t="shared" si="449"/>
        <v/>
      </c>
      <c r="L1803" s="542"/>
      <c r="M1803" s="700" t="str">
        <f>IF(AND(E1791&lt;&gt;"",OR(F1803="",COUNT(K1803:L1803)=0),Y1803&lt;&gt;EUconst_NA,T1791&lt;&gt;TRUE),EUconst_ERR_Incomplete,IF(COUNTIF(AX1803:AZ1803,TRUE)&gt;0,EUconst_ERR_Inconsistent,""))</f>
        <v/>
      </c>
      <c r="O1803" s="1305"/>
      <c r="P1803" s="33"/>
      <c r="Q1803" s="33"/>
      <c r="R1803" s="33"/>
      <c r="S1803" s="30"/>
      <c r="T1803" s="543" t="str">
        <f>EUconst_CNTR_NCV&amp;E1791</f>
        <v>NCV_</v>
      </c>
      <c r="U1803" s="488"/>
      <c r="V1803" s="544" t="str">
        <f t="shared" ref="V1803:V1808" si="454">V1802</f>
        <v/>
      </c>
      <c r="W1803" s="30"/>
      <c r="X1803" s="488"/>
      <c r="Y1803" s="545" t="str">
        <f>IF(OR(T1791=TRUE,E1791=""),"",IF(F1803=EUconst_NA,EUconst_NA,INDEX(EUwideConstants!$N:$N,MATCH(T1803,EUwideConstants!$Q:$Q,0))))</f>
        <v/>
      </c>
      <c r="Z1803" s="546" t="str">
        <f>IF(ISBLANK(F1803),"",IF(F1803=EUconst_NA,"",INDEX(EUwideConstants!$H:$M,MATCH(T1803,EUwideConstants!$Q:$Q,0),MATCH(F1803,CNTR_TierList,0))))</f>
        <v/>
      </c>
      <c r="AA1803" s="547" t="str">
        <f>IF(COUNTIF(EUconst_DefaultValues,Z1803)&gt;0,MATCH(Z1803,EUconst_DefaultValues,0),"")</f>
        <v/>
      </c>
      <c r="AB1803" s="30"/>
      <c r="AC1803" s="548" t="b">
        <f>AND(AC1800,Y1803&lt;&gt;EUconst_NA)</f>
        <v>0</v>
      </c>
      <c r="AD1803" s="30"/>
      <c r="AE1803" s="549" t="str">
        <f>EUconst_CNTR_NCV&amp;EUconst_Unit</f>
        <v>NCV_Vienetas</v>
      </c>
      <c r="AF1803" s="550" t="str">
        <f>IF(AC1803=TRUE, IF(COUNTIF(MSPara_SourceStreamCategory,V1803)=0,"",INDEX(MSPara_CalcFactorsMatrix,MATCH(V1803,MSPara_SourceStreamCategory,0),MATCH(AE1803&amp;"_"&amp;2,MSPara_CalcFactors,0))),"")</f>
        <v/>
      </c>
      <c r="AG1803" s="551" t="str">
        <f>IF(AC1803=TRUE, IF(COUNTIF(MSPara_SourceStreamCategory,V1803)=0,"",INDEX(MSPara_CalcFactorsMatrix,MATCH(V1803,MSPara_SourceStreamCategory,0),MATCH(AE1803&amp;"_"&amp;1,MSPara_CalcFactors,0))),"")</f>
        <v/>
      </c>
      <c r="AH1803" s="552" t="str">
        <f>IF(AA1803="","",INDEX(AF1803:AG1803,3-AA1803))</f>
        <v/>
      </c>
      <c r="AI1803" s="553"/>
      <c r="AJ1803" s="548" t="str">
        <f>IF(AC1803=TRUE,IF(AJ1800="","",IF(AJ1800=EUconst_kNm3,EUconst_GJpkNm3,EUconst_GJpt)),"")</f>
        <v/>
      </c>
      <c r="AK1803" s="554"/>
      <c r="AL1803" s="333"/>
      <c r="AM1803" s="549" t="str">
        <f>EUconst_CNTR_NCV&amp;EUconst_Value</f>
        <v>NCV_Vertė</v>
      </c>
      <c r="AN1803" s="555" t="str">
        <f>IF(AC1803=TRUE,IF(COUNTIF(MSPara_SourceStreamCategory,V1803)=0,"",INDEX(MSPara_CalcFactorsMatrix,MATCH(V1803,MSPara_SourceStreamCategory,0),MATCH(AM1803&amp;"_"&amp;2,MSPara_CalcFactors,0))),"")</f>
        <v/>
      </c>
      <c r="AO1803" s="556" t="str">
        <f>IF(AC1803=TRUE,IF(COUNTIF(MSPara_SourceStreamCategory,V1803)=0,"",INDEX(MSPara_CalcFactorsMatrix,MATCH(V1803,MSPara_SourceStreamCategory,0),MATCH(AM1803&amp;"_"&amp;1,MSPara_CalcFactors,0))),"")</f>
        <v/>
      </c>
      <c r="AP1803" s="548" t="b">
        <f>AND(AND(AH1803&lt;&gt;"",AJ1803&lt;&gt;""),AJ1803=AH1803)</f>
        <v>0</v>
      </c>
      <c r="AQ1803" s="557" t="str">
        <f>IF(AND(AA1803&lt;&gt;"",AP1803=TRUE),IF(OR(INDEX(AN1803:AO1803,3-AA1803)=EUconst_NA,INDEX(AN1803:AO1803,3-AA1803)=0),"",INDEX(AN1803:AO1803,3-AA1803)),"")</f>
        <v/>
      </c>
      <c r="AR1803" s="548">
        <f>IF(AC1803=TRUE,IF(COUNT(K1803:L1803)=0,0,IF(L1803="",K1803,L1803)),0)</f>
        <v>0</v>
      </c>
      <c r="AS1803" s="544" t="b">
        <f>AND(AC1803=TRUE,OR(AND(F1803&lt;&gt;"",NOT(ISNUMBER(AA1803))),L1803&lt;&gt;"",F1803="",AQ1803=""))</f>
        <v>0</v>
      </c>
      <c r="AT1803" s="544" t="b">
        <f t="shared" si="450"/>
        <v>0</v>
      </c>
      <c r="AU1803" s="30"/>
      <c r="AV1803" s="558" t="b">
        <f t="shared" si="451"/>
        <v>0</v>
      </c>
      <c r="AW1803" s="559" t="b">
        <f t="shared" si="452"/>
        <v>0</v>
      </c>
      <c r="AX1803" s="30"/>
      <c r="AY1803" s="544" t="b">
        <f t="shared" si="453"/>
        <v>0</v>
      </c>
      <c r="AZ1803" s="30"/>
      <c r="BA1803" s="30"/>
      <c r="BB1803" s="538" t="s">
        <v>589</v>
      </c>
      <c r="BC1803" s="537" t="str">
        <f>IF(K1790=BC1800,AR1800*IF(AJ1802=EUconst_tCO2pTJ,(AR1803/1000),1)*AR1802*AR1804*AR1807,"")</f>
        <v/>
      </c>
      <c r="BD1803" s="515" t="str">
        <f>IF(K1790=BD1800,AR1800*AR1802*AR1805*AR1807,"")</f>
        <v/>
      </c>
      <c r="BE1803" s="514" t="str">
        <f>IF(K1790=BE1800,3.664*AR1800*AR1806*AR1807,"")</f>
        <v/>
      </c>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544" t="b">
        <f>OR(BZ1800,Y1803=EUconst_NA)</f>
        <v>1</v>
      </c>
    </row>
    <row r="1804" spans="1:78" s="140" customFormat="1" ht="12.75" customHeight="1" thickBot="1" x14ac:dyDescent="0.25">
      <c r="A1804" s="777"/>
      <c r="B1804" s="1248"/>
      <c r="C1804" s="783" t="s">
        <v>197</v>
      </c>
      <c r="D1804" s="503" t="str">
        <f>Translations!$B$638</f>
        <v>Oksidacijos koef.:</v>
      </c>
      <c r="E1804" s="504"/>
      <c r="F1804" s="539"/>
      <c r="G1804" s="1603" t="str">
        <f t="shared" si="448"/>
        <v/>
      </c>
      <c r="H1804" s="1604"/>
      <c r="I1804" s="1113" t="str">
        <f>IF(OR(AC1804=FALSE,Y1804=EUconst_NA),"","-")</f>
        <v/>
      </c>
      <c r="J1804" s="560"/>
      <c r="K1804" s="561" t="str">
        <f t="shared" si="449"/>
        <v/>
      </c>
      <c r="L1804" s="694"/>
      <c r="M1804" s="700" t="str">
        <f>IF(AND(E1791&lt;&gt;"",OR(F1804="",COUNT(K1804:L1804)=0),Y1804&lt;&gt;EUconst_NA,T1791&lt;&gt;TRUE),EUconst_ERR_Incomplete,IF(COUNTIF(AX1804:AZ1804,TRUE)&gt;0,EUconst_ERR_Inconsistent,""))</f>
        <v/>
      </c>
      <c r="O1804" s="1305"/>
      <c r="P1804" s="33"/>
      <c r="Q1804" s="33"/>
      <c r="R1804" s="33"/>
      <c r="S1804" s="30"/>
      <c r="T1804" s="543" t="str">
        <f>EUconst_CNTR_OxidationFactor&amp;E1791</f>
        <v>OxF_</v>
      </c>
      <c r="U1804" s="488"/>
      <c r="V1804" s="544" t="str">
        <f t="shared" si="454"/>
        <v/>
      </c>
      <c r="W1804" s="30"/>
      <c r="X1804" s="488"/>
      <c r="Y1804" s="545" t="str">
        <f>IF(OR(T1791=TRUE,E1791=""),"",INDEX(EUwideConstants!$N:$N,MATCH(T1804,EUwideConstants!$Q:$Q,0)))</f>
        <v/>
      </c>
      <c r="Z1804" s="546" t="str">
        <f>IF(ISBLANK(F1804),"",IF(F1804=EUconst_NA,"",INDEX(EUwideConstants!$H:$M,MATCH(T1804,EUwideConstants!$Q:$Q,0),MATCH(F1804,CNTR_TierList,0))))</f>
        <v/>
      </c>
      <c r="AA1804" s="525" t="str">
        <f>IF(F1804=1,1,"")</f>
        <v/>
      </c>
      <c r="AB1804" s="30"/>
      <c r="AC1804" s="548" t="b">
        <f>AND(AC1800,Y1804&lt;&gt;EUconst_NA)</f>
        <v>0</v>
      </c>
      <c r="AD1804" s="30"/>
      <c r="AE1804" s="563"/>
      <c r="AG1804" s="564"/>
      <c r="AH1804" s="553"/>
      <c r="AI1804" s="565"/>
      <c r="AJ1804" s="553"/>
      <c r="AK1804" s="566"/>
      <c r="AL1804" s="333"/>
      <c r="AM1804" s="549" t="str">
        <f>EUconst_CNTR_OxidationFactor&amp;EUconst_Value</f>
        <v>OxF_Vertė</v>
      </c>
      <c r="AN1804" s="567"/>
      <c r="AO1804" s="525">
        <v>1</v>
      </c>
      <c r="AP1804" s="553"/>
      <c r="AQ1804" s="568" t="str">
        <f>IF(AA1804="","",AO1804)</f>
        <v/>
      </c>
      <c r="AR1804" s="548">
        <f>IF(AC1804=TRUE,IF(COUNT(K1804:L1804)=0,0,IF(L1804="",K1804,L1804)),1)</f>
        <v>1</v>
      </c>
      <c r="AS1804" s="544" t="b">
        <f>AND(AC1804=TRUE,OR(ISNUMBER(L1804),NOT(ISNUMBER(AA1804))))</f>
        <v>0</v>
      </c>
      <c r="AT1804" s="544" t="b">
        <f t="shared" si="450"/>
        <v>0</v>
      </c>
      <c r="AU1804" s="30"/>
      <c r="AV1804" s="558" t="b">
        <f t="shared" si="451"/>
        <v>0</v>
      </c>
      <c r="AW1804" s="559" t="b">
        <f t="shared" si="452"/>
        <v>0</v>
      </c>
      <c r="AX1804" s="30"/>
      <c r="AY1804" s="585" t="b">
        <f t="shared" si="453"/>
        <v>0</v>
      </c>
      <c r="AZ1804" s="522" t="b">
        <f>AR1804&gt;100%</f>
        <v>0</v>
      </c>
      <c r="BA1804" s="30"/>
      <c r="BB1804" s="538" t="s">
        <v>287</v>
      </c>
      <c r="BC1804" s="537" t="str">
        <f>IF(K1790=BC1800,AR1800*IF(AJ1802=EUconst_tCO2pTJ,(AR1803/1000),1)*AR1802*AR1804*(1-AR1807),"")</f>
        <v/>
      </c>
      <c r="BD1804" s="515" t="str">
        <f>IF(K1790=BD1800,AR1800*AR1802*AR1805*(1-AR1807),"")</f>
        <v/>
      </c>
      <c r="BE1804" s="514" t="str">
        <f>IF(K1790=BE1800,3.664*AR1800*AR1806*(1-AR1807),"")</f>
        <v/>
      </c>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544" t="b">
        <f>OR(BZ1800,Y1804=EUconst_NA)</f>
        <v>1</v>
      </c>
    </row>
    <row r="1805" spans="1:78" s="140" customFormat="1" ht="12.75" customHeight="1" thickBot="1" x14ac:dyDescent="0.25">
      <c r="A1805" s="777"/>
      <c r="B1805" s="1248"/>
      <c r="C1805" s="783" t="s">
        <v>198</v>
      </c>
      <c r="D1805" s="503" t="str">
        <f>Translations!$B$639</f>
        <v>Konversijos koef.:</v>
      </c>
      <c r="E1805" s="504"/>
      <c r="F1805" s="539"/>
      <c r="G1805" s="1603" t="str">
        <f t="shared" si="448"/>
        <v/>
      </c>
      <c r="H1805" s="1604"/>
      <c r="I1805" s="1113" t="str">
        <f>IF(OR(AC1805=FALSE,Y1805=EUconst_NA),"","-")</f>
        <v/>
      </c>
      <c r="J1805" s="560"/>
      <c r="K1805" s="561" t="str">
        <f t="shared" si="449"/>
        <v/>
      </c>
      <c r="L1805" s="694"/>
      <c r="M1805" s="700" t="str">
        <f>IF(AND(E1791&lt;&gt;"",OR(F1805="",COUNT(K1805:L1805)=0),Y1805&lt;&gt;EUconst_NA,T1791&lt;&gt;TRUE),EUconst_ERR_Incomplete,IF(COUNTIF(AX1805:AZ1805,TRUE)&gt;0,EUconst_ERR_Inconsistent,""))</f>
        <v/>
      </c>
      <c r="O1805" s="1305"/>
      <c r="P1805" s="33"/>
      <c r="Q1805" s="33"/>
      <c r="R1805" s="33"/>
      <c r="S1805" s="30"/>
      <c r="T1805" s="543" t="str">
        <f>EUconst_CNTR_ConversionFactor&amp;E1791</f>
        <v>ConvF_</v>
      </c>
      <c r="U1805" s="488"/>
      <c r="V1805" s="544" t="str">
        <f t="shared" si="454"/>
        <v/>
      </c>
      <c r="W1805" s="30"/>
      <c r="X1805" s="488"/>
      <c r="Y1805" s="545" t="str">
        <f>IF(OR(T1791=TRUE,E1791=""),"",INDEX(EUwideConstants!$N:$N,MATCH(T1805,EUwideConstants!$Q:$Q,0)))</f>
        <v/>
      </c>
      <c r="Z1805" s="546" t="str">
        <f>IF(ISBLANK(F1805),"",IF(F1805=EUconst_NA,"",INDEX(EUwideConstants!$H:$M,MATCH(T1805,EUwideConstants!$Q:$Q,0),MATCH(F1805,CNTR_TierList,0))))</f>
        <v/>
      </c>
      <c r="AA1805" s="573" t="str">
        <f>IF(F1805=1,1,"")</f>
        <v/>
      </c>
      <c r="AB1805" s="30"/>
      <c r="AC1805" s="548" t="b">
        <f>AND(AC1800,Y1805&lt;&gt;EUconst_NA)</f>
        <v>0</v>
      </c>
      <c r="AD1805" s="30"/>
      <c r="AE1805" s="563"/>
      <c r="AG1805" s="564"/>
      <c r="AH1805" s="574"/>
      <c r="AI1805" s="565"/>
      <c r="AJ1805" s="574"/>
      <c r="AK1805" s="566"/>
      <c r="AL1805" s="333"/>
      <c r="AM1805" s="549" t="str">
        <f>EUconst_CNTR_ConversionFactor&amp;EUconst_Value</f>
        <v>ConvF_Vertė</v>
      </c>
      <c r="AN1805" s="575"/>
      <c r="AO1805" s="573">
        <v>1</v>
      </c>
      <c r="AP1805" s="574"/>
      <c r="AQ1805" s="576" t="str">
        <f>IF(AA1805="","",AO1805)</f>
        <v/>
      </c>
      <c r="AR1805" s="548">
        <f>IF(AC1805=TRUE,IF(COUNT(K1805:L1805)=0,0,IF(L1805="",K1805,L1805)),1)</f>
        <v>1</v>
      </c>
      <c r="AS1805" s="544" t="b">
        <f>AND(AC1805=TRUE,OR(ISNUMBER(L1805),NOT(ISNUMBER(AA1805))))</f>
        <v>0</v>
      </c>
      <c r="AT1805" s="544" t="b">
        <f t="shared" si="450"/>
        <v>0</v>
      </c>
      <c r="AU1805" s="30"/>
      <c r="AV1805" s="558" t="b">
        <f t="shared" si="451"/>
        <v>0</v>
      </c>
      <c r="AW1805" s="559" t="b">
        <f t="shared" si="452"/>
        <v>0</v>
      </c>
      <c r="AX1805" s="30"/>
      <c r="AY1805" s="585" t="b">
        <f t="shared" si="453"/>
        <v>0</v>
      </c>
      <c r="AZ1805" s="571" t="b">
        <f>AR1805&gt;100%</f>
        <v>0</v>
      </c>
      <c r="BA1805" s="30"/>
      <c r="BB1805" s="569" t="s">
        <v>481</v>
      </c>
      <c r="BC1805" s="570">
        <f>AR1800*AR1803/1000*(1-AR1807)</f>
        <v>0</v>
      </c>
      <c r="BD1805" s="571">
        <f>BC1805</f>
        <v>0</v>
      </c>
      <c r="BE1805" s="572">
        <f>BC1805</f>
        <v>0</v>
      </c>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544" t="b">
        <f>OR(BZ1800,Y1805=EUconst_NA)</f>
        <v>1</v>
      </c>
    </row>
    <row r="1806" spans="1:78" s="140" customFormat="1" ht="12.75" customHeight="1" thickBot="1" x14ac:dyDescent="0.25">
      <c r="A1806" s="777"/>
      <c r="B1806" s="1248"/>
      <c r="C1806" s="783" t="s">
        <v>324</v>
      </c>
      <c r="D1806" s="503" t="str">
        <f>Translations!$B$640</f>
        <v>Anglies kiekis (C):</v>
      </c>
      <c r="E1806" s="504"/>
      <c r="F1806" s="539"/>
      <c r="G1806" s="1603" t="str">
        <f t="shared" si="448"/>
        <v/>
      </c>
      <c r="H1806" s="1604"/>
      <c r="I1806" s="1113" t="str">
        <f>AJ1806</f>
        <v/>
      </c>
      <c r="J1806" s="577"/>
      <c r="K1806" s="578" t="str">
        <f t="shared" si="449"/>
        <v/>
      </c>
      <c r="L1806" s="579"/>
      <c r="M1806" s="700" t="str">
        <f>IF(AND(E1791&lt;&gt;"",OR(F1806="",COUNT(K1806:L1806)=0),Y1806&lt;&gt;EUconst_NA,T1791&lt;&gt;TRUE),EUconst_ERR_Incomplete,IF(COUNTIF(AX1806:AZ1806,TRUE)&gt;0,EUconst_ERR_Inconsistent,""))</f>
        <v/>
      </c>
      <c r="O1806" s="1305"/>
      <c r="P1806" s="33"/>
      <c r="Q1806" s="33"/>
      <c r="R1806" s="33"/>
      <c r="S1806" s="30"/>
      <c r="T1806" s="543" t="str">
        <f>EUconst_CNTR_CarbonContent&amp;E1791</f>
        <v>CarbC_</v>
      </c>
      <c r="U1806" s="488"/>
      <c r="V1806" s="544" t="str">
        <f t="shared" si="454"/>
        <v/>
      </c>
      <c r="W1806" s="30"/>
      <c r="X1806" s="488"/>
      <c r="Y1806" s="545" t="str">
        <f>IF(OR(T1791=TRUE,E1791=""),"",INDEX(EUwideConstants!$N:$N,MATCH(T1806,EUwideConstants!$Q:$Q,0)))</f>
        <v/>
      </c>
      <c r="Z1806" s="546" t="str">
        <f>IF(ISBLANK(F1806),"",IF(F1806=EUconst_NA,"",INDEX(EUwideConstants!$H:$M,MATCH(T1806,EUwideConstants!$Q:$Q,0),MATCH(F1806,CNTR_TierList,0))))</f>
        <v/>
      </c>
      <c r="AA1806" s="580" t="str">
        <f>IF(COUNTIF(EUconst_DefaultValues,Z1806)&gt;0,MATCH(Z1806,EUconst_DefaultValues,0),"")</f>
        <v/>
      </c>
      <c r="AB1806" s="30"/>
      <c r="AC1806" s="548" t="b">
        <f>AND(AC1800,Y1806&lt;&gt;EUconst_NA)</f>
        <v>0</v>
      </c>
      <c r="AD1806" s="30"/>
      <c r="AE1806" s="549" t="str">
        <f>EUconst_CNTR_CarbonContent&amp;EUconst_Unit</f>
        <v>CarbC_Vienetas</v>
      </c>
      <c r="AF1806" s="550" t="str">
        <f>IF(AC1806=TRUE, IF(COUNTIF(MSPara_SourceStreamCategory,V1806)=0,"",INDEX(MSPara_CalcFactorsMatrix,MATCH(V1806,MSPara_SourceStreamCategory,0),MATCH(AE1806&amp;"_"&amp;2,MSPara_CalcFactors,0))),"")</f>
        <v/>
      </c>
      <c r="AG1806" s="551" t="str">
        <f>IF(AC1806=TRUE, IF(COUNTIF(MSPara_SourceStreamCategory,V1806)=0,"",INDEX(MSPara_CalcFactorsMatrix,MATCH(V1806,MSPara_SourceStreamCategory,0),MATCH(AE1806&amp;"_"&amp;1,MSPara_CalcFactors,0))),"")</f>
        <v/>
      </c>
      <c r="AH1806" s="581" t="str">
        <f>IF(AA1806="","",INDEX(AF1806:AG1806,3-AA1806))</f>
        <v/>
      </c>
      <c r="AI1806" s="565"/>
      <c r="AJ1806" s="582" t="str">
        <f>IF(AC1806=TRUE,IF(AJ1800="","",IF(AJ1800=EUconst_kNm3,EUconst_tCpkNm3,EUconst_tCpt)),"")</f>
        <v/>
      </c>
      <c r="AK1806" s="566"/>
      <c r="AL1806" s="333"/>
      <c r="AM1806" s="549" t="str">
        <f>EUconst_CNTR_CarbonContent&amp;EUconst_Value</f>
        <v>CarbC_Vertė</v>
      </c>
      <c r="AN1806" s="555" t="str">
        <f>IF(AC1806=TRUE,IF(COUNTIF(MSPara_SourceStreamCategory,V1806)=0,"",INDEX(MSPara_CalcFactorsMatrix,MATCH(V1806,MSPara_SourceStreamCategory,0),MATCH(AM1806&amp;"_"&amp;2,MSPara_CalcFactors,0))),"")</f>
        <v/>
      </c>
      <c r="AO1806" s="583" t="str">
        <f>IF(AC1806=TRUE,IF(COUNTIF(MSPara_SourceStreamCategory,V1806)=0,"",INDEX(MSPara_CalcFactorsMatrix,MATCH(V1806,MSPara_SourceStreamCategory,0),MATCH(AM1806&amp;"_"&amp;1,MSPara_CalcFactors,0))),"")</f>
        <v/>
      </c>
      <c r="AP1806" s="548" t="b">
        <f>AND(AND(AH1806&lt;&gt;"",AJ1806&lt;&gt;""),AJ1806=AH1806)</f>
        <v>0</v>
      </c>
      <c r="AQ1806" s="584" t="str">
        <f>IF(AND(AA1806&lt;&gt;"",AP1806=TRUE),IF(OR(INDEX(AN1806:AO1806,3-AA1806)=EUconst_NA,INDEX(AN1806:AO1806,3-AA1806)=0),"",INDEX(AN1806:AO1806,3-AA1806)),"")</f>
        <v/>
      </c>
      <c r="AR1806" s="548">
        <f>IF(AC1806=TRUE,IF(COUNT(K1806:L1806)=0,0,IF(L1806="",K1806,L1806)),0)</f>
        <v>0</v>
      </c>
      <c r="AS1806" s="544" t="b">
        <f>AND(AC1806=TRUE,OR(AND(F1806&lt;&gt;"",NOT(ISNUMBER(AA1806))),L1806&lt;&gt;"",F1806="",AQ1806=""))</f>
        <v>0</v>
      </c>
      <c r="AT1806" s="544" t="b">
        <f t="shared" si="450"/>
        <v>0</v>
      </c>
      <c r="AU1806" s="30"/>
      <c r="AV1806" s="558" t="b">
        <f t="shared" si="451"/>
        <v>0</v>
      </c>
      <c r="AW1806" s="559" t="b">
        <f t="shared" si="452"/>
        <v>0</v>
      </c>
      <c r="AX1806" s="537" t="b">
        <f>OR(AND(AJ1800=EUconst_kNm3,AJ1806=EUconst_tCpt),AND(AJ1800=EUconst_t,AJ1806=EUconst_tCpkNm3))</f>
        <v>0</v>
      </c>
      <c r="AY1806" s="544" t="b">
        <f t="shared" si="453"/>
        <v>0</v>
      </c>
      <c r="AZ1806" s="30"/>
      <c r="BA1806" s="30"/>
      <c r="BB1806" s="569" t="s">
        <v>482</v>
      </c>
      <c r="BC1806" s="570">
        <f>AR1800*AR1803/1000*AR1807</f>
        <v>0</v>
      </c>
      <c r="BD1806" s="571">
        <f>BC1806</f>
        <v>0</v>
      </c>
      <c r="BE1806" s="572">
        <f>BC1806</f>
        <v>0</v>
      </c>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544" t="b">
        <f>OR(BZ1800,Y1806=EUconst_NA)</f>
        <v>1</v>
      </c>
    </row>
    <row r="1807" spans="1:78" s="140" customFormat="1" ht="12.75" customHeight="1" x14ac:dyDescent="0.2">
      <c r="A1807" s="777"/>
      <c r="B1807" s="1248"/>
      <c r="C1807" s="753" t="s">
        <v>325</v>
      </c>
      <c r="D1807" s="503" t="str">
        <f>Translations!$B$641</f>
        <v>Biomasės dalis (BioC):</v>
      </c>
      <c r="E1807" s="504"/>
      <c r="F1807" s="539"/>
      <c r="G1807" s="1603" t="str">
        <f t="shared" si="448"/>
        <v/>
      </c>
      <c r="H1807" s="1604"/>
      <c r="I1807" s="1113" t="str">
        <f>IF(OR(AC1807=FALSE,Y1807=EUconst_NA),"","-")</f>
        <v/>
      </c>
      <c r="J1807" s="560"/>
      <c r="K1807" s="561" t="str">
        <f t="shared" si="449"/>
        <v/>
      </c>
      <c r="L1807" s="694"/>
      <c r="M1807" s="700" t="str">
        <f>IF(AND(E1791&lt;&gt;"",OR(F1807="",COUNT(K1807:L1807)=0),Y1807&lt;&gt;EUconst_NA,T1791&lt;&gt;TRUE),EUconst_ERR_Incomplete,IF(COUNTIF(AX1807:AZ1807,TRUE)&gt;0,EUconst_ERR_Inconsistent,""))</f>
        <v/>
      </c>
      <c r="O1807" s="1305"/>
      <c r="P1807" s="635"/>
      <c r="Q1807" s="635"/>
      <c r="R1807" s="635"/>
      <c r="S1807" s="30"/>
      <c r="T1807" s="543" t="str">
        <f>EUconst_CNTR_BiomassContent&amp;E1791</f>
        <v>BioC_</v>
      </c>
      <c r="U1807" s="488"/>
      <c r="V1807" s="585" t="str">
        <f t="shared" si="454"/>
        <v/>
      </c>
      <c r="W1807" s="522" t="str">
        <f>IF(COUNTIF(MSPara_SourceStreamCategory,V1807)=0,"",INDEX(MSPara_IsFossil,MATCH(V1807,MSPara_SourceStreamCategory,0)))</f>
        <v/>
      </c>
      <c r="X1807" s="488"/>
      <c r="Y1807" s="545" t="str">
        <f>IF(OR(T1791=TRUE,E1791=""),"",IF(OR(W1807=TRUE,F1807=EUconst_NA),EUconst_NA,INDEX(EUwideConstants!$N:$N,MATCH(T1807,EUwideConstants!$Q:$Q,0))))</f>
        <v/>
      </c>
      <c r="Z1807" s="546" t="str">
        <f>IF(ISBLANK(F1807),"",IF(F1807=EUconst_NA,"",INDEX(EUwideConstants!$H:$M,MATCH(T1807,EUwideConstants!$Q:$Q,0),MATCH(F1807,CNTR_TierList,0))))</f>
        <v/>
      </c>
      <c r="AA1807" s="586" t="str">
        <f>IF(F1807=1,1,"")</f>
        <v/>
      </c>
      <c r="AB1807" s="30"/>
      <c r="AC1807" s="548" t="b">
        <f>AND(AC1800,Y1807&lt;&gt;EUconst_NA)</f>
        <v>0</v>
      </c>
      <c r="AD1807" s="30"/>
      <c r="AE1807" s="563"/>
      <c r="AG1807" s="564"/>
      <c r="AH1807" s="553"/>
      <c r="AI1807" s="565"/>
      <c r="AJ1807" s="553"/>
      <c r="AK1807" s="566"/>
      <c r="AL1807" s="333"/>
      <c r="AM1807" s="549" t="str">
        <f>EUconst_CNTR_BiomassContent&amp;EUconst_Value</f>
        <v>BioC_Vertė</v>
      </c>
      <c r="AO1807" s="587" t="str">
        <f>IF(AC1807=TRUE,IF(COUNTIF(MSPara_SourceStreamCategory,V1807)=0,"",INDEX(MSPara_CalcFactorsMatrix,MATCH(V1807,MSPara_SourceStreamCategory,0),MATCH(AM1807&amp;"_"&amp;2,MSPara_CalcFactors,0))),"")</f>
        <v/>
      </c>
      <c r="AP1807" s="553"/>
      <c r="AQ1807" s="568" t="str">
        <f>IF(OR(AA1807="",AO1807=EUconst_NA),"",AO1807)</f>
        <v/>
      </c>
      <c r="AR1807" s="548">
        <f>IF(AC1807=TRUE,IF(COUNT(K1807:L1807)=0,0,IF(L1807="",K1807,L1807)),0)</f>
        <v>0</v>
      </c>
      <c r="AS1807" s="544" t="b">
        <f>AND(AC1807=TRUE,OR(AND(F1807&lt;&gt;"",NOT(ISNUMBER(AA1807))),L1807&lt;&gt;"",F1807="",AQ1807=""))</f>
        <v>0</v>
      </c>
      <c r="AT1807" s="544" t="b">
        <f t="shared" si="450"/>
        <v>0</v>
      </c>
      <c r="AU1807" s="30"/>
      <c r="AV1807" s="558" t="b">
        <f t="shared" si="451"/>
        <v>0</v>
      </c>
      <c r="AW1807" s="559" t="b">
        <f t="shared" si="452"/>
        <v>0</v>
      </c>
      <c r="AX1807" s="30"/>
      <c r="AY1807" s="585" t="b">
        <f t="shared" si="453"/>
        <v>0</v>
      </c>
      <c r="AZ1807" s="522" t="b">
        <f>OR(AR1807&gt;100%,(AR1807+AR1808)&gt;100%)</f>
        <v>0</v>
      </c>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544" t="b">
        <f>OR(BZ1800,Y1807=EUconst_NA)</f>
        <v>1</v>
      </c>
    </row>
    <row r="1808" spans="1:78" s="140" customFormat="1" ht="12.75" customHeight="1" thickBot="1" x14ac:dyDescent="0.25">
      <c r="A1808" s="777"/>
      <c r="B1808" s="1248"/>
      <c r="C1808" s="753" t="s">
        <v>448</v>
      </c>
      <c r="D1808" s="503" t="str">
        <f>Translations!$B$647</f>
        <v>Netvarios BioC dalis:</v>
      </c>
      <c r="E1808" s="504"/>
      <c r="F1808" s="588"/>
      <c r="G1808" s="1603" t="str">
        <f t="shared" si="448"/>
        <v/>
      </c>
      <c r="H1808" s="1604"/>
      <c r="I1808" s="1114" t="str">
        <f>IF(OR(AC1808=FALSE,Y1808=EUconst_NA),"","-")</f>
        <v/>
      </c>
      <c r="J1808" s="560"/>
      <c r="K1808" s="589" t="str">
        <f t="shared" si="449"/>
        <v/>
      </c>
      <c r="L1808" s="1100"/>
      <c r="M1808" s="700" t="str">
        <f>IF(AND(E1791&lt;&gt;"",OR(F1808="",COUNT(K1808:L1808)=0),Y1808&lt;&gt;EUconst_NA,T1791&lt;&gt;TRUE),EUconst_ERR_Incomplete,IF(COUNTIF(AX1808:AZ1808,TRUE)&gt;0,EUconst_ERR_Inconsistent,""))</f>
        <v/>
      </c>
      <c r="O1808" s="1305"/>
      <c r="P1808" s="635"/>
      <c r="Q1808" s="635"/>
      <c r="R1808" s="635"/>
      <c r="S1808" s="30"/>
      <c r="T1808" s="590" t="str">
        <f>EUconst_CNTR_BiomassContent&amp;E1791</f>
        <v>BioC_</v>
      </c>
      <c r="U1808" s="488"/>
      <c r="V1808" s="570" t="str">
        <f t="shared" si="454"/>
        <v/>
      </c>
      <c r="W1808" s="571" t="str">
        <f>IF(COUNTIF(MSPara_SourceStreamCategory,V1808)=0,"",INDEX(MSPara_IsFossil,MATCH(V1808,MSPara_SourceStreamCategory,0)))</f>
        <v/>
      </c>
      <c r="X1808" s="488"/>
      <c r="Y1808" s="591" t="str">
        <f>IF(OR(T1791=TRUE,E1791=""),"",IF(OR(W1808=TRUE,F1808=EUconst_NA),EUconst_NA,INDEX(EUwideConstants!$N:$N,MATCH(T1808,EUwideConstants!$Q:$Q,0))))</f>
        <v/>
      </c>
      <c r="Z1808" s="592" t="str">
        <f>IF(ISBLANK(F1808),"",IF(F1808=EUconst_NA,"",INDEX(EUwideConstants!$H:$M,MATCH(T1808,EUwideConstants!$Q:$Q,0),MATCH(F1808,CNTR_TierList,0))))</f>
        <v/>
      </c>
      <c r="AA1808" s="593" t="str">
        <f>IF(F1808=1,1,"")</f>
        <v/>
      </c>
      <c r="AB1808" s="30"/>
      <c r="AC1808" s="594" t="b">
        <f>AND(AC1800,Y1808&lt;&gt;EUconst_NA)</f>
        <v>0</v>
      </c>
      <c r="AD1808" s="30"/>
      <c r="AE1808" s="595"/>
      <c r="AF1808" s="596"/>
      <c r="AG1808" s="597"/>
      <c r="AH1808" s="598"/>
      <c r="AI1808" s="598"/>
      <c r="AJ1808" s="598"/>
      <c r="AK1808" s="599"/>
      <c r="AL1808" s="333"/>
      <c r="AM1808" s="600" t="str">
        <f>EUconst_CNTR_BiomassContent&amp;EUconst_Value</f>
        <v>BioC_Vertė</v>
      </c>
      <c r="AN1808" s="596"/>
      <c r="AO1808" s="601" t="str">
        <f>IF(AC1808=TRUE,IF(COUNTIF(MSPara_SourceStreamCategory,V1808)=0,"",INDEX(MSPara_CalcFactorsMatrix,MATCH(V1808,MSPara_SourceStreamCategory,0),MATCH(AM1808&amp;"_"&amp;2,MSPara_CalcFactors,0))),"")</f>
        <v/>
      </c>
      <c r="AP1808" s="598"/>
      <c r="AQ1808" s="602" t="str">
        <f>IF(OR(AA1808="",AO1808=EUconst_NA),"",AO1808)</f>
        <v/>
      </c>
      <c r="AR1808" s="594">
        <f>IF(AC1808=TRUE,IF(COUNT(K1808:L1808)=0,0,IF(L1808="",K1808,L1808)),0)</f>
        <v>0</v>
      </c>
      <c r="AS1808" s="603" t="b">
        <f>AND(AC1808=TRUE,OR(AND(F1808&lt;&gt;"",NOT(ISNUMBER(AA1808))),L1808&lt;&gt;"",F1808="",AQ1808=""))</f>
        <v>0</v>
      </c>
      <c r="AT1808" s="603" t="b">
        <f t="shared" si="450"/>
        <v>0</v>
      </c>
      <c r="AU1808" s="30"/>
      <c r="AV1808" s="604" t="b">
        <f t="shared" si="451"/>
        <v>0</v>
      </c>
      <c r="AW1808" s="605" t="b">
        <f t="shared" si="452"/>
        <v>0</v>
      </c>
      <c r="AX1808" s="30"/>
      <c r="AY1808" s="570" t="b">
        <f t="shared" si="453"/>
        <v>0</v>
      </c>
      <c r="AZ1808" s="571" t="b">
        <f>OR(AR1807&gt;100%,(AR1807+AR1808)&gt;100%)</f>
        <v>0</v>
      </c>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571" t="b">
        <f>OR(BZ1800,Y1808=EUconst_NA)</f>
        <v>1</v>
      </c>
    </row>
    <row r="1809" spans="1:78" s="140" customFormat="1" ht="5.0999999999999996" customHeight="1" x14ac:dyDescent="0.2">
      <c r="A1809" s="777"/>
      <c r="B1809" s="1248"/>
      <c r="C1809" s="164"/>
      <c r="D1809" s="178"/>
      <c r="O1809" s="1305"/>
      <c r="P1809" s="33"/>
      <c r="Q1809" s="33"/>
      <c r="R1809" s="33"/>
      <c r="S1809" s="172"/>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row>
    <row r="1810" spans="1:78" s="140" customFormat="1" ht="12.75" customHeight="1" x14ac:dyDescent="0.2">
      <c r="A1810" s="777"/>
      <c r="B1810" s="1248"/>
      <c r="C1810" s="164"/>
      <c r="D1810" s="1629" t="str">
        <f>Translations!$B$674</f>
        <v>Pakopos galioja nuo:</v>
      </c>
      <c r="E1810" s="1629"/>
      <c r="F1810" s="1630"/>
      <c r="G1810" s="1014"/>
      <c r="H1810" s="606" t="str">
        <f>Translations!$B$675</f>
        <v>iki:</v>
      </c>
      <c r="I1810" s="1014"/>
      <c r="J1810" s="1620" t="str">
        <f>Translations!$B$676</f>
        <v>Atliekų katalogo numeris (jeigu taikytina):</v>
      </c>
      <c r="K1810" s="1621"/>
      <c r="L1810" s="1621"/>
      <c r="M1810" s="1622"/>
      <c r="N1810" s="1232"/>
      <c r="O1810" s="1305"/>
      <c r="P1810" s="33"/>
      <c r="Q1810" s="33"/>
      <c r="R1810" s="33"/>
      <c r="S1810" s="1233"/>
      <c r="T1810" s="483"/>
      <c r="U1810" s="483"/>
      <c r="V1810" s="48" t="b">
        <f>IF(V1800="",FALSE,INDEX(CNTR_IsWaste,MATCH(V1800,MSParameters!$A$218:$A$376,0)))</f>
        <v>0</v>
      </c>
      <c r="W1810" s="1233" t="s">
        <v>1689</v>
      </c>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2" t="b">
        <f>BZ1800</f>
        <v>1</v>
      </c>
    </row>
    <row r="1811" spans="1:78" s="140" customFormat="1" ht="5.0999999999999996" customHeight="1" x14ac:dyDescent="0.2">
      <c r="A1811" s="777"/>
      <c r="B1811" s="1248"/>
      <c r="C1811" s="164"/>
      <c r="D1811" s="606"/>
      <c r="E1811" s="486"/>
      <c r="F1811" s="486"/>
      <c r="G1811" s="486"/>
      <c r="H1811" s="486"/>
      <c r="I1811" s="486"/>
      <c r="J1811" s="486"/>
      <c r="K1811" s="486"/>
      <c r="L1811" s="486"/>
      <c r="M1811" s="486"/>
      <c r="N1811" s="486"/>
      <c r="O1811" s="1305"/>
      <c r="P1811" s="33"/>
      <c r="Q1811" s="33"/>
      <c r="R1811" s="33"/>
      <c r="S1811" s="172"/>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row>
    <row r="1812" spans="1:78" s="140" customFormat="1" ht="12.75" customHeight="1" x14ac:dyDescent="0.2">
      <c r="A1812" s="777"/>
      <c r="B1812" s="1248"/>
      <c r="C1812" s="164"/>
      <c r="D1812" s="486"/>
      <c r="E1812" s="486"/>
      <c r="F1812" s="486"/>
      <c r="G1812" s="486"/>
      <c r="H1812" s="486"/>
      <c r="I1812" s="486"/>
      <c r="J1812" s="486"/>
      <c r="K1812" s="486"/>
      <c r="L1812" s="486"/>
      <c r="M1812" s="606" t="str">
        <f>Translations!$B$677</f>
        <v>Stebėsenos plane šiam sukėlikliui suteiktas identifikatorius:</v>
      </c>
      <c r="N1812" s="705"/>
      <c r="O1812" s="1305"/>
      <c r="P1812" s="33"/>
      <c r="Q1812" s="33"/>
      <c r="R1812" s="33"/>
      <c r="S1812" s="172"/>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2" t="b">
        <f>BZ1810</f>
        <v>1</v>
      </c>
    </row>
    <row r="1813" spans="1:78" s="140" customFormat="1" ht="5.0999999999999996" customHeight="1" x14ac:dyDescent="0.2">
      <c r="A1813" s="784"/>
      <c r="B1813" s="1316"/>
      <c r="D1813" s="178"/>
      <c r="O1813" s="1317"/>
      <c r="P1813" s="488"/>
      <c r="Q1813" s="488"/>
      <c r="R1813" s="488"/>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row>
    <row r="1814" spans="1:78" s="140" customFormat="1" x14ac:dyDescent="0.2">
      <c r="A1814" s="784"/>
      <c r="B1814" s="1316"/>
      <c r="D1814" s="1618" t="str">
        <f>Translations!$B$160</f>
        <v>Pastabos:</v>
      </c>
      <c r="E1814" s="1619"/>
      <c r="F1814" s="1605"/>
      <c r="G1814" s="1606"/>
      <c r="H1814" s="1606"/>
      <c r="I1814" s="1606"/>
      <c r="J1814" s="1606"/>
      <c r="K1814" s="1606"/>
      <c r="L1814" s="1606"/>
      <c r="M1814" s="1606"/>
      <c r="N1814" s="1607"/>
      <c r="O1814" s="1317"/>
      <c r="P1814" s="488"/>
      <c r="Q1814" s="488"/>
      <c r="R1814" s="488"/>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2" t="b">
        <f>BZ1810</f>
        <v>1</v>
      </c>
    </row>
    <row r="1815" spans="1:78" s="28" customFormat="1" ht="12.75" customHeight="1" thickBot="1" x14ac:dyDescent="0.25">
      <c r="A1815" s="777"/>
      <c r="B1815" s="1312"/>
      <c r="C1815" s="490"/>
      <c r="D1815" s="491"/>
      <c r="E1815" s="492"/>
      <c r="F1815" s="490"/>
      <c r="G1815" s="493"/>
      <c r="H1815" s="493"/>
      <c r="I1815" s="493"/>
      <c r="J1815" s="493"/>
      <c r="K1815" s="493"/>
      <c r="L1815" s="493"/>
      <c r="M1815" s="493"/>
      <c r="N1815" s="493"/>
      <c r="O1815" s="1313"/>
      <c r="P1815" s="485"/>
      <c r="Q1815" s="485"/>
      <c r="R1815" s="485"/>
      <c r="S1815" s="58"/>
      <c r="T1815" s="58"/>
      <c r="U1815" s="489"/>
      <c r="V1815" s="58"/>
      <c r="W1815" s="58"/>
      <c r="X1815" s="489"/>
      <c r="Y1815" s="58"/>
      <c r="Z1815" s="58"/>
      <c r="AA1815" s="58"/>
      <c r="AB1815" s="58"/>
      <c r="AC1815" s="58"/>
      <c r="AD1815" s="58"/>
      <c r="AE1815" s="58"/>
      <c r="AF1815" s="58"/>
      <c r="AG1815" s="58"/>
      <c r="AH1815" s="58"/>
      <c r="AI1815" s="58"/>
      <c r="AJ1815" s="58"/>
      <c r="AK1815" s="58"/>
      <c r="AL1815" s="58"/>
      <c r="AM1815" s="58"/>
      <c r="AN1815" s="58"/>
      <c r="AO1815" s="58"/>
      <c r="AP1815" s="58"/>
      <c r="AQ1815" s="58"/>
      <c r="AR1815" s="58"/>
      <c r="AS1815" s="58"/>
      <c r="AT1815" s="58"/>
      <c r="AU1815" s="58"/>
      <c r="AV1815" s="58"/>
      <c r="AW1815" s="58"/>
      <c r="AX1815" s="58"/>
      <c r="AY1815" s="58"/>
      <c r="AZ1815" s="58"/>
      <c r="BA1815" s="58"/>
      <c r="BB1815" s="58"/>
      <c r="BC1815" s="58"/>
      <c r="BD1815" s="58"/>
      <c r="BE1815" s="58"/>
      <c r="BF1815" s="58"/>
      <c r="BG1815" s="58"/>
      <c r="BH1815" s="58"/>
      <c r="BI1815" s="30"/>
      <c r="BJ1815" s="30"/>
      <c r="BK1815" s="30"/>
      <c r="BL1815" s="58"/>
      <c r="BM1815" s="58"/>
      <c r="BN1815" s="58"/>
      <c r="BO1815" s="58"/>
      <c r="BP1815" s="58"/>
      <c r="BQ1815" s="58"/>
      <c r="BR1815" s="58"/>
      <c r="BS1815" s="58"/>
      <c r="BT1815" s="58"/>
      <c r="BU1815" s="58"/>
      <c r="BV1815" s="58"/>
      <c r="BW1815" s="58"/>
      <c r="BX1815" s="58"/>
      <c r="BY1815" s="58"/>
      <c r="BZ1815" s="58"/>
    </row>
    <row r="1816" spans="1:78" s="28" customFormat="1" ht="12.75" customHeight="1" thickBot="1" x14ac:dyDescent="0.25">
      <c r="A1816" s="782"/>
      <c r="B1816" s="1312"/>
      <c r="C1816" s="486"/>
      <c r="D1816" s="178"/>
      <c r="E1816" s="487"/>
      <c r="F1816" s="486"/>
      <c r="G1816" s="478"/>
      <c r="H1816" s="478"/>
      <c r="I1816" s="478"/>
      <c r="J1816" s="478"/>
      <c r="K1816" s="486"/>
      <c r="L1816" s="478"/>
      <c r="M1816" s="478"/>
      <c r="N1816" s="478"/>
      <c r="O1816" s="1313"/>
      <c r="P1816" s="485"/>
      <c r="Q1816" s="485"/>
      <c r="R1816" s="485"/>
      <c r="S1816" s="23"/>
      <c r="T1816" s="27" t="str">
        <f>IF(ISBLANK(E1817),"",MATCH(E1817,CNTR_SourceStreamNames,0))</f>
        <v/>
      </c>
      <c r="U1816" s="609" t="str">
        <f>IF(ISBLANK(E1817),"",INDEX(B_InstallationDescription!$D$71:$D$145,MATCH(E1817,CNTR_SourceStreamNames,0)))</f>
        <v/>
      </c>
      <c r="V1816" s="76"/>
      <c r="W1816" s="56"/>
      <c r="X1816" s="56"/>
      <c r="Y1816" s="56"/>
      <c r="Z1816" s="58"/>
      <c r="AA1816" s="58"/>
      <c r="AB1816" s="58"/>
      <c r="AC1816" s="58"/>
      <c r="AD1816" s="58"/>
      <c r="AE1816" s="58"/>
      <c r="AF1816" s="58"/>
      <c r="AG1816" s="58"/>
      <c r="AH1816" s="58"/>
      <c r="AI1816" s="58"/>
      <c r="AJ1816" s="58"/>
      <c r="AK1816" s="482"/>
      <c r="AL1816" s="58"/>
      <c r="AM1816" s="58"/>
      <c r="AN1816" s="58"/>
      <c r="AO1816" s="58"/>
      <c r="AP1816" s="58"/>
      <c r="AQ1816" s="58"/>
      <c r="AR1816" s="58"/>
      <c r="AS1816" s="58"/>
      <c r="AT1816" s="58"/>
      <c r="AU1816" s="58"/>
      <c r="AV1816" s="58"/>
      <c r="AW1816" s="58"/>
      <c r="AX1816" s="58"/>
      <c r="AY1816" s="58"/>
      <c r="AZ1816" s="58"/>
      <c r="BA1816" s="58"/>
      <c r="BB1816" s="58"/>
      <c r="BC1816" s="58"/>
      <c r="BD1816" s="58"/>
      <c r="BE1816" s="58"/>
      <c r="BF1816" s="58"/>
      <c r="BG1816" s="58"/>
      <c r="BH1816" s="56"/>
      <c r="BI1816" s="56"/>
      <c r="BJ1816" s="56"/>
      <c r="BK1816" s="56"/>
      <c r="BL1816" s="56"/>
      <c r="BM1816" s="56"/>
      <c r="BN1816" s="56"/>
      <c r="BO1816" s="56"/>
      <c r="BP1816" s="56"/>
      <c r="BQ1816" s="56"/>
      <c r="BR1816" s="56"/>
      <c r="BS1816" s="56"/>
      <c r="BT1816" s="56"/>
      <c r="BU1816" s="56"/>
      <c r="BV1816" s="56"/>
      <c r="BW1816" s="56"/>
      <c r="BX1816" s="56"/>
      <c r="BY1816" s="56"/>
      <c r="BZ1816" s="484" t="s">
        <v>259</v>
      </c>
    </row>
    <row r="1817" spans="1:78" s="140" customFormat="1" ht="15" customHeight="1" thickBot="1" x14ac:dyDescent="0.25">
      <c r="A1817" s="1302" t="str">
        <f>IF(E1817="","","PRINT")</f>
        <v/>
      </c>
      <c r="B1817" s="1248"/>
      <c r="C1817" s="608">
        <f>C1790+1</f>
        <v>66</v>
      </c>
      <c r="D1817" s="164"/>
      <c r="E1817" s="1610"/>
      <c r="F1817" s="1611"/>
      <c r="G1817" s="1611"/>
      <c r="H1817" s="1611"/>
      <c r="I1817" s="1611"/>
      <c r="J1817" s="1612"/>
      <c r="K1817" s="1623" t="str">
        <f>IF(E1818="","",INDEX(EUwideConstants!$F$353:$F$394,MATCH(E1818,EUConst_TierActivityListNames,0)))</f>
        <v/>
      </c>
      <c r="L1817" s="1624"/>
      <c r="M1817" s="494" t="str">
        <f>Translations!$B$665</f>
        <v>CO2, iškastinio kuro kilmės:</v>
      </c>
      <c r="N1817" s="1012" t="str">
        <f>IF(OR(K1817="",T1818=TRUE),"",INDEX(BC1831:BE1831,MATCH(K1817,BC1827:BE1827,0)))</f>
        <v/>
      </c>
      <c r="O1817" s="1314" t="s">
        <v>257</v>
      </c>
      <c r="P1817" s="1303" t="str">
        <f>IF(AND(E1817&lt;&gt;"",COUNTIF(P1818:$P$2089,"PRINT")=0),"PRINT","")</f>
        <v/>
      </c>
      <c r="Q1817" s="343" t="str">
        <f>EUconst_SumCO2 &amp; "_" &amp; K1817</f>
        <v>SUM_CO2_</v>
      </c>
      <c r="R1817" s="485"/>
      <c r="S1817" s="23"/>
      <c r="T1817" s="500" t="s">
        <v>387</v>
      </c>
      <c r="U1817" s="23"/>
      <c r="V1817" s="76"/>
      <c r="W1817" s="56"/>
      <c r="X1817" s="58"/>
      <c r="Y1817" s="58"/>
      <c r="Z1817" s="58"/>
      <c r="AA1817" s="58"/>
      <c r="AB1817" s="58"/>
      <c r="AC1817" s="58"/>
      <c r="AD1817" s="58"/>
      <c r="AE1817" s="58"/>
      <c r="AF1817" s="58"/>
      <c r="AG1817" s="58"/>
      <c r="AH1817" s="58"/>
      <c r="AI1817" s="333"/>
      <c r="AJ1817" s="333"/>
      <c r="AK1817" s="333"/>
      <c r="AL1817" s="333"/>
      <c r="AM1817" s="333"/>
      <c r="AN1817" s="333"/>
      <c r="AO1817" s="333"/>
      <c r="AP1817" s="333"/>
      <c r="AQ1817" s="333"/>
      <c r="AR1817" s="333"/>
      <c r="AS1817" s="333"/>
      <c r="AT1817" s="333"/>
      <c r="AU1817" s="333"/>
      <c r="AV1817" s="333"/>
      <c r="AW1817" s="333"/>
      <c r="AX1817" s="333"/>
      <c r="AY1817" s="333"/>
      <c r="AZ1817" s="333"/>
      <c r="BA1817" s="333"/>
      <c r="BB1817" s="333"/>
      <c r="BC1817" s="333"/>
      <c r="BD1817" s="333"/>
      <c r="BE1817" s="333"/>
      <c r="BF1817" s="333"/>
      <c r="BG1817" s="333"/>
      <c r="BH1817" s="834">
        <f>AR1827</f>
        <v>0</v>
      </c>
      <c r="BI1817" s="834" t="str">
        <f>AJ1827</f>
        <v/>
      </c>
      <c r="BJ1817" s="834">
        <f>AR1829</f>
        <v>0</v>
      </c>
      <c r="BK1817" s="834" t="str">
        <f>AJ1829</f>
        <v/>
      </c>
      <c r="BL1817" s="834">
        <f>AR1830</f>
        <v>0</v>
      </c>
      <c r="BM1817" s="834" t="str">
        <f>AJ1830</f>
        <v/>
      </c>
      <c r="BN1817" s="834">
        <f>AR1831</f>
        <v>1</v>
      </c>
      <c r="BO1817" s="834">
        <f>AR1832</f>
        <v>1</v>
      </c>
      <c r="BP1817" s="834">
        <f>AR1833</f>
        <v>0</v>
      </c>
      <c r="BQ1817" s="834" t="str">
        <f>AJ1833</f>
        <v/>
      </c>
      <c r="BR1817" s="834">
        <f>AR1834</f>
        <v>0</v>
      </c>
      <c r="BS1817" s="834">
        <f>AR1835</f>
        <v>0</v>
      </c>
      <c r="BT1817" s="834" t="str">
        <f>N1817</f>
        <v/>
      </c>
      <c r="BU1817" s="834" t="str">
        <f>N1818</f>
        <v/>
      </c>
      <c r="BV1817" s="834" t="str">
        <f>R1820</f>
        <v/>
      </c>
      <c r="BW1817" s="834" t="str">
        <f>R1826</f>
        <v/>
      </c>
      <c r="BX1817" s="834" t="str">
        <f>R1827</f>
        <v/>
      </c>
      <c r="BY1817" s="56"/>
      <c r="BZ1817" s="610" t="b">
        <f>CNTR_CalcRelevant=EUconst_NotRelevant</f>
        <v>0</v>
      </c>
    </row>
    <row r="1818" spans="1:78" s="140" customFormat="1" ht="15" customHeight="1" thickBot="1" x14ac:dyDescent="0.25">
      <c r="A1818" s="777"/>
      <c r="B1818" s="1248"/>
      <c r="C1818" s="164"/>
      <c r="D1818" s="164"/>
      <c r="E1818" s="1625" t="str">
        <f>IF(ISBLANK(E1817),"",IF(INDEX(B_InstallationDescription!$E$71:$E$145,MATCH(U1816,B_InstallationDescription!$D$71:$D$145,0))&gt;0,INDEX(B_InstallationDescription!$E$71:$E$145,MATCH(U1816,B_InstallationDescription!$D$71:$D$145,0)),""))</f>
        <v/>
      </c>
      <c r="F1818" s="1626"/>
      <c r="G1818" s="1626"/>
      <c r="H1818" s="1626"/>
      <c r="I1818" s="1626"/>
      <c r="J1818" s="1627"/>
      <c r="M1818" s="337" t="str">
        <f>Translations!$B$666</f>
        <v>CO2, biomasės kilmės.:</v>
      </c>
      <c r="N1818" s="1013" t="str">
        <f>IF(OR(K1817="",T1818=TRUE),"",INDEX(BC1830:BE1830,MATCH(K1817,BC1827:BE1827,0)))</f>
        <v/>
      </c>
      <c r="O1818" s="1315" t="s">
        <v>257</v>
      </c>
      <c r="P1818" s="485"/>
      <c r="Q1818" s="343" t="str">
        <f>EUconst_SumBioCO2 &amp; "_" &amp; K1817</f>
        <v>SUM_bioCO2_</v>
      </c>
      <c r="R1818" s="485"/>
      <c r="S1818" s="23"/>
      <c r="T1818" s="48" t="str">
        <f>IF(E1818="","",MATCH(E1818,EUConst_TierActivityListNames,0)&gt;40)</f>
        <v/>
      </c>
      <c r="U1818" s="23"/>
      <c r="V1818" s="76"/>
      <c r="W1818" s="56"/>
      <c r="X1818" s="58"/>
      <c r="Y1818" s="27" t="s">
        <v>91</v>
      </c>
      <c r="Z1818" s="30"/>
      <c r="AA1818" s="30"/>
      <c r="AB1818" s="30"/>
      <c r="AC1818" s="30"/>
      <c r="AD1818" s="30"/>
      <c r="AE1818" s="27" t="s">
        <v>297</v>
      </c>
      <c r="AF1818" s="58"/>
      <c r="AG1818" s="495"/>
      <c r="AH1818" s="30"/>
      <c r="AI1818" s="30"/>
      <c r="AJ1818" s="495"/>
      <c r="AK1818" s="495"/>
      <c r="AL1818" s="333"/>
      <c r="AM1818" s="27" t="s">
        <v>303</v>
      </c>
      <c r="AN1818" s="496"/>
      <c r="AO1818" s="496"/>
      <c r="AP1818" s="30"/>
      <c r="AQ1818" s="30"/>
      <c r="AR1818" s="30"/>
      <c r="AS1818" s="30"/>
      <c r="AT1818" s="30"/>
      <c r="AU1818" s="30"/>
      <c r="AV1818" s="27" t="s">
        <v>310</v>
      </c>
      <c r="AW1818" s="30"/>
      <c r="AX1818" s="483"/>
      <c r="AY1818" s="30"/>
      <c r="AZ1818" s="30"/>
      <c r="BA1818" s="30"/>
      <c r="BB1818" s="27" t="s">
        <v>217</v>
      </c>
      <c r="BC1818" s="30"/>
      <c r="BD1818" s="30"/>
      <c r="BE1818" s="30"/>
      <c r="BF1818" s="30"/>
      <c r="BG1818" s="27" t="s">
        <v>486</v>
      </c>
      <c r="BH1818" s="833" t="s">
        <v>552</v>
      </c>
      <c r="BI1818" s="833" t="s">
        <v>487</v>
      </c>
      <c r="BJ1818" s="833" t="s">
        <v>211</v>
      </c>
      <c r="BK1818" s="833" t="s">
        <v>488</v>
      </c>
      <c r="BL1818" s="833" t="s">
        <v>68</v>
      </c>
      <c r="BM1818" s="833" t="s">
        <v>489</v>
      </c>
      <c r="BN1818" s="833" t="s">
        <v>490</v>
      </c>
      <c r="BO1818" s="833" t="s">
        <v>491</v>
      </c>
      <c r="BP1818" s="833" t="s">
        <v>214</v>
      </c>
      <c r="BQ1818" s="833" t="s">
        <v>492</v>
      </c>
      <c r="BR1818" s="833" t="s">
        <v>493</v>
      </c>
      <c r="BS1818" s="833" t="s">
        <v>494</v>
      </c>
      <c r="BT1818" s="833" t="s">
        <v>287</v>
      </c>
      <c r="BU1818" s="833" t="s">
        <v>495</v>
      </c>
      <c r="BV1818" s="833" t="s">
        <v>498</v>
      </c>
      <c r="BW1818" s="833" t="s">
        <v>496</v>
      </c>
      <c r="BX1818" s="833" t="s">
        <v>497</v>
      </c>
      <c r="BY1818" s="30"/>
      <c r="BZ1818" s="30"/>
    </row>
    <row r="1819" spans="1:78" s="140" customFormat="1" ht="5.0999999999999996" customHeight="1" thickBot="1" x14ac:dyDescent="0.25">
      <c r="A1819" s="777"/>
      <c r="B1819" s="1248"/>
      <c r="C1819" s="164"/>
      <c r="D1819" s="164"/>
      <c r="E1819" s="164"/>
      <c r="F1819" s="164"/>
      <c r="G1819" s="164"/>
      <c r="M1819" s="141"/>
      <c r="N1819" s="141"/>
      <c r="O1819" s="1305"/>
      <c r="P1819" s="33"/>
      <c r="Q1819" s="33"/>
      <c r="R1819" s="33"/>
      <c r="S1819" s="23"/>
      <c r="T1819" s="23"/>
      <c r="U1819" s="23"/>
      <c r="V1819" s="76"/>
      <c r="W1819" s="30"/>
      <c r="X1819" s="30"/>
      <c r="Y1819" s="485"/>
      <c r="Z1819" s="30"/>
      <c r="AA1819" s="30"/>
      <c r="AB1819" s="30"/>
      <c r="AC1819" s="30"/>
      <c r="AD1819" s="30"/>
      <c r="AE1819" s="30"/>
      <c r="AF1819" s="58"/>
      <c r="AG1819" s="30"/>
      <c r="AH1819" s="30"/>
      <c r="AI1819" s="30"/>
      <c r="AJ1819" s="495"/>
      <c r="AK1819" s="495"/>
      <c r="AL1819" s="333"/>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row>
    <row r="1820" spans="1:78" s="140" customFormat="1" ht="12.75" customHeight="1" thickBot="1" x14ac:dyDescent="0.25">
      <c r="A1820" s="777"/>
      <c r="B1820" s="1248"/>
      <c r="C1820" s="164"/>
      <c r="D1820" s="164"/>
      <c r="E1820" s="1628" t="str">
        <f>IF(E1817="","",IF(T1818=TRUE,HYPERLINK("#JUMP_14",EUconst_MsgGoOnPFC),HYPERLINK("#JUMP_E_8",EUconst_FurtherGuidancePoint1)))</f>
        <v/>
      </c>
      <c r="F1820" s="1628"/>
      <c r="G1820" s="1628"/>
      <c r="H1820" s="1628"/>
      <c r="I1820" s="1628"/>
      <c r="J1820" s="1628"/>
      <c r="K1820" s="1628"/>
      <c r="L1820" s="1628"/>
      <c r="M1820" s="1628"/>
      <c r="N1820" s="141"/>
      <c r="O1820" s="1305"/>
      <c r="P1820" s="33"/>
      <c r="Q1820" s="343" t="str">
        <f>EUconst_SumNonSustBioCO2 &amp; "_" &amp; K1817</f>
        <v>SUM_bioNonSustCO2_</v>
      </c>
      <c r="R1820" s="698" t="str">
        <f>IF(OR(K1817="",T1818=TRUE),"",ROUND(INDEX(BC1829:BE1829,MATCH(K1817,BC1827:BE1827,0)),0))</f>
        <v/>
      </c>
      <c r="S1820" s="23"/>
      <c r="T1820" s="23"/>
      <c r="U1820" s="23"/>
      <c r="V1820" s="30"/>
      <c r="W1820" s="30"/>
      <c r="X1820" s="30"/>
      <c r="Y1820" s="58"/>
      <c r="Z1820" s="30"/>
      <c r="AA1820" s="30"/>
      <c r="AB1820" s="30"/>
      <c r="AC1820" s="30"/>
      <c r="AD1820" s="30"/>
      <c r="AE1820" s="30"/>
      <c r="AF1820" s="58"/>
      <c r="AG1820" s="30"/>
      <c r="AH1820" s="30"/>
      <c r="AI1820" s="30"/>
      <c r="AJ1820" s="495"/>
      <c r="AK1820" s="495"/>
      <c r="AL1820" s="333"/>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row>
    <row r="1821" spans="1:78" s="140" customFormat="1" ht="5.0999999999999996" customHeight="1" thickBot="1" x14ac:dyDescent="0.25">
      <c r="A1821" s="777"/>
      <c r="B1821" s="1248"/>
      <c r="C1821" s="164"/>
      <c r="D1821" s="164"/>
      <c r="E1821" s="164"/>
      <c r="F1821" s="164"/>
      <c r="G1821" s="164"/>
      <c r="M1821" s="141"/>
      <c r="N1821" s="141"/>
      <c r="O1821" s="1305"/>
      <c r="P1821" s="23"/>
      <c r="Q1821" s="23"/>
      <c r="R1821" s="23"/>
      <c r="S1821" s="23"/>
      <c r="T1821" s="23"/>
      <c r="U1821" s="23"/>
      <c r="V1821" s="30"/>
      <c r="W1821" s="30"/>
      <c r="X1821" s="30"/>
      <c r="Y1821" s="485"/>
      <c r="Z1821" s="30"/>
      <c r="AA1821" s="30"/>
      <c r="AB1821" s="30"/>
      <c r="AC1821" s="30"/>
      <c r="AD1821" s="30"/>
      <c r="AE1821" s="30"/>
      <c r="AF1821" s="58"/>
      <c r="AG1821" s="30"/>
      <c r="AH1821" s="30"/>
      <c r="AI1821" s="30"/>
      <c r="AJ1821" s="495"/>
      <c r="AK1821" s="495"/>
      <c r="AL1821" s="333"/>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row>
    <row r="1822" spans="1:78" s="140" customFormat="1" ht="12.75" customHeight="1" thickBot="1" x14ac:dyDescent="0.25">
      <c r="A1822" s="777"/>
      <c r="B1822" s="1248"/>
      <c r="C1822" s="783" t="s">
        <v>4</v>
      </c>
      <c r="D1822" s="503" t="str">
        <f>Translations!$B$622</f>
        <v>VD:</v>
      </c>
      <c r="E1822" s="1631" t="str">
        <f>Translations!$B$667</f>
        <v>Ar veiklos duomenys gaunami sudedant išmatuotus kiekius (t. y. ne atliekant nuolatinius matavimus)?</v>
      </c>
      <c r="F1822" s="1631"/>
      <c r="G1822" s="1631"/>
      <c r="H1822" s="1631"/>
      <c r="I1822" s="1631"/>
      <c r="J1822" s="1631"/>
      <c r="K1822" s="1631"/>
      <c r="L1822" s="1122"/>
      <c r="M1822" s="498"/>
      <c r="O1822" s="1305"/>
      <c r="P1822" s="23"/>
      <c r="Q1822" s="23"/>
      <c r="R1822" s="23"/>
      <c r="S1822" s="23"/>
      <c r="T1822" s="23"/>
      <c r="U1822" s="23"/>
      <c r="V1822" s="30"/>
      <c r="W1822" s="30"/>
      <c r="X1822" s="30"/>
      <c r="Y1822" s="485"/>
      <c r="Z1822" s="30"/>
      <c r="AA1822" s="30"/>
      <c r="AB1822" s="30"/>
      <c r="AC1822" s="1115" t="b">
        <f>AND(E1817&lt;&gt;"",T1818&lt;&gt;TRUE)</f>
        <v>0</v>
      </c>
      <c r="AD1822" s="30"/>
      <c r="AE1822" s="30"/>
      <c r="AF1822" s="58"/>
      <c r="AG1822" s="30"/>
      <c r="AH1822" s="30"/>
      <c r="AI1822" s="30"/>
      <c r="AJ1822" s="495"/>
      <c r="AK1822" s="495"/>
      <c r="AL1822" s="333"/>
      <c r="AM1822" s="30"/>
      <c r="AN1822" s="30"/>
      <c r="AO1822" s="30"/>
      <c r="AP1822" s="30"/>
      <c r="AQ1822" s="30"/>
      <c r="AR1822" s="30"/>
      <c r="AS1822" s="30"/>
      <c r="AT1822" s="1115" t="b">
        <f>MSPara_BatchReportingMandatory&lt;&gt;TRUE</f>
        <v>0</v>
      </c>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1115" t="b">
        <f>OR(CNTR_CalcRelevant=EUconst_NotRelevant,AND(COUNTA(CNTR_ListRelevantSections)&gt;0,OR(T1818=TRUE,E1817="")))</f>
        <v>1</v>
      </c>
    </row>
    <row r="1823" spans="1:78" s="140" customFormat="1" ht="5.0999999999999996" customHeight="1" thickBot="1" x14ac:dyDescent="0.25">
      <c r="A1823" s="777"/>
      <c r="B1823" s="1248"/>
      <c r="C1823" s="164"/>
      <c r="D1823" s="164"/>
      <c r="E1823" s="164"/>
      <c r="F1823" s="164"/>
      <c r="G1823" s="164"/>
      <c r="H1823" s="486"/>
      <c r="I1823" s="486"/>
      <c r="J1823" s="486"/>
      <c r="K1823" s="486"/>
      <c r="L1823" s="486"/>
      <c r="M1823" s="498"/>
      <c r="O1823" s="1305"/>
      <c r="P1823" s="23"/>
      <c r="Q1823" s="23"/>
      <c r="R1823" s="23"/>
      <c r="S1823" s="23"/>
      <c r="T1823" s="23"/>
      <c r="U1823" s="23"/>
      <c r="V1823" s="30"/>
      <c r="W1823" s="30"/>
      <c r="X1823" s="30"/>
      <c r="Y1823" s="485"/>
      <c r="Z1823" s="30"/>
      <c r="AA1823" s="30"/>
      <c r="AB1823" s="30"/>
      <c r="AC1823" s="483"/>
      <c r="AD1823" s="30"/>
      <c r="AE1823" s="30"/>
      <c r="AF1823" s="58"/>
      <c r="AG1823" s="30"/>
      <c r="AH1823" s="30"/>
      <c r="AI1823" s="30"/>
      <c r="AJ1823" s="495"/>
      <c r="AK1823" s="495"/>
      <c r="AL1823" s="333"/>
      <c r="AM1823" s="30"/>
      <c r="AN1823" s="30"/>
      <c r="AO1823" s="30"/>
      <c r="AP1823" s="30"/>
      <c r="AQ1823" s="30"/>
      <c r="AR1823" s="30"/>
      <c r="AS1823" s="30"/>
      <c r="AT1823" s="483"/>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483"/>
    </row>
    <row r="1824" spans="1:78" s="140" customFormat="1" ht="12.75" customHeight="1" thickBot="1" x14ac:dyDescent="0.25">
      <c r="A1824" s="777"/>
      <c r="B1824" s="1248"/>
      <c r="C1824" s="783" t="s">
        <v>5</v>
      </c>
      <c r="D1824" s="503" t="str">
        <f>Translations!$B$622</f>
        <v>VD:</v>
      </c>
      <c r="E1824" s="1105" t="str">
        <f>Translations!$B$668</f>
        <v>Pradinis kiekis:</v>
      </c>
      <c r="F1824" s="1123"/>
      <c r="G1824" s="1106" t="str">
        <f>Translations!$B$669</f>
        <v>Galutinis kiekis:</v>
      </c>
      <c r="H1824" s="1123"/>
      <c r="I1824" s="1106" t="str">
        <f>Translations!$B$670</f>
        <v>Įsigytas kiekis:</v>
      </c>
      <c r="J1824" s="1123"/>
      <c r="K1824" s="1106" t="str">
        <f>Translations!$B$671</f>
        <v>Perduotas kiekis:</v>
      </c>
      <c r="L1824" s="1123"/>
      <c r="M1824" s="1107" t="str">
        <f>IF(AND(L1822=TRUE,COUNT(F1824,H1824,J1824,L1824)&lt;4),EUconst_ERR_Incomplete,"")</f>
        <v/>
      </c>
      <c r="O1824" s="1305"/>
      <c r="P1824" s="23"/>
      <c r="Q1824" s="23"/>
      <c r="R1824" s="23"/>
      <c r="S1824" s="23"/>
      <c r="T1824" s="23"/>
      <c r="U1824" s="23"/>
      <c r="V1824" s="30"/>
      <c r="W1824" s="30"/>
      <c r="X1824" s="30"/>
      <c r="Y1824" s="485"/>
      <c r="Z1824" s="30"/>
      <c r="AA1824" s="30"/>
      <c r="AB1824" s="30"/>
      <c r="AC1824" s="1115" t="b">
        <f>AC1822</f>
        <v>0</v>
      </c>
      <c r="AD1824" s="30"/>
      <c r="AE1824" s="30"/>
      <c r="AF1824" s="58"/>
      <c r="AG1824" s="30"/>
      <c r="AH1824" s="30"/>
      <c r="AI1824" s="30"/>
      <c r="AJ1824" s="495"/>
      <c r="AK1824" s="495"/>
      <c r="AL1824" s="333"/>
      <c r="AM1824" s="30"/>
      <c r="AN1824" s="30"/>
      <c r="AO1824" s="30"/>
      <c r="AP1824" s="30"/>
      <c r="AQ1824" s="30"/>
      <c r="AR1824" s="30"/>
      <c r="AS1824" s="30"/>
      <c r="AT1824" s="1115" t="b">
        <f>AND(AT1822=TRUE,L1822="")</f>
        <v>0</v>
      </c>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1115" t="b">
        <f>OR(BZ1822,AND(NOT(ISBLANK(L1822)),L1822=FALSE))</f>
        <v>1</v>
      </c>
    </row>
    <row r="1825" spans="1:78" s="140" customFormat="1" ht="5.0999999999999996" customHeight="1" thickBot="1" x14ac:dyDescent="0.25">
      <c r="A1825" s="777"/>
      <c r="B1825" s="1248"/>
      <c r="C1825" s="164"/>
      <c r="D1825" s="164"/>
      <c r="E1825" s="164"/>
      <c r="F1825" s="164"/>
      <c r="G1825" s="164"/>
      <c r="M1825" s="141"/>
      <c r="N1825" s="141"/>
      <c r="O1825" s="1305"/>
      <c r="P1825" s="23"/>
      <c r="Q1825" s="23"/>
      <c r="R1825" s="23"/>
      <c r="S1825" s="23"/>
      <c r="T1825" s="23"/>
      <c r="U1825" s="23"/>
      <c r="V1825" s="30"/>
      <c r="W1825" s="30"/>
      <c r="X1825" s="30"/>
      <c r="Y1825" s="485"/>
      <c r="Z1825" s="30"/>
      <c r="AA1825" s="30"/>
      <c r="AB1825" s="30"/>
      <c r="AC1825" s="30"/>
      <c r="AD1825" s="30"/>
      <c r="AE1825" s="30"/>
      <c r="AF1825" s="58"/>
      <c r="AG1825" s="30"/>
      <c r="AH1825" s="30"/>
      <c r="AI1825" s="30"/>
      <c r="AJ1825" s="495"/>
      <c r="AK1825" s="495"/>
      <c r="AL1825" s="333"/>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row>
    <row r="1826" spans="1:78" s="140" customFormat="1" ht="12.75" customHeight="1" thickBot="1" x14ac:dyDescent="0.25">
      <c r="A1826" s="777"/>
      <c r="B1826" s="1248"/>
      <c r="C1826" s="164"/>
      <c r="D1826" s="164"/>
      <c r="E1826" s="164"/>
      <c r="F1826" s="497" t="str">
        <f>Translations!$B$333</f>
        <v>Pakopa</v>
      </c>
      <c r="G1826" s="1613" t="str">
        <f>Translations!$B$672</f>
        <v>pakopos aprašas</v>
      </c>
      <c r="H1826" s="1613"/>
      <c r="I1826" s="1608" t="str">
        <f>Translations!$B$158</f>
        <v>Vienetas</v>
      </c>
      <c r="J1826" s="1608"/>
      <c r="K1826" s="1608" t="str">
        <f>Translations!$B$673</f>
        <v>Vertė</v>
      </c>
      <c r="L1826" s="1608"/>
      <c r="M1826" s="498" t="str">
        <f>Translations!$B$610</f>
        <v>klaida</v>
      </c>
      <c r="O1826" s="1305"/>
      <c r="P1826" s="499"/>
      <c r="Q1826" s="343" t="str">
        <f>EUconst_SumEnergyIN &amp; "_" &amp; K1817</f>
        <v>SUM_EnergyIN_</v>
      </c>
      <c r="R1826" s="390" t="str">
        <f>IF(OR(K1817="",T1818)=TRUE,"",INDEX(BC1832:BE1832,MATCH(K1817,BC1827:BE1827,0)))</f>
        <v/>
      </c>
      <c r="S1826" s="30"/>
      <c r="T1826" s="480"/>
      <c r="U1826" s="30"/>
      <c r="V1826" s="500" t="s">
        <v>298</v>
      </c>
      <c r="W1826" s="30"/>
      <c r="X1826" s="30"/>
      <c r="Y1826" s="485" t="s">
        <v>560</v>
      </c>
      <c r="Z1826" s="485" t="s">
        <v>313</v>
      </c>
      <c r="AA1826" s="30"/>
      <c r="AB1826" s="30"/>
      <c r="AC1826" s="496" t="s">
        <v>304</v>
      </c>
      <c r="AD1826" s="30"/>
      <c r="AE1826" s="30"/>
      <c r="AF1826" s="483" t="s">
        <v>300</v>
      </c>
      <c r="AG1826" s="483" t="s">
        <v>301</v>
      </c>
      <c r="AH1826" s="485" t="s">
        <v>299</v>
      </c>
      <c r="AI1826" s="495" t="s">
        <v>302</v>
      </c>
      <c r="AJ1826" s="495" t="s">
        <v>561</v>
      </c>
      <c r="AK1826" s="501" t="s">
        <v>306</v>
      </c>
      <c r="AL1826" s="333"/>
      <c r="AM1826" s="30"/>
      <c r="AN1826" s="483" t="s">
        <v>300</v>
      </c>
      <c r="AO1826" s="483" t="s">
        <v>301</v>
      </c>
      <c r="AP1826" s="502" t="s">
        <v>305</v>
      </c>
      <c r="AQ1826" s="495" t="s">
        <v>563</v>
      </c>
      <c r="AR1826" s="495" t="s">
        <v>562</v>
      </c>
      <c r="AS1826" s="501" t="s">
        <v>599</v>
      </c>
      <c r="AT1826" s="501" t="s">
        <v>599</v>
      </c>
      <c r="AU1826" s="30"/>
      <c r="AV1826" s="483"/>
      <c r="AW1826" s="483"/>
      <c r="AX1826" s="483" t="s">
        <v>316</v>
      </c>
      <c r="AY1826" s="483"/>
      <c r="AZ1826" s="483"/>
      <c r="BA1826" s="483"/>
      <c r="BB1826" s="483"/>
      <c r="BC1826" s="483"/>
      <c r="BD1826" s="483"/>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484" t="s">
        <v>259</v>
      </c>
    </row>
    <row r="1827" spans="1:78" s="140" customFormat="1" ht="12.75" customHeight="1" thickBot="1" x14ac:dyDescent="0.25">
      <c r="A1827" s="777"/>
      <c r="B1827" s="1248"/>
      <c r="C1827" s="753" t="s">
        <v>194</v>
      </c>
      <c r="D1827" s="503" t="str">
        <f>Translations!$B$622</f>
        <v>VD:</v>
      </c>
      <c r="E1827" s="504"/>
      <c r="F1827" s="393"/>
      <c r="G1827" s="1603" t="str">
        <f>IF(OR(ISBLANK(F1827),F1827=EUconst_NoTier),"",IF(Z1827=0,EUconst_NA,IF(ISERROR(Z1827),"",Z1827)))</f>
        <v/>
      </c>
      <c r="H1827" s="1604"/>
      <c r="I1827" s="1108" t="str">
        <f>IF(J1827&lt;&gt;"","",AI1827)</f>
        <v/>
      </c>
      <c r="J1827" s="1109"/>
      <c r="K1827" s="1116" t="str">
        <f>IF(L1827="",AQ1827,"")</f>
        <v/>
      </c>
      <c r="L1827" s="1199"/>
      <c r="M1827" s="700" t="str">
        <f>IF(AND(E1818&lt;&gt;"",OR(F1827="",COUNT(K1827:L1827)=0),Y1827&lt;&gt;EUconst_NA,T1818&lt;&gt;TRUE),EUconst_ERR_Incomplete,IF(COUNTIF(AX1827:AZ1827,TRUE)&gt;0,EUconst_ERR_Inconsistent,""))</f>
        <v/>
      </c>
      <c r="O1827" s="1305"/>
      <c r="P1827" s="635"/>
      <c r="Q1827" s="343" t="str">
        <f>EUconst_SumBioEnergyIN &amp; "_" &amp; K1817</f>
        <v>SUM_BioEnergyIN_</v>
      </c>
      <c r="R1827" s="390" t="str">
        <f>IF(OR(K1817="",T1818)=TRUE,"",INDEX(BC1833:BE1833,MATCH(K1817,BC1827:BE1827,0)))</f>
        <v/>
      </c>
      <c r="S1827" s="30"/>
      <c r="T1827" s="505" t="str">
        <f>EUconst_CNTR_ActivityData&amp;E1818</f>
        <v>ActivityData_</v>
      </c>
      <c r="U1827" s="488"/>
      <c r="V1827" s="505" t="str">
        <f>IF(E1817="","",INDEX(B_InstallationDescription!$I$71:$I$145,MATCH(U1816,B_InstallationDescription!$D$71:$D$145,0)))</f>
        <v/>
      </c>
      <c r="W1827" s="495" t="s">
        <v>533</v>
      </c>
      <c r="X1827" s="488"/>
      <c r="Y1827" s="506" t="str">
        <f>IF(OR(T1818=TRUE,E1818=""),"",INDEX(EUwideConstants!$N:$N,MATCH(T1827,EUwideConstants!$Q:$Q,0)))</f>
        <v/>
      </c>
      <c r="Z1827" s="507" t="str">
        <f>IF(ISBLANK(F1827),"",IF(F1827=EUconst_NA,"",INDEX(EUwideConstants!$H:$M,MATCH(T1827,EUwideConstants!$Q:$Q,0),MATCH(F1827,CNTR_TierList,0))))</f>
        <v/>
      </c>
      <c r="AA1827" s="508" t="s">
        <v>299</v>
      </c>
      <c r="AB1827" s="495"/>
      <c r="AC1827" s="509" t="b">
        <f>AC1822</f>
        <v>0</v>
      </c>
      <c r="AD1827" s="30"/>
      <c r="AE1827" s="510" t="str">
        <f>EUconst_CNTR_ActivityData&amp;EUconst_Unit</f>
        <v>ActivityData_Vienetas</v>
      </c>
      <c r="AF1827" s="511" t="str">
        <f>IF(AC1827=TRUE, IF(COUNTIF(MSPara_SourceStreamCategory,V1827)=0,"",INDEX(MSPara_CalcFactorsMatrix,MATCH(V1827,MSPara_SourceStreamCategory,0),MATCH(AE1827&amp;"_"&amp;2,MSPara_CalcFactors,0))),"")</f>
        <v/>
      </c>
      <c r="AG1827" s="512" t="str">
        <f>IF(AC1827=TRUE, IF(COUNTIF(MSPara_SourceStreamCategory,V1827)=0,"",INDEX(MSPara_CalcFactorsMatrix,MATCH(V1827,MSPara_SourceStreamCategory,0),MATCH(AE1827&amp;"_"&amp;1,MSPara_CalcFactors,0))),"")</f>
        <v/>
      </c>
      <c r="AH1827" s="509" t="str">
        <f>IF(OR(AF1827="",AF1827=EUconst_NA),IF(OR(AG1827=EUconst_NA,AG1827=""),"",AG1827),AF1827)</f>
        <v/>
      </c>
      <c r="AI1827" s="506" t="str">
        <f>IF(AC1827=TRUE,IF(AH1827="",EUconst_t,AH1827),"")</f>
        <v/>
      </c>
      <c r="AJ1827" s="513" t="str">
        <f>IF(J1827="",AI1827,J1827)</f>
        <v/>
      </c>
      <c r="AK1827" s="514" t="b">
        <f>IF(K1817=EUconst_Fuel,J1827&lt;&gt;"",FALSE)</f>
        <v>0</v>
      </c>
      <c r="AL1827" s="333"/>
      <c r="AM1827" s="505" t="str">
        <f>EUconst_CNTR_ActivityData&amp;EUconst_Value</f>
        <v>ActivityData_Vertė</v>
      </c>
      <c r="AN1827" s="496"/>
      <c r="AO1827" s="496"/>
      <c r="AP1827" s="509" t="b">
        <f>AND(AND(AH1827&lt;&gt;"",AJ1827&lt;&gt;""),AJ1827=AH1827)</f>
        <v>0</v>
      </c>
      <c r="AQ1827" s="610" t="str">
        <f>IF(L1822=TRUE,SUM(F1824)-SUM(H1824)+SUM(J1824)-SUM(L1824),"")</f>
        <v/>
      </c>
      <c r="AR1827" s="509">
        <f>IF(Y1827=EUconst_NA,0,IF(COUNT(K1827:L1827)=0,0,IF(L1827="",K1827,L1827)))</f>
        <v>0</v>
      </c>
      <c r="AS1827" s="1115" t="b">
        <f>AND(AC1827=TRUE,OR(L1827&lt;&gt;"",AQ1827=""))</f>
        <v>0</v>
      </c>
      <c r="AT1827" s="1115" t="b">
        <f>AND(AC1827=TRUE,NOT(AS1827))</f>
        <v>0</v>
      </c>
      <c r="AU1827" s="30"/>
      <c r="AV1827" s="483" t="s">
        <v>309</v>
      </c>
      <c r="AW1827" s="483" t="s">
        <v>314</v>
      </c>
      <c r="AX1827" s="515"/>
      <c r="AY1827" s="30" t="s">
        <v>536</v>
      </c>
      <c r="AZ1827" s="30"/>
      <c r="BA1827" s="30"/>
      <c r="BB1827" s="495"/>
      <c r="BC1827" s="484" t="str">
        <f>EUconst_Fuel</f>
        <v>Degimas</v>
      </c>
      <c r="BD1827" s="484" t="str">
        <f>EUconst_ProcessCarbonate</f>
        <v>Proceso metu išsiskiriančios ŠESD</v>
      </c>
      <c r="BE1827" s="484" t="str">
        <f>EUconst_MassBalance</f>
        <v>Masės balansas</v>
      </c>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515" t="b">
        <f>BZ1822</f>
        <v>1</v>
      </c>
    </row>
    <row r="1828" spans="1:78" s="140" customFormat="1" ht="5.0999999999999996" customHeight="1" thickBot="1" x14ac:dyDescent="0.25">
      <c r="A1828" s="777"/>
      <c r="B1828" s="1248"/>
      <c r="C1828" s="783"/>
      <c r="D1828" s="298"/>
      <c r="F1828" s="141"/>
      <c r="G1828" s="141"/>
      <c r="H1828" s="141" t="s">
        <v>233</v>
      </c>
      <c r="I1828" s="516"/>
      <c r="J1828" s="516"/>
      <c r="K1828" s="141"/>
      <c r="L1828" s="141"/>
      <c r="M1828" s="701"/>
      <c r="O1828" s="1305"/>
      <c r="P1828" s="33"/>
      <c r="Q1828" s="33"/>
      <c r="R1828" s="33"/>
      <c r="S1828" s="30"/>
      <c r="T1828" s="153"/>
      <c r="U1828" s="488"/>
      <c r="V1828" s="30"/>
      <c r="W1828" s="30"/>
      <c r="X1828" s="488"/>
      <c r="Y1828" s="517"/>
      <c r="Z1828" s="30"/>
      <c r="AA1828" s="30"/>
      <c r="AB1828" s="30"/>
      <c r="AC1828" s="30"/>
      <c r="AD1828" s="30"/>
      <c r="AE1828" s="30"/>
      <c r="AF1828" s="30"/>
      <c r="AG1828" s="30"/>
      <c r="AH1828" s="30"/>
      <c r="AI1828" s="30"/>
      <c r="AJ1828" s="30"/>
      <c r="AK1828" s="30"/>
      <c r="AL1828" s="333"/>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484"/>
    </row>
    <row r="1829" spans="1:78" s="140" customFormat="1" ht="12.75" customHeight="1" thickBot="1" x14ac:dyDescent="0.25">
      <c r="A1829" s="777"/>
      <c r="B1829" s="1248"/>
      <c r="C1829" s="783" t="s">
        <v>195</v>
      </c>
      <c r="D1829" s="503" t="str">
        <f>Translations!$B$634</f>
        <v>(prelim.) ITF:</v>
      </c>
      <c r="E1829" s="504"/>
      <c r="F1829" s="518"/>
      <c r="G1829" s="1603" t="str">
        <f t="shared" ref="G1829:G1835" si="455">IF(OR(ISBLANK(F1829),F1829=EUconst_NoTier),"",IF(Z1829=0,EUconst_NotApplicable,IF(ISERROR(Z1829),"",Z1829)))</f>
        <v/>
      </c>
      <c r="H1829" s="1609"/>
      <c r="I1829" s="1110" t="str">
        <f>IF(J1829&lt;&gt;"","",AI1829)</f>
        <v/>
      </c>
      <c r="J1829" s="1111"/>
      <c r="K1829" s="519" t="str">
        <f t="shared" ref="K1829:K1835" si="456">IF(L1829="",AQ1829,"")</f>
        <v/>
      </c>
      <c r="L1829" s="520"/>
      <c r="M1829" s="700" t="str">
        <f>IF(AND(E1818&lt;&gt;"",OR(F1829="",COUNT(K1829:L1829)=0),Y1829&lt;&gt;EUconst_NA,T1818&lt;&gt;TRUE),EUconst_ERR_Incomplete,IF(COUNTIF(AX1829:AZ1829,TRUE)&gt;0,EUconst_ERR_Inconsistent,""))</f>
        <v/>
      </c>
      <c r="N1829" s="486"/>
      <c r="O1829" s="1305"/>
      <c r="P1829" s="33"/>
      <c r="Q1829" s="33"/>
      <c r="R1829" s="33"/>
      <c r="S1829" s="30"/>
      <c r="T1829" s="521" t="str">
        <f>EUconst_CNTR_EF&amp;E1818</f>
        <v>EF_</v>
      </c>
      <c r="U1829" s="488"/>
      <c r="V1829" s="522" t="str">
        <f>V1827</f>
        <v/>
      </c>
      <c r="W1829" s="30"/>
      <c r="X1829" s="488"/>
      <c r="Y1829" s="523" t="str">
        <f>IF(OR(T1818=TRUE,E1818=""),"",IF(F1829=EUconst_NA,EUconst_NA,INDEX(EUwideConstants!$N:$N,MATCH(T1829,EUwideConstants!$Q:$Q,0))))</f>
        <v/>
      </c>
      <c r="Z1829" s="524" t="str">
        <f>IF(ISBLANK(F1829),"",IF(F1829=EUconst_NA,"",INDEX(EUwideConstants!$H:$M,MATCH(T1829,EUwideConstants!$Q:$Q,0),MATCH(F1829,CNTR_TierList,0))))</f>
        <v/>
      </c>
      <c r="AA1829" s="525" t="str">
        <f>IF(COUNTIF(EUconst_DefaultValues,Z1829)&gt;0,MATCH(Z1829,EUconst_DefaultValues,0),"")</f>
        <v/>
      </c>
      <c r="AB1829" s="30"/>
      <c r="AC1829" s="526" t="b">
        <f>AND(AC1827,Y1829&lt;&gt;EUconst_NA)</f>
        <v>0</v>
      </c>
      <c r="AD1829" s="30"/>
      <c r="AE1829" s="510" t="str">
        <f>EUconst_CNTR_EF&amp;EUconst_Unit</f>
        <v>EF_Vienetas</v>
      </c>
      <c r="AF1829" s="527" t="str">
        <f>IF(AC1829=TRUE, IF(COUNTIF(MSPara_SourceStreamCategory,V1829)=0,"",INDEX(MSPara_CalcFactorsMatrix,MATCH(V1829,MSPara_SourceStreamCategory,0),MATCH(AE1829&amp;"_"&amp;2,MSPara_CalcFactors,0))),"")</f>
        <v/>
      </c>
      <c r="AG1829" s="528" t="str">
        <f>IF(AC1829=TRUE, IF(COUNTIF(MSPara_SourceStreamCategory,V1829)=0,"",INDEX(MSPara_CalcFactorsMatrix,MATCH(V1829,MSPara_SourceStreamCategory,0),MATCH(AE1829&amp;"_"&amp;1,MSPara_CalcFactors,0))),"")</f>
        <v/>
      </c>
      <c r="AH1829" s="529" t="str">
        <f>IF(AA1829="","",INDEX(AF1829:AG1829,3-AA1829))</f>
        <v/>
      </c>
      <c r="AI1829" s="530" t="str">
        <f>IF(AC1829=TRUE,IF(OR(AH1829="",AH1829=EUconst_NA),IF(K1817=EUconst_Fuel,EUconst_tCO2pTJ,EUconst_tCO2pt),AH1829),"")</f>
        <v/>
      </c>
      <c r="AJ1829" s="526" t="str">
        <f>IF(J1829="",AI1829,J1829)</f>
        <v/>
      </c>
      <c r="AK1829" s="531" t="b">
        <f>IF(K1817=EUconst_Fuel,J1829&lt;&gt;"",FALSE)</f>
        <v>0</v>
      </c>
      <c r="AL1829" s="333"/>
      <c r="AM1829" s="510" t="str">
        <f>EUconst_CNTR_EF&amp;EUconst_Value</f>
        <v>EF_Vertė</v>
      </c>
      <c r="AN1829" s="532" t="str">
        <f>IF(AC1829=TRUE,IF(COUNTIF(MSPara_SourceStreamCategory,V1829)=0,"",INDEX(MSPara_CalcFactorsMatrix,MATCH(V1829,MSPara_SourceStreamCategory,0),MATCH(AM1829&amp;"_"&amp;2,MSPara_CalcFactors,0))),"")</f>
        <v/>
      </c>
      <c r="AO1829" s="533" t="str">
        <f>IF(AC1829=TRUE,IF(COUNTIF(MSPara_SourceStreamCategory,V1829)=0,"",INDEX(MSPara_CalcFactorsMatrix,MATCH(V1829,MSPara_SourceStreamCategory,0),MATCH(AM1829&amp;"_"&amp;1,MSPara_CalcFactors,0))),"")</f>
        <v/>
      </c>
      <c r="AP1829" s="526" t="b">
        <f>AND(AND(AH1829&lt;&gt;"",AJ1829&lt;&gt;""),AJ1829=AH1829)</f>
        <v>0</v>
      </c>
      <c r="AQ1829" s="534" t="str">
        <f>IF(AND(AA1829&lt;&gt;"",AP1829=TRUE),IF(OR(INDEX(AN1829:AO1829,3-AA1829)=EUconst_NA,INDEX(AN1829:AO1829,3-AA1829)=0),"",INDEX(AN1829:AO1829,3-AA1829)),"")</f>
        <v/>
      </c>
      <c r="AR1829" s="526">
        <f>IF(AC1829=TRUE,IF(COUNT(K1829:L1829)=0,0,IF(L1829="",K1829,L1829)),0)</f>
        <v>0</v>
      </c>
      <c r="AS1829" s="522" t="b">
        <f>AND(AC1829=TRUE,OR(AND(F1829&lt;&gt;"",NOT(ISNUMBER(AA1829))),L1829&lt;&gt;"",F1829="",AQ1829=""))</f>
        <v>0</v>
      </c>
      <c r="AT1829" s="522" t="b">
        <f t="shared" ref="AT1829:AT1835" si="457">AND(AC1829=TRUE,NOT(AS1829))</f>
        <v>0</v>
      </c>
      <c r="AU1829" s="30"/>
      <c r="AV1829" s="535" t="b">
        <f t="shared" ref="AV1829:AV1835" si="458">AND(ISNUMBER(AA1829),AQ1829="")</f>
        <v>0</v>
      </c>
      <c r="AW1829" s="536" t="b">
        <f t="shared" ref="AW1829:AW1835" si="459">AND(ISNUMBER(AA1829),AQ1829&lt;&gt;AR1829)</f>
        <v>0</v>
      </c>
      <c r="AX1829" s="537" t="b">
        <f>OR(AND(AJ1827=EUconst_kNm3,AJ1829=EUconst_tCO2pt),AND(AJ1827=EUconst_t,AJ1829=EUconst_tCO2pkNm3))</f>
        <v>0</v>
      </c>
      <c r="AY1829" s="522" t="b">
        <f t="shared" ref="AY1829:AY1835" si="460">AND(L1829&lt;&gt;"",Y1829=EUconst_NA)</f>
        <v>0</v>
      </c>
      <c r="AZ1829" s="30"/>
      <c r="BA1829" s="30"/>
      <c r="BB1829" s="538" t="s">
        <v>588</v>
      </c>
      <c r="BC1829" s="537" t="str">
        <f>IF(K1817=BC1827,AR1827*IF(AJ1829=EUconst_tCO2pTJ,(AR1830/1000),1)*AR1829*AR1831*AR1835,"")</f>
        <v/>
      </c>
      <c r="BD1829" s="515" t="str">
        <f>IF(K1817=BD1827,AR1827*AR1829*AR1832*AR1835,"")</f>
        <v/>
      </c>
      <c r="BE1829" s="514" t="str">
        <f>IF(K1817=BE1827,3.664*AR1827*AR1833*AR1835,"")</f>
        <v/>
      </c>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522" t="b">
        <f>OR(BZ1827,Y1829=EUconst_NA)</f>
        <v>1</v>
      </c>
    </row>
    <row r="1830" spans="1:78" s="140" customFormat="1" ht="12.75" customHeight="1" thickBot="1" x14ac:dyDescent="0.25">
      <c r="A1830" s="777"/>
      <c r="B1830" s="1248"/>
      <c r="C1830" s="783" t="s">
        <v>196</v>
      </c>
      <c r="D1830" s="503" t="str">
        <f>Translations!$B$636</f>
        <v>GŠV:</v>
      </c>
      <c r="E1830" s="504"/>
      <c r="F1830" s="539"/>
      <c r="G1830" s="1603" t="str">
        <f t="shared" si="455"/>
        <v/>
      </c>
      <c r="H1830" s="1604"/>
      <c r="I1830" s="1112" t="str">
        <f>AJ1830</f>
        <v/>
      </c>
      <c r="J1830" s="540"/>
      <c r="K1830" s="541" t="str">
        <f t="shared" si="456"/>
        <v/>
      </c>
      <c r="L1830" s="542"/>
      <c r="M1830" s="700" t="str">
        <f>IF(AND(E1818&lt;&gt;"",OR(F1830="",COUNT(K1830:L1830)=0),Y1830&lt;&gt;EUconst_NA,T1818&lt;&gt;TRUE),EUconst_ERR_Incomplete,IF(COUNTIF(AX1830:AZ1830,TRUE)&gt;0,EUconst_ERR_Inconsistent,""))</f>
        <v/>
      </c>
      <c r="O1830" s="1305"/>
      <c r="P1830" s="33"/>
      <c r="Q1830" s="33"/>
      <c r="R1830" s="33"/>
      <c r="S1830" s="30"/>
      <c r="T1830" s="543" t="str">
        <f>EUconst_CNTR_NCV&amp;E1818</f>
        <v>NCV_</v>
      </c>
      <c r="U1830" s="488"/>
      <c r="V1830" s="544" t="str">
        <f t="shared" ref="V1830:V1835" si="461">V1829</f>
        <v/>
      </c>
      <c r="W1830" s="30"/>
      <c r="X1830" s="488"/>
      <c r="Y1830" s="545" t="str">
        <f>IF(OR(T1818=TRUE,E1818=""),"",IF(F1830=EUconst_NA,EUconst_NA,INDEX(EUwideConstants!$N:$N,MATCH(T1830,EUwideConstants!$Q:$Q,0))))</f>
        <v/>
      </c>
      <c r="Z1830" s="546" t="str">
        <f>IF(ISBLANK(F1830),"",IF(F1830=EUconst_NA,"",INDEX(EUwideConstants!$H:$M,MATCH(T1830,EUwideConstants!$Q:$Q,0),MATCH(F1830,CNTR_TierList,0))))</f>
        <v/>
      </c>
      <c r="AA1830" s="547" t="str">
        <f>IF(COUNTIF(EUconst_DefaultValues,Z1830)&gt;0,MATCH(Z1830,EUconst_DefaultValues,0),"")</f>
        <v/>
      </c>
      <c r="AB1830" s="30"/>
      <c r="AC1830" s="548" t="b">
        <f>AND(AC1827,Y1830&lt;&gt;EUconst_NA)</f>
        <v>0</v>
      </c>
      <c r="AD1830" s="30"/>
      <c r="AE1830" s="549" t="str">
        <f>EUconst_CNTR_NCV&amp;EUconst_Unit</f>
        <v>NCV_Vienetas</v>
      </c>
      <c r="AF1830" s="550" t="str">
        <f>IF(AC1830=TRUE, IF(COUNTIF(MSPara_SourceStreamCategory,V1830)=0,"",INDEX(MSPara_CalcFactorsMatrix,MATCH(V1830,MSPara_SourceStreamCategory,0),MATCH(AE1830&amp;"_"&amp;2,MSPara_CalcFactors,0))),"")</f>
        <v/>
      </c>
      <c r="AG1830" s="551" t="str">
        <f>IF(AC1830=TRUE, IF(COUNTIF(MSPara_SourceStreamCategory,V1830)=0,"",INDEX(MSPara_CalcFactorsMatrix,MATCH(V1830,MSPara_SourceStreamCategory,0),MATCH(AE1830&amp;"_"&amp;1,MSPara_CalcFactors,0))),"")</f>
        <v/>
      </c>
      <c r="AH1830" s="552" t="str">
        <f>IF(AA1830="","",INDEX(AF1830:AG1830,3-AA1830))</f>
        <v/>
      </c>
      <c r="AI1830" s="553"/>
      <c r="AJ1830" s="548" t="str">
        <f>IF(AC1830=TRUE,IF(AJ1827="","",IF(AJ1827=EUconst_kNm3,EUconst_GJpkNm3,EUconst_GJpt)),"")</f>
        <v/>
      </c>
      <c r="AK1830" s="554"/>
      <c r="AL1830" s="333"/>
      <c r="AM1830" s="549" t="str">
        <f>EUconst_CNTR_NCV&amp;EUconst_Value</f>
        <v>NCV_Vertė</v>
      </c>
      <c r="AN1830" s="555" t="str">
        <f>IF(AC1830=TRUE,IF(COUNTIF(MSPara_SourceStreamCategory,V1830)=0,"",INDEX(MSPara_CalcFactorsMatrix,MATCH(V1830,MSPara_SourceStreamCategory,0),MATCH(AM1830&amp;"_"&amp;2,MSPara_CalcFactors,0))),"")</f>
        <v/>
      </c>
      <c r="AO1830" s="556" t="str">
        <f>IF(AC1830=TRUE,IF(COUNTIF(MSPara_SourceStreamCategory,V1830)=0,"",INDEX(MSPara_CalcFactorsMatrix,MATCH(V1830,MSPara_SourceStreamCategory,0),MATCH(AM1830&amp;"_"&amp;1,MSPara_CalcFactors,0))),"")</f>
        <v/>
      </c>
      <c r="AP1830" s="548" t="b">
        <f>AND(AND(AH1830&lt;&gt;"",AJ1830&lt;&gt;""),AJ1830=AH1830)</f>
        <v>0</v>
      </c>
      <c r="AQ1830" s="557" t="str">
        <f>IF(AND(AA1830&lt;&gt;"",AP1830=TRUE),IF(OR(INDEX(AN1830:AO1830,3-AA1830)=EUconst_NA,INDEX(AN1830:AO1830,3-AA1830)=0),"",INDEX(AN1830:AO1830,3-AA1830)),"")</f>
        <v/>
      </c>
      <c r="AR1830" s="548">
        <f>IF(AC1830=TRUE,IF(COUNT(K1830:L1830)=0,0,IF(L1830="",K1830,L1830)),0)</f>
        <v>0</v>
      </c>
      <c r="AS1830" s="544" t="b">
        <f>AND(AC1830=TRUE,OR(AND(F1830&lt;&gt;"",NOT(ISNUMBER(AA1830))),L1830&lt;&gt;"",F1830="",AQ1830=""))</f>
        <v>0</v>
      </c>
      <c r="AT1830" s="544" t="b">
        <f t="shared" si="457"/>
        <v>0</v>
      </c>
      <c r="AU1830" s="30"/>
      <c r="AV1830" s="558" t="b">
        <f t="shared" si="458"/>
        <v>0</v>
      </c>
      <c r="AW1830" s="559" t="b">
        <f t="shared" si="459"/>
        <v>0</v>
      </c>
      <c r="AX1830" s="30"/>
      <c r="AY1830" s="544" t="b">
        <f t="shared" si="460"/>
        <v>0</v>
      </c>
      <c r="AZ1830" s="30"/>
      <c r="BA1830" s="30"/>
      <c r="BB1830" s="538" t="s">
        <v>589</v>
      </c>
      <c r="BC1830" s="537" t="str">
        <f>IF(K1817=BC1827,AR1827*IF(AJ1829=EUconst_tCO2pTJ,(AR1830/1000),1)*AR1829*AR1831*AR1834,"")</f>
        <v/>
      </c>
      <c r="BD1830" s="515" t="str">
        <f>IF(K1817=BD1827,AR1827*AR1829*AR1832*AR1834,"")</f>
        <v/>
      </c>
      <c r="BE1830" s="514" t="str">
        <f>IF(K1817=BE1827,3.664*AR1827*AR1833*AR1834,"")</f>
        <v/>
      </c>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544" t="b">
        <f>OR(BZ1827,Y1830=EUconst_NA)</f>
        <v>1</v>
      </c>
    </row>
    <row r="1831" spans="1:78" s="140" customFormat="1" ht="12.75" customHeight="1" thickBot="1" x14ac:dyDescent="0.25">
      <c r="A1831" s="777"/>
      <c r="B1831" s="1248"/>
      <c r="C1831" s="783" t="s">
        <v>197</v>
      </c>
      <c r="D1831" s="503" t="str">
        <f>Translations!$B$638</f>
        <v>Oksidacijos koef.:</v>
      </c>
      <c r="E1831" s="504"/>
      <c r="F1831" s="539"/>
      <c r="G1831" s="1603" t="str">
        <f t="shared" si="455"/>
        <v/>
      </c>
      <c r="H1831" s="1604"/>
      <c r="I1831" s="1113" t="str">
        <f>IF(OR(AC1831=FALSE,Y1831=EUconst_NA),"","-")</f>
        <v/>
      </c>
      <c r="J1831" s="560"/>
      <c r="K1831" s="561" t="str">
        <f t="shared" si="456"/>
        <v/>
      </c>
      <c r="L1831" s="694"/>
      <c r="M1831" s="700" t="str">
        <f>IF(AND(E1818&lt;&gt;"",OR(F1831="",COUNT(K1831:L1831)=0),Y1831&lt;&gt;EUconst_NA,T1818&lt;&gt;TRUE),EUconst_ERR_Incomplete,IF(COUNTIF(AX1831:AZ1831,TRUE)&gt;0,EUconst_ERR_Inconsistent,""))</f>
        <v/>
      </c>
      <c r="O1831" s="1305"/>
      <c r="P1831" s="33"/>
      <c r="Q1831" s="33"/>
      <c r="R1831" s="33"/>
      <c r="S1831" s="30"/>
      <c r="T1831" s="543" t="str">
        <f>EUconst_CNTR_OxidationFactor&amp;E1818</f>
        <v>OxF_</v>
      </c>
      <c r="U1831" s="488"/>
      <c r="V1831" s="544" t="str">
        <f t="shared" si="461"/>
        <v/>
      </c>
      <c r="W1831" s="30"/>
      <c r="X1831" s="488"/>
      <c r="Y1831" s="545" t="str">
        <f>IF(OR(T1818=TRUE,E1818=""),"",INDEX(EUwideConstants!$N:$N,MATCH(T1831,EUwideConstants!$Q:$Q,0)))</f>
        <v/>
      </c>
      <c r="Z1831" s="546" t="str">
        <f>IF(ISBLANK(F1831),"",IF(F1831=EUconst_NA,"",INDEX(EUwideConstants!$H:$M,MATCH(T1831,EUwideConstants!$Q:$Q,0),MATCH(F1831,CNTR_TierList,0))))</f>
        <v/>
      </c>
      <c r="AA1831" s="525" t="str">
        <f>IF(F1831=1,1,"")</f>
        <v/>
      </c>
      <c r="AB1831" s="30"/>
      <c r="AC1831" s="548" t="b">
        <f>AND(AC1827,Y1831&lt;&gt;EUconst_NA)</f>
        <v>0</v>
      </c>
      <c r="AD1831" s="30"/>
      <c r="AE1831" s="563"/>
      <c r="AG1831" s="564"/>
      <c r="AH1831" s="553"/>
      <c r="AI1831" s="565"/>
      <c r="AJ1831" s="553"/>
      <c r="AK1831" s="566"/>
      <c r="AL1831" s="333"/>
      <c r="AM1831" s="549" t="str">
        <f>EUconst_CNTR_OxidationFactor&amp;EUconst_Value</f>
        <v>OxF_Vertė</v>
      </c>
      <c r="AN1831" s="567"/>
      <c r="AO1831" s="525">
        <v>1</v>
      </c>
      <c r="AP1831" s="553"/>
      <c r="AQ1831" s="568" t="str">
        <f>IF(AA1831="","",AO1831)</f>
        <v/>
      </c>
      <c r="AR1831" s="548">
        <f>IF(AC1831=TRUE,IF(COUNT(K1831:L1831)=0,0,IF(L1831="",K1831,L1831)),1)</f>
        <v>1</v>
      </c>
      <c r="AS1831" s="544" t="b">
        <f>AND(AC1831=TRUE,OR(ISNUMBER(L1831),NOT(ISNUMBER(AA1831))))</f>
        <v>0</v>
      </c>
      <c r="AT1831" s="544" t="b">
        <f t="shared" si="457"/>
        <v>0</v>
      </c>
      <c r="AU1831" s="30"/>
      <c r="AV1831" s="558" t="b">
        <f t="shared" si="458"/>
        <v>0</v>
      </c>
      <c r="AW1831" s="559" t="b">
        <f t="shared" si="459"/>
        <v>0</v>
      </c>
      <c r="AX1831" s="30"/>
      <c r="AY1831" s="585" t="b">
        <f t="shared" si="460"/>
        <v>0</v>
      </c>
      <c r="AZ1831" s="522" t="b">
        <f>AR1831&gt;100%</f>
        <v>0</v>
      </c>
      <c r="BA1831" s="30"/>
      <c r="BB1831" s="538" t="s">
        <v>287</v>
      </c>
      <c r="BC1831" s="537" t="str">
        <f>IF(K1817=BC1827,AR1827*IF(AJ1829=EUconst_tCO2pTJ,(AR1830/1000),1)*AR1829*AR1831*(1-AR1834),"")</f>
        <v/>
      </c>
      <c r="BD1831" s="515" t="str">
        <f>IF(K1817=BD1827,AR1827*AR1829*AR1832*(1-AR1834),"")</f>
        <v/>
      </c>
      <c r="BE1831" s="514" t="str">
        <f>IF(K1817=BE1827,3.664*AR1827*AR1833*(1-AR1834),"")</f>
        <v/>
      </c>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544" t="b">
        <f>OR(BZ1827,Y1831=EUconst_NA)</f>
        <v>1</v>
      </c>
    </row>
    <row r="1832" spans="1:78" s="140" customFormat="1" ht="12.75" customHeight="1" thickBot="1" x14ac:dyDescent="0.25">
      <c r="A1832" s="777"/>
      <c r="B1832" s="1248"/>
      <c r="C1832" s="783" t="s">
        <v>198</v>
      </c>
      <c r="D1832" s="503" t="str">
        <f>Translations!$B$639</f>
        <v>Konversijos koef.:</v>
      </c>
      <c r="E1832" s="504"/>
      <c r="F1832" s="539"/>
      <c r="G1832" s="1603" t="str">
        <f t="shared" si="455"/>
        <v/>
      </c>
      <c r="H1832" s="1604"/>
      <c r="I1832" s="1113" t="str">
        <f>IF(OR(AC1832=FALSE,Y1832=EUconst_NA),"","-")</f>
        <v/>
      </c>
      <c r="J1832" s="560"/>
      <c r="K1832" s="561" t="str">
        <f t="shared" si="456"/>
        <v/>
      </c>
      <c r="L1832" s="694"/>
      <c r="M1832" s="700" t="str">
        <f>IF(AND(E1818&lt;&gt;"",OR(F1832="",COUNT(K1832:L1832)=0),Y1832&lt;&gt;EUconst_NA,T1818&lt;&gt;TRUE),EUconst_ERR_Incomplete,IF(COUNTIF(AX1832:AZ1832,TRUE)&gt;0,EUconst_ERR_Inconsistent,""))</f>
        <v/>
      </c>
      <c r="O1832" s="1305"/>
      <c r="P1832" s="33"/>
      <c r="Q1832" s="33"/>
      <c r="R1832" s="33"/>
      <c r="S1832" s="30"/>
      <c r="T1832" s="543" t="str">
        <f>EUconst_CNTR_ConversionFactor&amp;E1818</f>
        <v>ConvF_</v>
      </c>
      <c r="U1832" s="488"/>
      <c r="V1832" s="544" t="str">
        <f t="shared" si="461"/>
        <v/>
      </c>
      <c r="W1832" s="30"/>
      <c r="X1832" s="488"/>
      <c r="Y1832" s="545" t="str">
        <f>IF(OR(T1818=TRUE,E1818=""),"",INDEX(EUwideConstants!$N:$N,MATCH(T1832,EUwideConstants!$Q:$Q,0)))</f>
        <v/>
      </c>
      <c r="Z1832" s="546" t="str">
        <f>IF(ISBLANK(F1832),"",IF(F1832=EUconst_NA,"",INDEX(EUwideConstants!$H:$M,MATCH(T1832,EUwideConstants!$Q:$Q,0),MATCH(F1832,CNTR_TierList,0))))</f>
        <v/>
      </c>
      <c r="AA1832" s="573" t="str">
        <f>IF(F1832=1,1,"")</f>
        <v/>
      </c>
      <c r="AB1832" s="30"/>
      <c r="AC1832" s="548" t="b">
        <f>AND(AC1827,Y1832&lt;&gt;EUconst_NA)</f>
        <v>0</v>
      </c>
      <c r="AD1832" s="30"/>
      <c r="AE1832" s="563"/>
      <c r="AG1832" s="564"/>
      <c r="AH1832" s="574"/>
      <c r="AI1832" s="565"/>
      <c r="AJ1832" s="574"/>
      <c r="AK1832" s="566"/>
      <c r="AL1832" s="333"/>
      <c r="AM1832" s="549" t="str">
        <f>EUconst_CNTR_ConversionFactor&amp;EUconst_Value</f>
        <v>ConvF_Vertė</v>
      </c>
      <c r="AN1832" s="575"/>
      <c r="AO1832" s="573">
        <v>1</v>
      </c>
      <c r="AP1832" s="574"/>
      <c r="AQ1832" s="576" t="str">
        <f>IF(AA1832="","",AO1832)</f>
        <v/>
      </c>
      <c r="AR1832" s="548">
        <f>IF(AC1832=TRUE,IF(COUNT(K1832:L1832)=0,0,IF(L1832="",K1832,L1832)),1)</f>
        <v>1</v>
      </c>
      <c r="AS1832" s="544" t="b">
        <f>AND(AC1832=TRUE,OR(ISNUMBER(L1832),NOT(ISNUMBER(AA1832))))</f>
        <v>0</v>
      </c>
      <c r="AT1832" s="544" t="b">
        <f t="shared" si="457"/>
        <v>0</v>
      </c>
      <c r="AU1832" s="30"/>
      <c r="AV1832" s="558" t="b">
        <f t="shared" si="458"/>
        <v>0</v>
      </c>
      <c r="AW1832" s="559" t="b">
        <f t="shared" si="459"/>
        <v>0</v>
      </c>
      <c r="AX1832" s="30"/>
      <c r="AY1832" s="585" t="b">
        <f t="shared" si="460"/>
        <v>0</v>
      </c>
      <c r="AZ1832" s="571" t="b">
        <f>AR1832&gt;100%</f>
        <v>0</v>
      </c>
      <c r="BA1832" s="30"/>
      <c r="BB1832" s="569" t="s">
        <v>481</v>
      </c>
      <c r="BC1832" s="570">
        <f>AR1827*AR1830/1000*(1-AR1834)</f>
        <v>0</v>
      </c>
      <c r="BD1832" s="571">
        <f>BC1832</f>
        <v>0</v>
      </c>
      <c r="BE1832" s="572">
        <f>BC1832</f>
        <v>0</v>
      </c>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544" t="b">
        <f>OR(BZ1827,Y1832=EUconst_NA)</f>
        <v>1</v>
      </c>
    </row>
    <row r="1833" spans="1:78" s="140" customFormat="1" ht="12.75" customHeight="1" thickBot="1" x14ac:dyDescent="0.25">
      <c r="A1833" s="777"/>
      <c r="B1833" s="1248"/>
      <c r="C1833" s="783" t="s">
        <v>324</v>
      </c>
      <c r="D1833" s="503" t="str">
        <f>Translations!$B$640</f>
        <v>Anglies kiekis (C):</v>
      </c>
      <c r="E1833" s="504"/>
      <c r="F1833" s="539"/>
      <c r="G1833" s="1603" t="str">
        <f t="shared" si="455"/>
        <v/>
      </c>
      <c r="H1833" s="1604"/>
      <c r="I1833" s="1113" t="str">
        <f>AJ1833</f>
        <v/>
      </c>
      <c r="J1833" s="577"/>
      <c r="K1833" s="578" t="str">
        <f t="shared" si="456"/>
        <v/>
      </c>
      <c r="L1833" s="579"/>
      <c r="M1833" s="700" t="str">
        <f>IF(AND(E1818&lt;&gt;"",OR(F1833="",COUNT(K1833:L1833)=0),Y1833&lt;&gt;EUconst_NA,T1818&lt;&gt;TRUE),EUconst_ERR_Incomplete,IF(COUNTIF(AX1833:AZ1833,TRUE)&gt;0,EUconst_ERR_Inconsistent,""))</f>
        <v/>
      </c>
      <c r="O1833" s="1305"/>
      <c r="P1833" s="33"/>
      <c r="Q1833" s="33"/>
      <c r="R1833" s="33"/>
      <c r="S1833" s="30"/>
      <c r="T1833" s="543" t="str">
        <f>EUconst_CNTR_CarbonContent&amp;E1818</f>
        <v>CarbC_</v>
      </c>
      <c r="U1833" s="488"/>
      <c r="V1833" s="544" t="str">
        <f t="shared" si="461"/>
        <v/>
      </c>
      <c r="W1833" s="30"/>
      <c r="X1833" s="488"/>
      <c r="Y1833" s="545" t="str">
        <f>IF(OR(T1818=TRUE,E1818=""),"",INDEX(EUwideConstants!$N:$N,MATCH(T1833,EUwideConstants!$Q:$Q,0)))</f>
        <v/>
      </c>
      <c r="Z1833" s="546" t="str">
        <f>IF(ISBLANK(F1833),"",IF(F1833=EUconst_NA,"",INDEX(EUwideConstants!$H:$M,MATCH(T1833,EUwideConstants!$Q:$Q,0),MATCH(F1833,CNTR_TierList,0))))</f>
        <v/>
      </c>
      <c r="AA1833" s="580" t="str">
        <f>IF(COUNTIF(EUconst_DefaultValues,Z1833)&gt;0,MATCH(Z1833,EUconst_DefaultValues,0),"")</f>
        <v/>
      </c>
      <c r="AB1833" s="30"/>
      <c r="AC1833" s="548" t="b">
        <f>AND(AC1827,Y1833&lt;&gt;EUconst_NA)</f>
        <v>0</v>
      </c>
      <c r="AD1833" s="30"/>
      <c r="AE1833" s="549" t="str">
        <f>EUconst_CNTR_CarbonContent&amp;EUconst_Unit</f>
        <v>CarbC_Vienetas</v>
      </c>
      <c r="AF1833" s="550" t="str">
        <f>IF(AC1833=TRUE, IF(COUNTIF(MSPara_SourceStreamCategory,V1833)=0,"",INDEX(MSPara_CalcFactorsMatrix,MATCH(V1833,MSPara_SourceStreamCategory,0),MATCH(AE1833&amp;"_"&amp;2,MSPara_CalcFactors,0))),"")</f>
        <v/>
      </c>
      <c r="AG1833" s="551" t="str">
        <f>IF(AC1833=TRUE, IF(COUNTIF(MSPara_SourceStreamCategory,V1833)=0,"",INDEX(MSPara_CalcFactorsMatrix,MATCH(V1833,MSPara_SourceStreamCategory,0),MATCH(AE1833&amp;"_"&amp;1,MSPara_CalcFactors,0))),"")</f>
        <v/>
      </c>
      <c r="AH1833" s="581" t="str">
        <f>IF(AA1833="","",INDEX(AF1833:AG1833,3-AA1833))</f>
        <v/>
      </c>
      <c r="AI1833" s="565"/>
      <c r="AJ1833" s="582" t="str">
        <f>IF(AC1833=TRUE,IF(AJ1827="","",IF(AJ1827=EUconst_kNm3,EUconst_tCpkNm3,EUconst_tCpt)),"")</f>
        <v/>
      </c>
      <c r="AK1833" s="566"/>
      <c r="AL1833" s="333"/>
      <c r="AM1833" s="549" t="str">
        <f>EUconst_CNTR_CarbonContent&amp;EUconst_Value</f>
        <v>CarbC_Vertė</v>
      </c>
      <c r="AN1833" s="555" t="str">
        <f>IF(AC1833=TRUE,IF(COUNTIF(MSPara_SourceStreamCategory,V1833)=0,"",INDEX(MSPara_CalcFactorsMatrix,MATCH(V1833,MSPara_SourceStreamCategory,0),MATCH(AM1833&amp;"_"&amp;2,MSPara_CalcFactors,0))),"")</f>
        <v/>
      </c>
      <c r="AO1833" s="583" t="str">
        <f>IF(AC1833=TRUE,IF(COUNTIF(MSPara_SourceStreamCategory,V1833)=0,"",INDEX(MSPara_CalcFactorsMatrix,MATCH(V1833,MSPara_SourceStreamCategory,0),MATCH(AM1833&amp;"_"&amp;1,MSPara_CalcFactors,0))),"")</f>
        <v/>
      </c>
      <c r="AP1833" s="548" t="b">
        <f>AND(AND(AH1833&lt;&gt;"",AJ1833&lt;&gt;""),AJ1833=AH1833)</f>
        <v>0</v>
      </c>
      <c r="AQ1833" s="584" t="str">
        <f>IF(AND(AA1833&lt;&gt;"",AP1833=TRUE),IF(OR(INDEX(AN1833:AO1833,3-AA1833)=EUconst_NA,INDEX(AN1833:AO1833,3-AA1833)=0),"",INDEX(AN1833:AO1833,3-AA1833)),"")</f>
        <v/>
      </c>
      <c r="AR1833" s="548">
        <f>IF(AC1833=TRUE,IF(COUNT(K1833:L1833)=0,0,IF(L1833="",K1833,L1833)),0)</f>
        <v>0</v>
      </c>
      <c r="AS1833" s="544" t="b">
        <f>AND(AC1833=TRUE,OR(AND(F1833&lt;&gt;"",NOT(ISNUMBER(AA1833))),L1833&lt;&gt;"",F1833="",AQ1833=""))</f>
        <v>0</v>
      </c>
      <c r="AT1833" s="544" t="b">
        <f t="shared" si="457"/>
        <v>0</v>
      </c>
      <c r="AU1833" s="30"/>
      <c r="AV1833" s="558" t="b">
        <f t="shared" si="458"/>
        <v>0</v>
      </c>
      <c r="AW1833" s="559" t="b">
        <f t="shared" si="459"/>
        <v>0</v>
      </c>
      <c r="AX1833" s="537" t="b">
        <f>OR(AND(AJ1827=EUconst_kNm3,AJ1833=EUconst_tCpt),AND(AJ1827=EUconst_t,AJ1833=EUconst_tCpkNm3))</f>
        <v>0</v>
      </c>
      <c r="AY1833" s="544" t="b">
        <f t="shared" si="460"/>
        <v>0</v>
      </c>
      <c r="AZ1833" s="30"/>
      <c r="BA1833" s="30"/>
      <c r="BB1833" s="569" t="s">
        <v>482</v>
      </c>
      <c r="BC1833" s="570">
        <f>AR1827*AR1830/1000*AR1834</f>
        <v>0</v>
      </c>
      <c r="BD1833" s="571">
        <f>BC1833</f>
        <v>0</v>
      </c>
      <c r="BE1833" s="572">
        <f>BC1833</f>
        <v>0</v>
      </c>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544" t="b">
        <f>OR(BZ1827,Y1833=EUconst_NA)</f>
        <v>1</v>
      </c>
    </row>
    <row r="1834" spans="1:78" s="140" customFormat="1" ht="12.75" customHeight="1" x14ac:dyDescent="0.2">
      <c r="A1834" s="777"/>
      <c r="B1834" s="1248"/>
      <c r="C1834" s="753" t="s">
        <v>325</v>
      </c>
      <c r="D1834" s="503" t="str">
        <f>Translations!$B$641</f>
        <v>Biomasės dalis (BioC):</v>
      </c>
      <c r="E1834" s="504"/>
      <c r="F1834" s="539"/>
      <c r="G1834" s="1603" t="str">
        <f t="shared" si="455"/>
        <v/>
      </c>
      <c r="H1834" s="1604"/>
      <c r="I1834" s="1113" t="str">
        <f>IF(OR(AC1834=FALSE,Y1834=EUconst_NA),"","-")</f>
        <v/>
      </c>
      <c r="J1834" s="560"/>
      <c r="K1834" s="561" t="str">
        <f t="shared" si="456"/>
        <v/>
      </c>
      <c r="L1834" s="694"/>
      <c r="M1834" s="700" t="str">
        <f>IF(AND(E1818&lt;&gt;"",OR(F1834="",COUNT(K1834:L1834)=0),Y1834&lt;&gt;EUconst_NA,T1818&lt;&gt;TRUE),EUconst_ERR_Incomplete,IF(COUNTIF(AX1834:AZ1834,TRUE)&gt;0,EUconst_ERR_Inconsistent,""))</f>
        <v/>
      </c>
      <c r="O1834" s="1305"/>
      <c r="P1834" s="635"/>
      <c r="Q1834" s="635"/>
      <c r="R1834" s="635"/>
      <c r="S1834" s="30"/>
      <c r="T1834" s="543" t="str">
        <f>EUconst_CNTR_BiomassContent&amp;E1818</f>
        <v>BioC_</v>
      </c>
      <c r="U1834" s="488"/>
      <c r="V1834" s="585" t="str">
        <f t="shared" si="461"/>
        <v/>
      </c>
      <c r="W1834" s="522" t="str">
        <f>IF(COUNTIF(MSPara_SourceStreamCategory,V1834)=0,"",INDEX(MSPara_IsFossil,MATCH(V1834,MSPara_SourceStreamCategory,0)))</f>
        <v/>
      </c>
      <c r="X1834" s="488"/>
      <c r="Y1834" s="545" t="str">
        <f>IF(OR(T1818=TRUE,E1818=""),"",IF(OR(W1834=TRUE,F1834=EUconst_NA),EUconst_NA,INDEX(EUwideConstants!$N:$N,MATCH(T1834,EUwideConstants!$Q:$Q,0))))</f>
        <v/>
      </c>
      <c r="Z1834" s="546" t="str">
        <f>IF(ISBLANK(F1834),"",IF(F1834=EUconst_NA,"",INDEX(EUwideConstants!$H:$M,MATCH(T1834,EUwideConstants!$Q:$Q,0),MATCH(F1834,CNTR_TierList,0))))</f>
        <v/>
      </c>
      <c r="AA1834" s="586" t="str">
        <f>IF(F1834=1,1,"")</f>
        <v/>
      </c>
      <c r="AB1834" s="30"/>
      <c r="AC1834" s="548" t="b">
        <f>AND(AC1827,Y1834&lt;&gt;EUconst_NA)</f>
        <v>0</v>
      </c>
      <c r="AD1834" s="30"/>
      <c r="AE1834" s="563"/>
      <c r="AG1834" s="564"/>
      <c r="AH1834" s="553"/>
      <c r="AI1834" s="565"/>
      <c r="AJ1834" s="553"/>
      <c r="AK1834" s="566"/>
      <c r="AL1834" s="333"/>
      <c r="AM1834" s="549" t="str">
        <f>EUconst_CNTR_BiomassContent&amp;EUconst_Value</f>
        <v>BioC_Vertė</v>
      </c>
      <c r="AO1834" s="587" t="str">
        <f>IF(AC1834=TRUE,IF(COUNTIF(MSPara_SourceStreamCategory,V1834)=0,"",INDEX(MSPara_CalcFactorsMatrix,MATCH(V1834,MSPara_SourceStreamCategory,0),MATCH(AM1834&amp;"_"&amp;2,MSPara_CalcFactors,0))),"")</f>
        <v/>
      </c>
      <c r="AP1834" s="553"/>
      <c r="AQ1834" s="568" t="str">
        <f>IF(OR(AA1834="",AO1834=EUconst_NA),"",AO1834)</f>
        <v/>
      </c>
      <c r="AR1834" s="548">
        <f>IF(AC1834=TRUE,IF(COUNT(K1834:L1834)=0,0,IF(L1834="",K1834,L1834)),0)</f>
        <v>0</v>
      </c>
      <c r="AS1834" s="544" t="b">
        <f>AND(AC1834=TRUE,OR(AND(F1834&lt;&gt;"",NOT(ISNUMBER(AA1834))),L1834&lt;&gt;"",F1834="",AQ1834=""))</f>
        <v>0</v>
      </c>
      <c r="AT1834" s="544" t="b">
        <f t="shared" si="457"/>
        <v>0</v>
      </c>
      <c r="AU1834" s="30"/>
      <c r="AV1834" s="558" t="b">
        <f t="shared" si="458"/>
        <v>0</v>
      </c>
      <c r="AW1834" s="559" t="b">
        <f t="shared" si="459"/>
        <v>0</v>
      </c>
      <c r="AX1834" s="30"/>
      <c r="AY1834" s="585" t="b">
        <f t="shared" si="460"/>
        <v>0</v>
      </c>
      <c r="AZ1834" s="522" t="b">
        <f>OR(AR1834&gt;100%,(AR1834+AR1835)&gt;100%)</f>
        <v>0</v>
      </c>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544" t="b">
        <f>OR(BZ1827,Y1834=EUconst_NA)</f>
        <v>1</v>
      </c>
    </row>
    <row r="1835" spans="1:78" s="140" customFormat="1" ht="12.75" customHeight="1" thickBot="1" x14ac:dyDescent="0.25">
      <c r="A1835" s="777"/>
      <c r="B1835" s="1248"/>
      <c r="C1835" s="753" t="s">
        <v>448</v>
      </c>
      <c r="D1835" s="503" t="str">
        <f>Translations!$B$647</f>
        <v>Netvarios BioC dalis:</v>
      </c>
      <c r="E1835" s="504"/>
      <c r="F1835" s="588"/>
      <c r="G1835" s="1603" t="str">
        <f t="shared" si="455"/>
        <v/>
      </c>
      <c r="H1835" s="1604"/>
      <c r="I1835" s="1114" t="str">
        <f>IF(OR(AC1835=FALSE,Y1835=EUconst_NA),"","-")</f>
        <v/>
      </c>
      <c r="J1835" s="560"/>
      <c r="K1835" s="589" t="str">
        <f t="shared" si="456"/>
        <v/>
      </c>
      <c r="L1835" s="1100"/>
      <c r="M1835" s="700" t="str">
        <f>IF(AND(E1818&lt;&gt;"",OR(F1835="",COUNT(K1835:L1835)=0),Y1835&lt;&gt;EUconst_NA,T1818&lt;&gt;TRUE),EUconst_ERR_Incomplete,IF(COUNTIF(AX1835:AZ1835,TRUE)&gt;0,EUconst_ERR_Inconsistent,""))</f>
        <v/>
      </c>
      <c r="O1835" s="1305"/>
      <c r="P1835" s="635"/>
      <c r="Q1835" s="635"/>
      <c r="R1835" s="635"/>
      <c r="S1835" s="30"/>
      <c r="T1835" s="590" t="str">
        <f>EUconst_CNTR_BiomassContent&amp;E1818</f>
        <v>BioC_</v>
      </c>
      <c r="U1835" s="488"/>
      <c r="V1835" s="570" t="str">
        <f t="shared" si="461"/>
        <v/>
      </c>
      <c r="W1835" s="571" t="str">
        <f>IF(COUNTIF(MSPara_SourceStreamCategory,V1835)=0,"",INDEX(MSPara_IsFossil,MATCH(V1835,MSPara_SourceStreamCategory,0)))</f>
        <v/>
      </c>
      <c r="X1835" s="488"/>
      <c r="Y1835" s="591" t="str">
        <f>IF(OR(T1818=TRUE,E1818=""),"",IF(OR(W1835=TRUE,F1835=EUconst_NA),EUconst_NA,INDEX(EUwideConstants!$N:$N,MATCH(T1835,EUwideConstants!$Q:$Q,0))))</f>
        <v/>
      </c>
      <c r="Z1835" s="592" t="str">
        <f>IF(ISBLANK(F1835),"",IF(F1835=EUconst_NA,"",INDEX(EUwideConstants!$H:$M,MATCH(T1835,EUwideConstants!$Q:$Q,0),MATCH(F1835,CNTR_TierList,0))))</f>
        <v/>
      </c>
      <c r="AA1835" s="593" t="str">
        <f>IF(F1835=1,1,"")</f>
        <v/>
      </c>
      <c r="AB1835" s="30"/>
      <c r="AC1835" s="594" t="b">
        <f>AND(AC1827,Y1835&lt;&gt;EUconst_NA)</f>
        <v>0</v>
      </c>
      <c r="AD1835" s="30"/>
      <c r="AE1835" s="595"/>
      <c r="AF1835" s="596"/>
      <c r="AG1835" s="597"/>
      <c r="AH1835" s="598"/>
      <c r="AI1835" s="598"/>
      <c r="AJ1835" s="598"/>
      <c r="AK1835" s="599"/>
      <c r="AL1835" s="333"/>
      <c r="AM1835" s="600" t="str">
        <f>EUconst_CNTR_BiomassContent&amp;EUconst_Value</f>
        <v>BioC_Vertė</v>
      </c>
      <c r="AN1835" s="596"/>
      <c r="AO1835" s="601" t="str">
        <f>IF(AC1835=TRUE,IF(COUNTIF(MSPara_SourceStreamCategory,V1835)=0,"",INDEX(MSPara_CalcFactorsMatrix,MATCH(V1835,MSPara_SourceStreamCategory,0),MATCH(AM1835&amp;"_"&amp;2,MSPara_CalcFactors,0))),"")</f>
        <v/>
      </c>
      <c r="AP1835" s="598"/>
      <c r="AQ1835" s="602" t="str">
        <f>IF(OR(AA1835="",AO1835=EUconst_NA),"",AO1835)</f>
        <v/>
      </c>
      <c r="AR1835" s="594">
        <f>IF(AC1835=TRUE,IF(COUNT(K1835:L1835)=0,0,IF(L1835="",K1835,L1835)),0)</f>
        <v>0</v>
      </c>
      <c r="AS1835" s="603" t="b">
        <f>AND(AC1835=TRUE,OR(AND(F1835&lt;&gt;"",NOT(ISNUMBER(AA1835))),L1835&lt;&gt;"",F1835="",AQ1835=""))</f>
        <v>0</v>
      </c>
      <c r="AT1835" s="603" t="b">
        <f t="shared" si="457"/>
        <v>0</v>
      </c>
      <c r="AU1835" s="30"/>
      <c r="AV1835" s="604" t="b">
        <f t="shared" si="458"/>
        <v>0</v>
      </c>
      <c r="AW1835" s="605" t="b">
        <f t="shared" si="459"/>
        <v>0</v>
      </c>
      <c r="AX1835" s="30"/>
      <c r="AY1835" s="570" t="b">
        <f t="shared" si="460"/>
        <v>0</v>
      </c>
      <c r="AZ1835" s="571" t="b">
        <f>OR(AR1834&gt;100%,(AR1834+AR1835)&gt;100%)</f>
        <v>0</v>
      </c>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571" t="b">
        <f>OR(BZ1827,Y1835=EUconst_NA)</f>
        <v>1</v>
      </c>
    </row>
    <row r="1836" spans="1:78" s="140" customFormat="1" ht="5.0999999999999996" customHeight="1" x14ac:dyDescent="0.2">
      <c r="A1836" s="777"/>
      <c r="B1836" s="1248"/>
      <c r="C1836" s="164"/>
      <c r="D1836" s="178"/>
      <c r="O1836" s="1305"/>
      <c r="P1836" s="33"/>
      <c r="Q1836" s="33"/>
      <c r="R1836" s="33"/>
      <c r="S1836" s="172"/>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row>
    <row r="1837" spans="1:78" s="140" customFormat="1" ht="12.75" customHeight="1" x14ac:dyDescent="0.2">
      <c r="A1837" s="777"/>
      <c r="B1837" s="1248"/>
      <c r="C1837" s="164"/>
      <c r="D1837" s="1629" t="str">
        <f>Translations!$B$674</f>
        <v>Pakopos galioja nuo:</v>
      </c>
      <c r="E1837" s="1629"/>
      <c r="F1837" s="1630"/>
      <c r="G1837" s="1014"/>
      <c r="H1837" s="606" t="str">
        <f>Translations!$B$675</f>
        <v>iki:</v>
      </c>
      <c r="I1837" s="1014"/>
      <c r="J1837" s="1620" t="str">
        <f>Translations!$B$676</f>
        <v>Atliekų katalogo numeris (jeigu taikytina):</v>
      </c>
      <c r="K1837" s="1621"/>
      <c r="L1837" s="1621"/>
      <c r="M1837" s="1622"/>
      <c r="N1837" s="1232"/>
      <c r="O1837" s="1305"/>
      <c r="P1837" s="33"/>
      <c r="Q1837" s="33"/>
      <c r="R1837" s="33"/>
      <c r="S1837" s="1233"/>
      <c r="T1837" s="483"/>
      <c r="U1837" s="483"/>
      <c r="V1837" s="48" t="b">
        <f>IF(V1827="",FALSE,INDEX(CNTR_IsWaste,MATCH(V1827,MSParameters!$A$218:$A$376,0)))</f>
        <v>0</v>
      </c>
      <c r="W1837" s="1233" t="s">
        <v>1689</v>
      </c>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2" t="b">
        <f>BZ1827</f>
        <v>1</v>
      </c>
    </row>
    <row r="1838" spans="1:78" s="140" customFormat="1" ht="5.0999999999999996" customHeight="1" x14ac:dyDescent="0.2">
      <c r="A1838" s="777"/>
      <c r="B1838" s="1248"/>
      <c r="C1838" s="164"/>
      <c r="D1838" s="606"/>
      <c r="E1838" s="486"/>
      <c r="F1838" s="486"/>
      <c r="G1838" s="486"/>
      <c r="H1838" s="486"/>
      <c r="I1838" s="486"/>
      <c r="J1838" s="486"/>
      <c r="K1838" s="486"/>
      <c r="L1838" s="486"/>
      <c r="M1838" s="486"/>
      <c r="N1838" s="486"/>
      <c r="O1838" s="1305"/>
      <c r="P1838" s="33"/>
      <c r="Q1838" s="33"/>
      <c r="R1838" s="33"/>
      <c r="S1838" s="172"/>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row>
    <row r="1839" spans="1:78" s="140" customFormat="1" ht="12.75" customHeight="1" x14ac:dyDescent="0.2">
      <c r="A1839" s="777"/>
      <c r="B1839" s="1248"/>
      <c r="C1839" s="164"/>
      <c r="D1839" s="486"/>
      <c r="E1839" s="486"/>
      <c r="F1839" s="486"/>
      <c r="G1839" s="486"/>
      <c r="H1839" s="486"/>
      <c r="I1839" s="486"/>
      <c r="J1839" s="486"/>
      <c r="K1839" s="486"/>
      <c r="L1839" s="486"/>
      <c r="M1839" s="606" t="str">
        <f>Translations!$B$677</f>
        <v>Stebėsenos plane šiam sukėlikliui suteiktas identifikatorius:</v>
      </c>
      <c r="N1839" s="705"/>
      <c r="O1839" s="1305"/>
      <c r="P1839" s="33"/>
      <c r="Q1839" s="33"/>
      <c r="R1839" s="33"/>
      <c r="S1839" s="172"/>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2" t="b">
        <f>BZ1837</f>
        <v>1</v>
      </c>
    </row>
    <row r="1840" spans="1:78" s="140" customFormat="1" ht="5.0999999999999996" customHeight="1" x14ac:dyDescent="0.2">
      <c r="A1840" s="784"/>
      <c r="B1840" s="1316"/>
      <c r="D1840" s="178"/>
      <c r="O1840" s="1317"/>
      <c r="P1840" s="488"/>
      <c r="Q1840" s="488"/>
      <c r="R1840" s="488"/>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row>
    <row r="1841" spans="1:78" s="140" customFormat="1" x14ac:dyDescent="0.2">
      <c r="A1841" s="784"/>
      <c r="B1841" s="1316"/>
      <c r="D1841" s="1618" t="str">
        <f>Translations!$B$160</f>
        <v>Pastabos:</v>
      </c>
      <c r="E1841" s="1619"/>
      <c r="F1841" s="1605"/>
      <c r="G1841" s="1606"/>
      <c r="H1841" s="1606"/>
      <c r="I1841" s="1606"/>
      <c r="J1841" s="1606"/>
      <c r="K1841" s="1606"/>
      <c r="L1841" s="1606"/>
      <c r="M1841" s="1606"/>
      <c r="N1841" s="1607"/>
      <c r="O1841" s="1317"/>
      <c r="P1841" s="488"/>
      <c r="Q1841" s="488"/>
      <c r="R1841" s="488"/>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2" t="b">
        <f>BZ1837</f>
        <v>1</v>
      </c>
    </row>
    <row r="1842" spans="1:78" s="28" customFormat="1" ht="12.75" customHeight="1" thickBot="1" x14ac:dyDescent="0.25">
      <c r="A1842" s="777"/>
      <c r="B1842" s="1312"/>
      <c r="C1842" s="490"/>
      <c r="D1842" s="491"/>
      <c r="E1842" s="492"/>
      <c r="F1842" s="490"/>
      <c r="G1842" s="493"/>
      <c r="H1842" s="493"/>
      <c r="I1842" s="493"/>
      <c r="J1842" s="493"/>
      <c r="K1842" s="493"/>
      <c r="L1842" s="493"/>
      <c r="M1842" s="493"/>
      <c r="N1842" s="493"/>
      <c r="O1842" s="1313"/>
      <c r="P1842" s="485"/>
      <c r="Q1842" s="485"/>
      <c r="R1842" s="485"/>
      <c r="S1842" s="58"/>
      <c r="T1842" s="58"/>
      <c r="U1842" s="489"/>
      <c r="V1842" s="58"/>
      <c r="W1842" s="58"/>
      <c r="X1842" s="489"/>
      <c r="Y1842" s="58"/>
      <c r="Z1842" s="58"/>
      <c r="AA1842" s="58"/>
      <c r="AB1842" s="58"/>
      <c r="AC1842" s="58"/>
      <c r="AD1842" s="58"/>
      <c r="AE1842" s="58"/>
      <c r="AF1842" s="58"/>
      <c r="AG1842" s="58"/>
      <c r="AH1842" s="58"/>
      <c r="AI1842" s="58"/>
      <c r="AJ1842" s="58"/>
      <c r="AK1842" s="58"/>
      <c r="AL1842" s="58"/>
      <c r="AM1842" s="58"/>
      <c r="AN1842" s="58"/>
      <c r="AO1842" s="58"/>
      <c r="AP1842" s="58"/>
      <c r="AQ1842" s="58"/>
      <c r="AR1842" s="58"/>
      <c r="AS1842" s="58"/>
      <c r="AT1842" s="58"/>
      <c r="AU1842" s="58"/>
      <c r="AV1842" s="58"/>
      <c r="AW1842" s="58"/>
      <c r="AX1842" s="58"/>
      <c r="AY1842" s="58"/>
      <c r="AZ1842" s="58"/>
      <c r="BA1842" s="58"/>
      <c r="BB1842" s="58"/>
      <c r="BC1842" s="58"/>
      <c r="BD1842" s="58"/>
      <c r="BE1842" s="58"/>
      <c r="BF1842" s="58"/>
      <c r="BG1842" s="58"/>
      <c r="BH1842" s="58"/>
      <c r="BI1842" s="30"/>
      <c r="BJ1842" s="30"/>
      <c r="BK1842" s="30"/>
      <c r="BL1842" s="58"/>
      <c r="BM1842" s="58"/>
      <c r="BN1842" s="58"/>
      <c r="BO1842" s="58"/>
      <c r="BP1842" s="58"/>
      <c r="BQ1842" s="58"/>
      <c r="BR1842" s="58"/>
      <c r="BS1842" s="58"/>
      <c r="BT1842" s="58"/>
      <c r="BU1842" s="58"/>
      <c r="BV1842" s="58"/>
      <c r="BW1842" s="58"/>
      <c r="BX1842" s="58"/>
      <c r="BY1842" s="58"/>
      <c r="BZ1842" s="58"/>
    </row>
    <row r="1843" spans="1:78" s="28" customFormat="1" ht="12.75" customHeight="1" thickBot="1" x14ac:dyDescent="0.25">
      <c r="A1843" s="782"/>
      <c r="B1843" s="1312"/>
      <c r="C1843" s="486"/>
      <c r="D1843" s="178"/>
      <c r="E1843" s="487"/>
      <c r="F1843" s="486"/>
      <c r="G1843" s="478"/>
      <c r="H1843" s="478"/>
      <c r="I1843" s="478"/>
      <c r="J1843" s="478"/>
      <c r="K1843" s="486"/>
      <c r="L1843" s="478"/>
      <c r="M1843" s="478"/>
      <c r="N1843" s="478"/>
      <c r="O1843" s="1313"/>
      <c r="P1843" s="485"/>
      <c r="Q1843" s="485"/>
      <c r="R1843" s="485"/>
      <c r="S1843" s="23"/>
      <c r="T1843" s="27" t="str">
        <f>IF(ISBLANK(E1844),"",MATCH(E1844,CNTR_SourceStreamNames,0))</f>
        <v/>
      </c>
      <c r="U1843" s="609" t="str">
        <f>IF(ISBLANK(E1844),"",INDEX(B_InstallationDescription!$D$71:$D$145,MATCH(E1844,CNTR_SourceStreamNames,0)))</f>
        <v/>
      </c>
      <c r="V1843" s="76"/>
      <c r="W1843" s="56"/>
      <c r="X1843" s="56"/>
      <c r="Y1843" s="56"/>
      <c r="Z1843" s="58"/>
      <c r="AA1843" s="58"/>
      <c r="AB1843" s="58"/>
      <c r="AC1843" s="58"/>
      <c r="AD1843" s="58"/>
      <c r="AE1843" s="58"/>
      <c r="AF1843" s="58"/>
      <c r="AG1843" s="58"/>
      <c r="AH1843" s="58"/>
      <c r="AI1843" s="58"/>
      <c r="AJ1843" s="58"/>
      <c r="AK1843" s="482"/>
      <c r="AL1843" s="58"/>
      <c r="AM1843" s="58"/>
      <c r="AN1843" s="58"/>
      <c r="AO1843" s="58"/>
      <c r="AP1843" s="58"/>
      <c r="AQ1843" s="58"/>
      <c r="AR1843" s="58"/>
      <c r="AS1843" s="58"/>
      <c r="AT1843" s="58"/>
      <c r="AU1843" s="58"/>
      <c r="AV1843" s="58"/>
      <c r="AW1843" s="58"/>
      <c r="AX1843" s="58"/>
      <c r="AY1843" s="58"/>
      <c r="AZ1843" s="58"/>
      <c r="BA1843" s="58"/>
      <c r="BB1843" s="58"/>
      <c r="BC1843" s="58"/>
      <c r="BD1843" s="58"/>
      <c r="BE1843" s="58"/>
      <c r="BF1843" s="58"/>
      <c r="BG1843" s="58"/>
      <c r="BH1843" s="56"/>
      <c r="BI1843" s="56"/>
      <c r="BJ1843" s="56"/>
      <c r="BK1843" s="56"/>
      <c r="BL1843" s="56"/>
      <c r="BM1843" s="56"/>
      <c r="BN1843" s="56"/>
      <c r="BO1843" s="56"/>
      <c r="BP1843" s="56"/>
      <c r="BQ1843" s="56"/>
      <c r="BR1843" s="56"/>
      <c r="BS1843" s="56"/>
      <c r="BT1843" s="56"/>
      <c r="BU1843" s="56"/>
      <c r="BV1843" s="56"/>
      <c r="BW1843" s="56"/>
      <c r="BX1843" s="56"/>
      <c r="BY1843" s="56"/>
      <c r="BZ1843" s="484" t="s">
        <v>259</v>
      </c>
    </row>
    <row r="1844" spans="1:78" s="140" customFormat="1" ht="15" customHeight="1" thickBot="1" x14ac:dyDescent="0.25">
      <c r="A1844" s="1302" t="str">
        <f>IF(E1844="","","PRINT")</f>
        <v/>
      </c>
      <c r="B1844" s="1248"/>
      <c r="C1844" s="608">
        <f>C1817+1</f>
        <v>67</v>
      </c>
      <c r="D1844" s="164"/>
      <c r="E1844" s="1610"/>
      <c r="F1844" s="1611"/>
      <c r="G1844" s="1611"/>
      <c r="H1844" s="1611"/>
      <c r="I1844" s="1611"/>
      <c r="J1844" s="1612"/>
      <c r="K1844" s="1623" t="str">
        <f>IF(E1845="","",INDEX(EUwideConstants!$F$353:$F$394,MATCH(E1845,EUConst_TierActivityListNames,0)))</f>
        <v/>
      </c>
      <c r="L1844" s="1624"/>
      <c r="M1844" s="494" t="str">
        <f>Translations!$B$665</f>
        <v>CO2, iškastinio kuro kilmės:</v>
      </c>
      <c r="N1844" s="1012" t="str">
        <f>IF(OR(K1844="",T1845=TRUE),"",INDEX(BC1858:BE1858,MATCH(K1844,BC1854:BE1854,0)))</f>
        <v/>
      </c>
      <c r="O1844" s="1314" t="s">
        <v>257</v>
      </c>
      <c r="P1844" s="1303" t="str">
        <f>IF(AND(E1844&lt;&gt;"",COUNTIF(P1845:$P$2089,"PRINT")=0),"PRINT","")</f>
        <v/>
      </c>
      <c r="Q1844" s="343" t="str">
        <f>EUconst_SumCO2 &amp; "_" &amp; K1844</f>
        <v>SUM_CO2_</v>
      </c>
      <c r="R1844" s="485"/>
      <c r="S1844" s="23"/>
      <c r="T1844" s="500" t="s">
        <v>387</v>
      </c>
      <c r="U1844" s="23"/>
      <c r="V1844" s="76"/>
      <c r="W1844" s="56"/>
      <c r="X1844" s="58"/>
      <c r="Y1844" s="58"/>
      <c r="Z1844" s="58"/>
      <c r="AA1844" s="58"/>
      <c r="AB1844" s="58"/>
      <c r="AC1844" s="58"/>
      <c r="AD1844" s="58"/>
      <c r="AE1844" s="58"/>
      <c r="AF1844" s="58"/>
      <c r="AG1844" s="58"/>
      <c r="AH1844" s="58"/>
      <c r="AI1844" s="333"/>
      <c r="AJ1844" s="333"/>
      <c r="AK1844" s="333"/>
      <c r="AL1844" s="333"/>
      <c r="AM1844" s="333"/>
      <c r="AN1844" s="333"/>
      <c r="AO1844" s="333"/>
      <c r="AP1844" s="333"/>
      <c r="AQ1844" s="333"/>
      <c r="AR1844" s="333"/>
      <c r="AS1844" s="333"/>
      <c r="AT1844" s="333"/>
      <c r="AU1844" s="333"/>
      <c r="AV1844" s="333"/>
      <c r="AW1844" s="333"/>
      <c r="AX1844" s="333"/>
      <c r="AY1844" s="333"/>
      <c r="AZ1844" s="333"/>
      <c r="BA1844" s="333"/>
      <c r="BB1844" s="333"/>
      <c r="BC1844" s="333"/>
      <c r="BD1844" s="333"/>
      <c r="BE1844" s="333"/>
      <c r="BF1844" s="333"/>
      <c r="BG1844" s="333"/>
      <c r="BH1844" s="834">
        <f>AR1854</f>
        <v>0</v>
      </c>
      <c r="BI1844" s="834" t="str">
        <f>AJ1854</f>
        <v/>
      </c>
      <c r="BJ1844" s="834">
        <f>AR1856</f>
        <v>0</v>
      </c>
      <c r="BK1844" s="834" t="str">
        <f>AJ1856</f>
        <v/>
      </c>
      <c r="BL1844" s="834">
        <f>AR1857</f>
        <v>0</v>
      </c>
      <c r="BM1844" s="834" t="str">
        <f>AJ1857</f>
        <v/>
      </c>
      <c r="BN1844" s="834">
        <f>AR1858</f>
        <v>1</v>
      </c>
      <c r="BO1844" s="834">
        <f>AR1859</f>
        <v>1</v>
      </c>
      <c r="BP1844" s="834">
        <f>AR1860</f>
        <v>0</v>
      </c>
      <c r="BQ1844" s="834" t="str">
        <f>AJ1860</f>
        <v/>
      </c>
      <c r="BR1844" s="834">
        <f>AR1861</f>
        <v>0</v>
      </c>
      <c r="BS1844" s="834">
        <f>AR1862</f>
        <v>0</v>
      </c>
      <c r="BT1844" s="834" t="str">
        <f>N1844</f>
        <v/>
      </c>
      <c r="BU1844" s="834" t="str">
        <f>N1845</f>
        <v/>
      </c>
      <c r="BV1844" s="834" t="str">
        <f>R1847</f>
        <v/>
      </c>
      <c r="BW1844" s="834" t="str">
        <f>R1853</f>
        <v/>
      </c>
      <c r="BX1844" s="834" t="str">
        <f>R1854</f>
        <v/>
      </c>
      <c r="BY1844" s="56"/>
      <c r="BZ1844" s="610" t="b">
        <f>CNTR_CalcRelevant=EUconst_NotRelevant</f>
        <v>0</v>
      </c>
    </row>
    <row r="1845" spans="1:78" s="140" customFormat="1" ht="15" customHeight="1" thickBot="1" x14ac:dyDescent="0.25">
      <c r="A1845" s="777"/>
      <c r="B1845" s="1248"/>
      <c r="C1845" s="164"/>
      <c r="D1845" s="164"/>
      <c r="E1845" s="1625" t="str">
        <f>IF(ISBLANK(E1844),"",IF(INDEX(B_InstallationDescription!$E$71:$E$145,MATCH(U1843,B_InstallationDescription!$D$71:$D$145,0))&gt;0,INDEX(B_InstallationDescription!$E$71:$E$145,MATCH(U1843,B_InstallationDescription!$D$71:$D$145,0)),""))</f>
        <v/>
      </c>
      <c r="F1845" s="1626"/>
      <c r="G1845" s="1626"/>
      <c r="H1845" s="1626"/>
      <c r="I1845" s="1626"/>
      <c r="J1845" s="1627"/>
      <c r="M1845" s="337" t="str">
        <f>Translations!$B$666</f>
        <v>CO2, biomasės kilmės.:</v>
      </c>
      <c r="N1845" s="1013" t="str">
        <f>IF(OR(K1844="",T1845=TRUE),"",INDEX(BC1857:BE1857,MATCH(K1844,BC1854:BE1854,0)))</f>
        <v/>
      </c>
      <c r="O1845" s="1315" t="s">
        <v>257</v>
      </c>
      <c r="P1845" s="485"/>
      <c r="Q1845" s="343" t="str">
        <f>EUconst_SumBioCO2 &amp; "_" &amp; K1844</f>
        <v>SUM_bioCO2_</v>
      </c>
      <c r="R1845" s="485"/>
      <c r="S1845" s="23"/>
      <c r="T1845" s="48" t="str">
        <f>IF(E1845="","",MATCH(E1845,EUConst_TierActivityListNames,0)&gt;40)</f>
        <v/>
      </c>
      <c r="U1845" s="23"/>
      <c r="V1845" s="76"/>
      <c r="W1845" s="56"/>
      <c r="X1845" s="58"/>
      <c r="Y1845" s="27" t="s">
        <v>91</v>
      </c>
      <c r="Z1845" s="30"/>
      <c r="AA1845" s="30"/>
      <c r="AB1845" s="30"/>
      <c r="AC1845" s="30"/>
      <c r="AD1845" s="30"/>
      <c r="AE1845" s="27" t="s">
        <v>297</v>
      </c>
      <c r="AF1845" s="58"/>
      <c r="AG1845" s="495"/>
      <c r="AH1845" s="30"/>
      <c r="AI1845" s="30"/>
      <c r="AJ1845" s="495"/>
      <c r="AK1845" s="495"/>
      <c r="AL1845" s="333"/>
      <c r="AM1845" s="27" t="s">
        <v>303</v>
      </c>
      <c r="AN1845" s="496"/>
      <c r="AO1845" s="496"/>
      <c r="AP1845" s="30"/>
      <c r="AQ1845" s="30"/>
      <c r="AR1845" s="30"/>
      <c r="AS1845" s="30"/>
      <c r="AT1845" s="30"/>
      <c r="AU1845" s="30"/>
      <c r="AV1845" s="27" t="s">
        <v>310</v>
      </c>
      <c r="AW1845" s="30"/>
      <c r="AX1845" s="483"/>
      <c r="AY1845" s="30"/>
      <c r="AZ1845" s="30"/>
      <c r="BA1845" s="30"/>
      <c r="BB1845" s="27" t="s">
        <v>217</v>
      </c>
      <c r="BC1845" s="30"/>
      <c r="BD1845" s="30"/>
      <c r="BE1845" s="30"/>
      <c r="BF1845" s="30"/>
      <c r="BG1845" s="27" t="s">
        <v>486</v>
      </c>
      <c r="BH1845" s="833" t="s">
        <v>552</v>
      </c>
      <c r="BI1845" s="833" t="s">
        <v>487</v>
      </c>
      <c r="BJ1845" s="833" t="s">
        <v>211</v>
      </c>
      <c r="BK1845" s="833" t="s">
        <v>488</v>
      </c>
      <c r="BL1845" s="833" t="s">
        <v>68</v>
      </c>
      <c r="BM1845" s="833" t="s">
        <v>489</v>
      </c>
      <c r="BN1845" s="833" t="s">
        <v>490</v>
      </c>
      <c r="BO1845" s="833" t="s">
        <v>491</v>
      </c>
      <c r="BP1845" s="833" t="s">
        <v>214</v>
      </c>
      <c r="BQ1845" s="833" t="s">
        <v>492</v>
      </c>
      <c r="BR1845" s="833" t="s">
        <v>493</v>
      </c>
      <c r="BS1845" s="833" t="s">
        <v>494</v>
      </c>
      <c r="BT1845" s="833" t="s">
        <v>287</v>
      </c>
      <c r="BU1845" s="833" t="s">
        <v>495</v>
      </c>
      <c r="BV1845" s="833" t="s">
        <v>498</v>
      </c>
      <c r="BW1845" s="833" t="s">
        <v>496</v>
      </c>
      <c r="BX1845" s="833" t="s">
        <v>497</v>
      </c>
      <c r="BY1845" s="30"/>
      <c r="BZ1845" s="30"/>
    </row>
    <row r="1846" spans="1:78" s="140" customFormat="1" ht="5.0999999999999996" customHeight="1" thickBot="1" x14ac:dyDescent="0.25">
      <c r="A1846" s="777"/>
      <c r="B1846" s="1248"/>
      <c r="C1846" s="164"/>
      <c r="D1846" s="164"/>
      <c r="E1846" s="164"/>
      <c r="F1846" s="164"/>
      <c r="G1846" s="164"/>
      <c r="M1846" s="141"/>
      <c r="N1846" s="141"/>
      <c r="O1846" s="1305"/>
      <c r="P1846" s="33"/>
      <c r="Q1846" s="33"/>
      <c r="R1846" s="33"/>
      <c r="S1846" s="23"/>
      <c r="T1846" s="23"/>
      <c r="U1846" s="23"/>
      <c r="V1846" s="76"/>
      <c r="W1846" s="30"/>
      <c r="X1846" s="30"/>
      <c r="Y1846" s="485"/>
      <c r="Z1846" s="30"/>
      <c r="AA1846" s="30"/>
      <c r="AB1846" s="30"/>
      <c r="AC1846" s="30"/>
      <c r="AD1846" s="30"/>
      <c r="AE1846" s="30"/>
      <c r="AF1846" s="58"/>
      <c r="AG1846" s="30"/>
      <c r="AH1846" s="30"/>
      <c r="AI1846" s="30"/>
      <c r="AJ1846" s="495"/>
      <c r="AK1846" s="495"/>
      <c r="AL1846" s="333"/>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row>
    <row r="1847" spans="1:78" s="140" customFormat="1" ht="12.75" customHeight="1" thickBot="1" x14ac:dyDescent="0.25">
      <c r="A1847" s="777"/>
      <c r="B1847" s="1248"/>
      <c r="C1847" s="164"/>
      <c r="D1847" s="164"/>
      <c r="E1847" s="1628" t="str">
        <f>IF(E1844="","",IF(T1845=TRUE,HYPERLINK("#JUMP_14",EUconst_MsgGoOnPFC),HYPERLINK("#JUMP_E_8",EUconst_FurtherGuidancePoint1)))</f>
        <v/>
      </c>
      <c r="F1847" s="1628"/>
      <c r="G1847" s="1628"/>
      <c r="H1847" s="1628"/>
      <c r="I1847" s="1628"/>
      <c r="J1847" s="1628"/>
      <c r="K1847" s="1628"/>
      <c r="L1847" s="1628"/>
      <c r="M1847" s="1628"/>
      <c r="N1847" s="141"/>
      <c r="O1847" s="1305"/>
      <c r="P1847" s="33"/>
      <c r="Q1847" s="343" t="str">
        <f>EUconst_SumNonSustBioCO2 &amp; "_" &amp; K1844</f>
        <v>SUM_bioNonSustCO2_</v>
      </c>
      <c r="R1847" s="698" t="str">
        <f>IF(OR(K1844="",T1845=TRUE),"",ROUND(INDEX(BC1856:BE1856,MATCH(K1844,BC1854:BE1854,0)),0))</f>
        <v/>
      </c>
      <c r="S1847" s="23"/>
      <c r="T1847" s="23"/>
      <c r="U1847" s="23"/>
      <c r="V1847" s="30"/>
      <c r="W1847" s="30"/>
      <c r="X1847" s="30"/>
      <c r="Y1847" s="58"/>
      <c r="Z1847" s="30"/>
      <c r="AA1847" s="30"/>
      <c r="AB1847" s="30"/>
      <c r="AC1847" s="30"/>
      <c r="AD1847" s="30"/>
      <c r="AE1847" s="30"/>
      <c r="AF1847" s="58"/>
      <c r="AG1847" s="30"/>
      <c r="AH1847" s="30"/>
      <c r="AI1847" s="30"/>
      <c r="AJ1847" s="495"/>
      <c r="AK1847" s="495"/>
      <c r="AL1847" s="333"/>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row>
    <row r="1848" spans="1:78" s="140" customFormat="1" ht="5.0999999999999996" customHeight="1" thickBot="1" x14ac:dyDescent="0.25">
      <c r="A1848" s="777"/>
      <c r="B1848" s="1248"/>
      <c r="C1848" s="164"/>
      <c r="D1848" s="164"/>
      <c r="E1848" s="164"/>
      <c r="F1848" s="164"/>
      <c r="G1848" s="164"/>
      <c r="M1848" s="141"/>
      <c r="N1848" s="141"/>
      <c r="O1848" s="1305"/>
      <c r="P1848" s="23"/>
      <c r="Q1848" s="23"/>
      <c r="R1848" s="23"/>
      <c r="S1848" s="23"/>
      <c r="T1848" s="23"/>
      <c r="U1848" s="23"/>
      <c r="V1848" s="30"/>
      <c r="W1848" s="30"/>
      <c r="X1848" s="30"/>
      <c r="Y1848" s="485"/>
      <c r="Z1848" s="30"/>
      <c r="AA1848" s="30"/>
      <c r="AB1848" s="30"/>
      <c r="AC1848" s="30"/>
      <c r="AD1848" s="30"/>
      <c r="AE1848" s="30"/>
      <c r="AF1848" s="58"/>
      <c r="AG1848" s="30"/>
      <c r="AH1848" s="30"/>
      <c r="AI1848" s="30"/>
      <c r="AJ1848" s="495"/>
      <c r="AK1848" s="495"/>
      <c r="AL1848" s="333"/>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row>
    <row r="1849" spans="1:78" s="140" customFormat="1" ht="12.75" customHeight="1" thickBot="1" x14ac:dyDescent="0.25">
      <c r="A1849" s="777"/>
      <c r="B1849" s="1248"/>
      <c r="C1849" s="783" t="s">
        <v>4</v>
      </c>
      <c r="D1849" s="503" t="str">
        <f>Translations!$B$622</f>
        <v>VD:</v>
      </c>
      <c r="E1849" s="1631" t="str">
        <f>Translations!$B$667</f>
        <v>Ar veiklos duomenys gaunami sudedant išmatuotus kiekius (t. y. ne atliekant nuolatinius matavimus)?</v>
      </c>
      <c r="F1849" s="1631"/>
      <c r="G1849" s="1631"/>
      <c r="H1849" s="1631"/>
      <c r="I1849" s="1631"/>
      <c r="J1849" s="1631"/>
      <c r="K1849" s="1631"/>
      <c r="L1849" s="1122"/>
      <c r="M1849" s="498"/>
      <c r="O1849" s="1305"/>
      <c r="P1849" s="23"/>
      <c r="Q1849" s="23"/>
      <c r="R1849" s="23"/>
      <c r="S1849" s="23"/>
      <c r="T1849" s="23"/>
      <c r="U1849" s="23"/>
      <c r="V1849" s="30"/>
      <c r="W1849" s="30"/>
      <c r="X1849" s="30"/>
      <c r="Y1849" s="485"/>
      <c r="Z1849" s="30"/>
      <c r="AA1849" s="30"/>
      <c r="AB1849" s="30"/>
      <c r="AC1849" s="1115" t="b">
        <f>AND(E1844&lt;&gt;"",T1845&lt;&gt;TRUE)</f>
        <v>0</v>
      </c>
      <c r="AD1849" s="30"/>
      <c r="AE1849" s="30"/>
      <c r="AF1849" s="58"/>
      <c r="AG1849" s="30"/>
      <c r="AH1849" s="30"/>
      <c r="AI1849" s="30"/>
      <c r="AJ1849" s="495"/>
      <c r="AK1849" s="495"/>
      <c r="AL1849" s="333"/>
      <c r="AM1849" s="30"/>
      <c r="AN1849" s="30"/>
      <c r="AO1849" s="30"/>
      <c r="AP1849" s="30"/>
      <c r="AQ1849" s="30"/>
      <c r="AR1849" s="30"/>
      <c r="AS1849" s="30"/>
      <c r="AT1849" s="1115" t="b">
        <f>MSPara_BatchReportingMandatory&lt;&gt;TRUE</f>
        <v>0</v>
      </c>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1115" t="b">
        <f>OR(CNTR_CalcRelevant=EUconst_NotRelevant,AND(COUNTA(CNTR_ListRelevantSections)&gt;0,OR(T1845=TRUE,E1844="")))</f>
        <v>1</v>
      </c>
    </row>
    <row r="1850" spans="1:78" s="140" customFormat="1" ht="5.0999999999999996" customHeight="1" thickBot="1" x14ac:dyDescent="0.25">
      <c r="A1850" s="777"/>
      <c r="B1850" s="1248"/>
      <c r="C1850" s="164"/>
      <c r="D1850" s="164"/>
      <c r="E1850" s="164"/>
      <c r="F1850" s="164"/>
      <c r="G1850" s="164"/>
      <c r="H1850" s="486"/>
      <c r="I1850" s="486"/>
      <c r="J1850" s="486"/>
      <c r="K1850" s="486"/>
      <c r="L1850" s="486"/>
      <c r="M1850" s="498"/>
      <c r="O1850" s="1305"/>
      <c r="P1850" s="23"/>
      <c r="Q1850" s="23"/>
      <c r="R1850" s="23"/>
      <c r="S1850" s="23"/>
      <c r="T1850" s="23"/>
      <c r="U1850" s="23"/>
      <c r="V1850" s="30"/>
      <c r="W1850" s="30"/>
      <c r="X1850" s="30"/>
      <c r="Y1850" s="485"/>
      <c r="Z1850" s="30"/>
      <c r="AA1850" s="30"/>
      <c r="AB1850" s="30"/>
      <c r="AC1850" s="483"/>
      <c r="AD1850" s="30"/>
      <c r="AE1850" s="30"/>
      <c r="AF1850" s="58"/>
      <c r="AG1850" s="30"/>
      <c r="AH1850" s="30"/>
      <c r="AI1850" s="30"/>
      <c r="AJ1850" s="495"/>
      <c r="AK1850" s="495"/>
      <c r="AL1850" s="333"/>
      <c r="AM1850" s="30"/>
      <c r="AN1850" s="30"/>
      <c r="AO1850" s="30"/>
      <c r="AP1850" s="30"/>
      <c r="AQ1850" s="30"/>
      <c r="AR1850" s="30"/>
      <c r="AS1850" s="30"/>
      <c r="AT1850" s="483"/>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483"/>
    </row>
    <row r="1851" spans="1:78" s="140" customFormat="1" ht="12.75" customHeight="1" thickBot="1" x14ac:dyDescent="0.25">
      <c r="A1851" s="777"/>
      <c r="B1851" s="1248"/>
      <c r="C1851" s="783" t="s">
        <v>5</v>
      </c>
      <c r="D1851" s="503" t="str">
        <f>Translations!$B$622</f>
        <v>VD:</v>
      </c>
      <c r="E1851" s="1105" t="str">
        <f>Translations!$B$668</f>
        <v>Pradinis kiekis:</v>
      </c>
      <c r="F1851" s="1123"/>
      <c r="G1851" s="1106" t="str">
        <f>Translations!$B$669</f>
        <v>Galutinis kiekis:</v>
      </c>
      <c r="H1851" s="1123"/>
      <c r="I1851" s="1106" t="str">
        <f>Translations!$B$670</f>
        <v>Įsigytas kiekis:</v>
      </c>
      <c r="J1851" s="1123"/>
      <c r="K1851" s="1106" t="str">
        <f>Translations!$B$671</f>
        <v>Perduotas kiekis:</v>
      </c>
      <c r="L1851" s="1123"/>
      <c r="M1851" s="1107" t="str">
        <f>IF(AND(L1849=TRUE,COUNT(F1851,H1851,J1851,L1851)&lt;4),EUconst_ERR_Incomplete,"")</f>
        <v/>
      </c>
      <c r="O1851" s="1305"/>
      <c r="P1851" s="23"/>
      <c r="Q1851" s="23"/>
      <c r="R1851" s="23"/>
      <c r="S1851" s="23"/>
      <c r="T1851" s="23"/>
      <c r="U1851" s="23"/>
      <c r="V1851" s="30"/>
      <c r="W1851" s="30"/>
      <c r="X1851" s="30"/>
      <c r="Y1851" s="485"/>
      <c r="Z1851" s="30"/>
      <c r="AA1851" s="30"/>
      <c r="AB1851" s="30"/>
      <c r="AC1851" s="1115" t="b">
        <f>AC1849</f>
        <v>0</v>
      </c>
      <c r="AD1851" s="30"/>
      <c r="AE1851" s="30"/>
      <c r="AF1851" s="58"/>
      <c r="AG1851" s="30"/>
      <c r="AH1851" s="30"/>
      <c r="AI1851" s="30"/>
      <c r="AJ1851" s="495"/>
      <c r="AK1851" s="495"/>
      <c r="AL1851" s="333"/>
      <c r="AM1851" s="30"/>
      <c r="AN1851" s="30"/>
      <c r="AO1851" s="30"/>
      <c r="AP1851" s="30"/>
      <c r="AQ1851" s="30"/>
      <c r="AR1851" s="30"/>
      <c r="AS1851" s="30"/>
      <c r="AT1851" s="1115" t="b">
        <f>AND(AT1849=TRUE,L1849="")</f>
        <v>0</v>
      </c>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1115" t="b">
        <f>OR(BZ1849,AND(NOT(ISBLANK(L1849)),L1849=FALSE))</f>
        <v>1</v>
      </c>
    </row>
    <row r="1852" spans="1:78" s="140" customFormat="1" ht="5.0999999999999996" customHeight="1" thickBot="1" x14ac:dyDescent="0.25">
      <c r="A1852" s="777"/>
      <c r="B1852" s="1248"/>
      <c r="C1852" s="164"/>
      <c r="D1852" s="164"/>
      <c r="E1852" s="164"/>
      <c r="F1852" s="164"/>
      <c r="G1852" s="164"/>
      <c r="M1852" s="141"/>
      <c r="N1852" s="141"/>
      <c r="O1852" s="1305"/>
      <c r="P1852" s="23"/>
      <c r="Q1852" s="23"/>
      <c r="R1852" s="23"/>
      <c r="S1852" s="23"/>
      <c r="T1852" s="23"/>
      <c r="U1852" s="23"/>
      <c r="V1852" s="30"/>
      <c r="W1852" s="30"/>
      <c r="X1852" s="30"/>
      <c r="Y1852" s="485"/>
      <c r="Z1852" s="30"/>
      <c r="AA1852" s="30"/>
      <c r="AB1852" s="30"/>
      <c r="AC1852" s="30"/>
      <c r="AD1852" s="30"/>
      <c r="AE1852" s="30"/>
      <c r="AF1852" s="58"/>
      <c r="AG1852" s="30"/>
      <c r="AH1852" s="30"/>
      <c r="AI1852" s="30"/>
      <c r="AJ1852" s="495"/>
      <c r="AK1852" s="495"/>
      <c r="AL1852" s="333"/>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row>
    <row r="1853" spans="1:78" s="140" customFormat="1" ht="12.75" customHeight="1" thickBot="1" x14ac:dyDescent="0.25">
      <c r="A1853" s="777"/>
      <c r="B1853" s="1248"/>
      <c r="C1853" s="164"/>
      <c r="D1853" s="164"/>
      <c r="E1853" s="164"/>
      <c r="F1853" s="497" t="str">
        <f>Translations!$B$333</f>
        <v>Pakopa</v>
      </c>
      <c r="G1853" s="1613" t="str">
        <f>Translations!$B$672</f>
        <v>pakopos aprašas</v>
      </c>
      <c r="H1853" s="1613"/>
      <c r="I1853" s="1608" t="str">
        <f>Translations!$B$158</f>
        <v>Vienetas</v>
      </c>
      <c r="J1853" s="1608"/>
      <c r="K1853" s="1608" t="str">
        <f>Translations!$B$673</f>
        <v>Vertė</v>
      </c>
      <c r="L1853" s="1608"/>
      <c r="M1853" s="498" t="str">
        <f>Translations!$B$610</f>
        <v>klaida</v>
      </c>
      <c r="O1853" s="1305"/>
      <c r="P1853" s="499"/>
      <c r="Q1853" s="343" t="str">
        <f>EUconst_SumEnergyIN &amp; "_" &amp; K1844</f>
        <v>SUM_EnergyIN_</v>
      </c>
      <c r="R1853" s="390" t="str">
        <f>IF(OR(K1844="",T1845)=TRUE,"",INDEX(BC1859:BE1859,MATCH(K1844,BC1854:BE1854,0)))</f>
        <v/>
      </c>
      <c r="S1853" s="30"/>
      <c r="T1853" s="480"/>
      <c r="U1853" s="30"/>
      <c r="V1853" s="500" t="s">
        <v>298</v>
      </c>
      <c r="W1853" s="30"/>
      <c r="X1853" s="30"/>
      <c r="Y1853" s="485" t="s">
        <v>560</v>
      </c>
      <c r="Z1853" s="485" t="s">
        <v>313</v>
      </c>
      <c r="AA1853" s="30"/>
      <c r="AB1853" s="30"/>
      <c r="AC1853" s="496" t="s">
        <v>304</v>
      </c>
      <c r="AD1853" s="30"/>
      <c r="AE1853" s="30"/>
      <c r="AF1853" s="483" t="s">
        <v>300</v>
      </c>
      <c r="AG1853" s="483" t="s">
        <v>301</v>
      </c>
      <c r="AH1853" s="485" t="s">
        <v>299</v>
      </c>
      <c r="AI1853" s="495" t="s">
        <v>302</v>
      </c>
      <c r="AJ1853" s="495" t="s">
        <v>561</v>
      </c>
      <c r="AK1853" s="501" t="s">
        <v>306</v>
      </c>
      <c r="AL1853" s="333"/>
      <c r="AM1853" s="30"/>
      <c r="AN1853" s="483" t="s">
        <v>300</v>
      </c>
      <c r="AO1853" s="483" t="s">
        <v>301</v>
      </c>
      <c r="AP1853" s="502" t="s">
        <v>305</v>
      </c>
      <c r="AQ1853" s="495" t="s">
        <v>563</v>
      </c>
      <c r="AR1853" s="495" t="s">
        <v>562</v>
      </c>
      <c r="AS1853" s="501" t="s">
        <v>599</v>
      </c>
      <c r="AT1853" s="501" t="s">
        <v>599</v>
      </c>
      <c r="AU1853" s="30"/>
      <c r="AV1853" s="483"/>
      <c r="AW1853" s="483"/>
      <c r="AX1853" s="483" t="s">
        <v>316</v>
      </c>
      <c r="AY1853" s="483"/>
      <c r="AZ1853" s="483"/>
      <c r="BA1853" s="483"/>
      <c r="BB1853" s="483"/>
      <c r="BC1853" s="483"/>
      <c r="BD1853" s="483"/>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484" t="s">
        <v>259</v>
      </c>
    </row>
    <row r="1854" spans="1:78" s="140" customFormat="1" ht="12.75" customHeight="1" thickBot="1" x14ac:dyDescent="0.25">
      <c r="A1854" s="777"/>
      <c r="B1854" s="1248"/>
      <c r="C1854" s="753" t="s">
        <v>194</v>
      </c>
      <c r="D1854" s="503" t="str">
        <f>Translations!$B$622</f>
        <v>VD:</v>
      </c>
      <c r="E1854" s="504"/>
      <c r="F1854" s="393"/>
      <c r="G1854" s="1603" t="str">
        <f>IF(OR(ISBLANK(F1854),F1854=EUconst_NoTier),"",IF(Z1854=0,EUconst_NA,IF(ISERROR(Z1854),"",Z1854)))</f>
        <v/>
      </c>
      <c r="H1854" s="1604"/>
      <c r="I1854" s="1108" t="str">
        <f>IF(J1854&lt;&gt;"","",AI1854)</f>
        <v/>
      </c>
      <c r="J1854" s="1109"/>
      <c r="K1854" s="1116" t="str">
        <f>IF(L1854="",AQ1854,"")</f>
        <v/>
      </c>
      <c r="L1854" s="1199"/>
      <c r="M1854" s="700" t="str">
        <f>IF(AND(E1845&lt;&gt;"",OR(F1854="",COUNT(K1854:L1854)=0),Y1854&lt;&gt;EUconst_NA,T1845&lt;&gt;TRUE),EUconst_ERR_Incomplete,IF(COUNTIF(AX1854:AZ1854,TRUE)&gt;0,EUconst_ERR_Inconsistent,""))</f>
        <v/>
      </c>
      <c r="O1854" s="1305"/>
      <c r="P1854" s="635"/>
      <c r="Q1854" s="343" t="str">
        <f>EUconst_SumBioEnergyIN &amp; "_" &amp; K1844</f>
        <v>SUM_BioEnergyIN_</v>
      </c>
      <c r="R1854" s="390" t="str">
        <f>IF(OR(K1844="",T1845)=TRUE,"",INDEX(BC1860:BE1860,MATCH(K1844,BC1854:BE1854,0)))</f>
        <v/>
      </c>
      <c r="S1854" s="30"/>
      <c r="T1854" s="505" t="str">
        <f>EUconst_CNTR_ActivityData&amp;E1845</f>
        <v>ActivityData_</v>
      </c>
      <c r="U1854" s="488"/>
      <c r="V1854" s="505" t="str">
        <f>IF(E1844="","",INDEX(B_InstallationDescription!$I$71:$I$145,MATCH(U1843,B_InstallationDescription!$D$71:$D$145,0)))</f>
        <v/>
      </c>
      <c r="W1854" s="495" t="s">
        <v>533</v>
      </c>
      <c r="X1854" s="488"/>
      <c r="Y1854" s="506" t="str">
        <f>IF(OR(T1845=TRUE,E1845=""),"",INDEX(EUwideConstants!$N:$N,MATCH(T1854,EUwideConstants!$Q:$Q,0)))</f>
        <v/>
      </c>
      <c r="Z1854" s="507" t="str">
        <f>IF(ISBLANK(F1854),"",IF(F1854=EUconst_NA,"",INDEX(EUwideConstants!$H:$M,MATCH(T1854,EUwideConstants!$Q:$Q,0),MATCH(F1854,CNTR_TierList,0))))</f>
        <v/>
      </c>
      <c r="AA1854" s="508" t="s">
        <v>299</v>
      </c>
      <c r="AB1854" s="495"/>
      <c r="AC1854" s="509" t="b">
        <f>AC1849</f>
        <v>0</v>
      </c>
      <c r="AD1854" s="30"/>
      <c r="AE1854" s="510" t="str">
        <f>EUconst_CNTR_ActivityData&amp;EUconst_Unit</f>
        <v>ActivityData_Vienetas</v>
      </c>
      <c r="AF1854" s="511" t="str">
        <f>IF(AC1854=TRUE, IF(COUNTIF(MSPara_SourceStreamCategory,V1854)=0,"",INDEX(MSPara_CalcFactorsMatrix,MATCH(V1854,MSPara_SourceStreamCategory,0),MATCH(AE1854&amp;"_"&amp;2,MSPara_CalcFactors,0))),"")</f>
        <v/>
      </c>
      <c r="AG1854" s="512" t="str">
        <f>IF(AC1854=TRUE, IF(COUNTIF(MSPara_SourceStreamCategory,V1854)=0,"",INDEX(MSPara_CalcFactorsMatrix,MATCH(V1854,MSPara_SourceStreamCategory,0),MATCH(AE1854&amp;"_"&amp;1,MSPara_CalcFactors,0))),"")</f>
        <v/>
      </c>
      <c r="AH1854" s="509" t="str">
        <f>IF(OR(AF1854="",AF1854=EUconst_NA),IF(OR(AG1854=EUconst_NA,AG1854=""),"",AG1854),AF1854)</f>
        <v/>
      </c>
      <c r="AI1854" s="506" t="str">
        <f>IF(AC1854=TRUE,IF(AH1854="",EUconst_t,AH1854),"")</f>
        <v/>
      </c>
      <c r="AJ1854" s="513" t="str">
        <f>IF(J1854="",AI1854,J1854)</f>
        <v/>
      </c>
      <c r="AK1854" s="514" t="b">
        <f>IF(K1844=EUconst_Fuel,J1854&lt;&gt;"",FALSE)</f>
        <v>0</v>
      </c>
      <c r="AL1854" s="333"/>
      <c r="AM1854" s="505" t="str">
        <f>EUconst_CNTR_ActivityData&amp;EUconst_Value</f>
        <v>ActivityData_Vertė</v>
      </c>
      <c r="AN1854" s="496"/>
      <c r="AO1854" s="496"/>
      <c r="AP1854" s="509" t="b">
        <f>AND(AND(AH1854&lt;&gt;"",AJ1854&lt;&gt;""),AJ1854=AH1854)</f>
        <v>0</v>
      </c>
      <c r="AQ1854" s="610" t="str">
        <f>IF(L1849=TRUE,SUM(F1851)-SUM(H1851)+SUM(J1851)-SUM(L1851),"")</f>
        <v/>
      </c>
      <c r="AR1854" s="509">
        <f>IF(Y1854=EUconst_NA,0,IF(COUNT(K1854:L1854)=0,0,IF(L1854="",K1854,L1854)))</f>
        <v>0</v>
      </c>
      <c r="AS1854" s="1115" t="b">
        <f>AND(AC1854=TRUE,OR(L1854&lt;&gt;"",AQ1854=""))</f>
        <v>0</v>
      </c>
      <c r="AT1854" s="1115" t="b">
        <f>AND(AC1854=TRUE,NOT(AS1854))</f>
        <v>0</v>
      </c>
      <c r="AU1854" s="30"/>
      <c r="AV1854" s="483" t="s">
        <v>309</v>
      </c>
      <c r="AW1854" s="483" t="s">
        <v>314</v>
      </c>
      <c r="AX1854" s="515"/>
      <c r="AY1854" s="30" t="s">
        <v>536</v>
      </c>
      <c r="AZ1854" s="30"/>
      <c r="BA1854" s="30"/>
      <c r="BB1854" s="495"/>
      <c r="BC1854" s="484" t="str">
        <f>EUconst_Fuel</f>
        <v>Degimas</v>
      </c>
      <c r="BD1854" s="484" t="str">
        <f>EUconst_ProcessCarbonate</f>
        <v>Proceso metu išsiskiriančios ŠESD</v>
      </c>
      <c r="BE1854" s="484" t="str">
        <f>EUconst_MassBalance</f>
        <v>Masės balansas</v>
      </c>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515" t="b">
        <f>BZ1849</f>
        <v>1</v>
      </c>
    </row>
    <row r="1855" spans="1:78" s="140" customFormat="1" ht="5.0999999999999996" customHeight="1" thickBot="1" x14ac:dyDescent="0.25">
      <c r="A1855" s="777"/>
      <c r="B1855" s="1248"/>
      <c r="C1855" s="783"/>
      <c r="D1855" s="298"/>
      <c r="F1855" s="141"/>
      <c r="G1855" s="141"/>
      <c r="H1855" s="141" t="s">
        <v>233</v>
      </c>
      <c r="I1855" s="516"/>
      <c r="J1855" s="516"/>
      <c r="K1855" s="141"/>
      <c r="L1855" s="141"/>
      <c r="M1855" s="701"/>
      <c r="O1855" s="1305"/>
      <c r="P1855" s="33"/>
      <c r="Q1855" s="33"/>
      <c r="R1855" s="33"/>
      <c r="S1855" s="30"/>
      <c r="T1855" s="153"/>
      <c r="U1855" s="488"/>
      <c r="V1855" s="30"/>
      <c r="W1855" s="30"/>
      <c r="X1855" s="488"/>
      <c r="Y1855" s="517"/>
      <c r="Z1855" s="30"/>
      <c r="AA1855" s="30"/>
      <c r="AB1855" s="30"/>
      <c r="AC1855" s="30"/>
      <c r="AD1855" s="30"/>
      <c r="AE1855" s="30"/>
      <c r="AF1855" s="30"/>
      <c r="AG1855" s="30"/>
      <c r="AH1855" s="30"/>
      <c r="AI1855" s="30"/>
      <c r="AJ1855" s="30"/>
      <c r="AK1855" s="30"/>
      <c r="AL1855" s="333"/>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484"/>
    </row>
    <row r="1856" spans="1:78" s="140" customFormat="1" ht="12.75" customHeight="1" thickBot="1" x14ac:dyDescent="0.25">
      <c r="A1856" s="777"/>
      <c r="B1856" s="1248"/>
      <c r="C1856" s="783" t="s">
        <v>195</v>
      </c>
      <c r="D1856" s="503" t="str">
        <f>Translations!$B$634</f>
        <v>(prelim.) ITF:</v>
      </c>
      <c r="E1856" s="504"/>
      <c r="F1856" s="518"/>
      <c r="G1856" s="1603" t="str">
        <f t="shared" ref="G1856:G1862" si="462">IF(OR(ISBLANK(F1856),F1856=EUconst_NoTier),"",IF(Z1856=0,EUconst_NotApplicable,IF(ISERROR(Z1856),"",Z1856)))</f>
        <v/>
      </c>
      <c r="H1856" s="1609"/>
      <c r="I1856" s="1110" t="str">
        <f>IF(J1856&lt;&gt;"","",AI1856)</f>
        <v/>
      </c>
      <c r="J1856" s="1111"/>
      <c r="K1856" s="519" t="str">
        <f t="shared" ref="K1856:K1862" si="463">IF(L1856="",AQ1856,"")</f>
        <v/>
      </c>
      <c r="L1856" s="520"/>
      <c r="M1856" s="700" t="str">
        <f>IF(AND(E1845&lt;&gt;"",OR(F1856="",COUNT(K1856:L1856)=0),Y1856&lt;&gt;EUconst_NA,T1845&lt;&gt;TRUE),EUconst_ERR_Incomplete,IF(COUNTIF(AX1856:AZ1856,TRUE)&gt;0,EUconst_ERR_Inconsistent,""))</f>
        <v/>
      </c>
      <c r="N1856" s="486"/>
      <c r="O1856" s="1305"/>
      <c r="P1856" s="33"/>
      <c r="Q1856" s="33"/>
      <c r="R1856" s="33"/>
      <c r="S1856" s="30"/>
      <c r="T1856" s="521" t="str">
        <f>EUconst_CNTR_EF&amp;E1845</f>
        <v>EF_</v>
      </c>
      <c r="U1856" s="488"/>
      <c r="V1856" s="522" t="str">
        <f>V1854</f>
        <v/>
      </c>
      <c r="W1856" s="30"/>
      <c r="X1856" s="488"/>
      <c r="Y1856" s="523" t="str">
        <f>IF(OR(T1845=TRUE,E1845=""),"",IF(F1856=EUconst_NA,EUconst_NA,INDEX(EUwideConstants!$N:$N,MATCH(T1856,EUwideConstants!$Q:$Q,0))))</f>
        <v/>
      </c>
      <c r="Z1856" s="524" t="str">
        <f>IF(ISBLANK(F1856),"",IF(F1856=EUconst_NA,"",INDEX(EUwideConstants!$H:$M,MATCH(T1856,EUwideConstants!$Q:$Q,0),MATCH(F1856,CNTR_TierList,0))))</f>
        <v/>
      </c>
      <c r="AA1856" s="525" t="str">
        <f>IF(COUNTIF(EUconst_DefaultValues,Z1856)&gt;0,MATCH(Z1856,EUconst_DefaultValues,0),"")</f>
        <v/>
      </c>
      <c r="AB1856" s="30"/>
      <c r="AC1856" s="526" t="b">
        <f>AND(AC1854,Y1856&lt;&gt;EUconst_NA)</f>
        <v>0</v>
      </c>
      <c r="AD1856" s="30"/>
      <c r="AE1856" s="510" t="str">
        <f>EUconst_CNTR_EF&amp;EUconst_Unit</f>
        <v>EF_Vienetas</v>
      </c>
      <c r="AF1856" s="527" t="str">
        <f>IF(AC1856=TRUE, IF(COUNTIF(MSPara_SourceStreamCategory,V1856)=0,"",INDEX(MSPara_CalcFactorsMatrix,MATCH(V1856,MSPara_SourceStreamCategory,0),MATCH(AE1856&amp;"_"&amp;2,MSPara_CalcFactors,0))),"")</f>
        <v/>
      </c>
      <c r="AG1856" s="528" t="str">
        <f>IF(AC1856=TRUE, IF(COUNTIF(MSPara_SourceStreamCategory,V1856)=0,"",INDEX(MSPara_CalcFactorsMatrix,MATCH(V1856,MSPara_SourceStreamCategory,0),MATCH(AE1856&amp;"_"&amp;1,MSPara_CalcFactors,0))),"")</f>
        <v/>
      </c>
      <c r="AH1856" s="529" t="str">
        <f>IF(AA1856="","",INDEX(AF1856:AG1856,3-AA1856))</f>
        <v/>
      </c>
      <c r="AI1856" s="530" t="str">
        <f>IF(AC1856=TRUE,IF(OR(AH1856="",AH1856=EUconst_NA),IF(K1844=EUconst_Fuel,EUconst_tCO2pTJ,EUconst_tCO2pt),AH1856),"")</f>
        <v/>
      </c>
      <c r="AJ1856" s="526" t="str">
        <f>IF(J1856="",AI1856,J1856)</f>
        <v/>
      </c>
      <c r="AK1856" s="531" t="b">
        <f>IF(K1844=EUconst_Fuel,J1856&lt;&gt;"",FALSE)</f>
        <v>0</v>
      </c>
      <c r="AL1856" s="333"/>
      <c r="AM1856" s="510" t="str">
        <f>EUconst_CNTR_EF&amp;EUconst_Value</f>
        <v>EF_Vertė</v>
      </c>
      <c r="AN1856" s="532" t="str">
        <f>IF(AC1856=TRUE,IF(COUNTIF(MSPara_SourceStreamCategory,V1856)=0,"",INDEX(MSPara_CalcFactorsMatrix,MATCH(V1856,MSPara_SourceStreamCategory,0),MATCH(AM1856&amp;"_"&amp;2,MSPara_CalcFactors,0))),"")</f>
        <v/>
      </c>
      <c r="AO1856" s="533" t="str">
        <f>IF(AC1856=TRUE,IF(COUNTIF(MSPara_SourceStreamCategory,V1856)=0,"",INDEX(MSPara_CalcFactorsMatrix,MATCH(V1856,MSPara_SourceStreamCategory,0),MATCH(AM1856&amp;"_"&amp;1,MSPara_CalcFactors,0))),"")</f>
        <v/>
      </c>
      <c r="AP1856" s="526" t="b">
        <f>AND(AND(AH1856&lt;&gt;"",AJ1856&lt;&gt;""),AJ1856=AH1856)</f>
        <v>0</v>
      </c>
      <c r="AQ1856" s="534" t="str">
        <f>IF(AND(AA1856&lt;&gt;"",AP1856=TRUE),IF(OR(INDEX(AN1856:AO1856,3-AA1856)=EUconst_NA,INDEX(AN1856:AO1856,3-AA1856)=0),"",INDEX(AN1856:AO1856,3-AA1856)),"")</f>
        <v/>
      </c>
      <c r="AR1856" s="526">
        <f>IF(AC1856=TRUE,IF(COUNT(K1856:L1856)=0,0,IF(L1856="",K1856,L1856)),0)</f>
        <v>0</v>
      </c>
      <c r="AS1856" s="522" t="b">
        <f>AND(AC1856=TRUE,OR(AND(F1856&lt;&gt;"",NOT(ISNUMBER(AA1856))),L1856&lt;&gt;"",F1856="",AQ1856=""))</f>
        <v>0</v>
      </c>
      <c r="AT1856" s="522" t="b">
        <f t="shared" ref="AT1856:AT1862" si="464">AND(AC1856=TRUE,NOT(AS1856))</f>
        <v>0</v>
      </c>
      <c r="AU1856" s="30"/>
      <c r="AV1856" s="535" t="b">
        <f t="shared" ref="AV1856:AV1862" si="465">AND(ISNUMBER(AA1856),AQ1856="")</f>
        <v>0</v>
      </c>
      <c r="AW1856" s="536" t="b">
        <f t="shared" ref="AW1856:AW1862" si="466">AND(ISNUMBER(AA1856),AQ1856&lt;&gt;AR1856)</f>
        <v>0</v>
      </c>
      <c r="AX1856" s="537" t="b">
        <f>OR(AND(AJ1854=EUconst_kNm3,AJ1856=EUconst_tCO2pt),AND(AJ1854=EUconst_t,AJ1856=EUconst_tCO2pkNm3))</f>
        <v>0</v>
      </c>
      <c r="AY1856" s="522" t="b">
        <f t="shared" ref="AY1856:AY1862" si="467">AND(L1856&lt;&gt;"",Y1856=EUconst_NA)</f>
        <v>0</v>
      </c>
      <c r="AZ1856" s="30"/>
      <c r="BA1856" s="30"/>
      <c r="BB1856" s="538" t="s">
        <v>588</v>
      </c>
      <c r="BC1856" s="537" t="str">
        <f>IF(K1844=BC1854,AR1854*IF(AJ1856=EUconst_tCO2pTJ,(AR1857/1000),1)*AR1856*AR1858*AR1862,"")</f>
        <v/>
      </c>
      <c r="BD1856" s="515" t="str">
        <f>IF(K1844=BD1854,AR1854*AR1856*AR1859*AR1862,"")</f>
        <v/>
      </c>
      <c r="BE1856" s="514" t="str">
        <f>IF(K1844=BE1854,3.664*AR1854*AR1860*AR1862,"")</f>
        <v/>
      </c>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522" t="b">
        <f>OR(BZ1854,Y1856=EUconst_NA)</f>
        <v>1</v>
      </c>
    </row>
    <row r="1857" spans="1:78" s="140" customFormat="1" ht="12.75" customHeight="1" thickBot="1" x14ac:dyDescent="0.25">
      <c r="A1857" s="777"/>
      <c r="B1857" s="1248"/>
      <c r="C1857" s="783" t="s">
        <v>196</v>
      </c>
      <c r="D1857" s="503" t="str">
        <f>Translations!$B$636</f>
        <v>GŠV:</v>
      </c>
      <c r="E1857" s="504"/>
      <c r="F1857" s="539"/>
      <c r="G1857" s="1603" t="str">
        <f t="shared" si="462"/>
        <v/>
      </c>
      <c r="H1857" s="1604"/>
      <c r="I1857" s="1112" t="str">
        <f>AJ1857</f>
        <v/>
      </c>
      <c r="J1857" s="540"/>
      <c r="K1857" s="541" t="str">
        <f t="shared" si="463"/>
        <v/>
      </c>
      <c r="L1857" s="542"/>
      <c r="M1857" s="700" t="str">
        <f>IF(AND(E1845&lt;&gt;"",OR(F1857="",COUNT(K1857:L1857)=0),Y1857&lt;&gt;EUconst_NA,T1845&lt;&gt;TRUE),EUconst_ERR_Incomplete,IF(COUNTIF(AX1857:AZ1857,TRUE)&gt;0,EUconst_ERR_Inconsistent,""))</f>
        <v/>
      </c>
      <c r="O1857" s="1305"/>
      <c r="P1857" s="33"/>
      <c r="Q1857" s="33"/>
      <c r="R1857" s="33"/>
      <c r="S1857" s="30"/>
      <c r="T1857" s="543" t="str">
        <f>EUconst_CNTR_NCV&amp;E1845</f>
        <v>NCV_</v>
      </c>
      <c r="U1857" s="488"/>
      <c r="V1857" s="544" t="str">
        <f t="shared" ref="V1857:V1862" si="468">V1856</f>
        <v/>
      </c>
      <c r="W1857" s="30"/>
      <c r="X1857" s="488"/>
      <c r="Y1857" s="545" t="str">
        <f>IF(OR(T1845=TRUE,E1845=""),"",IF(F1857=EUconst_NA,EUconst_NA,INDEX(EUwideConstants!$N:$N,MATCH(T1857,EUwideConstants!$Q:$Q,0))))</f>
        <v/>
      </c>
      <c r="Z1857" s="546" t="str">
        <f>IF(ISBLANK(F1857),"",IF(F1857=EUconst_NA,"",INDEX(EUwideConstants!$H:$M,MATCH(T1857,EUwideConstants!$Q:$Q,0),MATCH(F1857,CNTR_TierList,0))))</f>
        <v/>
      </c>
      <c r="AA1857" s="547" t="str">
        <f>IF(COUNTIF(EUconst_DefaultValues,Z1857)&gt;0,MATCH(Z1857,EUconst_DefaultValues,0),"")</f>
        <v/>
      </c>
      <c r="AB1857" s="30"/>
      <c r="AC1857" s="548" t="b">
        <f>AND(AC1854,Y1857&lt;&gt;EUconst_NA)</f>
        <v>0</v>
      </c>
      <c r="AD1857" s="30"/>
      <c r="AE1857" s="549" t="str">
        <f>EUconst_CNTR_NCV&amp;EUconst_Unit</f>
        <v>NCV_Vienetas</v>
      </c>
      <c r="AF1857" s="550" t="str">
        <f>IF(AC1857=TRUE, IF(COUNTIF(MSPara_SourceStreamCategory,V1857)=0,"",INDEX(MSPara_CalcFactorsMatrix,MATCH(V1857,MSPara_SourceStreamCategory,0),MATCH(AE1857&amp;"_"&amp;2,MSPara_CalcFactors,0))),"")</f>
        <v/>
      </c>
      <c r="AG1857" s="551" t="str">
        <f>IF(AC1857=TRUE, IF(COUNTIF(MSPara_SourceStreamCategory,V1857)=0,"",INDEX(MSPara_CalcFactorsMatrix,MATCH(V1857,MSPara_SourceStreamCategory,0),MATCH(AE1857&amp;"_"&amp;1,MSPara_CalcFactors,0))),"")</f>
        <v/>
      </c>
      <c r="AH1857" s="552" t="str">
        <f>IF(AA1857="","",INDEX(AF1857:AG1857,3-AA1857))</f>
        <v/>
      </c>
      <c r="AI1857" s="553"/>
      <c r="AJ1857" s="548" t="str">
        <f>IF(AC1857=TRUE,IF(AJ1854="","",IF(AJ1854=EUconst_kNm3,EUconst_GJpkNm3,EUconst_GJpt)),"")</f>
        <v/>
      </c>
      <c r="AK1857" s="554"/>
      <c r="AL1857" s="333"/>
      <c r="AM1857" s="549" t="str">
        <f>EUconst_CNTR_NCV&amp;EUconst_Value</f>
        <v>NCV_Vertė</v>
      </c>
      <c r="AN1857" s="555" t="str">
        <f>IF(AC1857=TRUE,IF(COUNTIF(MSPara_SourceStreamCategory,V1857)=0,"",INDEX(MSPara_CalcFactorsMatrix,MATCH(V1857,MSPara_SourceStreamCategory,0),MATCH(AM1857&amp;"_"&amp;2,MSPara_CalcFactors,0))),"")</f>
        <v/>
      </c>
      <c r="AO1857" s="556" t="str">
        <f>IF(AC1857=TRUE,IF(COUNTIF(MSPara_SourceStreamCategory,V1857)=0,"",INDEX(MSPara_CalcFactorsMatrix,MATCH(V1857,MSPara_SourceStreamCategory,0),MATCH(AM1857&amp;"_"&amp;1,MSPara_CalcFactors,0))),"")</f>
        <v/>
      </c>
      <c r="AP1857" s="548" t="b">
        <f>AND(AND(AH1857&lt;&gt;"",AJ1857&lt;&gt;""),AJ1857=AH1857)</f>
        <v>0</v>
      </c>
      <c r="AQ1857" s="557" t="str">
        <f>IF(AND(AA1857&lt;&gt;"",AP1857=TRUE),IF(OR(INDEX(AN1857:AO1857,3-AA1857)=EUconst_NA,INDEX(AN1857:AO1857,3-AA1857)=0),"",INDEX(AN1857:AO1857,3-AA1857)),"")</f>
        <v/>
      </c>
      <c r="AR1857" s="548">
        <f>IF(AC1857=TRUE,IF(COUNT(K1857:L1857)=0,0,IF(L1857="",K1857,L1857)),0)</f>
        <v>0</v>
      </c>
      <c r="AS1857" s="544" t="b">
        <f>AND(AC1857=TRUE,OR(AND(F1857&lt;&gt;"",NOT(ISNUMBER(AA1857))),L1857&lt;&gt;"",F1857="",AQ1857=""))</f>
        <v>0</v>
      </c>
      <c r="AT1857" s="544" t="b">
        <f t="shared" si="464"/>
        <v>0</v>
      </c>
      <c r="AU1857" s="30"/>
      <c r="AV1857" s="558" t="b">
        <f t="shared" si="465"/>
        <v>0</v>
      </c>
      <c r="AW1857" s="559" t="b">
        <f t="shared" si="466"/>
        <v>0</v>
      </c>
      <c r="AX1857" s="30"/>
      <c r="AY1857" s="544" t="b">
        <f t="shared" si="467"/>
        <v>0</v>
      </c>
      <c r="AZ1857" s="30"/>
      <c r="BA1857" s="30"/>
      <c r="BB1857" s="538" t="s">
        <v>589</v>
      </c>
      <c r="BC1857" s="537" t="str">
        <f>IF(K1844=BC1854,AR1854*IF(AJ1856=EUconst_tCO2pTJ,(AR1857/1000),1)*AR1856*AR1858*AR1861,"")</f>
        <v/>
      </c>
      <c r="BD1857" s="515" t="str">
        <f>IF(K1844=BD1854,AR1854*AR1856*AR1859*AR1861,"")</f>
        <v/>
      </c>
      <c r="BE1857" s="514" t="str">
        <f>IF(K1844=BE1854,3.664*AR1854*AR1860*AR1861,"")</f>
        <v/>
      </c>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544" t="b">
        <f>OR(BZ1854,Y1857=EUconst_NA)</f>
        <v>1</v>
      </c>
    </row>
    <row r="1858" spans="1:78" s="140" customFormat="1" ht="12.75" customHeight="1" thickBot="1" x14ac:dyDescent="0.25">
      <c r="A1858" s="777"/>
      <c r="B1858" s="1248"/>
      <c r="C1858" s="783" t="s">
        <v>197</v>
      </c>
      <c r="D1858" s="503" t="str">
        <f>Translations!$B$638</f>
        <v>Oksidacijos koef.:</v>
      </c>
      <c r="E1858" s="504"/>
      <c r="F1858" s="539"/>
      <c r="G1858" s="1603" t="str">
        <f t="shared" si="462"/>
        <v/>
      </c>
      <c r="H1858" s="1604"/>
      <c r="I1858" s="1113" t="str">
        <f>IF(OR(AC1858=FALSE,Y1858=EUconst_NA),"","-")</f>
        <v/>
      </c>
      <c r="J1858" s="560"/>
      <c r="K1858" s="561" t="str">
        <f t="shared" si="463"/>
        <v/>
      </c>
      <c r="L1858" s="694"/>
      <c r="M1858" s="700" t="str">
        <f>IF(AND(E1845&lt;&gt;"",OR(F1858="",COUNT(K1858:L1858)=0),Y1858&lt;&gt;EUconst_NA,T1845&lt;&gt;TRUE),EUconst_ERR_Incomplete,IF(COUNTIF(AX1858:AZ1858,TRUE)&gt;0,EUconst_ERR_Inconsistent,""))</f>
        <v/>
      </c>
      <c r="O1858" s="1305"/>
      <c r="P1858" s="33"/>
      <c r="Q1858" s="33"/>
      <c r="R1858" s="33"/>
      <c r="S1858" s="30"/>
      <c r="T1858" s="543" t="str">
        <f>EUconst_CNTR_OxidationFactor&amp;E1845</f>
        <v>OxF_</v>
      </c>
      <c r="U1858" s="488"/>
      <c r="V1858" s="544" t="str">
        <f t="shared" si="468"/>
        <v/>
      </c>
      <c r="W1858" s="30"/>
      <c r="X1858" s="488"/>
      <c r="Y1858" s="545" t="str">
        <f>IF(OR(T1845=TRUE,E1845=""),"",INDEX(EUwideConstants!$N:$N,MATCH(T1858,EUwideConstants!$Q:$Q,0)))</f>
        <v/>
      </c>
      <c r="Z1858" s="546" t="str">
        <f>IF(ISBLANK(F1858),"",IF(F1858=EUconst_NA,"",INDEX(EUwideConstants!$H:$M,MATCH(T1858,EUwideConstants!$Q:$Q,0),MATCH(F1858,CNTR_TierList,0))))</f>
        <v/>
      </c>
      <c r="AA1858" s="525" t="str">
        <f>IF(F1858=1,1,"")</f>
        <v/>
      </c>
      <c r="AB1858" s="30"/>
      <c r="AC1858" s="548" t="b">
        <f>AND(AC1854,Y1858&lt;&gt;EUconst_NA)</f>
        <v>0</v>
      </c>
      <c r="AD1858" s="30"/>
      <c r="AE1858" s="563"/>
      <c r="AG1858" s="564"/>
      <c r="AH1858" s="553"/>
      <c r="AI1858" s="565"/>
      <c r="AJ1858" s="553"/>
      <c r="AK1858" s="566"/>
      <c r="AL1858" s="333"/>
      <c r="AM1858" s="549" t="str">
        <f>EUconst_CNTR_OxidationFactor&amp;EUconst_Value</f>
        <v>OxF_Vertė</v>
      </c>
      <c r="AN1858" s="567"/>
      <c r="AO1858" s="525">
        <v>1</v>
      </c>
      <c r="AP1858" s="553"/>
      <c r="AQ1858" s="568" t="str">
        <f>IF(AA1858="","",AO1858)</f>
        <v/>
      </c>
      <c r="AR1858" s="548">
        <f>IF(AC1858=TRUE,IF(COUNT(K1858:L1858)=0,0,IF(L1858="",K1858,L1858)),1)</f>
        <v>1</v>
      </c>
      <c r="AS1858" s="544" t="b">
        <f>AND(AC1858=TRUE,OR(ISNUMBER(L1858),NOT(ISNUMBER(AA1858))))</f>
        <v>0</v>
      </c>
      <c r="AT1858" s="544" t="b">
        <f t="shared" si="464"/>
        <v>0</v>
      </c>
      <c r="AU1858" s="30"/>
      <c r="AV1858" s="558" t="b">
        <f t="shared" si="465"/>
        <v>0</v>
      </c>
      <c r="AW1858" s="559" t="b">
        <f t="shared" si="466"/>
        <v>0</v>
      </c>
      <c r="AX1858" s="30"/>
      <c r="AY1858" s="585" t="b">
        <f t="shared" si="467"/>
        <v>0</v>
      </c>
      <c r="AZ1858" s="522" t="b">
        <f>AR1858&gt;100%</f>
        <v>0</v>
      </c>
      <c r="BA1858" s="30"/>
      <c r="BB1858" s="538" t="s">
        <v>287</v>
      </c>
      <c r="BC1858" s="537" t="str">
        <f>IF(K1844=BC1854,AR1854*IF(AJ1856=EUconst_tCO2pTJ,(AR1857/1000),1)*AR1856*AR1858*(1-AR1861),"")</f>
        <v/>
      </c>
      <c r="BD1858" s="515" t="str">
        <f>IF(K1844=BD1854,AR1854*AR1856*AR1859*(1-AR1861),"")</f>
        <v/>
      </c>
      <c r="BE1858" s="514" t="str">
        <f>IF(K1844=BE1854,3.664*AR1854*AR1860*(1-AR1861),"")</f>
        <v/>
      </c>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544" t="b">
        <f>OR(BZ1854,Y1858=EUconst_NA)</f>
        <v>1</v>
      </c>
    </row>
    <row r="1859" spans="1:78" s="140" customFormat="1" ht="12.75" customHeight="1" thickBot="1" x14ac:dyDescent="0.25">
      <c r="A1859" s="777"/>
      <c r="B1859" s="1248"/>
      <c r="C1859" s="783" t="s">
        <v>198</v>
      </c>
      <c r="D1859" s="503" t="str">
        <f>Translations!$B$639</f>
        <v>Konversijos koef.:</v>
      </c>
      <c r="E1859" s="504"/>
      <c r="F1859" s="539"/>
      <c r="G1859" s="1603" t="str">
        <f t="shared" si="462"/>
        <v/>
      </c>
      <c r="H1859" s="1604"/>
      <c r="I1859" s="1113" t="str">
        <f>IF(OR(AC1859=FALSE,Y1859=EUconst_NA),"","-")</f>
        <v/>
      </c>
      <c r="J1859" s="560"/>
      <c r="K1859" s="561" t="str">
        <f t="shared" si="463"/>
        <v/>
      </c>
      <c r="L1859" s="694"/>
      <c r="M1859" s="700" t="str">
        <f>IF(AND(E1845&lt;&gt;"",OR(F1859="",COUNT(K1859:L1859)=0),Y1859&lt;&gt;EUconst_NA,T1845&lt;&gt;TRUE),EUconst_ERR_Incomplete,IF(COUNTIF(AX1859:AZ1859,TRUE)&gt;0,EUconst_ERR_Inconsistent,""))</f>
        <v/>
      </c>
      <c r="O1859" s="1305"/>
      <c r="P1859" s="33"/>
      <c r="Q1859" s="33"/>
      <c r="R1859" s="33"/>
      <c r="S1859" s="30"/>
      <c r="T1859" s="543" t="str">
        <f>EUconst_CNTR_ConversionFactor&amp;E1845</f>
        <v>ConvF_</v>
      </c>
      <c r="U1859" s="488"/>
      <c r="V1859" s="544" t="str">
        <f t="shared" si="468"/>
        <v/>
      </c>
      <c r="W1859" s="30"/>
      <c r="X1859" s="488"/>
      <c r="Y1859" s="545" t="str">
        <f>IF(OR(T1845=TRUE,E1845=""),"",INDEX(EUwideConstants!$N:$N,MATCH(T1859,EUwideConstants!$Q:$Q,0)))</f>
        <v/>
      </c>
      <c r="Z1859" s="546" t="str">
        <f>IF(ISBLANK(F1859),"",IF(F1859=EUconst_NA,"",INDEX(EUwideConstants!$H:$M,MATCH(T1859,EUwideConstants!$Q:$Q,0),MATCH(F1859,CNTR_TierList,0))))</f>
        <v/>
      </c>
      <c r="AA1859" s="573" t="str">
        <f>IF(F1859=1,1,"")</f>
        <v/>
      </c>
      <c r="AB1859" s="30"/>
      <c r="AC1859" s="548" t="b">
        <f>AND(AC1854,Y1859&lt;&gt;EUconst_NA)</f>
        <v>0</v>
      </c>
      <c r="AD1859" s="30"/>
      <c r="AE1859" s="563"/>
      <c r="AG1859" s="564"/>
      <c r="AH1859" s="574"/>
      <c r="AI1859" s="565"/>
      <c r="AJ1859" s="574"/>
      <c r="AK1859" s="566"/>
      <c r="AL1859" s="333"/>
      <c r="AM1859" s="549" t="str">
        <f>EUconst_CNTR_ConversionFactor&amp;EUconst_Value</f>
        <v>ConvF_Vertė</v>
      </c>
      <c r="AN1859" s="575"/>
      <c r="AO1859" s="573">
        <v>1</v>
      </c>
      <c r="AP1859" s="574"/>
      <c r="AQ1859" s="576" t="str">
        <f>IF(AA1859="","",AO1859)</f>
        <v/>
      </c>
      <c r="AR1859" s="548">
        <f>IF(AC1859=TRUE,IF(COUNT(K1859:L1859)=0,0,IF(L1859="",K1859,L1859)),1)</f>
        <v>1</v>
      </c>
      <c r="AS1859" s="544" t="b">
        <f>AND(AC1859=TRUE,OR(ISNUMBER(L1859),NOT(ISNUMBER(AA1859))))</f>
        <v>0</v>
      </c>
      <c r="AT1859" s="544" t="b">
        <f t="shared" si="464"/>
        <v>0</v>
      </c>
      <c r="AU1859" s="30"/>
      <c r="AV1859" s="558" t="b">
        <f t="shared" si="465"/>
        <v>0</v>
      </c>
      <c r="AW1859" s="559" t="b">
        <f t="shared" si="466"/>
        <v>0</v>
      </c>
      <c r="AX1859" s="30"/>
      <c r="AY1859" s="585" t="b">
        <f t="shared" si="467"/>
        <v>0</v>
      </c>
      <c r="AZ1859" s="571" t="b">
        <f>AR1859&gt;100%</f>
        <v>0</v>
      </c>
      <c r="BA1859" s="30"/>
      <c r="BB1859" s="569" t="s">
        <v>481</v>
      </c>
      <c r="BC1859" s="570">
        <f>AR1854*AR1857/1000*(1-AR1861)</f>
        <v>0</v>
      </c>
      <c r="BD1859" s="571">
        <f>BC1859</f>
        <v>0</v>
      </c>
      <c r="BE1859" s="572">
        <f>BC1859</f>
        <v>0</v>
      </c>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544" t="b">
        <f>OR(BZ1854,Y1859=EUconst_NA)</f>
        <v>1</v>
      </c>
    </row>
    <row r="1860" spans="1:78" s="140" customFormat="1" ht="12.75" customHeight="1" thickBot="1" x14ac:dyDescent="0.25">
      <c r="A1860" s="777"/>
      <c r="B1860" s="1248"/>
      <c r="C1860" s="783" t="s">
        <v>324</v>
      </c>
      <c r="D1860" s="503" t="str">
        <f>Translations!$B$640</f>
        <v>Anglies kiekis (C):</v>
      </c>
      <c r="E1860" s="504"/>
      <c r="F1860" s="539"/>
      <c r="G1860" s="1603" t="str">
        <f t="shared" si="462"/>
        <v/>
      </c>
      <c r="H1860" s="1604"/>
      <c r="I1860" s="1113" t="str">
        <f>AJ1860</f>
        <v/>
      </c>
      <c r="J1860" s="577"/>
      <c r="K1860" s="578" t="str">
        <f t="shared" si="463"/>
        <v/>
      </c>
      <c r="L1860" s="579"/>
      <c r="M1860" s="700" t="str">
        <f>IF(AND(E1845&lt;&gt;"",OR(F1860="",COUNT(K1860:L1860)=0),Y1860&lt;&gt;EUconst_NA,T1845&lt;&gt;TRUE),EUconst_ERR_Incomplete,IF(COUNTIF(AX1860:AZ1860,TRUE)&gt;0,EUconst_ERR_Inconsistent,""))</f>
        <v/>
      </c>
      <c r="O1860" s="1305"/>
      <c r="P1860" s="33"/>
      <c r="Q1860" s="33"/>
      <c r="R1860" s="33"/>
      <c r="S1860" s="30"/>
      <c r="T1860" s="543" t="str">
        <f>EUconst_CNTR_CarbonContent&amp;E1845</f>
        <v>CarbC_</v>
      </c>
      <c r="U1860" s="488"/>
      <c r="V1860" s="544" t="str">
        <f t="shared" si="468"/>
        <v/>
      </c>
      <c r="W1860" s="30"/>
      <c r="X1860" s="488"/>
      <c r="Y1860" s="545" t="str">
        <f>IF(OR(T1845=TRUE,E1845=""),"",INDEX(EUwideConstants!$N:$N,MATCH(T1860,EUwideConstants!$Q:$Q,0)))</f>
        <v/>
      </c>
      <c r="Z1860" s="546" t="str">
        <f>IF(ISBLANK(F1860),"",IF(F1860=EUconst_NA,"",INDEX(EUwideConstants!$H:$M,MATCH(T1860,EUwideConstants!$Q:$Q,0),MATCH(F1860,CNTR_TierList,0))))</f>
        <v/>
      </c>
      <c r="AA1860" s="580" t="str">
        <f>IF(COUNTIF(EUconst_DefaultValues,Z1860)&gt;0,MATCH(Z1860,EUconst_DefaultValues,0),"")</f>
        <v/>
      </c>
      <c r="AB1860" s="30"/>
      <c r="AC1860" s="548" t="b">
        <f>AND(AC1854,Y1860&lt;&gt;EUconst_NA)</f>
        <v>0</v>
      </c>
      <c r="AD1860" s="30"/>
      <c r="AE1860" s="549" t="str">
        <f>EUconst_CNTR_CarbonContent&amp;EUconst_Unit</f>
        <v>CarbC_Vienetas</v>
      </c>
      <c r="AF1860" s="550" t="str">
        <f>IF(AC1860=TRUE, IF(COUNTIF(MSPara_SourceStreamCategory,V1860)=0,"",INDEX(MSPara_CalcFactorsMatrix,MATCH(V1860,MSPara_SourceStreamCategory,0),MATCH(AE1860&amp;"_"&amp;2,MSPara_CalcFactors,0))),"")</f>
        <v/>
      </c>
      <c r="AG1860" s="551" t="str">
        <f>IF(AC1860=TRUE, IF(COUNTIF(MSPara_SourceStreamCategory,V1860)=0,"",INDEX(MSPara_CalcFactorsMatrix,MATCH(V1860,MSPara_SourceStreamCategory,0),MATCH(AE1860&amp;"_"&amp;1,MSPara_CalcFactors,0))),"")</f>
        <v/>
      </c>
      <c r="AH1860" s="581" t="str">
        <f>IF(AA1860="","",INDEX(AF1860:AG1860,3-AA1860))</f>
        <v/>
      </c>
      <c r="AI1860" s="565"/>
      <c r="AJ1860" s="582" t="str">
        <f>IF(AC1860=TRUE,IF(AJ1854="","",IF(AJ1854=EUconst_kNm3,EUconst_tCpkNm3,EUconst_tCpt)),"")</f>
        <v/>
      </c>
      <c r="AK1860" s="566"/>
      <c r="AL1860" s="333"/>
      <c r="AM1860" s="549" t="str">
        <f>EUconst_CNTR_CarbonContent&amp;EUconst_Value</f>
        <v>CarbC_Vertė</v>
      </c>
      <c r="AN1860" s="555" t="str">
        <f>IF(AC1860=TRUE,IF(COUNTIF(MSPara_SourceStreamCategory,V1860)=0,"",INDEX(MSPara_CalcFactorsMatrix,MATCH(V1860,MSPara_SourceStreamCategory,0),MATCH(AM1860&amp;"_"&amp;2,MSPara_CalcFactors,0))),"")</f>
        <v/>
      </c>
      <c r="AO1860" s="583" t="str">
        <f>IF(AC1860=TRUE,IF(COUNTIF(MSPara_SourceStreamCategory,V1860)=0,"",INDEX(MSPara_CalcFactorsMatrix,MATCH(V1860,MSPara_SourceStreamCategory,0),MATCH(AM1860&amp;"_"&amp;1,MSPara_CalcFactors,0))),"")</f>
        <v/>
      </c>
      <c r="AP1860" s="548" t="b">
        <f>AND(AND(AH1860&lt;&gt;"",AJ1860&lt;&gt;""),AJ1860=AH1860)</f>
        <v>0</v>
      </c>
      <c r="AQ1860" s="584" t="str">
        <f>IF(AND(AA1860&lt;&gt;"",AP1860=TRUE),IF(OR(INDEX(AN1860:AO1860,3-AA1860)=EUconst_NA,INDEX(AN1860:AO1860,3-AA1860)=0),"",INDEX(AN1860:AO1860,3-AA1860)),"")</f>
        <v/>
      </c>
      <c r="AR1860" s="548">
        <f>IF(AC1860=TRUE,IF(COUNT(K1860:L1860)=0,0,IF(L1860="",K1860,L1860)),0)</f>
        <v>0</v>
      </c>
      <c r="AS1860" s="544" t="b">
        <f>AND(AC1860=TRUE,OR(AND(F1860&lt;&gt;"",NOT(ISNUMBER(AA1860))),L1860&lt;&gt;"",F1860="",AQ1860=""))</f>
        <v>0</v>
      </c>
      <c r="AT1860" s="544" t="b">
        <f t="shared" si="464"/>
        <v>0</v>
      </c>
      <c r="AU1860" s="30"/>
      <c r="AV1860" s="558" t="b">
        <f t="shared" si="465"/>
        <v>0</v>
      </c>
      <c r="AW1860" s="559" t="b">
        <f t="shared" si="466"/>
        <v>0</v>
      </c>
      <c r="AX1860" s="537" t="b">
        <f>OR(AND(AJ1854=EUconst_kNm3,AJ1860=EUconst_tCpt),AND(AJ1854=EUconst_t,AJ1860=EUconst_tCpkNm3))</f>
        <v>0</v>
      </c>
      <c r="AY1860" s="544" t="b">
        <f t="shared" si="467"/>
        <v>0</v>
      </c>
      <c r="AZ1860" s="30"/>
      <c r="BA1860" s="30"/>
      <c r="BB1860" s="569" t="s">
        <v>482</v>
      </c>
      <c r="BC1860" s="570">
        <f>AR1854*AR1857/1000*AR1861</f>
        <v>0</v>
      </c>
      <c r="BD1860" s="571">
        <f>BC1860</f>
        <v>0</v>
      </c>
      <c r="BE1860" s="572">
        <f>BC1860</f>
        <v>0</v>
      </c>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544" t="b">
        <f>OR(BZ1854,Y1860=EUconst_NA)</f>
        <v>1</v>
      </c>
    </row>
    <row r="1861" spans="1:78" s="140" customFormat="1" ht="12.75" customHeight="1" x14ac:dyDescent="0.2">
      <c r="A1861" s="777"/>
      <c r="B1861" s="1248"/>
      <c r="C1861" s="753" t="s">
        <v>325</v>
      </c>
      <c r="D1861" s="503" t="str">
        <f>Translations!$B$641</f>
        <v>Biomasės dalis (BioC):</v>
      </c>
      <c r="E1861" s="504"/>
      <c r="F1861" s="539"/>
      <c r="G1861" s="1603" t="str">
        <f t="shared" si="462"/>
        <v/>
      </c>
      <c r="H1861" s="1604"/>
      <c r="I1861" s="1113" t="str">
        <f>IF(OR(AC1861=FALSE,Y1861=EUconst_NA),"","-")</f>
        <v/>
      </c>
      <c r="J1861" s="560"/>
      <c r="K1861" s="561" t="str">
        <f t="shared" si="463"/>
        <v/>
      </c>
      <c r="L1861" s="694"/>
      <c r="M1861" s="700" t="str">
        <f>IF(AND(E1845&lt;&gt;"",OR(F1861="",COUNT(K1861:L1861)=0),Y1861&lt;&gt;EUconst_NA,T1845&lt;&gt;TRUE),EUconst_ERR_Incomplete,IF(COUNTIF(AX1861:AZ1861,TRUE)&gt;0,EUconst_ERR_Inconsistent,""))</f>
        <v/>
      </c>
      <c r="O1861" s="1305"/>
      <c r="P1861" s="635"/>
      <c r="Q1861" s="635"/>
      <c r="R1861" s="635"/>
      <c r="S1861" s="30"/>
      <c r="T1861" s="543" t="str">
        <f>EUconst_CNTR_BiomassContent&amp;E1845</f>
        <v>BioC_</v>
      </c>
      <c r="U1861" s="488"/>
      <c r="V1861" s="585" t="str">
        <f t="shared" si="468"/>
        <v/>
      </c>
      <c r="W1861" s="522" t="str">
        <f>IF(COUNTIF(MSPara_SourceStreamCategory,V1861)=0,"",INDEX(MSPara_IsFossil,MATCH(V1861,MSPara_SourceStreamCategory,0)))</f>
        <v/>
      </c>
      <c r="X1861" s="488"/>
      <c r="Y1861" s="545" t="str">
        <f>IF(OR(T1845=TRUE,E1845=""),"",IF(OR(W1861=TRUE,F1861=EUconst_NA),EUconst_NA,INDEX(EUwideConstants!$N:$N,MATCH(T1861,EUwideConstants!$Q:$Q,0))))</f>
        <v/>
      </c>
      <c r="Z1861" s="546" t="str">
        <f>IF(ISBLANK(F1861),"",IF(F1861=EUconst_NA,"",INDEX(EUwideConstants!$H:$M,MATCH(T1861,EUwideConstants!$Q:$Q,0),MATCH(F1861,CNTR_TierList,0))))</f>
        <v/>
      </c>
      <c r="AA1861" s="586" t="str">
        <f>IF(F1861=1,1,"")</f>
        <v/>
      </c>
      <c r="AB1861" s="30"/>
      <c r="AC1861" s="548" t="b">
        <f>AND(AC1854,Y1861&lt;&gt;EUconst_NA)</f>
        <v>0</v>
      </c>
      <c r="AD1861" s="30"/>
      <c r="AE1861" s="563"/>
      <c r="AG1861" s="564"/>
      <c r="AH1861" s="553"/>
      <c r="AI1861" s="565"/>
      <c r="AJ1861" s="553"/>
      <c r="AK1861" s="566"/>
      <c r="AL1861" s="333"/>
      <c r="AM1861" s="549" t="str">
        <f>EUconst_CNTR_BiomassContent&amp;EUconst_Value</f>
        <v>BioC_Vertė</v>
      </c>
      <c r="AO1861" s="587" t="str">
        <f>IF(AC1861=TRUE,IF(COUNTIF(MSPara_SourceStreamCategory,V1861)=0,"",INDEX(MSPara_CalcFactorsMatrix,MATCH(V1861,MSPara_SourceStreamCategory,0),MATCH(AM1861&amp;"_"&amp;2,MSPara_CalcFactors,0))),"")</f>
        <v/>
      </c>
      <c r="AP1861" s="553"/>
      <c r="AQ1861" s="568" t="str">
        <f>IF(OR(AA1861="",AO1861=EUconst_NA),"",AO1861)</f>
        <v/>
      </c>
      <c r="AR1861" s="548">
        <f>IF(AC1861=TRUE,IF(COUNT(K1861:L1861)=0,0,IF(L1861="",K1861,L1861)),0)</f>
        <v>0</v>
      </c>
      <c r="AS1861" s="544" t="b">
        <f>AND(AC1861=TRUE,OR(AND(F1861&lt;&gt;"",NOT(ISNUMBER(AA1861))),L1861&lt;&gt;"",F1861="",AQ1861=""))</f>
        <v>0</v>
      </c>
      <c r="AT1861" s="544" t="b">
        <f t="shared" si="464"/>
        <v>0</v>
      </c>
      <c r="AU1861" s="30"/>
      <c r="AV1861" s="558" t="b">
        <f t="shared" si="465"/>
        <v>0</v>
      </c>
      <c r="AW1861" s="559" t="b">
        <f t="shared" si="466"/>
        <v>0</v>
      </c>
      <c r="AX1861" s="30"/>
      <c r="AY1861" s="585" t="b">
        <f t="shared" si="467"/>
        <v>0</v>
      </c>
      <c r="AZ1861" s="522" t="b">
        <f>OR(AR1861&gt;100%,(AR1861+AR1862)&gt;100%)</f>
        <v>0</v>
      </c>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544" t="b">
        <f>OR(BZ1854,Y1861=EUconst_NA)</f>
        <v>1</v>
      </c>
    </row>
    <row r="1862" spans="1:78" s="140" customFormat="1" ht="12.75" customHeight="1" thickBot="1" x14ac:dyDescent="0.25">
      <c r="A1862" s="777"/>
      <c r="B1862" s="1248"/>
      <c r="C1862" s="753" t="s">
        <v>448</v>
      </c>
      <c r="D1862" s="503" t="str">
        <f>Translations!$B$647</f>
        <v>Netvarios BioC dalis:</v>
      </c>
      <c r="E1862" s="504"/>
      <c r="F1862" s="588"/>
      <c r="G1862" s="1603" t="str">
        <f t="shared" si="462"/>
        <v/>
      </c>
      <c r="H1862" s="1604"/>
      <c r="I1862" s="1114" t="str">
        <f>IF(OR(AC1862=FALSE,Y1862=EUconst_NA),"","-")</f>
        <v/>
      </c>
      <c r="J1862" s="560"/>
      <c r="K1862" s="589" t="str">
        <f t="shared" si="463"/>
        <v/>
      </c>
      <c r="L1862" s="1100"/>
      <c r="M1862" s="700" t="str">
        <f>IF(AND(E1845&lt;&gt;"",OR(F1862="",COUNT(K1862:L1862)=0),Y1862&lt;&gt;EUconst_NA,T1845&lt;&gt;TRUE),EUconst_ERR_Incomplete,IF(COUNTIF(AX1862:AZ1862,TRUE)&gt;0,EUconst_ERR_Inconsistent,""))</f>
        <v/>
      </c>
      <c r="O1862" s="1305"/>
      <c r="P1862" s="635"/>
      <c r="Q1862" s="635"/>
      <c r="R1862" s="635"/>
      <c r="S1862" s="30"/>
      <c r="T1862" s="590" t="str">
        <f>EUconst_CNTR_BiomassContent&amp;E1845</f>
        <v>BioC_</v>
      </c>
      <c r="U1862" s="488"/>
      <c r="V1862" s="570" t="str">
        <f t="shared" si="468"/>
        <v/>
      </c>
      <c r="W1862" s="571" t="str">
        <f>IF(COUNTIF(MSPara_SourceStreamCategory,V1862)=0,"",INDEX(MSPara_IsFossil,MATCH(V1862,MSPara_SourceStreamCategory,0)))</f>
        <v/>
      </c>
      <c r="X1862" s="488"/>
      <c r="Y1862" s="591" t="str">
        <f>IF(OR(T1845=TRUE,E1845=""),"",IF(OR(W1862=TRUE,F1862=EUconst_NA),EUconst_NA,INDEX(EUwideConstants!$N:$N,MATCH(T1862,EUwideConstants!$Q:$Q,0))))</f>
        <v/>
      </c>
      <c r="Z1862" s="592" t="str">
        <f>IF(ISBLANK(F1862),"",IF(F1862=EUconst_NA,"",INDEX(EUwideConstants!$H:$M,MATCH(T1862,EUwideConstants!$Q:$Q,0),MATCH(F1862,CNTR_TierList,0))))</f>
        <v/>
      </c>
      <c r="AA1862" s="593" t="str">
        <f>IF(F1862=1,1,"")</f>
        <v/>
      </c>
      <c r="AB1862" s="30"/>
      <c r="AC1862" s="594" t="b">
        <f>AND(AC1854,Y1862&lt;&gt;EUconst_NA)</f>
        <v>0</v>
      </c>
      <c r="AD1862" s="30"/>
      <c r="AE1862" s="595"/>
      <c r="AF1862" s="596"/>
      <c r="AG1862" s="597"/>
      <c r="AH1862" s="598"/>
      <c r="AI1862" s="598"/>
      <c r="AJ1862" s="598"/>
      <c r="AK1862" s="599"/>
      <c r="AL1862" s="333"/>
      <c r="AM1862" s="600" t="str">
        <f>EUconst_CNTR_BiomassContent&amp;EUconst_Value</f>
        <v>BioC_Vertė</v>
      </c>
      <c r="AN1862" s="596"/>
      <c r="AO1862" s="601" t="str">
        <f>IF(AC1862=TRUE,IF(COUNTIF(MSPara_SourceStreamCategory,V1862)=0,"",INDEX(MSPara_CalcFactorsMatrix,MATCH(V1862,MSPara_SourceStreamCategory,0),MATCH(AM1862&amp;"_"&amp;2,MSPara_CalcFactors,0))),"")</f>
        <v/>
      </c>
      <c r="AP1862" s="598"/>
      <c r="AQ1862" s="602" t="str">
        <f>IF(OR(AA1862="",AO1862=EUconst_NA),"",AO1862)</f>
        <v/>
      </c>
      <c r="AR1862" s="594">
        <f>IF(AC1862=TRUE,IF(COUNT(K1862:L1862)=0,0,IF(L1862="",K1862,L1862)),0)</f>
        <v>0</v>
      </c>
      <c r="AS1862" s="603" t="b">
        <f>AND(AC1862=TRUE,OR(AND(F1862&lt;&gt;"",NOT(ISNUMBER(AA1862))),L1862&lt;&gt;"",F1862="",AQ1862=""))</f>
        <v>0</v>
      </c>
      <c r="AT1862" s="603" t="b">
        <f t="shared" si="464"/>
        <v>0</v>
      </c>
      <c r="AU1862" s="30"/>
      <c r="AV1862" s="604" t="b">
        <f t="shared" si="465"/>
        <v>0</v>
      </c>
      <c r="AW1862" s="605" t="b">
        <f t="shared" si="466"/>
        <v>0</v>
      </c>
      <c r="AX1862" s="30"/>
      <c r="AY1862" s="570" t="b">
        <f t="shared" si="467"/>
        <v>0</v>
      </c>
      <c r="AZ1862" s="571" t="b">
        <f>OR(AR1861&gt;100%,(AR1861+AR1862)&gt;100%)</f>
        <v>0</v>
      </c>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571" t="b">
        <f>OR(BZ1854,Y1862=EUconst_NA)</f>
        <v>1</v>
      </c>
    </row>
    <row r="1863" spans="1:78" s="140" customFormat="1" ht="5.0999999999999996" customHeight="1" x14ac:dyDescent="0.2">
      <c r="A1863" s="777"/>
      <c r="B1863" s="1248"/>
      <c r="C1863" s="164"/>
      <c r="D1863" s="178"/>
      <c r="O1863" s="1305"/>
      <c r="P1863" s="33"/>
      <c r="Q1863" s="33"/>
      <c r="R1863" s="33"/>
      <c r="S1863" s="172"/>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row>
    <row r="1864" spans="1:78" s="140" customFormat="1" ht="12.75" customHeight="1" x14ac:dyDescent="0.2">
      <c r="A1864" s="777"/>
      <c r="B1864" s="1248"/>
      <c r="C1864" s="164"/>
      <c r="D1864" s="1629" t="str">
        <f>Translations!$B$674</f>
        <v>Pakopos galioja nuo:</v>
      </c>
      <c r="E1864" s="1629"/>
      <c r="F1864" s="1630"/>
      <c r="G1864" s="1014"/>
      <c r="H1864" s="606" t="str">
        <f>Translations!$B$675</f>
        <v>iki:</v>
      </c>
      <c r="I1864" s="1014"/>
      <c r="J1864" s="1620" t="str">
        <f>Translations!$B$676</f>
        <v>Atliekų katalogo numeris (jeigu taikytina):</v>
      </c>
      <c r="K1864" s="1621"/>
      <c r="L1864" s="1621"/>
      <c r="M1864" s="1622"/>
      <c r="N1864" s="1232"/>
      <c r="O1864" s="1305"/>
      <c r="P1864" s="33"/>
      <c r="Q1864" s="33"/>
      <c r="R1864" s="33"/>
      <c r="S1864" s="1233"/>
      <c r="T1864" s="483"/>
      <c r="U1864" s="483"/>
      <c r="V1864" s="48" t="b">
        <f>IF(V1854="",FALSE,INDEX(CNTR_IsWaste,MATCH(V1854,MSParameters!$A$218:$A$376,0)))</f>
        <v>0</v>
      </c>
      <c r="W1864" s="1233" t="s">
        <v>1689</v>
      </c>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2" t="b">
        <f>BZ1854</f>
        <v>1</v>
      </c>
    </row>
    <row r="1865" spans="1:78" s="140" customFormat="1" ht="5.0999999999999996" customHeight="1" x14ac:dyDescent="0.2">
      <c r="A1865" s="777"/>
      <c r="B1865" s="1248"/>
      <c r="C1865" s="164"/>
      <c r="D1865" s="606"/>
      <c r="E1865" s="486"/>
      <c r="F1865" s="486"/>
      <c r="G1865" s="486"/>
      <c r="H1865" s="486"/>
      <c r="I1865" s="486"/>
      <c r="J1865" s="486"/>
      <c r="K1865" s="486"/>
      <c r="L1865" s="486"/>
      <c r="M1865" s="486"/>
      <c r="N1865" s="486"/>
      <c r="O1865" s="1305"/>
      <c r="P1865" s="33"/>
      <c r="Q1865" s="33"/>
      <c r="R1865" s="33"/>
      <c r="S1865" s="172"/>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row>
    <row r="1866" spans="1:78" s="140" customFormat="1" ht="12.75" customHeight="1" x14ac:dyDescent="0.2">
      <c r="A1866" s="777"/>
      <c r="B1866" s="1248"/>
      <c r="C1866" s="164"/>
      <c r="D1866" s="486"/>
      <c r="E1866" s="486"/>
      <c r="F1866" s="486"/>
      <c r="G1866" s="486"/>
      <c r="H1866" s="486"/>
      <c r="I1866" s="486"/>
      <c r="J1866" s="486"/>
      <c r="K1866" s="486"/>
      <c r="L1866" s="486"/>
      <c r="M1866" s="606" t="str">
        <f>Translations!$B$677</f>
        <v>Stebėsenos plane šiam sukėlikliui suteiktas identifikatorius:</v>
      </c>
      <c r="N1866" s="705"/>
      <c r="O1866" s="1305"/>
      <c r="P1866" s="33"/>
      <c r="Q1866" s="33"/>
      <c r="R1866" s="33"/>
      <c r="S1866" s="172"/>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2" t="b">
        <f>BZ1864</f>
        <v>1</v>
      </c>
    </row>
    <row r="1867" spans="1:78" s="140" customFormat="1" ht="5.0999999999999996" customHeight="1" x14ac:dyDescent="0.2">
      <c r="A1867" s="784"/>
      <c r="B1867" s="1316"/>
      <c r="D1867" s="178"/>
      <c r="O1867" s="1317"/>
      <c r="P1867" s="488"/>
      <c r="Q1867" s="488"/>
      <c r="R1867" s="488"/>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row>
    <row r="1868" spans="1:78" s="140" customFormat="1" x14ac:dyDescent="0.2">
      <c r="A1868" s="784"/>
      <c r="B1868" s="1316"/>
      <c r="D1868" s="1618" t="str">
        <f>Translations!$B$160</f>
        <v>Pastabos:</v>
      </c>
      <c r="E1868" s="1619"/>
      <c r="F1868" s="1605"/>
      <c r="G1868" s="1606"/>
      <c r="H1868" s="1606"/>
      <c r="I1868" s="1606"/>
      <c r="J1868" s="1606"/>
      <c r="K1868" s="1606"/>
      <c r="L1868" s="1606"/>
      <c r="M1868" s="1606"/>
      <c r="N1868" s="1607"/>
      <c r="O1868" s="1317"/>
      <c r="P1868" s="488"/>
      <c r="Q1868" s="488"/>
      <c r="R1868" s="488"/>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2" t="b">
        <f>BZ1864</f>
        <v>1</v>
      </c>
    </row>
    <row r="1869" spans="1:78" s="28" customFormat="1" ht="12.75" customHeight="1" thickBot="1" x14ac:dyDescent="0.25">
      <c r="A1869" s="777"/>
      <c r="B1869" s="1312"/>
      <c r="C1869" s="490"/>
      <c r="D1869" s="491"/>
      <c r="E1869" s="492"/>
      <c r="F1869" s="490"/>
      <c r="G1869" s="493"/>
      <c r="H1869" s="493"/>
      <c r="I1869" s="493"/>
      <c r="J1869" s="493"/>
      <c r="K1869" s="493"/>
      <c r="L1869" s="493"/>
      <c r="M1869" s="493"/>
      <c r="N1869" s="493"/>
      <c r="O1869" s="1313"/>
      <c r="P1869" s="485"/>
      <c r="Q1869" s="485"/>
      <c r="R1869" s="485"/>
      <c r="S1869" s="58"/>
      <c r="T1869" s="58"/>
      <c r="U1869" s="489"/>
      <c r="V1869" s="58"/>
      <c r="W1869" s="58"/>
      <c r="X1869" s="489"/>
      <c r="Y1869" s="58"/>
      <c r="Z1869" s="58"/>
      <c r="AA1869" s="58"/>
      <c r="AB1869" s="58"/>
      <c r="AC1869" s="58"/>
      <c r="AD1869" s="58"/>
      <c r="AE1869" s="58"/>
      <c r="AF1869" s="58"/>
      <c r="AG1869" s="58"/>
      <c r="AH1869" s="58"/>
      <c r="AI1869" s="58"/>
      <c r="AJ1869" s="58"/>
      <c r="AK1869" s="58"/>
      <c r="AL1869" s="58"/>
      <c r="AM1869" s="58"/>
      <c r="AN1869" s="58"/>
      <c r="AO1869" s="58"/>
      <c r="AP1869" s="58"/>
      <c r="AQ1869" s="58"/>
      <c r="AR1869" s="58"/>
      <c r="AS1869" s="58"/>
      <c r="AT1869" s="58"/>
      <c r="AU1869" s="58"/>
      <c r="AV1869" s="58"/>
      <c r="AW1869" s="58"/>
      <c r="AX1869" s="58"/>
      <c r="AY1869" s="58"/>
      <c r="AZ1869" s="58"/>
      <c r="BA1869" s="58"/>
      <c r="BB1869" s="58"/>
      <c r="BC1869" s="58"/>
      <c r="BD1869" s="58"/>
      <c r="BE1869" s="58"/>
      <c r="BF1869" s="58"/>
      <c r="BG1869" s="58"/>
      <c r="BH1869" s="58"/>
      <c r="BI1869" s="30"/>
      <c r="BJ1869" s="30"/>
      <c r="BK1869" s="30"/>
      <c r="BL1869" s="58"/>
      <c r="BM1869" s="58"/>
      <c r="BN1869" s="58"/>
      <c r="BO1869" s="58"/>
      <c r="BP1869" s="58"/>
      <c r="BQ1869" s="58"/>
      <c r="BR1869" s="58"/>
      <c r="BS1869" s="58"/>
      <c r="BT1869" s="58"/>
      <c r="BU1869" s="58"/>
      <c r="BV1869" s="58"/>
      <c r="BW1869" s="58"/>
      <c r="BX1869" s="58"/>
      <c r="BY1869" s="58"/>
      <c r="BZ1869" s="58"/>
    </row>
    <row r="1870" spans="1:78" s="28" customFormat="1" ht="12.75" customHeight="1" thickBot="1" x14ac:dyDescent="0.25">
      <c r="A1870" s="782"/>
      <c r="B1870" s="1312"/>
      <c r="C1870" s="486"/>
      <c r="D1870" s="178"/>
      <c r="E1870" s="487"/>
      <c r="F1870" s="486"/>
      <c r="G1870" s="478"/>
      <c r="H1870" s="478"/>
      <c r="I1870" s="478"/>
      <c r="J1870" s="478"/>
      <c r="K1870" s="486"/>
      <c r="L1870" s="478"/>
      <c r="M1870" s="478"/>
      <c r="N1870" s="478"/>
      <c r="O1870" s="1313"/>
      <c r="P1870" s="485"/>
      <c r="Q1870" s="485"/>
      <c r="R1870" s="485"/>
      <c r="S1870" s="23"/>
      <c r="T1870" s="27" t="str">
        <f>IF(ISBLANK(E1871),"",MATCH(E1871,CNTR_SourceStreamNames,0))</f>
        <v/>
      </c>
      <c r="U1870" s="609" t="str">
        <f>IF(ISBLANK(E1871),"",INDEX(B_InstallationDescription!$D$71:$D$145,MATCH(E1871,CNTR_SourceStreamNames,0)))</f>
        <v/>
      </c>
      <c r="V1870" s="76"/>
      <c r="W1870" s="56"/>
      <c r="X1870" s="56"/>
      <c r="Y1870" s="56"/>
      <c r="Z1870" s="58"/>
      <c r="AA1870" s="58"/>
      <c r="AB1870" s="58"/>
      <c r="AC1870" s="58"/>
      <c r="AD1870" s="58"/>
      <c r="AE1870" s="58"/>
      <c r="AF1870" s="58"/>
      <c r="AG1870" s="58"/>
      <c r="AH1870" s="58"/>
      <c r="AI1870" s="58"/>
      <c r="AJ1870" s="58"/>
      <c r="AK1870" s="482"/>
      <c r="AL1870" s="58"/>
      <c r="AM1870" s="58"/>
      <c r="AN1870" s="58"/>
      <c r="AO1870" s="58"/>
      <c r="AP1870" s="58"/>
      <c r="AQ1870" s="58"/>
      <c r="AR1870" s="58"/>
      <c r="AS1870" s="58"/>
      <c r="AT1870" s="58"/>
      <c r="AU1870" s="58"/>
      <c r="AV1870" s="58"/>
      <c r="AW1870" s="58"/>
      <c r="AX1870" s="58"/>
      <c r="AY1870" s="58"/>
      <c r="AZ1870" s="58"/>
      <c r="BA1870" s="58"/>
      <c r="BB1870" s="58"/>
      <c r="BC1870" s="58"/>
      <c r="BD1870" s="58"/>
      <c r="BE1870" s="58"/>
      <c r="BF1870" s="58"/>
      <c r="BG1870" s="58"/>
      <c r="BH1870" s="56"/>
      <c r="BI1870" s="56"/>
      <c r="BJ1870" s="56"/>
      <c r="BK1870" s="56"/>
      <c r="BL1870" s="56"/>
      <c r="BM1870" s="56"/>
      <c r="BN1870" s="56"/>
      <c r="BO1870" s="56"/>
      <c r="BP1870" s="56"/>
      <c r="BQ1870" s="56"/>
      <c r="BR1870" s="56"/>
      <c r="BS1870" s="56"/>
      <c r="BT1870" s="56"/>
      <c r="BU1870" s="56"/>
      <c r="BV1870" s="56"/>
      <c r="BW1870" s="56"/>
      <c r="BX1870" s="56"/>
      <c r="BY1870" s="56"/>
      <c r="BZ1870" s="484" t="s">
        <v>259</v>
      </c>
    </row>
    <row r="1871" spans="1:78" s="140" customFormat="1" ht="15" customHeight="1" thickBot="1" x14ac:dyDescent="0.25">
      <c r="A1871" s="1302" t="str">
        <f>IF(E1871="","","PRINT")</f>
        <v/>
      </c>
      <c r="B1871" s="1248"/>
      <c r="C1871" s="608">
        <f>C1844+1</f>
        <v>68</v>
      </c>
      <c r="D1871" s="164"/>
      <c r="E1871" s="1610"/>
      <c r="F1871" s="1611"/>
      <c r="G1871" s="1611"/>
      <c r="H1871" s="1611"/>
      <c r="I1871" s="1611"/>
      <c r="J1871" s="1612"/>
      <c r="K1871" s="1623" t="str">
        <f>IF(E1872="","",INDEX(EUwideConstants!$F$353:$F$394,MATCH(E1872,EUConst_TierActivityListNames,0)))</f>
        <v/>
      </c>
      <c r="L1871" s="1624"/>
      <c r="M1871" s="494" t="str">
        <f>Translations!$B$665</f>
        <v>CO2, iškastinio kuro kilmės:</v>
      </c>
      <c r="N1871" s="1012" t="str">
        <f>IF(OR(K1871="",T1872=TRUE),"",INDEX(BC1885:BE1885,MATCH(K1871,BC1881:BE1881,0)))</f>
        <v/>
      </c>
      <c r="O1871" s="1314" t="s">
        <v>257</v>
      </c>
      <c r="P1871" s="1303" t="str">
        <f>IF(AND(E1871&lt;&gt;"",COUNTIF(P1872:$P$2089,"PRINT")=0),"PRINT","")</f>
        <v/>
      </c>
      <c r="Q1871" s="343" t="str">
        <f>EUconst_SumCO2 &amp; "_" &amp; K1871</f>
        <v>SUM_CO2_</v>
      </c>
      <c r="R1871" s="485"/>
      <c r="S1871" s="23"/>
      <c r="T1871" s="500" t="s">
        <v>387</v>
      </c>
      <c r="U1871" s="23"/>
      <c r="V1871" s="76"/>
      <c r="W1871" s="56"/>
      <c r="X1871" s="58"/>
      <c r="Y1871" s="58"/>
      <c r="Z1871" s="58"/>
      <c r="AA1871" s="58"/>
      <c r="AB1871" s="58"/>
      <c r="AC1871" s="58"/>
      <c r="AD1871" s="58"/>
      <c r="AE1871" s="58"/>
      <c r="AF1871" s="58"/>
      <c r="AG1871" s="58"/>
      <c r="AH1871" s="58"/>
      <c r="AI1871" s="333"/>
      <c r="AJ1871" s="333"/>
      <c r="AK1871" s="333"/>
      <c r="AL1871" s="333"/>
      <c r="AM1871" s="333"/>
      <c r="AN1871" s="333"/>
      <c r="AO1871" s="333"/>
      <c r="AP1871" s="333"/>
      <c r="AQ1871" s="333"/>
      <c r="AR1871" s="333"/>
      <c r="AS1871" s="333"/>
      <c r="AT1871" s="333"/>
      <c r="AU1871" s="333"/>
      <c r="AV1871" s="333"/>
      <c r="AW1871" s="333"/>
      <c r="AX1871" s="333"/>
      <c r="AY1871" s="333"/>
      <c r="AZ1871" s="333"/>
      <c r="BA1871" s="333"/>
      <c r="BB1871" s="333"/>
      <c r="BC1871" s="333"/>
      <c r="BD1871" s="333"/>
      <c r="BE1871" s="333"/>
      <c r="BF1871" s="333"/>
      <c r="BG1871" s="333"/>
      <c r="BH1871" s="834">
        <f>AR1881</f>
        <v>0</v>
      </c>
      <c r="BI1871" s="834" t="str">
        <f>AJ1881</f>
        <v/>
      </c>
      <c r="BJ1871" s="834">
        <f>AR1883</f>
        <v>0</v>
      </c>
      <c r="BK1871" s="834" t="str">
        <f>AJ1883</f>
        <v/>
      </c>
      <c r="BL1871" s="834">
        <f>AR1884</f>
        <v>0</v>
      </c>
      <c r="BM1871" s="834" t="str">
        <f>AJ1884</f>
        <v/>
      </c>
      <c r="BN1871" s="834">
        <f>AR1885</f>
        <v>1</v>
      </c>
      <c r="BO1871" s="834">
        <f>AR1886</f>
        <v>1</v>
      </c>
      <c r="BP1871" s="834">
        <f>AR1887</f>
        <v>0</v>
      </c>
      <c r="BQ1871" s="834" t="str">
        <f>AJ1887</f>
        <v/>
      </c>
      <c r="BR1871" s="834">
        <f>AR1888</f>
        <v>0</v>
      </c>
      <c r="BS1871" s="834">
        <f>AR1889</f>
        <v>0</v>
      </c>
      <c r="BT1871" s="834" t="str">
        <f>N1871</f>
        <v/>
      </c>
      <c r="BU1871" s="834" t="str">
        <f>N1872</f>
        <v/>
      </c>
      <c r="BV1871" s="834" t="str">
        <f>R1874</f>
        <v/>
      </c>
      <c r="BW1871" s="834" t="str">
        <f>R1880</f>
        <v/>
      </c>
      <c r="BX1871" s="834" t="str">
        <f>R1881</f>
        <v/>
      </c>
      <c r="BY1871" s="56"/>
      <c r="BZ1871" s="610" t="b">
        <f>CNTR_CalcRelevant=EUconst_NotRelevant</f>
        <v>0</v>
      </c>
    </row>
    <row r="1872" spans="1:78" s="140" customFormat="1" ht="15" customHeight="1" thickBot="1" x14ac:dyDescent="0.25">
      <c r="A1872" s="777"/>
      <c r="B1872" s="1248"/>
      <c r="C1872" s="164"/>
      <c r="D1872" s="164"/>
      <c r="E1872" s="1625" t="str">
        <f>IF(ISBLANK(E1871),"",IF(INDEX(B_InstallationDescription!$E$71:$E$145,MATCH(U1870,B_InstallationDescription!$D$71:$D$145,0))&gt;0,INDEX(B_InstallationDescription!$E$71:$E$145,MATCH(U1870,B_InstallationDescription!$D$71:$D$145,0)),""))</f>
        <v/>
      </c>
      <c r="F1872" s="1626"/>
      <c r="G1872" s="1626"/>
      <c r="H1872" s="1626"/>
      <c r="I1872" s="1626"/>
      <c r="J1872" s="1627"/>
      <c r="M1872" s="337" t="str">
        <f>Translations!$B$666</f>
        <v>CO2, biomasės kilmės.:</v>
      </c>
      <c r="N1872" s="1013" t="str">
        <f>IF(OR(K1871="",T1872=TRUE),"",INDEX(BC1884:BE1884,MATCH(K1871,BC1881:BE1881,0)))</f>
        <v/>
      </c>
      <c r="O1872" s="1315" t="s">
        <v>257</v>
      </c>
      <c r="P1872" s="485"/>
      <c r="Q1872" s="343" t="str">
        <f>EUconst_SumBioCO2 &amp; "_" &amp; K1871</f>
        <v>SUM_bioCO2_</v>
      </c>
      <c r="R1872" s="485"/>
      <c r="S1872" s="23"/>
      <c r="T1872" s="48" t="str">
        <f>IF(E1872="","",MATCH(E1872,EUConst_TierActivityListNames,0)&gt;40)</f>
        <v/>
      </c>
      <c r="U1872" s="23"/>
      <c r="V1872" s="76"/>
      <c r="W1872" s="56"/>
      <c r="X1872" s="58"/>
      <c r="Y1872" s="27" t="s">
        <v>91</v>
      </c>
      <c r="Z1872" s="30"/>
      <c r="AA1872" s="30"/>
      <c r="AB1872" s="30"/>
      <c r="AC1872" s="30"/>
      <c r="AD1872" s="30"/>
      <c r="AE1872" s="27" t="s">
        <v>297</v>
      </c>
      <c r="AF1872" s="58"/>
      <c r="AG1872" s="495"/>
      <c r="AH1872" s="30"/>
      <c r="AI1872" s="30"/>
      <c r="AJ1872" s="495"/>
      <c r="AK1872" s="495"/>
      <c r="AL1872" s="333"/>
      <c r="AM1872" s="27" t="s">
        <v>303</v>
      </c>
      <c r="AN1872" s="496"/>
      <c r="AO1872" s="496"/>
      <c r="AP1872" s="30"/>
      <c r="AQ1872" s="30"/>
      <c r="AR1872" s="30"/>
      <c r="AS1872" s="30"/>
      <c r="AT1872" s="30"/>
      <c r="AU1872" s="30"/>
      <c r="AV1872" s="27" t="s">
        <v>310</v>
      </c>
      <c r="AW1872" s="30"/>
      <c r="AX1872" s="483"/>
      <c r="AY1872" s="30"/>
      <c r="AZ1872" s="30"/>
      <c r="BA1872" s="30"/>
      <c r="BB1872" s="27" t="s">
        <v>217</v>
      </c>
      <c r="BC1872" s="30"/>
      <c r="BD1872" s="30"/>
      <c r="BE1872" s="30"/>
      <c r="BF1872" s="30"/>
      <c r="BG1872" s="27" t="s">
        <v>486</v>
      </c>
      <c r="BH1872" s="833" t="s">
        <v>552</v>
      </c>
      <c r="BI1872" s="833" t="s">
        <v>487</v>
      </c>
      <c r="BJ1872" s="833" t="s">
        <v>211</v>
      </c>
      <c r="BK1872" s="833" t="s">
        <v>488</v>
      </c>
      <c r="BL1872" s="833" t="s">
        <v>68</v>
      </c>
      <c r="BM1872" s="833" t="s">
        <v>489</v>
      </c>
      <c r="BN1872" s="833" t="s">
        <v>490</v>
      </c>
      <c r="BO1872" s="833" t="s">
        <v>491</v>
      </c>
      <c r="BP1872" s="833" t="s">
        <v>214</v>
      </c>
      <c r="BQ1872" s="833" t="s">
        <v>492</v>
      </c>
      <c r="BR1872" s="833" t="s">
        <v>493</v>
      </c>
      <c r="BS1872" s="833" t="s">
        <v>494</v>
      </c>
      <c r="BT1872" s="833" t="s">
        <v>287</v>
      </c>
      <c r="BU1872" s="833" t="s">
        <v>495</v>
      </c>
      <c r="BV1872" s="833" t="s">
        <v>498</v>
      </c>
      <c r="BW1872" s="833" t="s">
        <v>496</v>
      </c>
      <c r="BX1872" s="833" t="s">
        <v>497</v>
      </c>
      <c r="BY1872" s="30"/>
      <c r="BZ1872" s="30"/>
    </row>
    <row r="1873" spans="1:78" s="140" customFormat="1" ht="5.0999999999999996" customHeight="1" thickBot="1" x14ac:dyDescent="0.25">
      <c r="A1873" s="777"/>
      <c r="B1873" s="1248"/>
      <c r="C1873" s="164"/>
      <c r="D1873" s="164"/>
      <c r="E1873" s="164"/>
      <c r="F1873" s="164"/>
      <c r="G1873" s="164"/>
      <c r="M1873" s="141"/>
      <c r="N1873" s="141"/>
      <c r="O1873" s="1305"/>
      <c r="P1873" s="33"/>
      <c r="Q1873" s="33"/>
      <c r="R1873" s="33"/>
      <c r="S1873" s="23"/>
      <c r="T1873" s="23"/>
      <c r="U1873" s="23"/>
      <c r="V1873" s="76"/>
      <c r="W1873" s="30"/>
      <c r="X1873" s="30"/>
      <c r="Y1873" s="485"/>
      <c r="Z1873" s="30"/>
      <c r="AA1873" s="30"/>
      <c r="AB1873" s="30"/>
      <c r="AC1873" s="30"/>
      <c r="AD1873" s="30"/>
      <c r="AE1873" s="30"/>
      <c r="AF1873" s="58"/>
      <c r="AG1873" s="30"/>
      <c r="AH1873" s="30"/>
      <c r="AI1873" s="30"/>
      <c r="AJ1873" s="495"/>
      <c r="AK1873" s="495"/>
      <c r="AL1873" s="333"/>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row>
    <row r="1874" spans="1:78" s="140" customFormat="1" ht="12.75" customHeight="1" thickBot="1" x14ac:dyDescent="0.25">
      <c r="A1874" s="777"/>
      <c r="B1874" s="1248"/>
      <c r="C1874" s="164"/>
      <c r="D1874" s="164"/>
      <c r="E1874" s="1628" t="str">
        <f>IF(E1871="","",IF(T1872=TRUE,HYPERLINK("#JUMP_14",EUconst_MsgGoOnPFC),HYPERLINK("#JUMP_E_8",EUconst_FurtherGuidancePoint1)))</f>
        <v/>
      </c>
      <c r="F1874" s="1628"/>
      <c r="G1874" s="1628"/>
      <c r="H1874" s="1628"/>
      <c r="I1874" s="1628"/>
      <c r="J1874" s="1628"/>
      <c r="K1874" s="1628"/>
      <c r="L1874" s="1628"/>
      <c r="M1874" s="1628"/>
      <c r="N1874" s="141"/>
      <c r="O1874" s="1305"/>
      <c r="P1874" s="33"/>
      <c r="Q1874" s="343" t="str">
        <f>EUconst_SumNonSustBioCO2 &amp; "_" &amp; K1871</f>
        <v>SUM_bioNonSustCO2_</v>
      </c>
      <c r="R1874" s="698" t="str">
        <f>IF(OR(K1871="",T1872=TRUE),"",ROUND(INDEX(BC1883:BE1883,MATCH(K1871,BC1881:BE1881,0)),0))</f>
        <v/>
      </c>
      <c r="S1874" s="23"/>
      <c r="T1874" s="23"/>
      <c r="U1874" s="23"/>
      <c r="V1874" s="30"/>
      <c r="W1874" s="30"/>
      <c r="X1874" s="30"/>
      <c r="Y1874" s="58"/>
      <c r="Z1874" s="30"/>
      <c r="AA1874" s="30"/>
      <c r="AB1874" s="30"/>
      <c r="AC1874" s="30"/>
      <c r="AD1874" s="30"/>
      <c r="AE1874" s="30"/>
      <c r="AF1874" s="58"/>
      <c r="AG1874" s="30"/>
      <c r="AH1874" s="30"/>
      <c r="AI1874" s="30"/>
      <c r="AJ1874" s="495"/>
      <c r="AK1874" s="495"/>
      <c r="AL1874" s="333"/>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row>
    <row r="1875" spans="1:78" s="140" customFormat="1" ht="5.0999999999999996" customHeight="1" thickBot="1" x14ac:dyDescent="0.25">
      <c r="A1875" s="777"/>
      <c r="B1875" s="1248"/>
      <c r="C1875" s="164"/>
      <c r="D1875" s="164"/>
      <c r="E1875" s="164"/>
      <c r="F1875" s="164"/>
      <c r="G1875" s="164"/>
      <c r="M1875" s="141"/>
      <c r="N1875" s="141"/>
      <c r="O1875" s="1305"/>
      <c r="P1875" s="23"/>
      <c r="Q1875" s="23"/>
      <c r="R1875" s="23"/>
      <c r="S1875" s="23"/>
      <c r="T1875" s="23"/>
      <c r="U1875" s="23"/>
      <c r="V1875" s="30"/>
      <c r="W1875" s="30"/>
      <c r="X1875" s="30"/>
      <c r="Y1875" s="485"/>
      <c r="Z1875" s="30"/>
      <c r="AA1875" s="30"/>
      <c r="AB1875" s="30"/>
      <c r="AC1875" s="30"/>
      <c r="AD1875" s="30"/>
      <c r="AE1875" s="30"/>
      <c r="AF1875" s="58"/>
      <c r="AG1875" s="30"/>
      <c r="AH1875" s="30"/>
      <c r="AI1875" s="30"/>
      <c r="AJ1875" s="495"/>
      <c r="AK1875" s="495"/>
      <c r="AL1875" s="333"/>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row>
    <row r="1876" spans="1:78" s="140" customFormat="1" ht="12.75" customHeight="1" thickBot="1" x14ac:dyDescent="0.25">
      <c r="A1876" s="777"/>
      <c r="B1876" s="1248"/>
      <c r="C1876" s="783" t="s">
        <v>4</v>
      </c>
      <c r="D1876" s="503" t="str">
        <f>Translations!$B$622</f>
        <v>VD:</v>
      </c>
      <c r="E1876" s="1631" t="str">
        <f>Translations!$B$667</f>
        <v>Ar veiklos duomenys gaunami sudedant išmatuotus kiekius (t. y. ne atliekant nuolatinius matavimus)?</v>
      </c>
      <c r="F1876" s="1631"/>
      <c r="G1876" s="1631"/>
      <c r="H1876" s="1631"/>
      <c r="I1876" s="1631"/>
      <c r="J1876" s="1631"/>
      <c r="K1876" s="1631"/>
      <c r="L1876" s="1122"/>
      <c r="M1876" s="498"/>
      <c r="O1876" s="1305"/>
      <c r="P1876" s="23"/>
      <c r="Q1876" s="23"/>
      <c r="R1876" s="23"/>
      <c r="S1876" s="23"/>
      <c r="T1876" s="23"/>
      <c r="U1876" s="23"/>
      <c r="V1876" s="30"/>
      <c r="W1876" s="30"/>
      <c r="X1876" s="30"/>
      <c r="Y1876" s="485"/>
      <c r="Z1876" s="30"/>
      <c r="AA1876" s="30"/>
      <c r="AB1876" s="30"/>
      <c r="AC1876" s="1115" t="b">
        <f>AND(E1871&lt;&gt;"",T1872&lt;&gt;TRUE)</f>
        <v>0</v>
      </c>
      <c r="AD1876" s="30"/>
      <c r="AE1876" s="30"/>
      <c r="AF1876" s="58"/>
      <c r="AG1876" s="30"/>
      <c r="AH1876" s="30"/>
      <c r="AI1876" s="30"/>
      <c r="AJ1876" s="495"/>
      <c r="AK1876" s="495"/>
      <c r="AL1876" s="333"/>
      <c r="AM1876" s="30"/>
      <c r="AN1876" s="30"/>
      <c r="AO1876" s="30"/>
      <c r="AP1876" s="30"/>
      <c r="AQ1876" s="30"/>
      <c r="AR1876" s="30"/>
      <c r="AS1876" s="30"/>
      <c r="AT1876" s="1115" t="b">
        <f>MSPara_BatchReportingMandatory&lt;&gt;TRUE</f>
        <v>0</v>
      </c>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1115" t="b">
        <f>OR(CNTR_CalcRelevant=EUconst_NotRelevant,AND(COUNTA(CNTR_ListRelevantSections)&gt;0,OR(T1872=TRUE,E1871="")))</f>
        <v>1</v>
      </c>
    </row>
    <row r="1877" spans="1:78" s="140" customFormat="1" ht="5.0999999999999996" customHeight="1" thickBot="1" x14ac:dyDescent="0.25">
      <c r="A1877" s="777"/>
      <c r="B1877" s="1248"/>
      <c r="C1877" s="164"/>
      <c r="D1877" s="164"/>
      <c r="E1877" s="164"/>
      <c r="F1877" s="164"/>
      <c r="G1877" s="164"/>
      <c r="H1877" s="486"/>
      <c r="I1877" s="486"/>
      <c r="J1877" s="486"/>
      <c r="K1877" s="486"/>
      <c r="L1877" s="486"/>
      <c r="M1877" s="498"/>
      <c r="O1877" s="1305"/>
      <c r="P1877" s="23"/>
      <c r="Q1877" s="23"/>
      <c r="R1877" s="23"/>
      <c r="S1877" s="23"/>
      <c r="T1877" s="23"/>
      <c r="U1877" s="23"/>
      <c r="V1877" s="30"/>
      <c r="W1877" s="30"/>
      <c r="X1877" s="30"/>
      <c r="Y1877" s="485"/>
      <c r="Z1877" s="30"/>
      <c r="AA1877" s="30"/>
      <c r="AB1877" s="30"/>
      <c r="AC1877" s="483"/>
      <c r="AD1877" s="30"/>
      <c r="AE1877" s="30"/>
      <c r="AF1877" s="58"/>
      <c r="AG1877" s="30"/>
      <c r="AH1877" s="30"/>
      <c r="AI1877" s="30"/>
      <c r="AJ1877" s="495"/>
      <c r="AK1877" s="495"/>
      <c r="AL1877" s="333"/>
      <c r="AM1877" s="30"/>
      <c r="AN1877" s="30"/>
      <c r="AO1877" s="30"/>
      <c r="AP1877" s="30"/>
      <c r="AQ1877" s="30"/>
      <c r="AR1877" s="30"/>
      <c r="AS1877" s="30"/>
      <c r="AT1877" s="483"/>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483"/>
    </row>
    <row r="1878" spans="1:78" s="140" customFormat="1" ht="12.75" customHeight="1" thickBot="1" x14ac:dyDescent="0.25">
      <c r="A1878" s="777"/>
      <c r="B1878" s="1248"/>
      <c r="C1878" s="783" t="s">
        <v>5</v>
      </c>
      <c r="D1878" s="503" t="str">
        <f>Translations!$B$622</f>
        <v>VD:</v>
      </c>
      <c r="E1878" s="1105" t="str">
        <f>Translations!$B$668</f>
        <v>Pradinis kiekis:</v>
      </c>
      <c r="F1878" s="1123"/>
      <c r="G1878" s="1106" t="str">
        <f>Translations!$B$669</f>
        <v>Galutinis kiekis:</v>
      </c>
      <c r="H1878" s="1123"/>
      <c r="I1878" s="1106" t="str">
        <f>Translations!$B$670</f>
        <v>Įsigytas kiekis:</v>
      </c>
      <c r="J1878" s="1123"/>
      <c r="K1878" s="1106" t="str">
        <f>Translations!$B$671</f>
        <v>Perduotas kiekis:</v>
      </c>
      <c r="L1878" s="1123"/>
      <c r="M1878" s="1107" t="str">
        <f>IF(AND(L1876=TRUE,COUNT(F1878,H1878,J1878,L1878)&lt;4),EUconst_ERR_Incomplete,"")</f>
        <v/>
      </c>
      <c r="O1878" s="1305"/>
      <c r="P1878" s="23"/>
      <c r="Q1878" s="23"/>
      <c r="R1878" s="23"/>
      <c r="S1878" s="23"/>
      <c r="T1878" s="23"/>
      <c r="U1878" s="23"/>
      <c r="V1878" s="30"/>
      <c r="W1878" s="30"/>
      <c r="X1878" s="30"/>
      <c r="Y1878" s="485"/>
      <c r="Z1878" s="30"/>
      <c r="AA1878" s="30"/>
      <c r="AB1878" s="30"/>
      <c r="AC1878" s="1115" t="b">
        <f>AC1876</f>
        <v>0</v>
      </c>
      <c r="AD1878" s="30"/>
      <c r="AE1878" s="30"/>
      <c r="AF1878" s="58"/>
      <c r="AG1878" s="30"/>
      <c r="AH1878" s="30"/>
      <c r="AI1878" s="30"/>
      <c r="AJ1878" s="495"/>
      <c r="AK1878" s="495"/>
      <c r="AL1878" s="333"/>
      <c r="AM1878" s="30"/>
      <c r="AN1878" s="30"/>
      <c r="AO1878" s="30"/>
      <c r="AP1878" s="30"/>
      <c r="AQ1878" s="30"/>
      <c r="AR1878" s="30"/>
      <c r="AS1878" s="30"/>
      <c r="AT1878" s="1115" t="b">
        <f>AND(AT1876=TRUE,L1876="")</f>
        <v>0</v>
      </c>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1115" t="b">
        <f>OR(BZ1876,AND(NOT(ISBLANK(L1876)),L1876=FALSE))</f>
        <v>1</v>
      </c>
    </row>
    <row r="1879" spans="1:78" s="140" customFormat="1" ht="5.0999999999999996" customHeight="1" thickBot="1" x14ac:dyDescent="0.25">
      <c r="A1879" s="777"/>
      <c r="B1879" s="1248"/>
      <c r="C1879" s="164"/>
      <c r="D1879" s="164"/>
      <c r="E1879" s="164"/>
      <c r="F1879" s="164"/>
      <c r="G1879" s="164"/>
      <c r="M1879" s="141"/>
      <c r="N1879" s="141"/>
      <c r="O1879" s="1305"/>
      <c r="P1879" s="23"/>
      <c r="Q1879" s="23"/>
      <c r="R1879" s="23"/>
      <c r="S1879" s="23"/>
      <c r="T1879" s="23"/>
      <c r="U1879" s="23"/>
      <c r="V1879" s="30"/>
      <c r="W1879" s="30"/>
      <c r="X1879" s="30"/>
      <c r="Y1879" s="485"/>
      <c r="Z1879" s="30"/>
      <c r="AA1879" s="30"/>
      <c r="AB1879" s="30"/>
      <c r="AC1879" s="30"/>
      <c r="AD1879" s="30"/>
      <c r="AE1879" s="30"/>
      <c r="AF1879" s="58"/>
      <c r="AG1879" s="30"/>
      <c r="AH1879" s="30"/>
      <c r="AI1879" s="30"/>
      <c r="AJ1879" s="495"/>
      <c r="AK1879" s="495"/>
      <c r="AL1879" s="333"/>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row>
    <row r="1880" spans="1:78" s="140" customFormat="1" ht="12.75" customHeight="1" thickBot="1" x14ac:dyDescent="0.25">
      <c r="A1880" s="777"/>
      <c r="B1880" s="1248"/>
      <c r="C1880" s="164"/>
      <c r="D1880" s="164"/>
      <c r="E1880" s="164"/>
      <c r="F1880" s="497" t="str">
        <f>Translations!$B$333</f>
        <v>Pakopa</v>
      </c>
      <c r="G1880" s="1613" t="str">
        <f>Translations!$B$672</f>
        <v>pakopos aprašas</v>
      </c>
      <c r="H1880" s="1613"/>
      <c r="I1880" s="1608" t="str">
        <f>Translations!$B$158</f>
        <v>Vienetas</v>
      </c>
      <c r="J1880" s="1608"/>
      <c r="K1880" s="1608" t="str">
        <f>Translations!$B$673</f>
        <v>Vertė</v>
      </c>
      <c r="L1880" s="1608"/>
      <c r="M1880" s="498" t="str">
        <f>Translations!$B$610</f>
        <v>klaida</v>
      </c>
      <c r="O1880" s="1305"/>
      <c r="P1880" s="499"/>
      <c r="Q1880" s="343" t="str">
        <f>EUconst_SumEnergyIN &amp; "_" &amp; K1871</f>
        <v>SUM_EnergyIN_</v>
      </c>
      <c r="R1880" s="390" t="str">
        <f>IF(OR(K1871="",T1872)=TRUE,"",INDEX(BC1886:BE1886,MATCH(K1871,BC1881:BE1881,0)))</f>
        <v/>
      </c>
      <c r="S1880" s="30"/>
      <c r="T1880" s="480"/>
      <c r="U1880" s="30"/>
      <c r="V1880" s="500" t="s">
        <v>298</v>
      </c>
      <c r="W1880" s="30"/>
      <c r="X1880" s="30"/>
      <c r="Y1880" s="485" t="s">
        <v>560</v>
      </c>
      <c r="Z1880" s="485" t="s">
        <v>313</v>
      </c>
      <c r="AA1880" s="30"/>
      <c r="AB1880" s="30"/>
      <c r="AC1880" s="496" t="s">
        <v>304</v>
      </c>
      <c r="AD1880" s="30"/>
      <c r="AE1880" s="30"/>
      <c r="AF1880" s="483" t="s">
        <v>300</v>
      </c>
      <c r="AG1880" s="483" t="s">
        <v>301</v>
      </c>
      <c r="AH1880" s="485" t="s">
        <v>299</v>
      </c>
      <c r="AI1880" s="495" t="s">
        <v>302</v>
      </c>
      <c r="AJ1880" s="495" t="s">
        <v>561</v>
      </c>
      <c r="AK1880" s="501" t="s">
        <v>306</v>
      </c>
      <c r="AL1880" s="333"/>
      <c r="AM1880" s="30"/>
      <c r="AN1880" s="483" t="s">
        <v>300</v>
      </c>
      <c r="AO1880" s="483" t="s">
        <v>301</v>
      </c>
      <c r="AP1880" s="502" t="s">
        <v>305</v>
      </c>
      <c r="AQ1880" s="495" t="s">
        <v>563</v>
      </c>
      <c r="AR1880" s="495" t="s">
        <v>562</v>
      </c>
      <c r="AS1880" s="501" t="s">
        <v>599</v>
      </c>
      <c r="AT1880" s="501" t="s">
        <v>599</v>
      </c>
      <c r="AU1880" s="30"/>
      <c r="AV1880" s="483"/>
      <c r="AW1880" s="483"/>
      <c r="AX1880" s="483" t="s">
        <v>316</v>
      </c>
      <c r="AY1880" s="483"/>
      <c r="AZ1880" s="483"/>
      <c r="BA1880" s="483"/>
      <c r="BB1880" s="483"/>
      <c r="BC1880" s="483"/>
      <c r="BD1880" s="483"/>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484" t="s">
        <v>259</v>
      </c>
    </row>
    <row r="1881" spans="1:78" s="140" customFormat="1" ht="12.75" customHeight="1" thickBot="1" x14ac:dyDescent="0.25">
      <c r="A1881" s="777"/>
      <c r="B1881" s="1248"/>
      <c r="C1881" s="753" t="s">
        <v>194</v>
      </c>
      <c r="D1881" s="503" t="str">
        <f>Translations!$B$622</f>
        <v>VD:</v>
      </c>
      <c r="E1881" s="504"/>
      <c r="F1881" s="393"/>
      <c r="G1881" s="1603" t="str">
        <f>IF(OR(ISBLANK(F1881),F1881=EUconst_NoTier),"",IF(Z1881=0,EUconst_NA,IF(ISERROR(Z1881),"",Z1881)))</f>
        <v/>
      </c>
      <c r="H1881" s="1604"/>
      <c r="I1881" s="1108" t="str">
        <f>IF(J1881&lt;&gt;"","",AI1881)</f>
        <v/>
      </c>
      <c r="J1881" s="1109"/>
      <c r="K1881" s="1116" t="str">
        <f>IF(L1881="",AQ1881,"")</f>
        <v/>
      </c>
      <c r="L1881" s="1199"/>
      <c r="M1881" s="700" t="str">
        <f>IF(AND(E1872&lt;&gt;"",OR(F1881="",COUNT(K1881:L1881)=0),Y1881&lt;&gt;EUconst_NA,T1872&lt;&gt;TRUE),EUconst_ERR_Incomplete,IF(COUNTIF(AX1881:AZ1881,TRUE)&gt;0,EUconst_ERR_Inconsistent,""))</f>
        <v/>
      </c>
      <c r="O1881" s="1305"/>
      <c r="P1881" s="635"/>
      <c r="Q1881" s="343" t="str">
        <f>EUconst_SumBioEnergyIN &amp; "_" &amp; K1871</f>
        <v>SUM_BioEnergyIN_</v>
      </c>
      <c r="R1881" s="390" t="str">
        <f>IF(OR(K1871="",T1872)=TRUE,"",INDEX(BC1887:BE1887,MATCH(K1871,BC1881:BE1881,0)))</f>
        <v/>
      </c>
      <c r="S1881" s="30"/>
      <c r="T1881" s="505" t="str">
        <f>EUconst_CNTR_ActivityData&amp;E1872</f>
        <v>ActivityData_</v>
      </c>
      <c r="U1881" s="488"/>
      <c r="V1881" s="505" t="str">
        <f>IF(E1871="","",INDEX(B_InstallationDescription!$I$71:$I$145,MATCH(U1870,B_InstallationDescription!$D$71:$D$145,0)))</f>
        <v/>
      </c>
      <c r="W1881" s="495" t="s">
        <v>533</v>
      </c>
      <c r="X1881" s="488"/>
      <c r="Y1881" s="506" t="str">
        <f>IF(OR(T1872=TRUE,E1872=""),"",INDEX(EUwideConstants!$N:$N,MATCH(T1881,EUwideConstants!$Q:$Q,0)))</f>
        <v/>
      </c>
      <c r="Z1881" s="507" t="str">
        <f>IF(ISBLANK(F1881),"",IF(F1881=EUconst_NA,"",INDEX(EUwideConstants!$H:$M,MATCH(T1881,EUwideConstants!$Q:$Q,0),MATCH(F1881,CNTR_TierList,0))))</f>
        <v/>
      </c>
      <c r="AA1881" s="508" t="s">
        <v>299</v>
      </c>
      <c r="AB1881" s="495"/>
      <c r="AC1881" s="509" t="b">
        <f>AC1876</f>
        <v>0</v>
      </c>
      <c r="AD1881" s="30"/>
      <c r="AE1881" s="510" t="str">
        <f>EUconst_CNTR_ActivityData&amp;EUconst_Unit</f>
        <v>ActivityData_Vienetas</v>
      </c>
      <c r="AF1881" s="511" t="str">
        <f>IF(AC1881=TRUE, IF(COUNTIF(MSPara_SourceStreamCategory,V1881)=0,"",INDEX(MSPara_CalcFactorsMatrix,MATCH(V1881,MSPara_SourceStreamCategory,0),MATCH(AE1881&amp;"_"&amp;2,MSPara_CalcFactors,0))),"")</f>
        <v/>
      </c>
      <c r="AG1881" s="512" t="str">
        <f>IF(AC1881=TRUE, IF(COUNTIF(MSPara_SourceStreamCategory,V1881)=0,"",INDEX(MSPara_CalcFactorsMatrix,MATCH(V1881,MSPara_SourceStreamCategory,0),MATCH(AE1881&amp;"_"&amp;1,MSPara_CalcFactors,0))),"")</f>
        <v/>
      </c>
      <c r="AH1881" s="509" t="str">
        <f>IF(OR(AF1881="",AF1881=EUconst_NA),IF(OR(AG1881=EUconst_NA,AG1881=""),"",AG1881),AF1881)</f>
        <v/>
      </c>
      <c r="AI1881" s="506" t="str">
        <f>IF(AC1881=TRUE,IF(AH1881="",EUconst_t,AH1881),"")</f>
        <v/>
      </c>
      <c r="AJ1881" s="513" t="str">
        <f>IF(J1881="",AI1881,J1881)</f>
        <v/>
      </c>
      <c r="AK1881" s="514" t="b">
        <f>IF(K1871=EUconst_Fuel,J1881&lt;&gt;"",FALSE)</f>
        <v>0</v>
      </c>
      <c r="AL1881" s="333"/>
      <c r="AM1881" s="505" t="str">
        <f>EUconst_CNTR_ActivityData&amp;EUconst_Value</f>
        <v>ActivityData_Vertė</v>
      </c>
      <c r="AN1881" s="496"/>
      <c r="AO1881" s="496"/>
      <c r="AP1881" s="509" t="b">
        <f>AND(AND(AH1881&lt;&gt;"",AJ1881&lt;&gt;""),AJ1881=AH1881)</f>
        <v>0</v>
      </c>
      <c r="AQ1881" s="610" t="str">
        <f>IF(L1876=TRUE,SUM(F1878)-SUM(H1878)+SUM(J1878)-SUM(L1878),"")</f>
        <v/>
      </c>
      <c r="AR1881" s="509">
        <f>IF(Y1881=EUconst_NA,0,IF(COUNT(K1881:L1881)=0,0,IF(L1881="",K1881,L1881)))</f>
        <v>0</v>
      </c>
      <c r="AS1881" s="1115" t="b">
        <f>AND(AC1881=TRUE,OR(L1881&lt;&gt;"",AQ1881=""))</f>
        <v>0</v>
      </c>
      <c r="AT1881" s="1115" t="b">
        <f>AND(AC1881=TRUE,NOT(AS1881))</f>
        <v>0</v>
      </c>
      <c r="AU1881" s="30"/>
      <c r="AV1881" s="483" t="s">
        <v>309</v>
      </c>
      <c r="AW1881" s="483" t="s">
        <v>314</v>
      </c>
      <c r="AX1881" s="515"/>
      <c r="AY1881" s="30" t="s">
        <v>536</v>
      </c>
      <c r="AZ1881" s="30"/>
      <c r="BA1881" s="30"/>
      <c r="BB1881" s="495"/>
      <c r="BC1881" s="484" t="str">
        <f>EUconst_Fuel</f>
        <v>Degimas</v>
      </c>
      <c r="BD1881" s="484" t="str">
        <f>EUconst_ProcessCarbonate</f>
        <v>Proceso metu išsiskiriančios ŠESD</v>
      </c>
      <c r="BE1881" s="484" t="str">
        <f>EUconst_MassBalance</f>
        <v>Masės balansas</v>
      </c>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515" t="b">
        <f>BZ1876</f>
        <v>1</v>
      </c>
    </row>
    <row r="1882" spans="1:78" s="140" customFormat="1" ht="5.0999999999999996" customHeight="1" thickBot="1" x14ac:dyDescent="0.25">
      <c r="A1882" s="777"/>
      <c r="B1882" s="1248"/>
      <c r="C1882" s="783"/>
      <c r="D1882" s="298"/>
      <c r="F1882" s="141"/>
      <c r="G1882" s="141"/>
      <c r="H1882" s="141" t="s">
        <v>233</v>
      </c>
      <c r="I1882" s="516"/>
      <c r="J1882" s="516"/>
      <c r="K1882" s="141"/>
      <c r="L1882" s="141"/>
      <c r="M1882" s="701"/>
      <c r="O1882" s="1305"/>
      <c r="P1882" s="33"/>
      <c r="Q1882" s="33"/>
      <c r="R1882" s="33"/>
      <c r="S1882" s="30"/>
      <c r="T1882" s="153"/>
      <c r="U1882" s="488"/>
      <c r="V1882" s="30"/>
      <c r="W1882" s="30"/>
      <c r="X1882" s="488"/>
      <c r="Y1882" s="517"/>
      <c r="Z1882" s="30"/>
      <c r="AA1882" s="30"/>
      <c r="AB1882" s="30"/>
      <c r="AC1882" s="30"/>
      <c r="AD1882" s="30"/>
      <c r="AE1882" s="30"/>
      <c r="AF1882" s="30"/>
      <c r="AG1882" s="30"/>
      <c r="AH1882" s="30"/>
      <c r="AI1882" s="30"/>
      <c r="AJ1882" s="30"/>
      <c r="AK1882" s="30"/>
      <c r="AL1882" s="333"/>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484"/>
    </row>
    <row r="1883" spans="1:78" s="140" customFormat="1" ht="12.75" customHeight="1" thickBot="1" x14ac:dyDescent="0.25">
      <c r="A1883" s="777"/>
      <c r="B1883" s="1248"/>
      <c r="C1883" s="783" t="s">
        <v>195</v>
      </c>
      <c r="D1883" s="503" t="str">
        <f>Translations!$B$634</f>
        <v>(prelim.) ITF:</v>
      </c>
      <c r="E1883" s="504"/>
      <c r="F1883" s="518"/>
      <c r="G1883" s="1603" t="str">
        <f t="shared" ref="G1883:G1889" si="469">IF(OR(ISBLANK(F1883),F1883=EUconst_NoTier),"",IF(Z1883=0,EUconst_NotApplicable,IF(ISERROR(Z1883),"",Z1883)))</f>
        <v/>
      </c>
      <c r="H1883" s="1609"/>
      <c r="I1883" s="1110" t="str">
        <f>IF(J1883&lt;&gt;"","",AI1883)</f>
        <v/>
      </c>
      <c r="J1883" s="1111"/>
      <c r="K1883" s="519" t="str">
        <f t="shared" ref="K1883:K1889" si="470">IF(L1883="",AQ1883,"")</f>
        <v/>
      </c>
      <c r="L1883" s="520"/>
      <c r="M1883" s="700" t="str">
        <f>IF(AND(E1872&lt;&gt;"",OR(F1883="",COUNT(K1883:L1883)=0),Y1883&lt;&gt;EUconst_NA,T1872&lt;&gt;TRUE),EUconst_ERR_Incomplete,IF(COUNTIF(AX1883:AZ1883,TRUE)&gt;0,EUconst_ERR_Inconsistent,""))</f>
        <v/>
      </c>
      <c r="N1883" s="486"/>
      <c r="O1883" s="1305"/>
      <c r="P1883" s="33"/>
      <c r="Q1883" s="33"/>
      <c r="R1883" s="33"/>
      <c r="S1883" s="30"/>
      <c r="T1883" s="521" t="str">
        <f>EUconst_CNTR_EF&amp;E1872</f>
        <v>EF_</v>
      </c>
      <c r="U1883" s="488"/>
      <c r="V1883" s="522" t="str">
        <f>V1881</f>
        <v/>
      </c>
      <c r="W1883" s="30"/>
      <c r="X1883" s="488"/>
      <c r="Y1883" s="523" t="str">
        <f>IF(OR(T1872=TRUE,E1872=""),"",IF(F1883=EUconst_NA,EUconst_NA,INDEX(EUwideConstants!$N:$N,MATCH(T1883,EUwideConstants!$Q:$Q,0))))</f>
        <v/>
      </c>
      <c r="Z1883" s="524" t="str">
        <f>IF(ISBLANK(F1883),"",IF(F1883=EUconst_NA,"",INDEX(EUwideConstants!$H:$M,MATCH(T1883,EUwideConstants!$Q:$Q,0),MATCH(F1883,CNTR_TierList,0))))</f>
        <v/>
      </c>
      <c r="AA1883" s="525" t="str">
        <f>IF(COUNTIF(EUconst_DefaultValues,Z1883)&gt;0,MATCH(Z1883,EUconst_DefaultValues,0),"")</f>
        <v/>
      </c>
      <c r="AB1883" s="30"/>
      <c r="AC1883" s="526" t="b">
        <f>AND(AC1881,Y1883&lt;&gt;EUconst_NA)</f>
        <v>0</v>
      </c>
      <c r="AD1883" s="30"/>
      <c r="AE1883" s="510" t="str">
        <f>EUconst_CNTR_EF&amp;EUconst_Unit</f>
        <v>EF_Vienetas</v>
      </c>
      <c r="AF1883" s="527" t="str">
        <f>IF(AC1883=TRUE, IF(COUNTIF(MSPara_SourceStreamCategory,V1883)=0,"",INDEX(MSPara_CalcFactorsMatrix,MATCH(V1883,MSPara_SourceStreamCategory,0),MATCH(AE1883&amp;"_"&amp;2,MSPara_CalcFactors,0))),"")</f>
        <v/>
      </c>
      <c r="AG1883" s="528" t="str">
        <f>IF(AC1883=TRUE, IF(COUNTIF(MSPara_SourceStreamCategory,V1883)=0,"",INDEX(MSPara_CalcFactorsMatrix,MATCH(V1883,MSPara_SourceStreamCategory,0),MATCH(AE1883&amp;"_"&amp;1,MSPara_CalcFactors,0))),"")</f>
        <v/>
      </c>
      <c r="AH1883" s="529" t="str">
        <f>IF(AA1883="","",INDEX(AF1883:AG1883,3-AA1883))</f>
        <v/>
      </c>
      <c r="AI1883" s="530" t="str">
        <f>IF(AC1883=TRUE,IF(OR(AH1883="",AH1883=EUconst_NA),IF(K1871=EUconst_Fuel,EUconst_tCO2pTJ,EUconst_tCO2pt),AH1883),"")</f>
        <v/>
      </c>
      <c r="AJ1883" s="526" t="str">
        <f>IF(J1883="",AI1883,J1883)</f>
        <v/>
      </c>
      <c r="AK1883" s="531" t="b">
        <f>IF(K1871=EUconst_Fuel,J1883&lt;&gt;"",FALSE)</f>
        <v>0</v>
      </c>
      <c r="AL1883" s="333"/>
      <c r="AM1883" s="510" t="str">
        <f>EUconst_CNTR_EF&amp;EUconst_Value</f>
        <v>EF_Vertė</v>
      </c>
      <c r="AN1883" s="532" t="str">
        <f>IF(AC1883=TRUE,IF(COUNTIF(MSPara_SourceStreamCategory,V1883)=0,"",INDEX(MSPara_CalcFactorsMatrix,MATCH(V1883,MSPara_SourceStreamCategory,0),MATCH(AM1883&amp;"_"&amp;2,MSPara_CalcFactors,0))),"")</f>
        <v/>
      </c>
      <c r="AO1883" s="533" t="str">
        <f>IF(AC1883=TRUE,IF(COUNTIF(MSPara_SourceStreamCategory,V1883)=0,"",INDEX(MSPara_CalcFactorsMatrix,MATCH(V1883,MSPara_SourceStreamCategory,0),MATCH(AM1883&amp;"_"&amp;1,MSPara_CalcFactors,0))),"")</f>
        <v/>
      </c>
      <c r="AP1883" s="526" t="b">
        <f>AND(AND(AH1883&lt;&gt;"",AJ1883&lt;&gt;""),AJ1883=AH1883)</f>
        <v>0</v>
      </c>
      <c r="AQ1883" s="534" t="str">
        <f>IF(AND(AA1883&lt;&gt;"",AP1883=TRUE),IF(OR(INDEX(AN1883:AO1883,3-AA1883)=EUconst_NA,INDEX(AN1883:AO1883,3-AA1883)=0),"",INDEX(AN1883:AO1883,3-AA1883)),"")</f>
        <v/>
      </c>
      <c r="AR1883" s="526">
        <f>IF(AC1883=TRUE,IF(COUNT(K1883:L1883)=0,0,IF(L1883="",K1883,L1883)),0)</f>
        <v>0</v>
      </c>
      <c r="AS1883" s="522" t="b">
        <f>AND(AC1883=TRUE,OR(AND(F1883&lt;&gt;"",NOT(ISNUMBER(AA1883))),L1883&lt;&gt;"",F1883="",AQ1883=""))</f>
        <v>0</v>
      </c>
      <c r="AT1883" s="522" t="b">
        <f t="shared" ref="AT1883:AT1889" si="471">AND(AC1883=TRUE,NOT(AS1883))</f>
        <v>0</v>
      </c>
      <c r="AU1883" s="30"/>
      <c r="AV1883" s="535" t="b">
        <f t="shared" ref="AV1883:AV1889" si="472">AND(ISNUMBER(AA1883),AQ1883="")</f>
        <v>0</v>
      </c>
      <c r="AW1883" s="536" t="b">
        <f t="shared" ref="AW1883:AW1889" si="473">AND(ISNUMBER(AA1883),AQ1883&lt;&gt;AR1883)</f>
        <v>0</v>
      </c>
      <c r="AX1883" s="537" t="b">
        <f>OR(AND(AJ1881=EUconst_kNm3,AJ1883=EUconst_tCO2pt),AND(AJ1881=EUconst_t,AJ1883=EUconst_tCO2pkNm3))</f>
        <v>0</v>
      </c>
      <c r="AY1883" s="522" t="b">
        <f t="shared" ref="AY1883:AY1889" si="474">AND(L1883&lt;&gt;"",Y1883=EUconst_NA)</f>
        <v>0</v>
      </c>
      <c r="AZ1883" s="30"/>
      <c r="BA1883" s="30"/>
      <c r="BB1883" s="538" t="s">
        <v>588</v>
      </c>
      <c r="BC1883" s="537" t="str">
        <f>IF(K1871=BC1881,AR1881*IF(AJ1883=EUconst_tCO2pTJ,(AR1884/1000),1)*AR1883*AR1885*AR1889,"")</f>
        <v/>
      </c>
      <c r="BD1883" s="515" t="str">
        <f>IF(K1871=BD1881,AR1881*AR1883*AR1886*AR1889,"")</f>
        <v/>
      </c>
      <c r="BE1883" s="514" t="str">
        <f>IF(K1871=BE1881,3.664*AR1881*AR1887*AR1889,"")</f>
        <v/>
      </c>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522" t="b">
        <f>OR(BZ1881,Y1883=EUconst_NA)</f>
        <v>1</v>
      </c>
    </row>
    <row r="1884" spans="1:78" s="140" customFormat="1" ht="12.75" customHeight="1" thickBot="1" x14ac:dyDescent="0.25">
      <c r="A1884" s="777"/>
      <c r="B1884" s="1248"/>
      <c r="C1884" s="783" t="s">
        <v>196</v>
      </c>
      <c r="D1884" s="503" t="str">
        <f>Translations!$B$636</f>
        <v>GŠV:</v>
      </c>
      <c r="E1884" s="504"/>
      <c r="F1884" s="539"/>
      <c r="G1884" s="1603" t="str">
        <f t="shared" si="469"/>
        <v/>
      </c>
      <c r="H1884" s="1604"/>
      <c r="I1884" s="1112" t="str">
        <f>AJ1884</f>
        <v/>
      </c>
      <c r="J1884" s="540"/>
      <c r="K1884" s="541" t="str">
        <f t="shared" si="470"/>
        <v/>
      </c>
      <c r="L1884" s="542"/>
      <c r="M1884" s="700" t="str">
        <f>IF(AND(E1872&lt;&gt;"",OR(F1884="",COUNT(K1884:L1884)=0),Y1884&lt;&gt;EUconst_NA,T1872&lt;&gt;TRUE),EUconst_ERR_Incomplete,IF(COUNTIF(AX1884:AZ1884,TRUE)&gt;0,EUconst_ERR_Inconsistent,""))</f>
        <v/>
      </c>
      <c r="O1884" s="1305"/>
      <c r="P1884" s="33"/>
      <c r="Q1884" s="33"/>
      <c r="R1884" s="33"/>
      <c r="S1884" s="30"/>
      <c r="T1884" s="543" t="str">
        <f>EUconst_CNTR_NCV&amp;E1872</f>
        <v>NCV_</v>
      </c>
      <c r="U1884" s="488"/>
      <c r="V1884" s="544" t="str">
        <f t="shared" ref="V1884:V1889" si="475">V1883</f>
        <v/>
      </c>
      <c r="W1884" s="30"/>
      <c r="X1884" s="488"/>
      <c r="Y1884" s="545" t="str">
        <f>IF(OR(T1872=TRUE,E1872=""),"",IF(F1884=EUconst_NA,EUconst_NA,INDEX(EUwideConstants!$N:$N,MATCH(T1884,EUwideConstants!$Q:$Q,0))))</f>
        <v/>
      </c>
      <c r="Z1884" s="546" t="str">
        <f>IF(ISBLANK(F1884),"",IF(F1884=EUconst_NA,"",INDEX(EUwideConstants!$H:$M,MATCH(T1884,EUwideConstants!$Q:$Q,0),MATCH(F1884,CNTR_TierList,0))))</f>
        <v/>
      </c>
      <c r="AA1884" s="547" t="str">
        <f>IF(COUNTIF(EUconst_DefaultValues,Z1884)&gt;0,MATCH(Z1884,EUconst_DefaultValues,0),"")</f>
        <v/>
      </c>
      <c r="AB1884" s="30"/>
      <c r="AC1884" s="548" t="b">
        <f>AND(AC1881,Y1884&lt;&gt;EUconst_NA)</f>
        <v>0</v>
      </c>
      <c r="AD1884" s="30"/>
      <c r="AE1884" s="549" t="str">
        <f>EUconst_CNTR_NCV&amp;EUconst_Unit</f>
        <v>NCV_Vienetas</v>
      </c>
      <c r="AF1884" s="550" t="str">
        <f>IF(AC1884=TRUE, IF(COUNTIF(MSPara_SourceStreamCategory,V1884)=0,"",INDEX(MSPara_CalcFactorsMatrix,MATCH(V1884,MSPara_SourceStreamCategory,0),MATCH(AE1884&amp;"_"&amp;2,MSPara_CalcFactors,0))),"")</f>
        <v/>
      </c>
      <c r="AG1884" s="551" t="str">
        <f>IF(AC1884=TRUE, IF(COUNTIF(MSPara_SourceStreamCategory,V1884)=0,"",INDEX(MSPara_CalcFactorsMatrix,MATCH(V1884,MSPara_SourceStreamCategory,0),MATCH(AE1884&amp;"_"&amp;1,MSPara_CalcFactors,0))),"")</f>
        <v/>
      </c>
      <c r="AH1884" s="552" t="str">
        <f>IF(AA1884="","",INDEX(AF1884:AG1884,3-AA1884))</f>
        <v/>
      </c>
      <c r="AI1884" s="553"/>
      <c r="AJ1884" s="548" t="str">
        <f>IF(AC1884=TRUE,IF(AJ1881="","",IF(AJ1881=EUconst_kNm3,EUconst_GJpkNm3,EUconst_GJpt)),"")</f>
        <v/>
      </c>
      <c r="AK1884" s="554"/>
      <c r="AL1884" s="333"/>
      <c r="AM1884" s="549" t="str">
        <f>EUconst_CNTR_NCV&amp;EUconst_Value</f>
        <v>NCV_Vertė</v>
      </c>
      <c r="AN1884" s="555" t="str">
        <f>IF(AC1884=TRUE,IF(COUNTIF(MSPara_SourceStreamCategory,V1884)=0,"",INDEX(MSPara_CalcFactorsMatrix,MATCH(V1884,MSPara_SourceStreamCategory,0),MATCH(AM1884&amp;"_"&amp;2,MSPara_CalcFactors,0))),"")</f>
        <v/>
      </c>
      <c r="AO1884" s="556" t="str">
        <f>IF(AC1884=TRUE,IF(COUNTIF(MSPara_SourceStreamCategory,V1884)=0,"",INDEX(MSPara_CalcFactorsMatrix,MATCH(V1884,MSPara_SourceStreamCategory,0),MATCH(AM1884&amp;"_"&amp;1,MSPara_CalcFactors,0))),"")</f>
        <v/>
      </c>
      <c r="AP1884" s="548" t="b">
        <f>AND(AND(AH1884&lt;&gt;"",AJ1884&lt;&gt;""),AJ1884=AH1884)</f>
        <v>0</v>
      </c>
      <c r="AQ1884" s="557" t="str">
        <f>IF(AND(AA1884&lt;&gt;"",AP1884=TRUE),IF(OR(INDEX(AN1884:AO1884,3-AA1884)=EUconst_NA,INDEX(AN1884:AO1884,3-AA1884)=0),"",INDEX(AN1884:AO1884,3-AA1884)),"")</f>
        <v/>
      </c>
      <c r="AR1884" s="548">
        <f>IF(AC1884=TRUE,IF(COUNT(K1884:L1884)=0,0,IF(L1884="",K1884,L1884)),0)</f>
        <v>0</v>
      </c>
      <c r="AS1884" s="544" t="b">
        <f>AND(AC1884=TRUE,OR(AND(F1884&lt;&gt;"",NOT(ISNUMBER(AA1884))),L1884&lt;&gt;"",F1884="",AQ1884=""))</f>
        <v>0</v>
      </c>
      <c r="AT1884" s="544" t="b">
        <f t="shared" si="471"/>
        <v>0</v>
      </c>
      <c r="AU1884" s="30"/>
      <c r="AV1884" s="558" t="b">
        <f t="shared" si="472"/>
        <v>0</v>
      </c>
      <c r="AW1884" s="559" t="b">
        <f t="shared" si="473"/>
        <v>0</v>
      </c>
      <c r="AX1884" s="30"/>
      <c r="AY1884" s="544" t="b">
        <f t="shared" si="474"/>
        <v>0</v>
      </c>
      <c r="AZ1884" s="30"/>
      <c r="BA1884" s="30"/>
      <c r="BB1884" s="538" t="s">
        <v>589</v>
      </c>
      <c r="BC1884" s="537" t="str">
        <f>IF(K1871=BC1881,AR1881*IF(AJ1883=EUconst_tCO2pTJ,(AR1884/1000),1)*AR1883*AR1885*AR1888,"")</f>
        <v/>
      </c>
      <c r="BD1884" s="515" t="str">
        <f>IF(K1871=BD1881,AR1881*AR1883*AR1886*AR1888,"")</f>
        <v/>
      </c>
      <c r="BE1884" s="514" t="str">
        <f>IF(K1871=BE1881,3.664*AR1881*AR1887*AR1888,"")</f>
        <v/>
      </c>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544" t="b">
        <f>OR(BZ1881,Y1884=EUconst_NA)</f>
        <v>1</v>
      </c>
    </row>
    <row r="1885" spans="1:78" s="140" customFormat="1" ht="12.75" customHeight="1" thickBot="1" x14ac:dyDescent="0.25">
      <c r="A1885" s="777"/>
      <c r="B1885" s="1248"/>
      <c r="C1885" s="783" t="s">
        <v>197</v>
      </c>
      <c r="D1885" s="503" t="str">
        <f>Translations!$B$638</f>
        <v>Oksidacijos koef.:</v>
      </c>
      <c r="E1885" s="504"/>
      <c r="F1885" s="539"/>
      <c r="G1885" s="1603" t="str">
        <f t="shared" si="469"/>
        <v/>
      </c>
      <c r="H1885" s="1604"/>
      <c r="I1885" s="1113" t="str">
        <f>IF(OR(AC1885=FALSE,Y1885=EUconst_NA),"","-")</f>
        <v/>
      </c>
      <c r="J1885" s="560"/>
      <c r="K1885" s="561" t="str">
        <f t="shared" si="470"/>
        <v/>
      </c>
      <c r="L1885" s="694"/>
      <c r="M1885" s="700" t="str">
        <f>IF(AND(E1872&lt;&gt;"",OR(F1885="",COUNT(K1885:L1885)=0),Y1885&lt;&gt;EUconst_NA,T1872&lt;&gt;TRUE),EUconst_ERR_Incomplete,IF(COUNTIF(AX1885:AZ1885,TRUE)&gt;0,EUconst_ERR_Inconsistent,""))</f>
        <v/>
      </c>
      <c r="O1885" s="1305"/>
      <c r="P1885" s="33"/>
      <c r="Q1885" s="33"/>
      <c r="R1885" s="33"/>
      <c r="S1885" s="30"/>
      <c r="T1885" s="543" t="str">
        <f>EUconst_CNTR_OxidationFactor&amp;E1872</f>
        <v>OxF_</v>
      </c>
      <c r="U1885" s="488"/>
      <c r="V1885" s="544" t="str">
        <f t="shared" si="475"/>
        <v/>
      </c>
      <c r="W1885" s="30"/>
      <c r="X1885" s="488"/>
      <c r="Y1885" s="545" t="str">
        <f>IF(OR(T1872=TRUE,E1872=""),"",INDEX(EUwideConstants!$N:$N,MATCH(T1885,EUwideConstants!$Q:$Q,0)))</f>
        <v/>
      </c>
      <c r="Z1885" s="546" t="str">
        <f>IF(ISBLANK(F1885),"",IF(F1885=EUconst_NA,"",INDEX(EUwideConstants!$H:$M,MATCH(T1885,EUwideConstants!$Q:$Q,0),MATCH(F1885,CNTR_TierList,0))))</f>
        <v/>
      </c>
      <c r="AA1885" s="525" t="str">
        <f>IF(F1885=1,1,"")</f>
        <v/>
      </c>
      <c r="AB1885" s="30"/>
      <c r="AC1885" s="548" t="b">
        <f>AND(AC1881,Y1885&lt;&gt;EUconst_NA)</f>
        <v>0</v>
      </c>
      <c r="AD1885" s="30"/>
      <c r="AE1885" s="563"/>
      <c r="AG1885" s="564"/>
      <c r="AH1885" s="553"/>
      <c r="AI1885" s="565"/>
      <c r="AJ1885" s="553"/>
      <c r="AK1885" s="566"/>
      <c r="AL1885" s="333"/>
      <c r="AM1885" s="549" t="str">
        <f>EUconst_CNTR_OxidationFactor&amp;EUconst_Value</f>
        <v>OxF_Vertė</v>
      </c>
      <c r="AN1885" s="567"/>
      <c r="AO1885" s="525">
        <v>1</v>
      </c>
      <c r="AP1885" s="553"/>
      <c r="AQ1885" s="568" t="str">
        <f>IF(AA1885="","",AO1885)</f>
        <v/>
      </c>
      <c r="AR1885" s="548">
        <f>IF(AC1885=TRUE,IF(COUNT(K1885:L1885)=0,0,IF(L1885="",K1885,L1885)),1)</f>
        <v>1</v>
      </c>
      <c r="AS1885" s="544" t="b">
        <f>AND(AC1885=TRUE,OR(ISNUMBER(L1885),NOT(ISNUMBER(AA1885))))</f>
        <v>0</v>
      </c>
      <c r="AT1885" s="544" t="b">
        <f t="shared" si="471"/>
        <v>0</v>
      </c>
      <c r="AU1885" s="30"/>
      <c r="AV1885" s="558" t="b">
        <f t="shared" si="472"/>
        <v>0</v>
      </c>
      <c r="AW1885" s="559" t="b">
        <f t="shared" si="473"/>
        <v>0</v>
      </c>
      <c r="AX1885" s="30"/>
      <c r="AY1885" s="585" t="b">
        <f t="shared" si="474"/>
        <v>0</v>
      </c>
      <c r="AZ1885" s="522" t="b">
        <f>AR1885&gt;100%</f>
        <v>0</v>
      </c>
      <c r="BA1885" s="30"/>
      <c r="BB1885" s="538" t="s">
        <v>287</v>
      </c>
      <c r="BC1885" s="537" t="str">
        <f>IF(K1871=BC1881,AR1881*IF(AJ1883=EUconst_tCO2pTJ,(AR1884/1000),1)*AR1883*AR1885*(1-AR1888),"")</f>
        <v/>
      </c>
      <c r="BD1885" s="515" t="str">
        <f>IF(K1871=BD1881,AR1881*AR1883*AR1886*(1-AR1888),"")</f>
        <v/>
      </c>
      <c r="BE1885" s="514" t="str">
        <f>IF(K1871=BE1881,3.664*AR1881*AR1887*(1-AR1888),"")</f>
        <v/>
      </c>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544" t="b">
        <f>OR(BZ1881,Y1885=EUconst_NA)</f>
        <v>1</v>
      </c>
    </row>
    <row r="1886" spans="1:78" s="140" customFormat="1" ht="12.75" customHeight="1" thickBot="1" x14ac:dyDescent="0.25">
      <c r="A1886" s="777"/>
      <c r="B1886" s="1248"/>
      <c r="C1886" s="783" t="s">
        <v>198</v>
      </c>
      <c r="D1886" s="503" t="str">
        <f>Translations!$B$639</f>
        <v>Konversijos koef.:</v>
      </c>
      <c r="E1886" s="504"/>
      <c r="F1886" s="539"/>
      <c r="G1886" s="1603" t="str">
        <f t="shared" si="469"/>
        <v/>
      </c>
      <c r="H1886" s="1604"/>
      <c r="I1886" s="1113" t="str">
        <f>IF(OR(AC1886=FALSE,Y1886=EUconst_NA),"","-")</f>
        <v/>
      </c>
      <c r="J1886" s="560"/>
      <c r="K1886" s="561" t="str">
        <f t="shared" si="470"/>
        <v/>
      </c>
      <c r="L1886" s="694"/>
      <c r="M1886" s="700" t="str">
        <f>IF(AND(E1872&lt;&gt;"",OR(F1886="",COUNT(K1886:L1886)=0),Y1886&lt;&gt;EUconst_NA,T1872&lt;&gt;TRUE),EUconst_ERR_Incomplete,IF(COUNTIF(AX1886:AZ1886,TRUE)&gt;0,EUconst_ERR_Inconsistent,""))</f>
        <v/>
      </c>
      <c r="O1886" s="1305"/>
      <c r="P1886" s="33"/>
      <c r="Q1886" s="33"/>
      <c r="R1886" s="33"/>
      <c r="S1886" s="30"/>
      <c r="T1886" s="543" t="str">
        <f>EUconst_CNTR_ConversionFactor&amp;E1872</f>
        <v>ConvF_</v>
      </c>
      <c r="U1886" s="488"/>
      <c r="V1886" s="544" t="str">
        <f t="shared" si="475"/>
        <v/>
      </c>
      <c r="W1886" s="30"/>
      <c r="X1886" s="488"/>
      <c r="Y1886" s="545" t="str">
        <f>IF(OR(T1872=TRUE,E1872=""),"",INDEX(EUwideConstants!$N:$N,MATCH(T1886,EUwideConstants!$Q:$Q,0)))</f>
        <v/>
      </c>
      <c r="Z1886" s="546" t="str">
        <f>IF(ISBLANK(F1886),"",IF(F1886=EUconst_NA,"",INDEX(EUwideConstants!$H:$M,MATCH(T1886,EUwideConstants!$Q:$Q,0),MATCH(F1886,CNTR_TierList,0))))</f>
        <v/>
      </c>
      <c r="AA1886" s="573" t="str">
        <f>IF(F1886=1,1,"")</f>
        <v/>
      </c>
      <c r="AB1886" s="30"/>
      <c r="AC1886" s="548" t="b">
        <f>AND(AC1881,Y1886&lt;&gt;EUconst_NA)</f>
        <v>0</v>
      </c>
      <c r="AD1886" s="30"/>
      <c r="AE1886" s="563"/>
      <c r="AG1886" s="564"/>
      <c r="AH1886" s="574"/>
      <c r="AI1886" s="565"/>
      <c r="AJ1886" s="574"/>
      <c r="AK1886" s="566"/>
      <c r="AL1886" s="333"/>
      <c r="AM1886" s="549" t="str">
        <f>EUconst_CNTR_ConversionFactor&amp;EUconst_Value</f>
        <v>ConvF_Vertė</v>
      </c>
      <c r="AN1886" s="575"/>
      <c r="AO1886" s="573">
        <v>1</v>
      </c>
      <c r="AP1886" s="574"/>
      <c r="AQ1886" s="576" t="str">
        <f>IF(AA1886="","",AO1886)</f>
        <v/>
      </c>
      <c r="AR1886" s="548">
        <f>IF(AC1886=TRUE,IF(COUNT(K1886:L1886)=0,0,IF(L1886="",K1886,L1886)),1)</f>
        <v>1</v>
      </c>
      <c r="AS1886" s="544" t="b">
        <f>AND(AC1886=TRUE,OR(ISNUMBER(L1886),NOT(ISNUMBER(AA1886))))</f>
        <v>0</v>
      </c>
      <c r="AT1886" s="544" t="b">
        <f t="shared" si="471"/>
        <v>0</v>
      </c>
      <c r="AU1886" s="30"/>
      <c r="AV1886" s="558" t="b">
        <f t="shared" si="472"/>
        <v>0</v>
      </c>
      <c r="AW1886" s="559" t="b">
        <f t="shared" si="473"/>
        <v>0</v>
      </c>
      <c r="AX1886" s="30"/>
      <c r="AY1886" s="585" t="b">
        <f t="shared" si="474"/>
        <v>0</v>
      </c>
      <c r="AZ1886" s="571" t="b">
        <f>AR1886&gt;100%</f>
        <v>0</v>
      </c>
      <c r="BA1886" s="30"/>
      <c r="BB1886" s="569" t="s">
        <v>481</v>
      </c>
      <c r="BC1886" s="570">
        <f>AR1881*AR1884/1000*(1-AR1888)</f>
        <v>0</v>
      </c>
      <c r="BD1886" s="571">
        <f>BC1886</f>
        <v>0</v>
      </c>
      <c r="BE1886" s="572">
        <f>BC1886</f>
        <v>0</v>
      </c>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544" t="b">
        <f>OR(BZ1881,Y1886=EUconst_NA)</f>
        <v>1</v>
      </c>
    </row>
    <row r="1887" spans="1:78" s="140" customFormat="1" ht="12.75" customHeight="1" thickBot="1" x14ac:dyDescent="0.25">
      <c r="A1887" s="777"/>
      <c r="B1887" s="1248"/>
      <c r="C1887" s="783" t="s">
        <v>324</v>
      </c>
      <c r="D1887" s="503" t="str">
        <f>Translations!$B$640</f>
        <v>Anglies kiekis (C):</v>
      </c>
      <c r="E1887" s="504"/>
      <c r="F1887" s="539"/>
      <c r="G1887" s="1603" t="str">
        <f t="shared" si="469"/>
        <v/>
      </c>
      <c r="H1887" s="1604"/>
      <c r="I1887" s="1113" t="str">
        <f>AJ1887</f>
        <v/>
      </c>
      <c r="J1887" s="577"/>
      <c r="K1887" s="578" t="str">
        <f t="shared" si="470"/>
        <v/>
      </c>
      <c r="L1887" s="579"/>
      <c r="M1887" s="700" t="str">
        <f>IF(AND(E1872&lt;&gt;"",OR(F1887="",COUNT(K1887:L1887)=0),Y1887&lt;&gt;EUconst_NA,T1872&lt;&gt;TRUE),EUconst_ERR_Incomplete,IF(COUNTIF(AX1887:AZ1887,TRUE)&gt;0,EUconst_ERR_Inconsistent,""))</f>
        <v/>
      </c>
      <c r="O1887" s="1305"/>
      <c r="P1887" s="33"/>
      <c r="Q1887" s="33"/>
      <c r="R1887" s="33"/>
      <c r="S1887" s="30"/>
      <c r="T1887" s="543" t="str">
        <f>EUconst_CNTR_CarbonContent&amp;E1872</f>
        <v>CarbC_</v>
      </c>
      <c r="U1887" s="488"/>
      <c r="V1887" s="544" t="str">
        <f t="shared" si="475"/>
        <v/>
      </c>
      <c r="W1887" s="30"/>
      <c r="X1887" s="488"/>
      <c r="Y1887" s="545" t="str">
        <f>IF(OR(T1872=TRUE,E1872=""),"",INDEX(EUwideConstants!$N:$N,MATCH(T1887,EUwideConstants!$Q:$Q,0)))</f>
        <v/>
      </c>
      <c r="Z1887" s="546" t="str">
        <f>IF(ISBLANK(F1887),"",IF(F1887=EUconst_NA,"",INDEX(EUwideConstants!$H:$M,MATCH(T1887,EUwideConstants!$Q:$Q,0),MATCH(F1887,CNTR_TierList,0))))</f>
        <v/>
      </c>
      <c r="AA1887" s="580" t="str">
        <f>IF(COUNTIF(EUconst_DefaultValues,Z1887)&gt;0,MATCH(Z1887,EUconst_DefaultValues,0),"")</f>
        <v/>
      </c>
      <c r="AB1887" s="30"/>
      <c r="AC1887" s="548" t="b">
        <f>AND(AC1881,Y1887&lt;&gt;EUconst_NA)</f>
        <v>0</v>
      </c>
      <c r="AD1887" s="30"/>
      <c r="AE1887" s="549" t="str">
        <f>EUconst_CNTR_CarbonContent&amp;EUconst_Unit</f>
        <v>CarbC_Vienetas</v>
      </c>
      <c r="AF1887" s="550" t="str">
        <f>IF(AC1887=TRUE, IF(COUNTIF(MSPara_SourceStreamCategory,V1887)=0,"",INDEX(MSPara_CalcFactorsMatrix,MATCH(V1887,MSPara_SourceStreamCategory,0),MATCH(AE1887&amp;"_"&amp;2,MSPara_CalcFactors,0))),"")</f>
        <v/>
      </c>
      <c r="AG1887" s="551" t="str">
        <f>IF(AC1887=TRUE, IF(COUNTIF(MSPara_SourceStreamCategory,V1887)=0,"",INDEX(MSPara_CalcFactorsMatrix,MATCH(V1887,MSPara_SourceStreamCategory,0),MATCH(AE1887&amp;"_"&amp;1,MSPara_CalcFactors,0))),"")</f>
        <v/>
      </c>
      <c r="AH1887" s="581" t="str">
        <f>IF(AA1887="","",INDEX(AF1887:AG1887,3-AA1887))</f>
        <v/>
      </c>
      <c r="AI1887" s="565"/>
      <c r="AJ1887" s="582" t="str">
        <f>IF(AC1887=TRUE,IF(AJ1881="","",IF(AJ1881=EUconst_kNm3,EUconst_tCpkNm3,EUconst_tCpt)),"")</f>
        <v/>
      </c>
      <c r="AK1887" s="566"/>
      <c r="AL1887" s="333"/>
      <c r="AM1887" s="549" t="str">
        <f>EUconst_CNTR_CarbonContent&amp;EUconst_Value</f>
        <v>CarbC_Vertė</v>
      </c>
      <c r="AN1887" s="555" t="str">
        <f>IF(AC1887=TRUE,IF(COUNTIF(MSPara_SourceStreamCategory,V1887)=0,"",INDEX(MSPara_CalcFactorsMatrix,MATCH(V1887,MSPara_SourceStreamCategory,0),MATCH(AM1887&amp;"_"&amp;2,MSPara_CalcFactors,0))),"")</f>
        <v/>
      </c>
      <c r="AO1887" s="583" t="str">
        <f>IF(AC1887=TRUE,IF(COUNTIF(MSPara_SourceStreamCategory,V1887)=0,"",INDEX(MSPara_CalcFactorsMatrix,MATCH(V1887,MSPara_SourceStreamCategory,0),MATCH(AM1887&amp;"_"&amp;1,MSPara_CalcFactors,0))),"")</f>
        <v/>
      </c>
      <c r="AP1887" s="548" t="b">
        <f>AND(AND(AH1887&lt;&gt;"",AJ1887&lt;&gt;""),AJ1887=AH1887)</f>
        <v>0</v>
      </c>
      <c r="AQ1887" s="584" t="str">
        <f>IF(AND(AA1887&lt;&gt;"",AP1887=TRUE),IF(OR(INDEX(AN1887:AO1887,3-AA1887)=EUconst_NA,INDEX(AN1887:AO1887,3-AA1887)=0),"",INDEX(AN1887:AO1887,3-AA1887)),"")</f>
        <v/>
      </c>
      <c r="AR1887" s="548">
        <f>IF(AC1887=TRUE,IF(COUNT(K1887:L1887)=0,0,IF(L1887="",K1887,L1887)),0)</f>
        <v>0</v>
      </c>
      <c r="AS1887" s="544" t="b">
        <f>AND(AC1887=TRUE,OR(AND(F1887&lt;&gt;"",NOT(ISNUMBER(AA1887))),L1887&lt;&gt;"",F1887="",AQ1887=""))</f>
        <v>0</v>
      </c>
      <c r="AT1887" s="544" t="b">
        <f t="shared" si="471"/>
        <v>0</v>
      </c>
      <c r="AU1887" s="30"/>
      <c r="AV1887" s="558" t="b">
        <f t="shared" si="472"/>
        <v>0</v>
      </c>
      <c r="AW1887" s="559" t="b">
        <f t="shared" si="473"/>
        <v>0</v>
      </c>
      <c r="AX1887" s="537" t="b">
        <f>OR(AND(AJ1881=EUconst_kNm3,AJ1887=EUconst_tCpt),AND(AJ1881=EUconst_t,AJ1887=EUconst_tCpkNm3))</f>
        <v>0</v>
      </c>
      <c r="AY1887" s="544" t="b">
        <f t="shared" si="474"/>
        <v>0</v>
      </c>
      <c r="AZ1887" s="30"/>
      <c r="BA1887" s="30"/>
      <c r="BB1887" s="569" t="s">
        <v>482</v>
      </c>
      <c r="BC1887" s="570">
        <f>AR1881*AR1884/1000*AR1888</f>
        <v>0</v>
      </c>
      <c r="BD1887" s="571">
        <f>BC1887</f>
        <v>0</v>
      </c>
      <c r="BE1887" s="572">
        <f>BC1887</f>
        <v>0</v>
      </c>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544" t="b">
        <f>OR(BZ1881,Y1887=EUconst_NA)</f>
        <v>1</v>
      </c>
    </row>
    <row r="1888" spans="1:78" s="140" customFormat="1" ht="12.75" customHeight="1" x14ac:dyDescent="0.2">
      <c r="A1888" s="777"/>
      <c r="B1888" s="1248"/>
      <c r="C1888" s="753" t="s">
        <v>325</v>
      </c>
      <c r="D1888" s="503" t="str">
        <f>Translations!$B$641</f>
        <v>Biomasės dalis (BioC):</v>
      </c>
      <c r="E1888" s="504"/>
      <c r="F1888" s="539"/>
      <c r="G1888" s="1603" t="str">
        <f t="shared" si="469"/>
        <v/>
      </c>
      <c r="H1888" s="1604"/>
      <c r="I1888" s="1113" t="str">
        <f>IF(OR(AC1888=FALSE,Y1888=EUconst_NA),"","-")</f>
        <v/>
      </c>
      <c r="J1888" s="560"/>
      <c r="K1888" s="561" t="str">
        <f t="shared" si="470"/>
        <v/>
      </c>
      <c r="L1888" s="694"/>
      <c r="M1888" s="700" t="str">
        <f>IF(AND(E1872&lt;&gt;"",OR(F1888="",COUNT(K1888:L1888)=0),Y1888&lt;&gt;EUconst_NA,T1872&lt;&gt;TRUE),EUconst_ERR_Incomplete,IF(COUNTIF(AX1888:AZ1888,TRUE)&gt;0,EUconst_ERR_Inconsistent,""))</f>
        <v/>
      </c>
      <c r="O1888" s="1305"/>
      <c r="P1888" s="635"/>
      <c r="Q1888" s="635"/>
      <c r="R1888" s="635"/>
      <c r="S1888" s="30"/>
      <c r="T1888" s="543" t="str">
        <f>EUconst_CNTR_BiomassContent&amp;E1872</f>
        <v>BioC_</v>
      </c>
      <c r="U1888" s="488"/>
      <c r="V1888" s="585" t="str">
        <f t="shared" si="475"/>
        <v/>
      </c>
      <c r="W1888" s="522" t="str">
        <f>IF(COUNTIF(MSPara_SourceStreamCategory,V1888)=0,"",INDEX(MSPara_IsFossil,MATCH(V1888,MSPara_SourceStreamCategory,0)))</f>
        <v/>
      </c>
      <c r="X1888" s="488"/>
      <c r="Y1888" s="545" t="str">
        <f>IF(OR(T1872=TRUE,E1872=""),"",IF(OR(W1888=TRUE,F1888=EUconst_NA),EUconst_NA,INDEX(EUwideConstants!$N:$N,MATCH(T1888,EUwideConstants!$Q:$Q,0))))</f>
        <v/>
      </c>
      <c r="Z1888" s="546" t="str">
        <f>IF(ISBLANK(F1888),"",IF(F1888=EUconst_NA,"",INDEX(EUwideConstants!$H:$M,MATCH(T1888,EUwideConstants!$Q:$Q,0),MATCH(F1888,CNTR_TierList,0))))</f>
        <v/>
      </c>
      <c r="AA1888" s="586" t="str">
        <f>IF(F1888=1,1,"")</f>
        <v/>
      </c>
      <c r="AB1888" s="30"/>
      <c r="AC1888" s="548" t="b">
        <f>AND(AC1881,Y1888&lt;&gt;EUconst_NA)</f>
        <v>0</v>
      </c>
      <c r="AD1888" s="30"/>
      <c r="AE1888" s="563"/>
      <c r="AG1888" s="564"/>
      <c r="AH1888" s="553"/>
      <c r="AI1888" s="565"/>
      <c r="AJ1888" s="553"/>
      <c r="AK1888" s="566"/>
      <c r="AL1888" s="333"/>
      <c r="AM1888" s="549" t="str">
        <f>EUconst_CNTR_BiomassContent&amp;EUconst_Value</f>
        <v>BioC_Vertė</v>
      </c>
      <c r="AO1888" s="587" t="str">
        <f>IF(AC1888=TRUE,IF(COUNTIF(MSPara_SourceStreamCategory,V1888)=0,"",INDEX(MSPara_CalcFactorsMatrix,MATCH(V1888,MSPara_SourceStreamCategory,0),MATCH(AM1888&amp;"_"&amp;2,MSPara_CalcFactors,0))),"")</f>
        <v/>
      </c>
      <c r="AP1888" s="553"/>
      <c r="AQ1888" s="568" t="str">
        <f>IF(OR(AA1888="",AO1888=EUconst_NA),"",AO1888)</f>
        <v/>
      </c>
      <c r="AR1888" s="548">
        <f>IF(AC1888=TRUE,IF(COUNT(K1888:L1888)=0,0,IF(L1888="",K1888,L1888)),0)</f>
        <v>0</v>
      </c>
      <c r="AS1888" s="544" t="b">
        <f>AND(AC1888=TRUE,OR(AND(F1888&lt;&gt;"",NOT(ISNUMBER(AA1888))),L1888&lt;&gt;"",F1888="",AQ1888=""))</f>
        <v>0</v>
      </c>
      <c r="AT1888" s="544" t="b">
        <f t="shared" si="471"/>
        <v>0</v>
      </c>
      <c r="AU1888" s="30"/>
      <c r="AV1888" s="558" t="b">
        <f t="shared" si="472"/>
        <v>0</v>
      </c>
      <c r="AW1888" s="559" t="b">
        <f t="shared" si="473"/>
        <v>0</v>
      </c>
      <c r="AX1888" s="30"/>
      <c r="AY1888" s="585" t="b">
        <f t="shared" si="474"/>
        <v>0</v>
      </c>
      <c r="AZ1888" s="522" t="b">
        <f>OR(AR1888&gt;100%,(AR1888+AR1889)&gt;100%)</f>
        <v>0</v>
      </c>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544" t="b">
        <f>OR(BZ1881,Y1888=EUconst_NA)</f>
        <v>1</v>
      </c>
    </row>
    <row r="1889" spans="1:78" s="140" customFormat="1" ht="12.75" customHeight="1" thickBot="1" x14ac:dyDescent="0.25">
      <c r="A1889" s="777"/>
      <c r="B1889" s="1248"/>
      <c r="C1889" s="753" t="s">
        <v>448</v>
      </c>
      <c r="D1889" s="503" t="str">
        <f>Translations!$B$647</f>
        <v>Netvarios BioC dalis:</v>
      </c>
      <c r="E1889" s="504"/>
      <c r="F1889" s="588"/>
      <c r="G1889" s="1603" t="str">
        <f t="shared" si="469"/>
        <v/>
      </c>
      <c r="H1889" s="1604"/>
      <c r="I1889" s="1114" t="str">
        <f>IF(OR(AC1889=FALSE,Y1889=EUconst_NA),"","-")</f>
        <v/>
      </c>
      <c r="J1889" s="560"/>
      <c r="K1889" s="589" t="str">
        <f t="shared" si="470"/>
        <v/>
      </c>
      <c r="L1889" s="1100"/>
      <c r="M1889" s="700" t="str">
        <f>IF(AND(E1872&lt;&gt;"",OR(F1889="",COUNT(K1889:L1889)=0),Y1889&lt;&gt;EUconst_NA,T1872&lt;&gt;TRUE),EUconst_ERR_Incomplete,IF(COUNTIF(AX1889:AZ1889,TRUE)&gt;0,EUconst_ERR_Inconsistent,""))</f>
        <v/>
      </c>
      <c r="O1889" s="1305"/>
      <c r="P1889" s="635"/>
      <c r="Q1889" s="635"/>
      <c r="R1889" s="635"/>
      <c r="S1889" s="30"/>
      <c r="T1889" s="590" t="str">
        <f>EUconst_CNTR_BiomassContent&amp;E1872</f>
        <v>BioC_</v>
      </c>
      <c r="U1889" s="488"/>
      <c r="V1889" s="570" t="str">
        <f t="shared" si="475"/>
        <v/>
      </c>
      <c r="W1889" s="571" t="str">
        <f>IF(COUNTIF(MSPara_SourceStreamCategory,V1889)=0,"",INDEX(MSPara_IsFossil,MATCH(V1889,MSPara_SourceStreamCategory,0)))</f>
        <v/>
      </c>
      <c r="X1889" s="488"/>
      <c r="Y1889" s="591" t="str">
        <f>IF(OR(T1872=TRUE,E1872=""),"",IF(OR(W1889=TRUE,F1889=EUconst_NA),EUconst_NA,INDEX(EUwideConstants!$N:$N,MATCH(T1889,EUwideConstants!$Q:$Q,0))))</f>
        <v/>
      </c>
      <c r="Z1889" s="592" t="str">
        <f>IF(ISBLANK(F1889),"",IF(F1889=EUconst_NA,"",INDEX(EUwideConstants!$H:$M,MATCH(T1889,EUwideConstants!$Q:$Q,0),MATCH(F1889,CNTR_TierList,0))))</f>
        <v/>
      </c>
      <c r="AA1889" s="593" t="str">
        <f>IF(F1889=1,1,"")</f>
        <v/>
      </c>
      <c r="AB1889" s="30"/>
      <c r="AC1889" s="594" t="b">
        <f>AND(AC1881,Y1889&lt;&gt;EUconst_NA)</f>
        <v>0</v>
      </c>
      <c r="AD1889" s="30"/>
      <c r="AE1889" s="595"/>
      <c r="AF1889" s="596"/>
      <c r="AG1889" s="597"/>
      <c r="AH1889" s="598"/>
      <c r="AI1889" s="598"/>
      <c r="AJ1889" s="598"/>
      <c r="AK1889" s="599"/>
      <c r="AL1889" s="333"/>
      <c r="AM1889" s="600" t="str">
        <f>EUconst_CNTR_BiomassContent&amp;EUconst_Value</f>
        <v>BioC_Vertė</v>
      </c>
      <c r="AN1889" s="596"/>
      <c r="AO1889" s="601" t="str">
        <f>IF(AC1889=TRUE,IF(COUNTIF(MSPara_SourceStreamCategory,V1889)=0,"",INDEX(MSPara_CalcFactorsMatrix,MATCH(V1889,MSPara_SourceStreamCategory,0),MATCH(AM1889&amp;"_"&amp;2,MSPara_CalcFactors,0))),"")</f>
        <v/>
      </c>
      <c r="AP1889" s="598"/>
      <c r="AQ1889" s="602" t="str">
        <f>IF(OR(AA1889="",AO1889=EUconst_NA),"",AO1889)</f>
        <v/>
      </c>
      <c r="AR1889" s="594">
        <f>IF(AC1889=TRUE,IF(COUNT(K1889:L1889)=0,0,IF(L1889="",K1889,L1889)),0)</f>
        <v>0</v>
      </c>
      <c r="AS1889" s="603" t="b">
        <f>AND(AC1889=TRUE,OR(AND(F1889&lt;&gt;"",NOT(ISNUMBER(AA1889))),L1889&lt;&gt;"",F1889="",AQ1889=""))</f>
        <v>0</v>
      </c>
      <c r="AT1889" s="603" t="b">
        <f t="shared" si="471"/>
        <v>0</v>
      </c>
      <c r="AU1889" s="30"/>
      <c r="AV1889" s="604" t="b">
        <f t="shared" si="472"/>
        <v>0</v>
      </c>
      <c r="AW1889" s="605" t="b">
        <f t="shared" si="473"/>
        <v>0</v>
      </c>
      <c r="AX1889" s="30"/>
      <c r="AY1889" s="570" t="b">
        <f t="shared" si="474"/>
        <v>0</v>
      </c>
      <c r="AZ1889" s="571" t="b">
        <f>OR(AR1888&gt;100%,(AR1888+AR1889)&gt;100%)</f>
        <v>0</v>
      </c>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571" t="b">
        <f>OR(BZ1881,Y1889=EUconst_NA)</f>
        <v>1</v>
      </c>
    </row>
    <row r="1890" spans="1:78" s="140" customFormat="1" ht="5.0999999999999996" customHeight="1" x14ac:dyDescent="0.2">
      <c r="A1890" s="777"/>
      <c r="B1890" s="1248"/>
      <c r="C1890" s="164"/>
      <c r="D1890" s="178"/>
      <c r="O1890" s="1305"/>
      <c r="P1890" s="33"/>
      <c r="Q1890" s="33"/>
      <c r="R1890" s="33"/>
      <c r="S1890" s="172"/>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row>
    <row r="1891" spans="1:78" s="140" customFormat="1" ht="12.75" customHeight="1" x14ac:dyDescent="0.2">
      <c r="A1891" s="777"/>
      <c r="B1891" s="1248"/>
      <c r="C1891" s="164"/>
      <c r="D1891" s="1629" t="str">
        <f>Translations!$B$674</f>
        <v>Pakopos galioja nuo:</v>
      </c>
      <c r="E1891" s="1629"/>
      <c r="F1891" s="1630"/>
      <c r="G1891" s="1014"/>
      <c r="H1891" s="606" t="str">
        <f>Translations!$B$675</f>
        <v>iki:</v>
      </c>
      <c r="I1891" s="1014"/>
      <c r="J1891" s="1620" t="str">
        <f>Translations!$B$676</f>
        <v>Atliekų katalogo numeris (jeigu taikytina):</v>
      </c>
      <c r="K1891" s="1621"/>
      <c r="L1891" s="1621"/>
      <c r="M1891" s="1622"/>
      <c r="N1891" s="1232"/>
      <c r="O1891" s="1305"/>
      <c r="P1891" s="33"/>
      <c r="Q1891" s="33"/>
      <c r="R1891" s="33"/>
      <c r="S1891" s="1233"/>
      <c r="T1891" s="483"/>
      <c r="U1891" s="483"/>
      <c r="V1891" s="48" t="b">
        <f>IF(V1881="",FALSE,INDEX(CNTR_IsWaste,MATCH(V1881,MSParameters!$A$218:$A$376,0)))</f>
        <v>0</v>
      </c>
      <c r="W1891" s="1233" t="s">
        <v>1689</v>
      </c>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2" t="b">
        <f>BZ1881</f>
        <v>1</v>
      </c>
    </row>
    <row r="1892" spans="1:78" s="140" customFormat="1" ht="5.0999999999999996" customHeight="1" x14ac:dyDescent="0.2">
      <c r="A1892" s="777"/>
      <c r="B1892" s="1248"/>
      <c r="C1892" s="164"/>
      <c r="D1892" s="606"/>
      <c r="E1892" s="486"/>
      <c r="F1892" s="486"/>
      <c r="G1892" s="486"/>
      <c r="H1892" s="486"/>
      <c r="I1892" s="486"/>
      <c r="J1892" s="486"/>
      <c r="K1892" s="486"/>
      <c r="L1892" s="486"/>
      <c r="M1892" s="486"/>
      <c r="N1892" s="486"/>
      <c r="O1892" s="1305"/>
      <c r="P1892" s="33"/>
      <c r="Q1892" s="33"/>
      <c r="R1892" s="33"/>
      <c r="S1892" s="172"/>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row>
    <row r="1893" spans="1:78" s="140" customFormat="1" ht="12.75" customHeight="1" x14ac:dyDescent="0.2">
      <c r="A1893" s="777"/>
      <c r="B1893" s="1248"/>
      <c r="C1893" s="164"/>
      <c r="D1893" s="486"/>
      <c r="E1893" s="486"/>
      <c r="F1893" s="486"/>
      <c r="G1893" s="486"/>
      <c r="H1893" s="486"/>
      <c r="I1893" s="486"/>
      <c r="J1893" s="486"/>
      <c r="K1893" s="486"/>
      <c r="L1893" s="486"/>
      <c r="M1893" s="606" t="str">
        <f>Translations!$B$677</f>
        <v>Stebėsenos plane šiam sukėlikliui suteiktas identifikatorius:</v>
      </c>
      <c r="N1893" s="705"/>
      <c r="O1893" s="1305"/>
      <c r="P1893" s="33"/>
      <c r="Q1893" s="33"/>
      <c r="R1893" s="33"/>
      <c r="S1893" s="172"/>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2" t="b">
        <f>BZ1891</f>
        <v>1</v>
      </c>
    </row>
    <row r="1894" spans="1:78" s="140" customFormat="1" ht="5.0999999999999996" customHeight="1" x14ac:dyDescent="0.2">
      <c r="A1894" s="784"/>
      <c r="B1894" s="1316"/>
      <c r="D1894" s="178"/>
      <c r="O1894" s="1317"/>
      <c r="P1894" s="488"/>
      <c r="Q1894" s="488"/>
      <c r="R1894" s="488"/>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row>
    <row r="1895" spans="1:78" s="140" customFormat="1" x14ac:dyDescent="0.2">
      <c r="A1895" s="784"/>
      <c r="B1895" s="1316"/>
      <c r="D1895" s="1618" t="str">
        <f>Translations!$B$160</f>
        <v>Pastabos:</v>
      </c>
      <c r="E1895" s="1619"/>
      <c r="F1895" s="1605"/>
      <c r="G1895" s="1606"/>
      <c r="H1895" s="1606"/>
      <c r="I1895" s="1606"/>
      <c r="J1895" s="1606"/>
      <c r="K1895" s="1606"/>
      <c r="L1895" s="1606"/>
      <c r="M1895" s="1606"/>
      <c r="N1895" s="1607"/>
      <c r="O1895" s="1317"/>
      <c r="P1895" s="488"/>
      <c r="Q1895" s="488"/>
      <c r="R1895" s="488"/>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2" t="b">
        <f>BZ1891</f>
        <v>1</v>
      </c>
    </row>
    <row r="1896" spans="1:78" s="28" customFormat="1" ht="12.75" customHeight="1" thickBot="1" x14ac:dyDescent="0.25">
      <c r="A1896" s="777"/>
      <c r="B1896" s="1312"/>
      <c r="C1896" s="490"/>
      <c r="D1896" s="491"/>
      <c r="E1896" s="492"/>
      <c r="F1896" s="490"/>
      <c r="G1896" s="493"/>
      <c r="H1896" s="493"/>
      <c r="I1896" s="493"/>
      <c r="J1896" s="493"/>
      <c r="K1896" s="493"/>
      <c r="L1896" s="493"/>
      <c r="M1896" s="493"/>
      <c r="N1896" s="493"/>
      <c r="O1896" s="1313"/>
      <c r="P1896" s="485"/>
      <c r="Q1896" s="485"/>
      <c r="R1896" s="485"/>
      <c r="S1896" s="58"/>
      <c r="T1896" s="58"/>
      <c r="U1896" s="489"/>
      <c r="V1896" s="58"/>
      <c r="W1896" s="58"/>
      <c r="X1896" s="489"/>
      <c r="Y1896" s="58"/>
      <c r="Z1896" s="58"/>
      <c r="AA1896" s="58"/>
      <c r="AB1896" s="58"/>
      <c r="AC1896" s="58"/>
      <c r="AD1896" s="58"/>
      <c r="AE1896" s="58"/>
      <c r="AF1896" s="58"/>
      <c r="AG1896" s="58"/>
      <c r="AH1896" s="58"/>
      <c r="AI1896" s="58"/>
      <c r="AJ1896" s="58"/>
      <c r="AK1896" s="58"/>
      <c r="AL1896" s="58"/>
      <c r="AM1896" s="58"/>
      <c r="AN1896" s="58"/>
      <c r="AO1896" s="58"/>
      <c r="AP1896" s="58"/>
      <c r="AQ1896" s="58"/>
      <c r="AR1896" s="58"/>
      <c r="AS1896" s="58"/>
      <c r="AT1896" s="58"/>
      <c r="AU1896" s="58"/>
      <c r="AV1896" s="58"/>
      <c r="AW1896" s="58"/>
      <c r="AX1896" s="58"/>
      <c r="AY1896" s="58"/>
      <c r="AZ1896" s="58"/>
      <c r="BA1896" s="58"/>
      <c r="BB1896" s="58"/>
      <c r="BC1896" s="58"/>
      <c r="BD1896" s="58"/>
      <c r="BE1896" s="58"/>
      <c r="BF1896" s="58"/>
      <c r="BG1896" s="58"/>
      <c r="BH1896" s="58"/>
      <c r="BI1896" s="30"/>
      <c r="BJ1896" s="30"/>
      <c r="BK1896" s="30"/>
      <c r="BL1896" s="58"/>
      <c r="BM1896" s="58"/>
      <c r="BN1896" s="58"/>
      <c r="BO1896" s="58"/>
      <c r="BP1896" s="58"/>
      <c r="BQ1896" s="58"/>
      <c r="BR1896" s="58"/>
      <c r="BS1896" s="58"/>
      <c r="BT1896" s="58"/>
      <c r="BU1896" s="58"/>
      <c r="BV1896" s="58"/>
      <c r="BW1896" s="58"/>
      <c r="BX1896" s="58"/>
      <c r="BY1896" s="58"/>
      <c r="BZ1896" s="58"/>
    </row>
    <row r="1897" spans="1:78" s="28" customFormat="1" ht="12.75" customHeight="1" thickBot="1" x14ac:dyDescent="0.25">
      <c r="A1897" s="782"/>
      <c r="B1897" s="1312"/>
      <c r="C1897" s="486"/>
      <c r="D1897" s="178"/>
      <c r="E1897" s="487"/>
      <c r="F1897" s="486"/>
      <c r="G1897" s="478"/>
      <c r="H1897" s="478"/>
      <c r="I1897" s="478"/>
      <c r="J1897" s="478"/>
      <c r="K1897" s="486"/>
      <c r="L1897" s="478"/>
      <c r="M1897" s="478"/>
      <c r="N1897" s="478"/>
      <c r="O1897" s="1313"/>
      <c r="P1897" s="485"/>
      <c r="Q1897" s="485"/>
      <c r="R1897" s="485"/>
      <c r="S1897" s="23"/>
      <c r="T1897" s="27" t="str">
        <f>IF(ISBLANK(E1898),"",MATCH(E1898,CNTR_SourceStreamNames,0))</f>
        <v/>
      </c>
      <c r="U1897" s="609" t="str">
        <f>IF(ISBLANK(E1898),"",INDEX(B_InstallationDescription!$D$71:$D$145,MATCH(E1898,CNTR_SourceStreamNames,0)))</f>
        <v/>
      </c>
      <c r="V1897" s="76"/>
      <c r="W1897" s="56"/>
      <c r="X1897" s="56"/>
      <c r="Y1897" s="56"/>
      <c r="Z1897" s="58"/>
      <c r="AA1897" s="58"/>
      <c r="AB1897" s="58"/>
      <c r="AC1897" s="58"/>
      <c r="AD1897" s="58"/>
      <c r="AE1897" s="58"/>
      <c r="AF1897" s="58"/>
      <c r="AG1897" s="58"/>
      <c r="AH1897" s="58"/>
      <c r="AI1897" s="58"/>
      <c r="AJ1897" s="58"/>
      <c r="AK1897" s="482"/>
      <c r="AL1897" s="58"/>
      <c r="AM1897" s="58"/>
      <c r="AN1897" s="58"/>
      <c r="AO1897" s="58"/>
      <c r="AP1897" s="58"/>
      <c r="AQ1897" s="58"/>
      <c r="AR1897" s="58"/>
      <c r="AS1897" s="58"/>
      <c r="AT1897" s="58"/>
      <c r="AU1897" s="58"/>
      <c r="AV1897" s="58"/>
      <c r="AW1897" s="58"/>
      <c r="AX1897" s="58"/>
      <c r="AY1897" s="58"/>
      <c r="AZ1897" s="58"/>
      <c r="BA1897" s="58"/>
      <c r="BB1897" s="58"/>
      <c r="BC1897" s="58"/>
      <c r="BD1897" s="58"/>
      <c r="BE1897" s="58"/>
      <c r="BF1897" s="58"/>
      <c r="BG1897" s="58"/>
      <c r="BH1897" s="56"/>
      <c r="BI1897" s="56"/>
      <c r="BJ1897" s="56"/>
      <c r="BK1897" s="56"/>
      <c r="BL1897" s="56"/>
      <c r="BM1897" s="56"/>
      <c r="BN1897" s="56"/>
      <c r="BO1897" s="56"/>
      <c r="BP1897" s="56"/>
      <c r="BQ1897" s="56"/>
      <c r="BR1897" s="56"/>
      <c r="BS1897" s="56"/>
      <c r="BT1897" s="56"/>
      <c r="BU1897" s="56"/>
      <c r="BV1897" s="56"/>
      <c r="BW1897" s="56"/>
      <c r="BX1897" s="56"/>
      <c r="BY1897" s="56"/>
      <c r="BZ1897" s="484" t="s">
        <v>259</v>
      </c>
    </row>
    <row r="1898" spans="1:78" s="140" customFormat="1" ht="15" customHeight="1" thickBot="1" x14ac:dyDescent="0.25">
      <c r="A1898" s="1302" t="str">
        <f>IF(E1898="","","PRINT")</f>
        <v/>
      </c>
      <c r="B1898" s="1248"/>
      <c r="C1898" s="608">
        <f>C1871+1</f>
        <v>69</v>
      </c>
      <c r="D1898" s="164"/>
      <c r="E1898" s="1610"/>
      <c r="F1898" s="1611"/>
      <c r="G1898" s="1611"/>
      <c r="H1898" s="1611"/>
      <c r="I1898" s="1611"/>
      <c r="J1898" s="1612"/>
      <c r="K1898" s="1623" t="str">
        <f>IF(E1899="","",INDEX(EUwideConstants!$F$353:$F$394,MATCH(E1899,EUConst_TierActivityListNames,0)))</f>
        <v/>
      </c>
      <c r="L1898" s="1624"/>
      <c r="M1898" s="494" t="str">
        <f>Translations!$B$665</f>
        <v>CO2, iškastinio kuro kilmės:</v>
      </c>
      <c r="N1898" s="1012" t="str">
        <f>IF(OR(K1898="",T1899=TRUE),"",INDEX(BC1912:BE1912,MATCH(K1898,BC1908:BE1908,0)))</f>
        <v/>
      </c>
      <c r="O1898" s="1314" t="s">
        <v>257</v>
      </c>
      <c r="P1898" s="1303" t="str">
        <f>IF(AND(E1898&lt;&gt;"",COUNTIF(P1899:$P$2089,"PRINT")=0),"PRINT","")</f>
        <v/>
      </c>
      <c r="Q1898" s="343" t="str">
        <f>EUconst_SumCO2 &amp; "_" &amp; K1898</f>
        <v>SUM_CO2_</v>
      </c>
      <c r="R1898" s="485"/>
      <c r="S1898" s="23"/>
      <c r="T1898" s="500" t="s">
        <v>387</v>
      </c>
      <c r="U1898" s="23"/>
      <c r="V1898" s="76"/>
      <c r="W1898" s="56"/>
      <c r="X1898" s="58"/>
      <c r="Y1898" s="58"/>
      <c r="Z1898" s="58"/>
      <c r="AA1898" s="58"/>
      <c r="AB1898" s="58"/>
      <c r="AC1898" s="58"/>
      <c r="AD1898" s="58"/>
      <c r="AE1898" s="58"/>
      <c r="AF1898" s="58"/>
      <c r="AG1898" s="58"/>
      <c r="AH1898" s="58"/>
      <c r="AI1898" s="333"/>
      <c r="AJ1898" s="333"/>
      <c r="AK1898" s="333"/>
      <c r="AL1898" s="333"/>
      <c r="AM1898" s="333"/>
      <c r="AN1898" s="333"/>
      <c r="AO1898" s="333"/>
      <c r="AP1898" s="333"/>
      <c r="AQ1898" s="333"/>
      <c r="AR1898" s="333"/>
      <c r="AS1898" s="333"/>
      <c r="AT1898" s="333"/>
      <c r="AU1898" s="333"/>
      <c r="AV1898" s="333"/>
      <c r="AW1898" s="333"/>
      <c r="AX1898" s="333"/>
      <c r="AY1898" s="333"/>
      <c r="AZ1898" s="333"/>
      <c r="BA1898" s="333"/>
      <c r="BB1898" s="333"/>
      <c r="BC1898" s="333"/>
      <c r="BD1898" s="333"/>
      <c r="BE1898" s="333"/>
      <c r="BF1898" s="333"/>
      <c r="BG1898" s="333"/>
      <c r="BH1898" s="834">
        <f>AR1908</f>
        <v>0</v>
      </c>
      <c r="BI1898" s="834" t="str">
        <f>AJ1908</f>
        <v/>
      </c>
      <c r="BJ1898" s="834">
        <f>AR1910</f>
        <v>0</v>
      </c>
      <c r="BK1898" s="834" t="str">
        <f>AJ1910</f>
        <v/>
      </c>
      <c r="BL1898" s="834">
        <f>AR1911</f>
        <v>0</v>
      </c>
      <c r="BM1898" s="834" t="str">
        <f>AJ1911</f>
        <v/>
      </c>
      <c r="BN1898" s="834">
        <f>AR1912</f>
        <v>1</v>
      </c>
      <c r="BO1898" s="834">
        <f>AR1913</f>
        <v>1</v>
      </c>
      <c r="BP1898" s="834">
        <f>AR1914</f>
        <v>0</v>
      </c>
      <c r="BQ1898" s="834" t="str">
        <f>AJ1914</f>
        <v/>
      </c>
      <c r="BR1898" s="834">
        <f>AR1915</f>
        <v>0</v>
      </c>
      <c r="BS1898" s="834">
        <f>AR1916</f>
        <v>0</v>
      </c>
      <c r="BT1898" s="834" t="str">
        <f>N1898</f>
        <v/>
      </c>
      <c r="BU1898" s="834" t="str">
        <f>N1899</f>
        <v/>
      </c>
      <c r="BV1898" s="834" t="str">
        <f>R1901</f>
        <v/>
      </c>
      <c r="BW1898" s="834" t="str">
        <f>R1907</f>
        <v/>
      </c>
      <c r="BX1898" s="834" t="str">
        <f>R1908</f>
        <v/>
      </c>
      <c r="BY1898" s="56"/>
      <c r="BZ1898" s="610" t="b">
        <f>CNTR_CalcRelevant=EUconst_NotRelevant</f>
        <v>0</v>
      </c>
    </row>
    <row r="1899" spans="1:78" s="140" customFormat="1" ht="15" customHeight="1" thickBot="1" x14ac:dyDescent="0.25">
      <c r="A1899" s="777"/>
      <c r="B1899" s="1248"/>
      <c r="C1899" s="164"/>
      <c r="D1899" s="164"/>
      <c r="E1899" s="1625" t="str">
        <f>IF(ISBLANK(E1898),"",IF(INDEX(B_InstallationDescription!$E$71:$E$145,MATCH(U1897,B_InstallationDescription!$D$71:$D$145,0))&gt;0,INDEX(B_InstallationDescription!$E$71:$E$145,MATCH(U1897,B_InstallationDescription!$D$71:$D$145,0)),""))</f>
        <v/>
      </c>
      <c r="F1899" s="1626"/>
      <c r="G1899" s="1626"/>
      <c r="H1899" s="1626"/>
      <c r="I1899" s="1626"/>
      <c r="J1899" s="1627"/>
      <c r="M1899" s="337" t="str">
        <f>Translations!$B$666</f>
        <v>CO2, biomasės kilmės.:</v>
      </c>
      <c r="N1899" s="1013" t="str">
        <f>IF(OR(K1898="",T1899=TRUE),"",INDEX(BC1911:BE1911,MATCH(K1898,BC1908:BE1908,0)))</f>
        <v/>
      </c>
      <c r="O1899" s="1315" t="s">
        <v>257</v>
      </c>
      <c r="P1899" s="485"/>
      <c r="Q1899" s="343" t="str">
        <f>EUconst_SumBioCO2 &amp; "_" &amp; K1898</f>
        <v>SUM_bioCO2_</v>
      </c>
      <c r="R1899" s="485"/>
      <c r="S1899" s="23"/>
      <c r="T1899" s="48" t="str">
        <f>IF(E1899="","",MATCH(E1899,EUConst_TierActivityListNames,0)&gt;40)</f>
        <v/>
      </c>
      <c r="U1899" s="23"/>
      <c r="V1899" s="76"/>
      <c r="W1899" s="56"/>
      <c r="X1899" s="58"/>
      <c r="Y1899" s="27" t="s">
        <v>91</v>
      </c>
      <c r="Z1899" s="30"/>
      <c r="AA1899" s="30"/>
      <c r="AB1899" s="30"/>
      <c r="AC1899" s="30"/>
      <c r="AD1899" s="30"/>
      <c r="AE1899" s="27" t="s">
        <v>297</v>
      </c>
      <c r="AF1899" s="58"/>
      <c r="AG1899" s="495"/>
      <c r="AH1899" s="30"/>
      <c r="AI1899" s="30"/>
      <c r="AJ1899" s="495"/>
      <c r="AK1899" s="495"/>
      <c r="AL1899" s="333"/>
      <c r="AM1899" s="27" t="s">
        <v>303</v>
      </c>
      <c r="AN1899" s="496"/>
      <c r="AO1899" s="496"/>
      <c r="AP1899" s="30"/>
      <c r="AQ1899" s="30"/>
      <c r="AR1899" s="30"/>
      <c r="AS1899" s="30"/>
      <c r="AT1899" s="30"/>
      <c r="AU1899" s="30"/>
      <c r="AV1899" s="27" t="s">
        <v>310</v>
      </c>
      <c r="AW1899" s="30"/>
      <c r="AX1899" s="483"/>
      <c r="AY1899" s="30"/>
      <c r="AZ1899" s="30"/>
      <c r="BA1899" s="30"/>
      <c r="BB1899" s="27" t="s">
        <v>217</v>
      </c>
      <c r="BC1899" s="30"/>
      <c r="BD1899" s="30"/>
      <c r="BE1899" s="30"/>
      <c r="BF1899" s="30"/>
      <c r="BG1899" s="27" t="s">
        <v>486</v>
      </c>
      <c r="BH1899" s="833" t="s">
        <v>552</v>
      </c>
      <c r="BI1899" s="833" t="s">
        <v>487</v>
      </c>
      <c r="BJ1899" s="833" t="s">
        <v>211</v>
      </c>
      <c r="BK1899" s="833" t="s">
        <v>488</v>
      </c>
      <c r="BL1899" s="833" t="s">
        <v>68</v>
      </c>
      <c r="BM1899" s="833" t="s">
        <v>489</v>
      </c>
      <c r="BN1899" s="833" t="s">
        <v>490</v>
      </c>
      <c r="BO1899" s="833" t="s">
        <v>491</v>
      </c>
      <c r="BP1899" s="833" t="s">
        <v>214</v>
      </c>
      <c r="BQ1899" s="833" t="s">
        <v>492</v>
      </c>
      <c r="BR1899" s="833" t="s">
        <v>493</v>
      </c>
      <c r="BS1899" s="833" t="s">
        <v>494</v>
      </c>
      <c r="BT1899" s="833" t="s">
        <v>287</v>
      </c>
      <c r="BU1899" s="833" t="s">
        <v>495</v>
      </c>
      <c r="BV1899" s="833" t="s">
        <v>498</v>
      </c>
      <c r="BW1899" s="833" t="s">
        <v>496</v>
      </c>
      <c r="BX1899" s="833" t="s">
        <v>497</v>
      </c>
      <c r="BY1899" s="30"/>
      <c r="BZ1899" s="30"/>
    </row>
    <row r="1900" spans="1:78" s="140" customFormat="1" ht="5.0999999999999996" customHeight="1" thickBot="1" x14ac:dyDescent="0.25">
      <c r="A1900" s="777"/>
      <c r="B1900" s="1248"/>
      <c r="C1900" s="164"/>
      <c r="D1900" s="164"/>
      <c r="E1900" s="164"/>
      <c r="F1900" s="164"/>
      <c r="G1900" s="164"/>
      <c r="M1900" s="141"/>
      <c r="N1900" s="141"/>
      <c r="O1900" s="1305"/>
      <c r="P1900" s="33"/>
      <c r="Q1900" s="33"/>
      <c r="R1900" s="33"/>
      <c r="S1900" s="23"/>
      <c r="T1900" s="23"/>
      <c r="U1900" s="23"/>
      <c r="V1900" s="76"/>
      <c r="W1900" s="30"/>
      <c r="X1900" s="30"/>
      <c r="Y1900" s="485"/>
      <c r="Z1900" s="30"/>
      <c r="AA1900" s="30"/>
      <c r="AB1900" s="30"/>
      <c r="AC1900" s="30"/>
      <c r="AD1900" s="30"/>
      <c r="AE1900" s="30"/>
      <c r="AF1900" s="58"/>
      <c r="AG1900" s="30"/>
      <c r="AH1900" s="30"/>
      <c r="AI1900" s="30"/>
      <c r="AJ1900" s="495"/>
      <c r="AK1900" s="495"/>
      <c r="AL1900" s="333"/>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row>
    <row r="1901" spans="1:78" s="140" customFormat="1" ht="12.75" customHeight="1" thickBot="1" x14ac:dyDescent="0.25">
      <c r="A1901" s="777"/>
      <c r="B1901" s="1248"/>
      <c r="C1901" s="164"/>
      <c r="D1901" s="164"/>
      <c r="E1901" s="1628" t="str">
        <f>IF(E1898="","",IF(T1899=TRUE,HYPERLINK("#JUMP_14",EUconst_MsgGoOnPFC),HYPERLINK("#JUMP_E_8",EUconst_FurtherGuidancePoint1)))</f>
        <v/>
      </c>
      <c r="F1901" s="1628"/>
      <c r="G1901" s="1628"/>
      <c r="H1901" s="1628"/>
      <c r="I1901" s="1628"/>
      <c r="J1901" s="1628"/>
      <c r="K1901" s="1628"/>
      <c r="L1901" s="1628"/>
      <c r="M1901" s="1628"/>
      <c r="N1901" s="141"/>
      <c r="O1901" s="1305"/>
      <c r="P1901" s="33"/>
      <c r="Q1901" s="343" t="str">
        <f>EUconst_SumNonSustBioCO2 &amp; "_" &amp; K1898</f>
        <v>SUM_bioNonSustCO2_</v>
      </c>
      <c r="R1901" s="698" t="str">
        <f>IF(OR(K1898="",T1899=TRUE),"",ROUND(INDEX(BC1910:BE1910,MATCH(K1898,BC1908:BE1908,0)),0))</f>
        <v/>
      </c>
      <c r="S1901" s="23"/>
      <c r="T1901" s="23"/>
      <c r="U1901" s="23"/>
      <c r="V1901" s="30"/>
      <c r="W1901" s="30"/>
      <c r="X1901" s="30"/>
      <c r="Y1901" s="58"/>
      <c r="Z1901" s="30"/>
      <c r="AA1901" s="30"/>
      <c r="AB1901" s="30"/>
      <c r="AC1901" s="30"/>
      <c r="AD1901" s="30"/>
      <c r="AE1901" s="30"/>
      <c r="AF1901" s="58"/>
      <c r="AG1901" s="30"/>
      <c r="AH1901" s="30"/>
      <c r="AI1901" s="30"/>
      <c r="AJ1901" s="495"/>
      <c r="AK1901" s="495"/>
      <c r="AL1901" s="333"/>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row>
    <row r="1902" spans="1:78" s="140" customFormat="1" ht="5.0999999999999996" customHeight="1" thickBot="1" x14ac:dyDescent="0.25">
      <c r="A1902" s="777"/>
      <c r="B1902" s="1248"/>
      <c r="C1902" s="164"/>
      <c r="D1902" s="164"/>
      <c r="E1902" s="164"/>
      <c r="F1902" s="164"/>
      <c r="G1902" s="164"/>
      <c r="M1902" s="141"/>
      <c r="N1902" s="141"/>
      <c r="O1902" s="1305"/>
      <c r="P1902" s="23"/>
      <c r="Q1902" s="23"/>
      <c r="R1902" s="23"/>
      <c r="S1902" s="23"/>
      <c r="T1902" s="23"/>
      <c r="U1902" s="23"/>
      <c r="V1902" s="30"/>
      <c r="W1902" s="30"/>
      <c r="X1902" s="30"/>
      <c r="Y1902" s="485"/>
      <c r="Z1902" s="30"/>
      <c r="AA1902" s="30"/>
      <c r="AB1902" s="30"/>
      <c r="AC1902" s="30"/>
      <c r="AD1902" s="30"/>
      <c r="AE1902" s="30"/>
      <c r="AF1902" s="58"/>
      <c r="AG1902" s="30"/>
      <c r="AH1902" s="30"/>
      <c r="AI1902" s="30"/>
      <c r="AJ1902" s="495"/>
      <c r="AK1902" s="495"/>
      <c r="AL1902" s="333"/>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row>
    <row r="1903" spans="1:78" s="140" customFormat="1" ht="12.75" customHeight="1" thickBot="1" x14ac:dyDescent="0.25">
      <c r="A1903" s="777"/>
      <c r="B1903" s="1248"/>
      <c r="C1903" s="783" t="s">
        <v>4</v>
      </c>
      <c r="D1903" s="503" t="str">
        <f>Translations!$B$622</f>
        <v>VD:</v>
      </c>
      <c r="E1903" s="1631" t="str">
        <f>Translations!$B$667</f>
        <v>Ar veiklos duomenys gaunami sudedant išmatuotus kiekius (t. y. ne atliekant nuolatinius matavimus)?</v>
      </c>
      <c r="F1903" s="1631"/>
      <c r="G1903" s="1631"/>
      <c r="H1903" s="1631"/>
      <c r="I1903" s="1631"/>
      <c r="J1903" s="1631"/>
      <c r="K1903" s="1631"/>
      <c r="L1903" s="1122"/>
      <c r="M1903" s="498"/>
      <c r="O1903" s="1305"/>
      <c r="P1903" s="23"/>
      <c r="Q1903" s="23"/>
      <c r="R1903" s="23"/>
      <c r="S1903" s="23"/>
      <c r="T1903" s="23"/>
      <c r="U1903" s="23"/>
      <c r="V1903" s="30"/>
      <c r="W1903" s="30"/>
      <c r="X1903" s="30"/>
      <c r="Y1903" s="485"/>
      <c r="Z1903" s="30"/>
      <c r="AA1903" s="30"/>
      <c r="AB1903" s="30"/>
      <c r="AC1903" s="1115" t="b">
        <f>AND(E1898&lt;&gt;"",T1899&lt;&gt;TRUE)</f>
        <v>0</v>
      </c>
      <c r="AD1903" s="30"/>
      <c r="AE1903" s="30"/>
      <c r="AF1903" s="58"/>
      <c r="AG1903" s="30"/>
      <c r="AH1903" s="30"/>
      <c r="AI1903" s="30"/>
      <c r="AJ1903" s="495"/>
      <c r="AK1903" s="495"/>
      <c r="AL1903" s="333"/>
      <c r="AM1903" s="30"/>
      <c r="AN1903" s="30"/>
      <c r="AO1903" s="30"/>
      <c r="AP1903" s="30"/>
      <c r="AQ1903" s="30"/>
      <c r="AR1903" s="30"/>
      <c r="AS1903" s="30"/>
      <c r="AT1903" s="1115" t="b">
        <f>MSPara_BatchReportingMandatory&lt;&gt;TRUE</f>
        <v>0</v>
      </c>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1115" t="b">
        <f>OR(CNTR_CalcRelevant=EUconst_NotRelevant,AND(COUNTA(CNTR_ListRelevantSections)&gt;0,OR(T1899=TRUE,E1898="")))</f>
        <v>1</v>
      </c>
    </row>
    <row r="1904" spans="1:78" s="140" customFormat="1" ht="5.0999999999999996" customHeight="1" thickBot="1" x14ac:dyDescent="0.25">
      <c r="A1904" s="777"/>
      <c r="B1904" s="1248"/>
      <c r="C1904" s="164"/>
      <c r="D1904" s="164"/>
      <c r="E1904" s="164"/>
      <c r="F1904" s="164"/>
      <c r="G1904" s="164"/>
      <c r="H1904" s="486"/>
      <c r="I1904" s="486"/>
      <c r="J1904" s="486"/>
      <c r="K1904" s="486"/>
      <c r="L1904" s="486"/>
      <c r="M1904" s="498"/>
      <c r="O1904" s="1305"/>
      <c r="P1904" s="23"/>
      <c r="Q1904" s="23"/>
      <c r="R1904" s="23"/>
      <c r="S1904" s="23"/>
      <c r="T1904" s="23"/>
      <c r="U1904" s="23"/>
      <c r="V1904" s="30"/>
      <c r="W1904" s="30"/>
      <c r="X1904" s="30"/>
      <c r="Y1904" s="485"/>
      <c r="Z1904" s="30"/>
      <c r="AA1904" s="30"/>
      <c r="AB1904" s="30"/>
      <c r="AC1904" s="483"/>
      <c r="AD1904" s="30"/>
      <c r="AE1904" s="30"/>
      <c r="AF1904" s="58"/>
      <c r="AG1904" s="30"/>
      <c r="AH1904" s="30"/>
      <c r="AI1904" s="30"/>
      <c r="AJ1904" s="495"/>
      <c r="AK1904" s="495"/>
      <c r="AL1904" s="333"/>
      <c r="AM1904" s="30"/>
      <c r="AN1904" s="30"/>
      <c r="AO1904" s="30"/>
      <c r="AP1904" s="30"/>
      <c r="AQ1904" s="30"/>
      <c r="AR1904" s="30"/>
      <c r="AS1904" s="30"/>
      <c r="AT1904" s="483"/>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483"/>
    </row>
    <row r="1905" spans="1:78" s="140" customFormat="1" ht="12.75" customHeight="1" thickBot="1" x14ac:dyDescent="0.25">
      <c r="A1905" s="777"/>
      <c r="B1905" s="1248"/>
      <c r="C1905" s="783" t="s">
        <v>5</v>
      </c>
      <c r="D1905" s="503" t="str">
        <f>Translations!$B$622</f>
        <v>VD:</v>
      </c>
      <c r="E1905" s="1105" t="str">
        <f>Translations!$B$668</f>
        <v>Pradinis kiekis:</v>
      </c>
      <c r="F1905" s="1123"/>
      <c r="G1905" s="1106" t="str">
        <f>Translations!$B$669</f>
        <v>Galutinis kiekis:</v>
      </c>
      <c r="H1905" s="1123"/>
      <c r="I1905" s="1106" t="str">
        <f>Translations!$B$670</f>
        <v>Įsigytas kiekis:</v>
      </c>
      <c r="J1905" s="1123"/>
      <c r="K1905" s="1106" t="str">
        <f>Translations!$B$671</f>
        <v>Perduotas kiekis:</v>
      </c>
      <c r="L1905" s="1123"/>
      <c r="M1905" s="1107" t="str">
        <f>IF(AND(L1903=TRUE,COUNT(F1905,H1905,J1905,L1905)&lt;4),EUconst_ERR_Incomplete,"")</f>
        <v/>
      </c>
      <c r="O1905" s="1305"/>
      <c r="P1905" s="23"/>
      <c r="Q1905" s="23"/>
      <c r="R1905" s="23"/>
      <c r="S1905" s="23"/>
      <c r="T1905" s="23"/>
      <c r="U1905" s="23"/>
      <c r="V1905" s="30"/>
      <c r="W1905" s="30"/>
      <c r="X1905" s="30"/>
      <c r="Y1905" s="485"/>
      <c r="Z1905" s="30"/>
      <c r="AA1905" s="30"/>
      <c r="AB1905" s="30"/>
      <c r="AC1905" s="1115" t="b">
        <f>AC1903</f>
        <v>0</v>
      </c>
      <c r="AD1905" s="30"/>
      <c r="AE1905" s="30"/>
      <c r="AF1905" s="58"/>
      <c r="AG1905" s="30"/>
      <c r="AH1905" s="30"/>
      <c r="AI1905" s="30"/>
      <c r="AJ1905" s="495"/>
      <c r="AK1905" s="495"/>
      <c r="AL1905" s="333"/>
      <c r="AM1905" s="30"/>
      <c r="AN1905" s="30"/>
      <c r="AO1905" s="30"/>
      <c r="AP1905" s="30"/>
      <c r="AQ1905" s="30"/>
      <c r="AR1905" s="30"/>
      <c r="AS1905" s="30"/>
      <c r="AT1905" s="1115" t="b">
        <f>AND(AT1903=TRUE,L1903="")</f>
        <v>0</v>
      </c>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1115" t="b">
        <f>OR(BZ1903,AND(NOT(ISBLANK(L1903)),L1903=FALSE))</f>
        <v>1</v>
      </c>
    </row>
    <row r="1906" spans="1:78" s="140" customFormat="1" ht="5.0999999999999996" customHeight="1" thickBot="1" x14ac:dyDescent="0.25">
      <c r="A1906" s="777"/>
      <c r="B1906" s="1248"/>
      <c r="C1906" s="164"/>
      <c r="D1906" s="164"/>
      <c r="E1906" s="164"/>
      <c r="F1906" s="164"/>
      <c r="G1906" s="164"/>
      <c r="M1906" s="141"/>
      <c r="N1906" s="141"/>
      <c r="O1906" s="1305"/>
      <c r="P1906" s="23"/>
      <c r="Q1906" s="23"/>
      <c r="R1906" s="23"/>
      <c r="S1906" s="23"/>
      <c r="T1906" s="23"/>
      <c r="U1906" s="23"/>
      <c r="V1906" s="30"/>
      <c r="W1906" s="30"/>
      <c r="X1906" s="30"/>
      <c r="Y1906" s="485"/>
      <c r="Z1906" s="30"/>
      <c r="AA1906" s="30"/>
      <c r="AB1906" s="30"/>
      <c r="AC1906" s="30"/>
      <c r="AD1906" s="30"/>
      <c r="AE1906" s="30"/>
      <c r="AF1906" s="58"/>
      <c r="AG1906" s="30"/>
      <c r="AH1906" s="30"/>
      <c r="AI1906" s="30"/>
      <c r="AJ1906" s="495"/>
      <c r="AK1906" s="495"/>
      <c r="AL1906" s="333"/>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row>
    <row r="1907" spans="1:78" s="140" customFormat="1" ht="12.75" customHeight="1" thickBot="1" x14ac:dyDescent="0.25">
      <c r="A1907" s="777"/>
      <c r="B1907" s="1248"/>
      <c r="C1907" s="164"/>
      <c r="D1907" s="164"/>
      <c r="E1907" s="164"/>
      <c r="F1907" s="497" t="str">
        <f>Translations!$B$333</f>
        <v>Pakopa</v>
      </c>
      <c r="G1907" s="1613" t="str">
        <f>Translations!$B$672</f>
        <v>pakopos aprašas</v>
      </c>
      <c r="H1907" s="1613"/>
      <c r="I1907" s="1608" t="str">
        <f>Translations!$B$158</f>
        <v>Vienetas</v>
      </c>
      <c r="J1907" s="1608"/>
      <c r="K1907" s="1608" t="str">
        <f>Translations!$B$673</f>
        <v>Vertė</v>
      </c>
      <c r="L1907" s="1608"/>
      <c r="M1907" s="498" t="str">
        <f>Translations!$B$610</f>
        <v>klaida</v>
      </c>
      <c r="O1907" s="1305"/>
      <c r="P1907" s="499"/>
      <c r="Q1907" s="343" t="str">
        <f>EUconst_SumEnergyIN &amp; "_" &amp; K1898</f>
        <v>SUM_EnergyIN_</v>
      </c>
      <c r="R1907" s="390" t="str">
        <f>IF(OR(K1898="",T1899)=TRUE,"",INDEX(BC1913:BE1913,MATCH(K1898,BC1908:BE1908,0)))</f>
        <v/>
      </c>
      <c r="S1907" s="30"/>
      <c r="T1907" s="480"/>
      <c r="U1907" s="30"/>
      <c r="V1907" s="500" t="s">
        <v>298</v>
      </c>
      <c r="W1907" s="30"/>
      <c r="X1907" s="30"/>
      <c r="Y1907" s="485" t="s">
        <v>560</v>
      </c>
      <c r="Z1907" s="485" t="s">
        <v>313</v>
      </c>
      <c r="AA1907" s="30"/>
      <c r="AB1907" s="30"/>
      <c r="AC1907" s="496" t="s">
        <v>304</v>
      </c>
      <c r="AD1907" s="30"/>
      <c r="AE1907" s="30"/>
      <c r="AF1907" s="483" t="s">
        <v>300</v>
      </c>
      <c r="AG1907" s="483" t="s">
        <v>301</v>
      </c>
      <c r="AH1907" s="485" t="s">
        <v>299</v>
      </c>
      <c r="AI1907" s="495" t="s">
        <v>302</v>
      </c>
      <c r="AJ1907" s="495" t="s">
        <v>561</v>
      </c>
      <c r="AK1907" s="501" t="s">
        <v>306</v>
      </c>
      <c r="AL1907" s="333"/>
      <c r="AM1907" s="30"/>
      <c r="AN1907" s="483" t="s">
        <v>300</v>
      </c>
      <c r="AO1907" s="483" t="s">
        <v>301</v>
      </c>
      <c r="AP1907" s="502" t="s">
        <v>305</v>
      </c>
      <c r="AQ1907" s="495" t="s">
        <v>563</v>
      </c>
      <c r="AR1907" s="495" t="s">
        <v>562</v>
      </c>
      <c r="AS1907" s="501" t="s">
        <v>599</v>
      </c>
      <c r="AT1907" s="501" t="s">
        <v>599</v>
      </c>
      <c r="AU1907" s="30"/>
      <c r="AV1907" s="483"/>
      <c r="AW1907" s="483"/>
      <c r="AX1907" s="483" t="s">
        <v>316</v>
      </c>
      <c r="AY1907" s="483"/>
      <c r="AZ1907" s="483"/>
      <c r="BA1907" s="483"/>
      <c r="BB1907" s="483"/>
      <c r="BC1907" s="483"/>
      <c r="BD1907" s="483"/>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484" t="s">
        <v>259</v>
      </c>
    </row>
    <row r="1908" spans="1:78" s="140" customFormat="1" ht="12.75" customHeight="1" thickBot="1" x14ac:dyDescent="0.25">
      <c r="A1908" s="777"/>
      <c r="B1908" s="1248"/>
      <c r="C1908" s="753" t="s">
        <v>194</v>
      </c>
      <c r="D1908" s="503" t="str">
        <f>Translations!$B$622</f>
        <v>VD:</v>
      </c>
      <c r="E1908" s="504"/>
      <c r="F1908" s="393"/>
      <c r="G1908" s="1603" t="str">
        <f>IF(OR(ISBLANK(F1908),F1908=EUconst_NoTier),"",IF(Z1908=0,EUconst_NA,IF(ISERROR(Z1908),"",Z1908)))</f>
        <v/>
      </c>
      <c r="H1908" s="1604"/>
      <c r="I1908" s="1108" t="str">
        <f>IF(J1908&lt;&gt;"","",AI1908)</f>
        <v/>
      </c>
      <c r="J1908" s="1109"/>
      <c r="K1908" s="1116" t="str">
        <f>IF(L1908="",AQ1908,"")</f>
        <v/>
      </c>
      <c r="L1908" s="1199"/>
      <c r="M1908" s="700" t="str">
        <f>IF(AND(E1899&lt;&gt;"",OR(F1908="",COUNT(K1908:L1908)=0),Y1908&lt;&gt;EUconst_NA,T1899&lt;&gt;TRUE),EUconst_ERR_Incomplete,IF(COUNTIF(AX1908:AZ1908,TRUE)&gt;0,EUconst_ERR_Inconsistent,""))</f>
        <v/>
      </c>
      <c r="O1908" s="1305"/>
      <c r="P1908" s="635"/>
      <c r="Q1908" s="343" t="str">
        <f>EUconst_SumBioEnergyIN &amp; "_" &amp; K1898</f>
        <v>SUM_BioEnergyIN_</v>
      </c>
      <c r="R1908" s="390" t="str">
        <f>IF(OR(K1898="",T1899)=TRUE,"",INDEX(BC1914:BE1914,MATCH(K1898,BC1908:BE1908,0)))</f>
        <v/>
      </c>
      <c r="S1908" s="30"/>
      <c r="T1908" s="505" t="str">
        <f>EUconst_CNTR_ActivityData&amp;E1899</f>
        <v>ActivityData_</v>
      </c>
      <c r="U1908" s="488"/>
      <c r="V1908" s="505" t="str">
        <f>IF(E1898="","",INDEX(B_InstallationDescription!$I$71:$I$145,MATCH(U1897,B_InstallationDescription!$D$71:$D$145,0)))</f>
        <v/>
      </c>
      <c r="W1908" s="495" t="s">
        <v>533</v>
      </c>
      <c r="X1908" s="488"/>
      <c r="Y1908" s="506" t="str">
        <f>IF(OR(T1899=TRUE,E1899=""),"",INDEX(EUwideConstants!$N:$N,MATCH(T1908,EUwideConstants!$Q:$Q,0)))</f>
        <v/>
      </c>
      <c r="Z1908" s="507" t="str">
        <f>IF(ISBLANK(F1908),"",IF(F1908=EUconst_NA,"",INDEX(EUwideConstants!$H:$M,MATCH(T1908,EUwideConstants!$Q:$Q,0),MATCH(F1908,CNTR_TierList,0))))</f>
        <v/>
      </c>
      <c r="AA1908" s="508" t="s">
        <v>299</v>
      </c>
      <c r="AB1908" s="495"/>
      <c r="AC1908" s="509" t="b">
        <f>AC1903</f>
        <v>0</v>
      </c>
      <c r="AD1908" s="30"/>
      <c r="AE1908" s="510" t="str">
        <f>EUconst_CNTR_ActivityData&amp;EUconst_Unit</f>
        <v>ActivityData_Vienetas</v>
      </c>
      <c r="AF1908" s="511" t="str">
        <f>IF(AC1908=TRUE, IF(COUNTIF(MSPara_SourceStreamCategory,V1908)=0,"",INDEX(MSPara_CalcFactorsMatrix,MATCH(V1908,MSPara_SourceStreamCategory,0),MATCH(AE1908&amp;"_"&amp;2,MSPara_CalcFactors,0))),"")</f>
        <v/>
      </c>
      <c r="AG1908" s="512" t="str">
        <f>IF(AC1908=TRUE, IF(COUNTIF(MSPara_SourceStreamCategory,V1908)=0,"",INDEX(MSPara_CalcFactorsMatrix,MATCH(V1908,MSPara_SourceStreamCategory,0),MATCH(AE1908&amp;"_"&amp;1,MSPara_CalcFactors,0))),"")</f>
        <v/>
      </c>
      <c r="AH1908" s="509" t="str">
        <f>IF(OR(AF1908="",AF1908=EUconst_NA),IF(OR(AG1908=EUconst_NA,AG1908=""),"",AG1908),AF1908)</f>
        <v/>
      </c>
      <c r="AI1908" s="506" t="str">
        <f>IF(AC1908=TRUE,IF(AH1908="",EUconst_t,AH1908),"")</f>
        <v/>
      </c>
      <c r="AJ1908" s="513" t="str">
        <f>IF(J1908="",AI1908,J1908)</f>
        <v/>
      </c>
      <c r="AK1908" s="514" t="b">
        <f>IF(K1898=EUconst_Fuel,J1908&lt;&gt;"",FALSE)</f>
        <v>0</v>
      </c>
      <c r="AL1908" s="333"/>
      <c r="AM1908" s="505" t="str">
        <f>EUconst_CNTR_ActivityData&amp;EUconst_Value</f>
        <v>ActivityData_Vertė</v>
      </c>
      <c r="AN1908" s="496"/>
      <c r="AO1908" s="496"/>
      <c r="AP1908" s="509" t="b">
        <f>AND(AND(AH1908&lt;&gt;"",AJ1908&lt;&gt;""),AJ1908=AH1908)</f>
        <v>0</v>
      </c>
      <c r="AQ1908" s="610" t="str">
        <f>IF(L1903=TRUE,SUM(F1905)-SUM(H1905)+SUM(J1905)-SUM(L1905),"")</f>
        <v/>
      </c>
      <c r="AR1908" s="509">
        <f>IF(Y1908=EUconst_NA,0,IF(COUNT(K1908:L1908)=0,0,IF(L1908="",K1908,L1908)))</f>
        <v>0</v>
      </c>
      <c r="AS1908" s="1115" t="b">
        <f>AND(AC1908=TRUE,OR(L1908&lt;&gt;"",AQ1908=""))</f>
        <v>0</v>
      </c>
      <c r="AT1908" s="1115" t="b">
        <f>AND(AC1908=TRUE,NOT(AS1908))</f>
        <v>0</v>
      </c>
      <c r="AU1908" s="30"/>
      <c r="AV1908" s="483" t="s">
        <v>309</v>
      </c>
      <c r="AW1908" s="483" t="s">
        <v>314</v>
      </c>
      <c r="AX1908" s="515"/>
      <c r="AY1908" s="30" t="s">
        <v>536</v>
      </c>
      <c r="AZ1908" s="30"/>
      <c r="BA1908" s="30"/>
      <c r="BB1908" s="495"/>
      <c r="BC1908" s="484" t="str">
        <f>EUconst_Fuel</f>
        <v>Degimas</v>
      </c>
      <c r="BD1908" s="484" t="str">
        <f>EUconst_ProcessCarbonate</f>
        <v>Proceso metu išsiskiriančios ŠESD</v>
      </c>
      <c r="BE1908" s="484" t="str">
        <f>EUconst_MassBalance</f>
        <v>Masės balansas</v>
      </c>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515" t="b">
        <f>BZ1903</f>
        <v>1</v>
      </c>
    </row>
    <row r="1909" spans="1:78" s="140" customFormat="1" ht="5.0999999999999996" customHeight="1" thickBot="1" x14ac:dyDescent="0.25">
      <c r="A1909" s="777"/>
      <c r="B1909" s="1248"/>
      <c r="C1909" s="783"/>
      <c r="D1909" s="298"/>
      <c r="F1909" s="141"/>
      <c r="G1909" s="141"/>
      <c r="H1909" s="141" t="s">
        <v>233</v>
      </c>
      <c r="I1909" s="516"/>
      <c r="J1909" s="516"/>
      <c r="K1909" s="141"/>
      <c r="L1909" s="141"/>
      <c r="M1909" s="701"/>
      <c r="O1909" s="1305"/>
      <c r="P1909" s="33"/>
      <c r="Q1909" s="33"/>
      <c r="R1909" s="33"/>
      <c r="S1909" s="30"/>
      <c r="T1909" s="153"/>
      <c r="U1909" s="488"/>
      <c r="V1909" s="30"/>
      <c r="W1909" s="30"/>
      <c r="X1909" s="488"/>
      <c r="Y1909" s="517"/>
      <c r="Z1909" s="30"/>
      <c r="AA1909" s="30"/>
      <c r="AB1909" s="30"/>
      <c r="AC1909" s="30"/>
      <c r="AD1909" s="30"/>
      <c r="AE1909" s="30"/>
      <c r="AF1909" s="30"/>
      <c r="AG1909" s="30"/>
      <c r="AH1909" s="30"/>
      <c r="AI1909" s="30"/>
      <c r="AJ1909" s="30"/>
      <c r="AK1909" s="30"/>
      <c r="AL1909" s="333"/>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484"/>
    </row>
    <row r="1910" spans="1:78" s="140" customFormat="1" ht="12.75" customHeight="1" thickBot="1" x14ac:dyDescent="0.25">
      <c r="A1910" s="777"/>
      <c r="B1910" s="1248"/>
      <c r="C1910" s="783" t="s">
        <v>195</v>
      </c>
      <c r="D1910" s="503" t="str">
        <f>Translations!$B$634</f>
        <v>(prelim.) ITF:</v>
      </c>
      <c r="E1910" s="504"/>
      <c r="F1910" s="518"/>
      <c r="G1910" s="1603" t="str">
        <f t="shared" ref="G1910:G1916" si="476">IF(OR(ISBLANK(F1910),F1910=EUconst_NoTier),"",IF(Z1910=0,EUconst_NotApplicable,IF(ISERROR(Z1910),"",Z1910)))</f>
        <v/>
      </c>
      <c r="H1910" s="1609"/>
      <c r="I1910" s="1110" t="str">
        <f>IF(J1910&lt;&gt;"","",AI1910)</f>
        <v/>
      </c>
      <c r="J1910" s="1111"/>
      <c r="K1910" s="519" t="str">
        <f t="shared" ref="K1910:K1916" si="477">IF(L1910="",AQ1910,"")</f>
        <v/>
      </c>
      <c r="L1910" s="520"/>
      <c r="M1910" s="700" t="str">
        <f>IF(AND(E1899&lt;&gt;"",OR(F1910="",COUNT(K1910:L1910)=0),Y1910&lt;&gt;EUconst_NA,T1899&lt;&gt;TRUE),EUconst_ERR_Incomplete,IF(COUNTIF(AX1910:AZ1910,TRUE)&gt;0,EUconst_ERR_Inconsistent,""))</f>
        <v/>
      </c>
      <c r="N1910" s="486"/>
      <c r="O1910" s="1305"/>
      <c r="P1910" s="33"/>
      <c r="Q1910" s="33"/>
      <c r="R1910" s="33"/>
      <c r="S1910" s="30"/>
      <c r="T1910" s="521" t="str">
        <f>EUconst_CNTR_EF&amp;E1899</f>
        <v>EF_</v>
      </c>
      <c r="U1910" s="488"/>
      <c r="V1910" s="522" t="str">
        <f>V1908</f>
        <v/>
      </c>
      <c r="W1910" s="30"/>
      <c r="X1910" s="488"/>
      <c r="Y1910" s="523" t="str">
        <f>IF(OR(T1899=TRUE,E1899=""),"",IF(F1910=EUconst_NA,EUconst_NA,INDEX(EUwideConstants!$N:$N,MATCH(T1910,EUwideConstants!$Q:$Q,0))))</f>
        <v/>
      </c>
      <c r="Z1910" s="524" t="str">
        <f>IF(ISBLANK(F1910),"",IF(F1910=EUconst_NA,"",INDEX(EUwideConstants!$H:$M,MATCH(T1910,EUwideConstants!$Q:$Q,0),MATCH(F1910,CNTR_TierList,0))))</f>
        <v/>
      </c>
      <c r="AA1910" s="525" t="str">
        <f>IF(COUNTIF(EUconst_DefaultValues,Z1910)&gt;0,MATCH(Z1910,EUconst_DefaultValues,0),"")</f>
        <v/>
      </c>
      <c r="AB1910" s="30"/>
      <c r="AC1910" s="526" t="b">
        <f>AND(AC1908,Y1910&lt;&gt;EUconst_NA)</f>
        <v>0</v>
      </c>
      <c r="AD1910" s="30"/>
      <c r="AE1910" s="510" t="str">
        <f>EUconst_CNTR_EF&amp;EUconst_Unit</f>
        <v>EF_Vienetas</v>
      </c>
      <c r="AF1910" s="527" t="str">
        <f>IF(AC1910=TRUE, IF(COUNTIF(MSPara_SourceStreamCategory,V1910)=0,"",INDEX(MSPara_CalcFactorsMatrix,MATCH(V1910,MSPara_SourceStreamCategory,0),MATCH(AE1910&amp;"_"&amp;2,MSPara_CalcFactors,0))),"")</f>
        <v/>
      </c>
      <c r="AG1910" s="528" t="str">
        <f>IF(AC1910=TRUE, IF(COUNTIF(MSPara_SourceStreamCategory,V1910)=0,"",INDEX(MSPara_CalcFactorsMatrix,MATCH(V1910,MSPara_SourceStreamCategory,0),MATCH(AE1910&amp;"_"&amp;1,MSPara_CalcFactors,0))),"")</f>
        <v/>
      </c>
      <c r="AH1910" s="529" t="str">
        <f>IF(AA1910="","",INDEX(AF1910:AG1910,3-AA1910))</f>
        <v/>
      </c>
      <c r="AI1910" s="530" t="str">
        <f>IF(AC1910=TRUE,IF(OR(AH1910="",AH1910=EUconst_NA),IF(K1898=EUconst_Fuel,EUconst_tCO2pTJ,EUconst_tCO2pt),AH1910),"")</f>
        <v/>
      </c>
      <c r="AJ1910" s="526" t="str">
        <f>IF(J1910="",AI1910,J1910)</f>
        <v/>
      </c>
      <c r="AK1910" s="531" t="b">
        <f>IF(K1898=EUconst_Fuel,J1910&lt;&gt;"",FALSE)</f>
        <v>0</v>
      </c>
      <c r="AL1910" s="333"/>
      <c r="AM1910" s="510" t="str">
        <f>EUconst_CNTR_EF&amp;EUconst_Value</f>
        <v>EF_Vertė</v>
      </c>
      <c r="AN1910" s="532" t="str">
        <f>IF(AC1910=TRUE,IF(COUNTIF(MSPara_SourceStreamCategory,V1910)=0,"",INDEX(MSPara_CalcFactorsMatrix,MATCH(V1910,MSPara_SourceStreamCategory,0),MATCH(AM1910&amp;"_"&amp;2,MSPara_CalcFactors,0))),"")</f>
        <v/>
      </c>
      <c r="AO1910" s="533" t="str">
        <f>IF(AC1910=TRUE,IF(COUNTIF(MSPara_SourceStreamCategory,V1910)=0,"",INDEX(MSPara_CalcFactorsMatrix,MATCH(V1910,MSPara_SourceStreamCategory,0),MATCH(AM1910&amp;"_"&amp;1,MSPara_CalcFactors,0))),"")</f>
        <v/>
      </c>
      <c r="AP1910" s="526" t="b">
        <f>AND(AND(AH1910&lt;&gt;"",AJ1910&lt;&gt;""),AJ1910=AH1910)</f>
        <v>0</v>
      </c>
      <c r="AQ1910" s="534" t="str">
        <f>IF(AND(AA1910&lt;&gt;"",AP1910=TRUE),IF(OR(INDEX(AN1910:AO1910,3-AA1910)=EUconst_NA,INDEX(AN1910:AO1910,3-AA1910)=0),"",INDEX(AN1910:AO1910,3-AA1910)),"")</f>
        <v/>
      </c>
      <c r="AR1910" s="526">
        <f>IF(AC1910=TRUE,IF(COUNT(K1910:L1910)=0,0,IF(L1910="",K1910,L1910)),0)</f>
        <v>0</v>
      </c>
      <c r="AS1910" s="522" t="b">
        <f>AND(AC1910=TRUE,OR(AND(F1910&lt;&gt;"",NOT(ISNUMBER(AA1910))),L1910&lt;&gt;"",F1910="",AQ1910=""))</f>
        <v>0</v>
      </c>
      <c r="AT1910" s="522" t="b">
        <f t="shared" ref="AT1910:AT1916" si="478">AND(AC1910=TRUE,NOT(AS1910))</f>
        <v>0</v>
      </c>
      <c r="AU1910" s="30"/>
      <c r="AV1910" s="535" t="b">
        <f t="shared" ref="AV1910:AV1916" si="479">AND(ISNUMBER(AA1910),AQ1910="")</f>
        <v>0</v>
      </c>
      <c r="AW1910" s="536" t="b">
        <f t="shared" ref="AW1910:AW1916" si="480">AND(ISNUMBER(AA1910),AQ1910&lt;&gt;AR1910)</f>
        <v>0</v>
      </c>
      <c r="AX1910" s="537" t="b">
        <f>OR(AND(AJ1908=EUconst_kNm3,AJ1910=EUconst_tCO2pt),AND(AJ1908=EUconst_t,AJ1910=EUconst_tCO2pkNm3))</f>
        <v>0</v>
      </c>
      <c r="AY1910" s="522" t="b">
        <f t="shared" ref="AY1910:AY1916" si="481">AND(L1910&lt;&gt;"",Y1910=EUconst_NA)</f>
        <v>0</v>
      </c>
      <c r="AZ1910" s="30"/>
      <c r="BA1910" s="30"/>
      <c r="BB1910" s="538" t="s">
        <v>588</v>
      </c>
      <c r="BC1910" s="537" t="str">
        <f>IF(K1898=BC1908,AR1908*IF(AJ1910=EUconst_tCO2pTJ,(AR1911/1000),1)*AR1910*AR1912*AR1916,"")</f>
        <v/>
      </c>
      <c r="BD1910" s="515" t="str">
        <f>IF(K1898=BD1908,AR1908*AR1910*AR1913*AR1916,"")</f>
        <v/>
      </c>
      <c r="BE1910" s="514" t="str">
        <f>IF(K1898=BE1908,3.664*AR1908*AR1914*AR1916,"")</f>
        <v/>
      </c>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522" t="b">
        <f>OR(BZ1908,Y1910=EUconst_NA)</f>
        <v>1</v>
      </c>
    </row>
    <row r="1911" spans="1:78" s="140" customFormat="1" ht="12.75" customHeight="1" thickBot="1" x14ac:dyDescent="0.25">
      <c r="A1911" s="777"/>
      <c r="B1911" s="1248"/>
      <c r="C1911" s="783" t="s">
        <v>196</v>
      </c>
      <c r="D1911" s="503" t="str">
        <f>Translations!$B$636</f>
        <v>GŠV:</v>
      </c>
      <c r="E1911" s="504"/>
      <c r="F1911" s="539"/>
      <c r="G1911" s="1603" t="str">
        <f t="shared" si="476"/>
        <v/>
      </c>
      <c r="H1911" s="1604"/>
      <c r="I1911" s="1112" t="str">
        <f>AJ1911</f>
        <v/>
      </c>
      <c r="J1911" s="540"/>
      <c r="K1911" s="541" t="str">
        <f t="shared" si="477"/>
        <v/>
      </c>
      <c r="L1911" s="542"/>
      <c r="M1911" s="700" t="str">
        <f>IF(AND(E1899&lt;&gt;"",OR(F1911="",COUNT(K1911:L1911)=0),Y1911&lt;&gt;EUconst_NA,T1899&lt;&gt;TRUE),EUconst_ERR_Incomplete,IF(COUNTIF(AX1911:AZ1911,TRUE)&gt;0,EUconst_ERR_Inconsistent,""))</f>
        <v/>
      </c>
      <c r="O1911" s="1305"/>
      <c r="P1911" s="33"/>
      <c r="Q1911" s="33"/>
      <c r="R1911" s="33"/>
      <c r="S1911" s="30"/>
      <c r="T1911" s="543" t="str">
        <f>EUconst_CNTR_NCV&amp;E1899</f>
        <v>NCV_</v>
      </c>
      <c r="U1911" s="488"/>
      <c r="V1911" s="544" t="str">
        <f t="shared" ref="V1911:V1916" si="482">V1910</f>
        <v/>
      </c>
      <c r="W1911" s="30"/>
      <c r="X1911" s="488"/>
      <c r="Y1911" s="545" t="str">
        <f>IF(OR(T1899=TRUE,E1899=""),"",IF(F1911=EUconst_NA,EUconst_NA,INDEX(EUwideConstants!$N:$N,MATCH(T1911,EUwideConstants!$Q:$Q,0))))</f>
        <v/>
      </c>
      <c r="Z1911" s="546" t="str">
        <f>IF(ISBLANK(F1911),"",IF(F1911=EUconst_NA,"",INDEX(EUwideConstants!$H:$M,MATCH(T1911,EUwideConstants!$Q:$Q,0),MATCH(F1911,CNTR_TierList,0))))</f>
        <v/>
      </c>
      <c r="AA1911" s="547" t="str">
        <f>IF(COUNTIF(EUconst_DefaultValues,Z1911)&gt;0,MATCH(Z1911,EUconst_DefaultValues,0),"")</f>
        <v/>
      </c>
      <c r="AB1911" s="30"/>
      <c r="AC1911" s="548" t="b">
        <f>AND(AC1908,Y1911&lt;&gt;EUconst_NA)</f>
        <v>0</v>
      </c>
      <c r="AD1911" s="30"/>
      <c r="AE1911" s="549" t="str">
        <f>EUconst_CNTR_NCV&amp;EUconst_Unit</f>
        <v>NCV_Vienetas</v>
      </c>
      <c r="AF1911" s="550" t="str">
        <f>IF(AC1911=TRUE, IF(COUNTIF(MSPara_SourceStreamCategory,V1911)=0,"",INDEX(MSPara_CalcFactorsMatrix,MATCH(V1911,MSPara_SourceStreamCategory,0),MATCH(AE1911&amp;"_"&amp;2,MSPara_CalcFactors,0))),"")</f>
        <v/>
      </c>
      <c r="AG1911" s="551" t="str">
        <f>IF(AC1911=TRUE, IF(COUNTIF(MSPara_SourceStreamCategory,V1911)=0,"",INDEX(MSPara_CalcFactorsMatrix,MATCH(V1911,MSPara_SourceStreamCategory,0),MATCH(AE1911&amp;"_"&amp;1,MSPara_CalcFactors,0))),"")</f>
        <v/>
      </c>
      <c r="AH1911" s="552" t="str">
        <f>IF(AA1911="","",INDEX(AF1911:AG1911,3-AA1911))</f>
        <v/>
      </c>
      <c r="AI1911" s="553"/>
      <c r="AJ1911" s="548" t="str">
        <f>IF(AC1911=TRUE,IF(AJ1908="","",IF(AJ1908=EUconst_kNm3,EUconst_GJpkNm3,EUconst_GJpt)),"")</f>
        <v/>
      </c>
      <c r="AK1911" s="554"/>
      <c r="AL1911" s="333"/>
      <c r="AM1911" s="549" t="str">
        <f>EUconst_CNTR_NCV&amp;EUconst_Value</f>
        <v>NCV_Vertė</v>
      </c>
      <c r="AN1911" s="555" t="str">
        <f>IF(AC1911=TRUE,IF(COUNTIF(MSPara_SourceStreamCategory,V1911)=0,"",INDEX(MSPara_CalcFactorsMatrix,MATCH(V1911,MSPara_SourceStreamCategory,0),MATCH(AM1911&amp;"_"&amp;2,MSPara_CalcFactors,0))),"")</f>
        <v/>
      </c>
      <c r="AO1911" s="556" t="str">
        <f>IF(AC1911=TRUE,IF(COUNTIF(MSPara_SourceStreamCategory,V1911)=0,"",INDEX(MSPara_CalcFactorsMatrix,MATCH(V1911,MSPara_SourceStreamCategory,0),MATCH(AM1911&amp;"_"&amp;1,MSPara_CalcFactors,0))),"")</f>
        <v/>
      </c>
      <c r="AP1911" s="548" t="b">
        <f>AND(AND(AH1911&lt;&gt;"",AJ1911&lt;&gt;""),AJ1911=AH1911)</f>
        <v>0</v>
      </c>
      <c r="AQ1911" s="557" t="str">
        <f>IF(AND(AA1911&lt;&gt;"",AP1911=TRUE),IF(OR(INDEX(AN1911:AO1911,3-AA1911)=EUconst_NA,INDEX(AN1911:AO1911,3-AA1911)=0),"",INDEX(AN1911:AO1911,3-AA1911)),"")</f>
        <v/>
      </c>
      <c r="AR1911" s="548">
        <f>IF(AC1911=TRUE,IF(COUNT(K1911:L1911)=0,0,IF(L1911="",K1911,L1911)),0)</f>
        <v>0</v>
      </c>
      <c r="AS1911" s="544" t="b">
        <f>AND(AC1911=TRUE,OR(AND(F1911&lt;&gt;"",NOT(ISNUMBER(AA1911))),L1911&lt;&gt;"",F1911="",AQ1911=""))</f>
        <v>0</v>
      </c>
      <c r="AT1911" s="544" t="b">
        <f t="shared" si="478"/>
        <v>0</v>
      </c>
      <c r="AU1911" s="30"/>
      <c r="AV1911" s="558" t="b">
        <f t="shared" si="479"/>
        <v>0</v>
      </c>
      <c r="AW1911" s="559" t="b">
        <f t="shared" si="480"/>
        <v>0</v>
      </c>
      <c r="AX1911" s="30"/>
      <c r="AY1911" s="544" t="b">
        <f t="shared" si="481"/>
        <v>0</v>
      </c>
      <c r="AZ1911" s="30"/>
      <c r="BA1911" s="30"/>
      <c r="BB1911" s="538" t="s">
        <v>589</v>
      </c>
      <c r="BC1911" s="537" t="str">
        <f>IF(K1898=BC1908,AR1908*IF(AJ1910=EUconst_tCO2pTJ,(AR1911/1000),1)*AR1910*AR1912*AR1915,"")</f>
        <v/>
      </c>
      <c r="BD1911" s="515" t="str">
        <f>IF(K1898=BD1908,AR1908*AR1910*AR1913*AR1915,"")</f>
        <v/>
      </c>
      <c r="BE1911" s="514" t="str">
        <f>IF(K1898=BE1908,3.664*AR1908*AR1914*AR1915,"")</f>
        <v/>
      </c>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544" t="b">
        <f>OR(BZ1908,Y1911=EUconst_NA)</f>
        <v>1</v>
      </c>
    </row>
    <row r="1912" spans="1:78" s="140" customFormat="1" ht="12.75" customHeight="1" thickBot="1" x14ac:dyDescent="0.25">
      <c r="A1912" s="777"/>
      <c r="B1912" s="1248"/>
      <c r="C1912" s="783" t="s">
        <v>197</v>
      </c>
      <c r="D1912" s="503" t="str">
        <f>Translations!$B$638</f>
        <v>Oksidacijos koef.:</v>
      </c>
      <c r="E1912" s="504"/>
      <c r="F1912" s="539"/>
      <c r="G1912" s="1603" t="str">
        <f t="shared" si="476"/>
        <v/>
      </c>
      <c r="H1912" s="1604"/>
      <c r="I1912" s="1113" t="str">
        <f>IF(OR(AC1912=FALSE,Y1912=EUconst_NA),"","-")</f>
        <v/>
      </c>
      <c r="J1912" s="560"/>
      <c r="K1912" s="561" t="str">
        <f t="shared" si="477"/>
        <v/>
      </c>
      <c r="L1912" s="694"/>
      <c r="M1912" s="700" t="str">
        <f>IF(AND(E1899&lt;&gt;"",OR(F1912="",COUNT(K1912:L1912)=0),Y1912&lt;&gt;EUconst_NA,T1899&lt;&gt;TRUE),EUconst_ERR_Incomplete,IF(COUNTIF(AX1912:AZ1912,TRUE)&gt;0,EUconst_ERR_Inconsistent,""))</f>
        <v/>
      </c>
      <c r="O1912" s="1305"/>
      <c r="P1912" s="33"/>
      <c r="Q1912" s="33"/>
      <c r="R1912" s="33"/>
      <c r="S1912" s="30"/>
      <c r="T1912" s="543" t="str">
        <f>EUconst_CNTR_OxidationFactor&amp;E1899</f>
        <v>OxF_</v>
      </c>
      <c r="U1912" s="488"/>
      <c r="V1912" s="544" t="str">
        <f t="shared" si="482"/>
        <v/>
      </c>
      <c r="W1912" s="30"/>
      <c r="X1912" s="488"/>
      <c r="Y1912" s="545" t="str">
        <f>IF(OR(T1899=TRUE,E1899=""),"",INDEX(EUwideConstants!$N:$N,MATCH(T1912,EUwideConstants!$Q:$Q,0)))</f>
        <v/>
      </c>
      <c r="Z1912" s="546" t="str">
        <f>IF(ISBLANK(F1912),"",IF(F1912=EUconst_NA,"",INDEX(EUwideConstants!$H:$M,MATCH(T1912,EUwideConstants!$Q:$Q,0),MATCH(F1912,CNTR_TierList,0))))</f>
        <v/>
      </c>
      <c r="AA1912" s="525" t="str">
        <f>IF(F1912=1,1,"")</f>
        <v/>
      </c>
      <c r="AB1912" s="30"/>
      <c r="AC1912" s="548" t="b">
        <f>AND(AC1908,Y1912&lt;&gt;EUconst_NA)</f>
        <v>0</v>
      </c>
      <c r="AD1912" s="30"/>
      <c r="AE1912" s="563"/>
      <c r="AG1912" s="564"/>
      <c r="AH1912" s="553"/>
      <c r="AI1912" s="565"/>
      <c r="AJ1912" s="553"/>
      <c r="AK1912" s="566"/>
      <c r="AL1912" s="333"/>
      <c r="AM1912" s="549" t="str">
        <f>EUconst_CNTR_OxidationFactor&amp;EUconst_Value</f>
        <v>OxF_Vertė</v>
      </c>
      <c r="AN1912" s="567"/>
      <c r="AO1912" s="525">
        <v>1</v>
      </c>
      <c r="AP1912" s="553"/>
      <c r="AQ1912" s="568" t="str">
        <f>IF(AA1912="","",AO1912)</f>
        <v/>
      </c>
      <c r="AR1912" s="548">
        <f>IF(AC1912=TRUE,IF(COUNT(K1912:L1912)=0,0,IF(L1912="",K1912,L1912)),1)</f>
        <v>1</v>
      </c>
      <c r="AS1912" s="544" t="b">
        <f>AND(AC1912=TRUE,OR(ISNUMBER(L1912),NOT(ISNUMBER(AA1912))))</f>
        <v>0</v>
      </c>
      <c r="AT1912" s="544" t="b">
        <f t="shared" si="478"/>
        <v>0</v>
      </c>
      <c r="AU1912" s="30"/>
      <c r="AV1912" s="558" t="b">
        <f t="shared" si="479"/>
        <v>0</v>
      </c>
      <c r="AW1912" s="559" t="b">
        <f t="shared" si="480"/>
        <v>0</v>
      </c>
      <c r="AX1912" s="30"/>
      <c r="AY1912" s="585" t="b">
        <f t="shared" si="481"/>
        <v>0</v>
      </c>
      <c r="AZ1912" s="522" t="b">
        <f>AR1912&gt;100%</f>
        <v>0</v>
      </c>
      <c r="BA1912" s="30"/>
      <c r="BB1912" s="538" t="s">
        <v>287</v>
      </c>
      <c r="BC1912" s="537" t="str">
        <f>IF(K1898=BC1908,AR1908*IF(AJ1910=EUconst_tCO2pTJ,(AR1911/1000),1)*AR1910*AR1912*(1-AR1915),"")</f>
        <v/>
      </c>
      <c r="BD1912" s="515" t="str">
        <f>IF(K1898=BD1908,AR1908*AR1910*AR1913*(1-AR1915),"")</f>
        <v/>
      </c>
      <c r="BE1912" s="514" t="str">
        <f>IF(K1898=BE1908,3.664*AR1908*AR1914*(1-AR1915),"")</f>
        <v/>
      </c>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544" t="b">
        <f>OR(BZ1908,Y1912=EUconst_NA)</f>
        <v>1</v>
      </c>
    </row>
    <row r="1913" spans="1:78" s="140" customFormat="1" ht="12.75" customHeight="1" thickBot="1" x14ac:dyDescent="0.25">
      <c r="A1913" s="777"/>
      <c r="B1913" s="1248"/>
      <c r="C1913" s="783" t="s">
        <v>198</v>
      </c>
      <c r="D1913" s="503" t="str">
        <f>Translations!$B$639</f>
        <v>Konversijos koef.:</v>
      </c>
      <c r="E1913" s="504"/>
      <c r="F1913" s="539"/>
      <c r="G1913" s="1603" t="str">
        <f t="shared" si="476"/>
        <v/>
      </c>
      <c r="H1913" s="1604"/>
      <c r="I1913" s="1113" t="str">
        <f>IF(OR(AC1913=FALSE,Y1913=EUconst_NA),"","-")</f>
        <v/>
      </c>
      <c r="J1913" s="560"/>
      <c r="K1913" s="561" t="str">
        <f t="shared" si="477"/>
        <v/>
      </c>
      <c r="L1913" s="694"/>
      <c r="M1913" s="700" t="str">
        <f>IF(AND(E1899&lt;&gt;"",OR(F1913="",COUNT(K1913:L1913)=0),Y1913&lt;&gt;EUconst_NA,T1899&lt;&gt;TRUE),EUconst_ERR_Incomplete,IF(COUNTIF(AX1913:AZ1913,TRUE)&gt;0,EUconst_ERR_Inconsistent,""))</f>
        <v/>
      </c>
      <c r="O1913" s="1305"/>
      <c r="P1913" s="33"/>
      <c r="Q1913" s="33"/>
      <c r="R1913" s="33"/>
      <c r="S1913" s="30"/>
      <c r="T1913" s="543" t="str">
        <f>EUconst_CNTR_ConversionFactor&amp;E1899</f>
        <v>ConvF_</v>
      </c>
      <c r="U1913" s="488"/>
      <c r="V1913" s="544" t="str">
        <f t="shared" si="482"/>
        <v/>
      </c>
      <c r="W1913" s="30"/>
      <c r="X1913" s="488"/>
      <c r="Y1913" s="545" t="str">
        <f>IF(OR(T1899=TRUE,E1899=""),"",INDEX(EUwideConstants!$N:$N,MATCH(T1913,EUwideConstants!$Q:$Q,0)))</f>
        <v/>
      </c>
      <c r="Z1913" s="546" t="str">
        <f>IF(ISBLANK(F1913),"",IF(F1913=EUconst_NA,"",INDEX(EUwideConstants!$H:$M,MATCH(T1913,EUwideConstants!$Q:$Q,0),MATCH(F1913,CNTR_TierList,0))))</f>
        <v/>
      </c>
      <c r="AA1913" s="573" t="str">
        <f>IF(F1913=1,1,"")</f>
        <v/>
      </c>
      <c r="AB1913" s="30"/>
      <c r="AC1913" s="548" t="b">
        <f>AND(AC1908,Y1913&lt;&gt;EUconst_NA)</f>
        <v>0</v>
      </c>
      <c r="AD1913" s="30"/>
      <c r="AE1913" s="563"/>
      <c r="AG1913" s="564"/>
      <c r="AH1913" s="574"/>
      <c r="AI1913" s="565"/>
      <c r="AJ1913" s="574"/>
      <c r="AK1913" s="566"/>
      <c r="AL1913" s="333"/>
      <c r="AM1913" s="549" t="str">
        <f>EUconst_CNTR_ConversionFactor&amp;EUconst_Value</f>
        <v>ConvF_Vertė</v>
      </c>
      <c r="AN1913" s="575"/>
      <c r="AO1913" s="573">
        <v>1</v>
      </c>
      <c r="AP1913" s="574"/>
      <c r="AQ1913" s="576" t="str">
        <f>IF(AA1913="","",AO1913)</f>
        <v/>
      </c>
      <c r="AR1913" s="548">
        <f>IF(AC1913=TRUE,IF(COUNT(K1913:L1913)=0,0,IF(L1913="",K1913,L1913)),1)</f>
        <v>1</v>
      </c>
      <c r="AS1913" s="544" t="b">
        <f>AND(AC1913=TRUE,OR(ISNUMBER(L1913),NOT(ISNUMBER(AA1913))))</f>
        <v>0</v>
      </c>
      <c r="AT1913" s="544" t="b">
        <f t="shared" si="478"/>
        <v>0</v>
      </c>
      <c r="AU1913" s="30"/>
      <c r="AV1913" s="558" t="b">
        <f t="shared" si="479"/>
        <v>0</v>
      </c>
      <c r="AW1913" s="559" t="b">
        <f t="shared" si="480"/>
        <v>0</v>
      </c>
      <c r="AX1913" s="30"/>
      <c r="AY1913" s="585" t="b">
        <f t="shared" si="481"/>
        <v>0</v>
      </c>
      <c r="AZ1913" s="571" t="b">
        <f>AR1913&gt;100%</f>
        <v>0</v>
      </c>
      <c r="BA1913" s="30"/>
      <c r="BB1913" s="569" t="s">
        <v>481</v>
      </c>
      <c r="BC1913" s="570">
        <f>AR1908*AR1911/1000*(1-AR1915)</f>
        <v>0</v>
      </c>
      <c r="BD1913" s="571">
        <f>BC1913</f>
        <v>0</v>
      </c>
      <c r="BE1913" s="572">
        <f>BC1913</f>
        <v>0</v>
      </c>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544" t="b">
        <f>OR(BZ1908,Y1913=EUconst_NA)</f>
        <v>1</v>
      </c>
    </row>
    <row r="1914" spans="1:78" s="140" customFormat="1" ht="12.75" customHeight="1" thickBot="1" x14ac:dyDescent="0.25">
      <c r="A1914" s="777"/>
      <c r="B1914" s="1248"/>
      <c r="C1914" s="783" t="s">
        <v>324</v>
      </c>
      <c r="D1914" s="503" t="str">
        <f>Translations!$B$640</f>
        <v>Anglies kiekis (C):</v>
      </c>
      <c r="E1914" s="504"/>
      <c r="F1914" s="539"/>
      <c r="G1914" s="1603" t="str">
        <f t="shared" si="476"/>
        <v/>
      </c>
      <c r="H1914" s="1604"/>
      <c r="I1914" s="1113" t="str">
        <f>AJ1914</f>
        <v/>
      </c>
      <c r="J1914" s="577"/>
      <c r="K1914" s="578" t="str">
        <f t="shared" si="477"/>
        <v/>
      </c>
      <c r="L1914" s="579"/>
      <c r="M1914" s="700" t="str">
        <f>IF(AND(E1899&lt;&gt;"",OR(F1914="",COUNT(K1914:L1914)=0),Y1914&lt;&gt;EUconst_NA,T1899&lt;&gt;TRUE),EUconst_ERR_Incomplete,IF(COUNTIF(AX1914:AZ1914,TRUE)&gt;0,EUconst_ERR_Inconsistent,""))</f>
        <v/>
      </c>
      <c r="O1914" s="1305"/>
      <c r="P1914" s="33"/>
      <c r="Q1914" s="33"/>
      <c r="R1914" s="33"/>
      <c r="S1914" s="30"/>
      <c r="T1914" s="543" t="str">
        <f>EUconst_CNTR_CarbonContent&amp;E1899</f>
        <v>CarbC_</v>
      </c>
      <c r="U1914" s="488"/>
      <c r="V1914" s="544" t="str">
        <f t="shared" si="482"/>
        <v/>
      </c>
      <c r="W1914" s="30"/>
      <c r="X1914" s="488"/>
      <c r="Y1914" s="545" t="str">
        <f>IF(OR(T1899=TRUE,E1899=""),"",INDEX(EUwideConstants!$N:$N,MATCH(T1914,EUwideConstants!$Q:$Q,0)))</f>
        <v/>
      </c>
      <c r="Z1914" s="546" t="str">
        <f>IF(ISBLANK(F1914),"",IF(F1914=EUconst_NA,"",INDEX(EUwideConstants!$H:$M,MATCH(T1914,EUwideConstants!$Q:$Q,0),MATCH(F1914,CNTR_TierList,0))))</f>
        <v/>
      </c>
      <c r="AA1914" s="580" t="str">
        <f>IF(COUNTIF(EUconst_DefaultValues,Z1914)&gt;0,MATCH(Z1914,EUconst_DefaultValues,0),"")</f>
        <v/>
      </c>
      <c r="AB1914" s="30"/>
      <c r="AC1914" s="548" t="b">
        <f>AND(AC1908,Y1914&lt;&gt;EUconst_NA)</f>
        <v>0</v>
      </c>
      <c r="AD1914" s="30"/>
      <c r="AE1914" s="549" t="str">
        <f>EUconst_CNTR_CarbonContent&amp;EUconst_Unit</f>
        <v>CarbC_Vienetas</v>
      </c>
      <c r="AF1914" s="550" t="str">
        <f>IF(AC1914=TRUE, IF(COUNTIF(MSPara_SourceStreamCategory,V1914)=0,"",INDEX(MSPara_CalcFactorsMatrix,MATCH(V1914,MSPara_SourceStreamCategory,0),MATCH(AE1914&amp;"_"&amp;2,MSPara_CalcFactors,0))),"")</f>
        <v/>
      </c>
      <c r="AG1914" s="551" t="str">
        <f>IF(AC1914=TRUE, IF(COUNTIF(MSPara_SourceStreamCategory,V1914)=0,"",INDEX(MSPara_CalcFactorsMatrix,MATCH(V1914,MSPara_SourceStreamCategory,0),MATCH(AE1914&amp;"_"&amp;1,MSPara_CalcFactors,0))),"")</f>
        <v/>
      </c>
      <c r="AH1914" s="581" t="str">
        <f>IF(AA1914="","",INDEX(AF1914:AG1914,3-AA1914))</f>
        <v/>
      </c>
      <c r="AI1914" s="565"/>
      <c r="AJ1914" s="582" t="str">
        <f>IF(AC1914=TRUE,IF(AJ1908="","",IF(AJ1908=EUconst_kNm3,EUconst_tCpkNm3,EUconst_tCpt)),"")</f>
        <v/>
      </c>
      <c r="AK1914" s="566"/>
      <c r="AL1914" s="333"/>
      <c r="AM1914" s="549" t="str">
        <f>EUconst_CNTR_CarbonContent&amp;EUconst_Value</f>
        <v>CarbC_Vertė</v>
      </c>
      <c r="AN1914" s="555" t="str">
        <f>IF(AC1914=TRUE,IF(COUNTIF(MSPara_SourceStreamCategory,V1914)=0,"",INDEX(MSPara_CalcFactorsMatrix,MATCH(V1914,MSPara_SourceStreamCategory,0),MATCH(AM1914&amp;"_"&amp;2,MSPara_CalcFactors,0))),"")</f>
        <v/>
      </c>
      <c r="AO1914" s="583" t="str">
        <f>IF(AC1914=TRUE,IF(COUNTIF(MSPara_SourceStreamCategory,V1914)=0,"",INDEX(MSPara_CalcFactorsMatrix,MATCH(V1914,MSPara_SourceStreamCategory,0),MATCH(AM1914&amp;"_"&amp;1,MSPara_CalcFactors,0))),"")</f>
        <v/>
      </c>
      <c r="AP1914" s="548" t="b">
        <f>AND(AND(AH1914&lt;&gt;"",AJ1914&lt;&gt;""),AJ1914=AH1914)</f>
        <v>0</v>
      </c>
      <c r="AQ1914" s="584" t="str">
        <f>IF(AND(AA1914&lt;&gt;"",AP1914=TRUE),IF(OR(INDEX(AN1914:AO1914,3-AA1914)=EUconst_NA,INDEX(AN1914:AO1914,3-AA1914)=0),"",INDEX(AN1914:AO1914,3-AA1914)),"")</f>
        <v/>
      </c>
      <c r="AR1914" s="548">
        <f>IF(AC1914=TRUE,IF(COUNT(K1914:L1914)=0,0,IF(L1914="",K1914,L1914)),0)</f>
        <v>0</v>
      </c>
      <c r="AS1914" s="544" t="b">
        <f>AND(AC1914=TRUE,OR(AND(F1914&lt;&gt;"",NOT(ISNUMBER(AA1914))),L1914&lt;&gt;"",F1914="",AQ1914=""))</f>
        <v>0</v>
      </c>
      <c r="AT1914" s="544" t="b">
        <f t="shared" si="478"/>
        <v>0</v>
      </c>
      <c r="AU1914" s="30"/>
      <c r="AV1914" s="558" t="b">
        <f t="shared" si="479"/>
        <v>0</v>
      </c>
      <c r="AW1914" s="559" t="b">
        <f t="shared" si="480"/>
        <v>0</v>
      </c>
      <c r="AX1914" s="537" t="b">
        <f>OR(AND(AJ1908=EUconst_kNm3,AJ1914=EUconst_tCpt),AND(AJ1908=EUconst_t,AJ1914=EUconst_tCpkNm3))</f>
        <v>0</v>
      </c>
      <c r="AY1914" s="544" t="b">
        <f t="shared" si="481"/>
        <v>0</v>
      </c>
      <c r="AZ1914" s="30"/>
      <c r="BA1914" s="30"/>
      <c r="BB1914" s="569" t="s">
        <v>482</v>
      </c>
      <c r="BC1914" s="570">
        <f>AR1908*AR1911/1000*AR1915</f>
        <v>0</v>
      </c>
      <c r="BD1914" s="571">
        <f>BC1914</f>
        <v>0</v>
      </c>
      <c r="BE1914" s="572">
        <f>BC1914</f>
        <v>0</v>
      </c>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544" t="b">
        <f>OR(BZ1908,Y1914=EUconst_NA)</f>
        <v>1</v>
      </c>
    </row>
    <row r="1915" spans="1:78" s="140" customFormat="1" ht="12.75" customHeight="1" x14ac:dyDescent="0.2">
      <c r="A1915" s="777"/>
      <c r="B1915" s="1248"/>
      <c r="C1915" s="753" t="s">
        <v>325</v>
      </c>
      <c r="D1915" s="503" t="str">
        <f>Translations!$B$641</f>
        <v>Biomasės dalis (BioC):</v>
      </c>
      <c r="E1915" s="504"/>
      <c r="F1915" s="539"/>
      <c r="G1915" s="1603" t="str">
        <f t="shared" si="476"/>
        <v/>
      </c>
      <c r="H1915" s="1604"/>
      <c r="I1915" s="1113" t="str">
        <f>IF(OR(AC1915=FALSE,Y1915=EUconst_NA),"","-")</f>
        <v/>
      </c>
      <c r="J1915" s="560"/>
      <c r="K1915" s="561" t="str">
        <f t="shared" si="477"/>
        <v/>
      </c>
      <c r="L1915" s="694"/>
      <c r="M1915" s="700" t="str">
        <f>IF(AND(E1899&lt;&gt;"",OR(F1915="",COUNT(K1915:L1915)=0),Y1915&lt;&gt;EUconst_NA,T1899&lt;&gt;TRUE),EUconst_ERR_Incomplete,IF(COUNTIF(AX1915:AZ1915,TRUE)&gt;0,EUconst_ERR_Inconsistent,""))</f>
        <v/>
      </c>
      <c r="O1915" s="1305"/>
      <c r="P1915" s="635"/>
      <c r="Q1915" s="635"/>
      <c r="R1915" s="635"/>
      <c r="S1915" s="30"/>
      <c r="T1915" s="543" t="str">
        <f>EUconst_CNTR_BiomassContent&amp;E1899</f>
        <v>BioC_</v>
      </c>
      <c r="U1915" s="488"/>
      <c r="V1915" s="585" t="str">
        <f t="shared" si="482"/>
        <v/>
      </c>
      <c r="W1915" s="522" t="str">
        <f>IF(COUNTIF(MSPara_SourceStreamCategory,V1915)=0,"",INDEX(MSPara_IsFossil,MATCH(V1915,MSPara_SourceStreamCategory,0)))</f>
        <v/>
      </c>
      <c r="X1915" s="488"/>
      <c r="Y1915" s="545" t="str">
        <f>IF(OR(T1899=TRUE,E1899=""),"",IF(OR(W1915=TRUE,F1915=EUconst_NA),EUconst_NA,INDEX(EUwideConstants!$N:$N,MATCH(T1915,EUwideConstants!$Q:$Q,0))))</f>
        <v/>
      </c>
      <c r="Z1915" s="546" t="str">
        <f>IF(ISBLANK(F1915),"",IF(F1915=EUconst_NA,"",INDEX(EUwideConstants!$H:$M,MATCH(T1915,EUwideConstants!$Q:$Q,0),MATCH(F1915,CNTR_TierList,0))))</f>
        <v/>
      </c>
      <c r="AA1915" s="586" t="str">
        <f>IF(F1915=1,1,"")</f>
        <v/>
      </c>
      <c r="AB1915" s="30"/>
      <c r="AC1915" s="548" t="b">
        <f>AND(AC1908,Y1915&lt;&gt;EUconst_NA)</f>
        <v>0</v>
      </c>
      <c r="AD1915" s="30"/>
      <c r="AE1915" s="563"/>
      <c r="AG1915" s="564"/>
      <c r="AH1915" s="553"/>
      <c r="AI1915" s="565"/>
      <c r="AJ1915" s="553"/>
      <c r="AK1915" s="566"/>
      <c r="AL1915" s="333"/>
      <c r="AM1915" s="549" t="str">
        <f>EUconst_CNTR_BiomassContent&amp;EUconst_Value</f>
        <v>BioC_Vertė</v>
      </c>
      <c r="AO1915" s="587" t="str">
        <f>IF(AC1915=TRUE,IF(COUNTIF(MSPara_SourceStreamCategory,V1915)=0,"",INDEX(MSPara_CalcFactorsMatrix,MATCH(V1915,MSPara_SourceStreamCategory,0),MATCH(AM1915&amp;"_"&amp;2,MSPara_CalcFactors,0))),"")</f>
        <v/>
      </c>
      <c r="AP1915" s="553"/>
      <c r="AQ1915" s="568" t="str">
        <f>IF(OR(AA1915="",AO1915=EUconst_NA),"",AO1915)</f>
        <v/>
      </c>
      <c r="AR1915" s="548">
        <f>IF(AC1915=TRUE,IF(COUNT(K1915:L1915)=0,0,IF(L1915="",K1915,L1915)),0)</f>
        <v>0</v>
      </c>
      <c r="AS1915" s="544" t="b">
        <f>AND(AC1915=TRUE,OR(AND(F1915&lt;&gt;"",NOT(ISNUMBER(AA1915))),L1915&lt;&gt;"",F1915="",AQ1915=""))</f>
        <v>0</v>
      </c>
      <c r="AT1915" s="544" t="b">
        <f t="shared" si="478"/>
        <v>0</v>
      </c>
      <c r="AU1915" s="30"/>
      <c r="AV1915" s="558" t="b">
        <f t="shared" si="479"/>
        <v>0</v>
      </c>
      <c r="AW1915" s="559" t="b">
        <f t="shared" si="480"/>
        <v>0</v>
      </c>
      <c r="AX1915" s="30"/>
      <c r="AY1915" s="585" t="b">
        <f t="shared" si="481"/>
        <v>0</v>
      </c>
      <c r="AZ1915" s="522" t="b">
        <f>OR(AR1915&gt;100%,(AR1915+AR1916)&gt;100%)</f>
        <v>0</v>
      </c>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544" t="b">
        <f>OR(BZ1908,Y1915=EUconst_NA)</f>
        <v>1</v>
      </c>
    </row>
    <row r="1916" spans="1:78" s="140" customFormat="1" ht="12.75" customHeight="1" thickBot="1" x14ac:dyDescent="0.25">
      <c r="A1916" s="777"/>
      <c r="B1916" s="1248"/>
      <c r="C1916" s="753" t="s">
        <v>448</v>
      </c>
      <c r="D1916" s="503" t="str">
        <f>Translations!$B$647</f>
        <v>Netvarios BioC dalis:</v>
      </c>
      <c r="E1916" s="504"/>
      <c r="F1916" s="588"/>
      <c r="G1916" s="1603" t="str">
        <f t="shared" si="476"/>
        <v/>
      </c>
      <c r="H1916" s="1604"/>
      <c r="I1916" s="1114" t="str">
        <f>IF(OR(AC1916=FALSE,Y1916=EUconst_NA),"","-")</f>
        <v/>
      </c>
      <c r="J1916" s="560"/>
      <c r="K1916" s="589" t="str">
        <f t="shared" si="477"/>
        <v/>
      </c>
      <c r="L1916" s="1100"/>
      <c r="M1916" s="700" t="str">
        <f>IF(AND(E1899&lt;&gt;"",OR(F1916="",COUNT(K1916:L1916)=0),Y1916&lt;&gt;EUconst_NA,T1899&lt;&gt;TRUE),EUconst_ERR_Incomplete,IF(COUNTIF(AX1916:AZ1916,TRUE)&gt;0,EUconst_ERR_Inconsistent,""))</f>
        <v/>
      </c>
      <c r="O1916" s="1305"/>
      <c r="P1916" s="635"/>
      <c r="Q1916" s="635"/>
      <c r="R1916" s="635"/>
      <c r="S1916" s="30"/>
      <c r="T1916" s="590" t="str">
        <f>EUconst_CNTR_BiomassContent&amp;E1899</f>
        <v>BioC_</v>
      </c>
      <c r="U1916" s="488"/>
      <c r="V1916" s="570" t="str">
        <f t="shared" si="482"/>
        <v/>
      </c>
      <c r="W1916" s="571" t="str">
        <f>IF(COUNTIF(MSPara_SourceStreamCategory,V1916)=0,"",INDEX(MSPara_IsFossil,MATCH(V1916,MSPara_SourceStreamCategory,0)))</f>
        <v/>
      </c>
      <c r="X1916" s="488"/>
      <c r="Y1916" s="591" t="str">
        <f>IF(OR(T1899=TRUE,E1899=""),"",IF(OR(W1916=TRUE,F1916=EUconst_NA),EUconst_NA,INDEX(EUwideConstants!$N:$N,MATCH(T1916,EUwideConstants!$Q:$Q,0))))</f>
        <v/>
      </c>
      <c r="Z1916" s="592" t="str">
        <f>IF(ISBLANK(F1916),"",IF(F1916=EUconst_NA,"",INDEX(EUwideConstants!$H:$M,MATCH(T1916,EUwideConstants!$Q:$Q,0),MATCH(F1916,CNTR_TierList,0))))</f>
        <v/>
      </c>
      <c r="AA1916" s="593" t="str">
        <f>IF(F1916=1,1,"")</f>
        <v/>
      </c>
      <c r="AB1916" s="30"/>
      <c r="AC1916" s="594" t="b">
        <f>AND(AC1908,Y1916&lt;&gt;EUconst_NA)</f>
        <v>0</v>
      </c>
      <c r="AD1916" s="30"/>
      <c r="AE1916" s="595"/>
      <c r="AF1916" s="596"/>
      <c r="AG1916" s="597"/>
      <c r="AH1916" s="598"/>
      <c r="AI1916" s="598"/>
      <c r="AJ1916" s="598"/>
      <c r="AK1916" s="599"/>
      <c r="AL1916" s="333"/>
      <c r="AM1916" s="600" t="str">
        <f>EUconst_CNTR_BiomassContent&amp;EUconst_Value</f>
        <v>BioC_Vertė</v>
      </c>
      <c r="AN1916" s="596"/>
      <c r="AO1916" s="601" t="str">
        <f>IF(AC1916=TRUE,IF(COUNTIF(MSPara_SourceStreamCategory,V1916)=0,"",INDEX(MSPara_CalcFactorsMatrix,MATCH(V1916,MSPara_SourceStreamCategory,0),MATCH(AM1916&amp;"_"&amp;2,MSPara_CalcFactors,0))),"")</f>
        <v/>
      </c>
      <c r="AP1916" s="598"/>
      <c r="AQ1916" s="602" t="str">
        <f>IF(OR(AA1916="",AO1916=EUconst_NA),"",AO1916)</f>
        <v/>
      </c>
      <c r="AR1916" s="594">
        <f>IF(AC1916=TRUE,IF(COUNT(K1916:L1916)=0,0,IF(L1916="",K1916,L1916)),0)</f>
        <v>0</v>
      </c>
      <c r="AS1916" s="603" t="b">
        <f>AND(AC1916=TRUE,OR(AND(F1916&lt;&gt;"",NOT(ISNUMBER(AA1916))),L1916&lt;&gt;"",F1916="",AQ1916=""))</f>
        <v>0</v>
      </c>
      <c r="AT1916" s="603" t="b">
        <f t="shared" si="478"/>
        <v>0</v>
      </c>
      <c r="AU1916" s="30"/>
      <c r="AV1916" s="604" t="b">
        <f t="shared" si="479"/>
        <v>0</v>
      </c>
      <c r="AW1916" s="605" t="b">
        <f t="shared" si="480"/>
        <v>0</v>
      </c>
      <c r="AX1916" s="30"/>
      <c r="AY1916" s="570" t="b">
        <f t="shared" si="481"/>
        <v>0</v>
      </c>
      <c r="AZ1916" s="571" t="b">
        <f>OR(AR1915&gt;100%,(AR1915+AR1916)&gt;100%)</f>
        <v>0</v>
      </c>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571" t="b">
        <f>OR(BZ1908,Y1916=EUconst_NA)</f>
        <v>1</v>
      </c>
    </row>
    <row r="1917" spans="1:78" s="140" customFormat="1" ht="5.0999999999999996" customHeight="1" x14ac:dyDescent="0.2">
      <c r="A1917" s="777"/>
      <c r="B1917" s="1248"/>
      <c r="C1917" s="164"/>
      <c r="D1917" s="178"/>
      <c r="O1917" s="1305"/>
      <c r="P1917" s="33"/>
      <c r="Q1917" s="33"/>
      <c r="R1917" s="33"/>
      <c r="S1917" s="172"/>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row>
    <row r="1918" spans="1:78" s="140" customFormat="1" ht="12.75" customHeight="1" x14ac:dyDescent="0.2">
      <c r="A1918" s="777"/>
      <c r="B1918" s="1248"/>
      <c r="C1918" s="164"/>
      <c r="D1918" s="1629" t="str">
        <f>Translations!$B$674</f>
        <v>Pakopos galioja nuo:</v>
      </c>
      <c r="E1918" s="1629"/>
      <c r="F1918" s="1630"/>
      <c r="G1918" s="1014"/>
      <c r="H1918" s="606" t="str">
        <f>Translations!$B$675</f>
        <v>iki:</v>
      </c>
      <c r="I1918" s="1014"/>
      <c r="J1918" s="1620" t="str">
        <f>Translations!$B$676</f>
        <v>Atliekų katalogo numeris (jeigu taikytina):</v>
      </c>
      <c r="K1918" s="1621"/>
      <c r="L1918" s="1621"/>
      <c r="M1918" s="1622"/>
      <c r="N1918" s="1232"/>
      <c r="O1918" s="1305"/>
      <c r="P1918" s="33"/>
      <c r="Q1918" s="33"/>
      <c r="R1918" s="33"/>
      <c r="S1918" s="1233"/>
      <c r="T1918" s="483"/>
      <c r="U1918" s="483"/>
      <c r="V1918" s="48" t="b">
        <f>IF(V1908="",FALSE,INDEX(CNTR_IsWaste,MATCH(V1908,MSParameters!$A$218:$A$376,0)))</f>
        <v>0</v>
      </c>
      <c r="W1918" s="1233" t="s">
        <v>1689</v>
      </c>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2" t="b">
        <f>BZ1908</f>
        <v>1</v>
      </c>
    </row>
    <row r="1919" spans="1:78" s="140" customFormat="1" ht="5.0999999999999996" customHeight="1" x14ac:dyDescent="0.2">
      <c r="A1919" s="777"/>
      <c r="B1919" s="1248"/>
      <c r="C1919" s="164"/>
      <c r="D1919" s="606"/>
      <c r="E1919" s="486"/>
      <c r="F1919" s="486"/>
      <c r="G1919" s="486"/>
      <c r="H1919" s="486"/>
      <c r="I1919" s="486"/>
      <c r="J1919" s="486"/>
      <c r="K1919" s="486"/>
      <c r="L1919" s="486"/>
      <c r="M1919" s="486"/>
      <c r="N1919" s="486"/>
      <c r="O1919" s="1305"/>
      <c r="P1919" s="33"/>
      <c r="Q1919" s="33"/>
      <c r="R1919" s="33"/>
      <c r="S1919" s="172"/>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row>
    <row r="1920" spans="1:78" s="140" customFormat="1" ht="12.75" customHeight="1" x14ac:dyDescent="0.2">
      <c r="A1920" s="777"/>
      <c r="B1920" s="1248"/>
      <c r="C1920" s="164"/>
      <c r="D1920" s="486"/>
      <c r="E1920" s="486"/>
      <c r="F1920" s="486"/>
      <c r="G1920" s="486"/>
      <c r="H1920" s="486"/>
      <c r="I1920" s="486"/>
      <c r="J1920" s="486"/>
      <c r="K1920" s="486"/>
      <c r="L1920" s="486"/>
      <c r="M1920" s="606" t="str">
        <f>Translations!$B$677</f>
        <v>Stebėsenos plane šiam sukėlikliui suteiktas identifikatorius:</v>
      </c>
      <c r="N1920" s="705"/>
      <c r="O1920" s="1305"/>
      <c r="P1920" s="33"/>
      <c r="Q1920" s="33"/>
      <c r="R1920" s="33"/>
      <c r="S1920" s="172"/>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2" t="b">
        <f>BZ1918</f>
        <v>1</v>
      </c>
    </row>
    <row r="1921" spans="1:78" s="140" customFormat="1" ht="5.0999999999999996" customHeight="1" x14ac:dyDescent="0.2">
      <c r="A1921" s="784"/>
      <c r="B1921" s="1316"/>
      <c r="D1921" s="178"/>
      <c r="O1921" s="1317"/>
      <c r="P1921" s="488"/>
      <c r="Q1921" s="488"/>
      <c r="R1921" s="488"/>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row>
    <row r="1922" spans="1:78" s="140" customFormat="1" x14ac:dyDescent="0.2">
      <c r="A1922" s="784"/>
      <c r="B1922" s="1316"/>
      <c r="D1922" s="1618" t="str">
        <f>Translations!$B$160</f>
        <v>Pastabos:</v>
      </c>
      <c r="E1922" s="1619"/>
      <c r="F1922" s="1605"/>
      <c r="G1922" s="1606"/>
      <c r="H1922" s="1606"/>
      <c r="I1922" s="1606"/>
      <c r="J1922" s="1606"/>
      <c r="K1922" s="1606"/>
      <c r="L1922" s="1606"/>
      <c r="M1922" s="1606"/>
      <c r="N1922" s="1607"/>
      <c r="O1922" s="1317"/>
      <c r="P1922" s="488"/>
      <c r="Q1922" s="488"/>
      <c r="R1922" s="488"/>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2" t="b">
        <f>BZ1918</f>
        <v>1</v>
      </c>
    </row>
    <row r="1923" spans="1:78" s="28" customFormat="1" ht="12.75" customHeight="1" thickBot="1" x14ac:dyDescent="0.25">
      <c r="A1923" s="777"/>
      <c r="B1923" s="1312"/>
      <c r="C1923" s="490"/>
      <c r="D1923" s="491"/>
      <c r="E1923" s="492"/>
      <c r="F1923" s="490"/>
      <c r="G1923" s="493"/>
      <c r="H1923" s="493"/>
      <c r="I1923" s="493"/>
      <c r="J1923" s="493"/>
      <c r="K1923" s="493"/>
      <c r="L1923" s="493"/>
      <c r="M1923" s="493"/>
      <c r="N1923" s="493"/>
      <c r="O1923" s="1313"/>
      <c r="P1923" s="485"/>
      <c r="Q1923" s="485"/>
      <c r="R1923" s="485"/>
      <c r="S1923" s="58"/>
      <c r="T1923" s="58"/>
      <c r="U1923" s="489"/>
      <c r="V1923" s="58"/>
      <c r="W1923" s="58"/>
      <c r="X1923" s="489"/>
      <c r="Y1923" s="58"/>
      <c r="Z1923" s="58"/>
      <c r="AA1923" s="58"/>
      <c r="AB1923" s="58"/>
      <c r="AC1923" s="58"/>
      <c r="AD1923" s="58"/>
      <c r="AE1923" s="58"/>
      <c r="AF1923" s="58"/>
      <c r="AG1923" s="58"/>
      <c r="AH1923" s="58"/>
      <c r="AI1923" s="58"/>
      <c r="AJ1923" s="58"/>
      <c r="AK1923" s="58"/>
      <c r="AL1923" s="58"/>
      <c r="AM1923" s="58"/>
      <c r="AN1923" s="58"/>
      <c r="AO1923" s="58"/>
      <c r="AP1923" s="58"/>
      <c r="AQ1923" s="58"/>
      <c r="AR1923" s="58"/>
      <c r="AS1923" s="58"/>
      <c r="AT1923" s="58"/>
      <c r="AU1923" s="58"/>
      <c r="AV1923" s="58"/>
      <c r="AW1923" s="58"/>
      <c r="AX1923" s="58"/>
      <c r="AY1923" s="58"/>
      <c r="AZ1923" s="58"/>
      <c r="BA1923" s="58"/>
      <c r="BB1923" s="58"/>
      <c r="BC1923" s="58"/>
      <c r="BD1923" s="58"/>
      <c r="BE1923" s="58"/>
      <c r="BF1923" s="58"/>
      <c r="BG1923" s="58"/>
      <c r="BH1923" s="58"/>
      <c r="BI1923" s="30"/>
      <c r="BJ1923" s="30"/>
      <c r="BK1923" s="30"/>
      <c r="BL1923" s="58"/>
      <c r="BM1923" s="58"/>
      <c r="BN1923" s="58"/>
      <c r="BO1923" s="58"/>
      <c r="BP1923" s="58"/>
      <c r="BQ1923" s="58"/>
      <c r="BR1923" s="58"/>
      <c r="BS1923" s="58"/>
      <c r="BT1923" s="58"/>
      <c r="BU1923" s="58"/>
      <c r="BV1923" s="58"/>
      <c r="BW1923" s="58"/>
      <c r="BX1923" s="58"/>
      <c r="BY1923" s="58"/>
      <c r="BZ1923" s="58"/>
    </row>
    <row r="1924" spans="1:78" s="28" customFormat="1" ht="12.75" customHeight="1" thickBot="1" x14ac:dyDescent="0.25">
      <c r="A1924" s="782"/>
      <c r="B1924" s="1312"/>
      <c r="C1924" s="486"/>
      <c r="D1924" s="178"/>
      <c r="E1924" s="487"/>
      <c r="F1924" s="486"/>
      <c r="G1924" s="478"/>
      <c r="H1924" s="478"/>
      <c r="I1924" s="478"/>
      <c r="J1924" s="478"/>
      <c r="K1924" s="486"/>
      <c r="L1924" s="478"/>
      <c r="M1924" s="478"/>
      <c r="N1924" s="478"/>
      <c r="O1924" s="1313"/>
      <c r="P1924" s="485"/>
      <c r="Q1924" s="485"/>
      <c r="R1924" s="485"/>
      <c r="S1924" s="23"/>
      <c r="T1924" s="27" t="str">
        <f>IF(ISBLANK(E1925),"",MATCH(E1925,CNTR_SourceStreamNames,0))</f>
        <v/>
      </c>
      <c r="U1924" s="609" t="str">
        <f>IF(ISBLANK(E1925),"",INDEX(B_InstallationDescription!$D$71:$D$145,MATCH(E1925,CNTR_SourceStreamNames,0)))</f>
        <v/>
      </c>
      <c r="V1924" s="76"/>
      <c r="W1924" s="56"/>
      <c r="X1924" s="56"/>
      <c r="Y1924" s="56"/>
      <c r="Z1924" s="58"/>
      <c r="AA1924" s="58"/>
      <c r="AB1924" s="58"/>
      <c r="AC1924" s="58"/>
      <c r="AD1924" s="58"/>
      <c r="AE1924" s="58"/>
      <c r="AF1924" s="58"/>
      <c r="AG1924" s="58"/>
      <c r="AH1924" s="58"/>
      <c r="AI1924" s="58"/>
      <c r="AJ1924" s="58"/>
      <c r="AK1924" s="482"/>
      <c r="AL1924" s="58"/>
      <c r="AM1924" s="58"/>
      <c r="AN1924" s="58"/>
      <c r="AO1924" s="58"/>
      <c r="AP1924" s="58"/>
      <c r="AQ1924" s="58"/>
      <c r="AR1924" s="58"/>
      <c r="AS1924" s="58"/>
      <c r="AT1924" s="58"/>
      <c r="AU1924" s="58"/>
      <c r="AV1924" s="58"/>
      <c r="AW1924" s="58"/>
      <c r="AX1924" s="58"/>
      <c r="AY1924" s="58"/>
      <c r="AZ1924" s="58"/>
      <c r="BA1924" s="58"/>
      <c r="BB1924" s="58"/>
      <c r="BC1924" s="58"/>
      <c r="BD1924" s="58"/>
      <c r="BE1924" s="58"/>
      <c r="BF1924" s="58"/>
      <c r="BG1924" s="58"/>
      <c r="BH1924" s="56"/>
      <c r="BI1924" s="56"/>
      <c r="BJ1924" s="56"/>
      <c r="BK1924" s="56"/>
      <c r="BL1924" s="56"/>
      <c r="BM1924" s="56"/>
      <c r="BN1924" s="56"/>
      <c r="BO1924" s="56"/>
      <c r="BP1924" s="56"/>
      <c r="BQ1924" s="56"/>
      <c r="BR1924" s="56"/>
      <c r="BS1924" s="56"/>
      <c r="BT1924" s="56"/>
      <c r="BU1924" s="56"/>
      <c r="BV1924" s="56"/>
      <c r="BW1924" s="56"/>
      <c r="BX1924" s="56"/>
      <c r="BY1924" s="56"/>
      <c r="BZ1924" s="484" t="s">
        <v>259</v>
      </c>
    </row>
    <row r="1925" spans="1:78" s="140" customFormat="1" ht="15" customHeight="1" thickBot="1" x14ac:dyDescent="0.25">
      <c r="A1925" s="1302" t="str">
        <f>IF(E1925="","","PRINT")</f>
        <v/>
      </c>
      <c r="B1925" s="1248"/>
      <c r="C1925" s="608">
        <f>C1898+1</f>
        <v>70</v>
      </c>
      <c r="D1925" s="164"/>
      <c r="E1925" s="1610"/>
      <c r="F1925" s="1611"/>
      <c r="G1925" s="1611"/>
      <c r="H1925" s="1611"/>
      <c r="I1925" s="1611"/>
      <c r="J1925" s="1612"/>
      <c r="K1925" s="1623" t="str">
        <f>IF(E1926="","",INDEX(EUwideConstants!$F$353:$F$394,MATCH(E1926,EUConst_TierActivityListNames,0)))</f>
        <v/>
      </c>
      <c r="L1925" s="1624"/>
      <c r="M1925" s="494" t="str">
        <f>Translations!$B$665</f>
        <v>CO2, iškastinio kuro kilmės:</v>
      </c>
      <c r="N1925" s="1012" t="str">
        <f>IF(OR(K1925="",T1926=TRUE),"",INDEX(BC1939:BE1939,MATCH(K1925,BC1935:BE1935,0)))</f>
        <v/>
      </c>
      <c r="O1925" s="1314" t="s">
        <v>257</v>
      </c>
      <c r="P1925" s="1303" t="str">
        <f>IF(AND(E1925&lt;&gt;"",COUNTIF(P1926:$P$2089,"PRINT")=0),"PRINT","")</f>
        <v/>
      </c>
      <c r="Q1925" s="343" t="str">
        <f>EUconst_SumCO2 &amp; "_" &amp; K1925</f>
        <v>SUM_CO2_</v>
      </c>
      <c r="R1925" s="485"/>
      <c r="S1925" s="23"/>
      <c r="T1925" s="500" t="s">
        <v>387</v>
      </c>
      <c r="U1925" s="23"/>
      <c r="V1925" s="76"/>
      <c r="W1925" s="56"/>
      <c r="X1925" s="58"/>
      <c r="Y1925" s="58"/>
      <c r="Z1925" s="58"/>
      <c r="AA1925" s="58"/>
      <c r="AB1925" s="58"/>
      <c r="AC1925" s="58"/>
      <c r="AD1925" s="58"/>
      <c r="AE1925" s="58"/>
      <c r="AF1925" s="58"/>
      <c r="AG1925" s="58"/>
      <c r="AH1925" s="58"/>
      <c r="AI1925" s="333"/>
      <c r="AJ1925" s="333"/>
      <c r="AK1925" s="333"/>
      <c r="AL1925" s="333"/>
      <c r="AM1925" s="333"/>
      <c r="AN1925" s="333"/>
      <c r="AO1925" s="333"/>
      <c r="AP1925" s="333"/>
      <c r="AQ1925" s="333"/>
      <c r="AR1925" s="333"/>
      <c r="AS1925" s="333"/>
      <c r="AT1925" s="333"/>
      <c r="AU1925" s="333"/>
      <c r="AV1925" s="333"/>
      <c r="AW1925" s="333"/>
      <c r="AX1925" s="333"/>
      <c r="AY1925" s="333"/>
      <c r="AZ1925" s="333"/>
      <c r="BA1925" s="333"/>
      <c r="BB1925" s="333"/>
      <c r="BC1925" s="333"/>
      <c r="BD1925" s="333"/>
      <c r="BE1925" s="333"/>
      <c r="BF1925" s="333"/>
      <c r="BG1925" s="333"/>
      <c r="BH1925" s="834">
        <f>AR1935</f>
        <v>0</v>
      </c>
      <c r="BI1925" s="834" t="str">
        <f>AJ1935</f>
        <v/>
      </c>
      <c r="BJ1925" s="834">
        <f>AR1937</f>
        <v>0</v>
      </c>
      <c r="BK1925" s="834" t="str">
        <f>AJ1937</f>
        <v/>
      </c>
      <c r="BL1925" s="834">
        <f>AR1938</f>
        <v>0</v>
      </c>
      <c r="BM1925" s="834" t="str">
        <f>AJ1938</f>
        <v/>
      </c>
      <c r="BN1925" s="834">
        <f>AR1939</f>
        <v>1</v>
      </c>
      <c r="BO1925" s="834">
        <f>AR1940</f>
        <v>1</v>
      </c>
      <c r="BP1925" s="834">
        <f>AR1941</f>
        <v>0</v>
      </c>
      <c r="BQ1925" s="834" t="str">
        <f>AJ1941</f>
        <v/>
      </c>
      <c r="BR1925" s="834">
        <f>AR1942</f>
        <v>0</v>
      </c>
      <c r="BS1925" s="834">
        <f>AR1943</f>
        <v>0</v>
      </c>
      <c r="BT1925" s="834" t="str">
        <f>N1925</f>
        <v/>
      </c>
      <c r="BU1925" s="834" t="str">
        <f>N1926</f>
        <v/>
      </c>
      <c r="BV1925" s="834" t="str">
        <f>R1928</f>
        <v/>
      </c>
      <c r="BW1925" s="834" t="str">
        <f>R1934</f>
        <v/>
      </c>
      <c r="BX1925" s="834" t="str">
        <f>R1935</f>
        <v/>
      </c>
      <c r="BY1925" s="56"/>
      <c r="BZ1925" s="610" t="b">
        <f>CNTR_CalcRelevant=EUconst_NotRelevant</f>
        <v>0</v>
      </c>
    </row>
    <row r="1926" spans="1:78" s="140" customFormat="1" ht="15" customHeight="1" thickBot="1" x14ac:dyDescent="0.25">
      <c r="A1926" s="777"/>
      <c r="B1926" s="1248"/>
      <c r="C1926" s="164"/>
      <c r="D1926" s="164"/>
      <c r="E1926" s="1625" t="str">
        <f>IF(ISBLANK(E1925),"",IF(INDEX(B_InstallationDescription!$E$71:$E$145,MATCH(U1924,B_InstallationDescription!$D$71:$D$145,0))&gt;0,INDEX(B_InstallationDescription!$E$71:$E$145,MATCH(U1924,B_InstallationDescription!$D$71:$D$145,0)),""))</f>
        <v/>
      </c>
      <c r="F1926" s="1626"/>
      <c r="G1926" s="1626"/>
      <c r="H1926" s="1626"/>
      <c r="I1926" s="1626"/>
      <c r="J1926" s="1627"/>
      <c r="M1926" s="337" t="str">
        <f>Translations!$B$666</f>
        <v>CO2, biomasės kilmės.:</v>
      </c>
      <c r="N1926" s="1013" t="str">
        <f>IF(OR(K1925="",T1926=TRUE),"",INDEX(BC1938:BE1938,MATCH(K1925,BC1935:BE1935,0)))</f>
        <v/>
      </c>
      <c r="O1926" s="1315" t="s">
        <v>257</v>
      </c>
      <c r="P1926" s="485"/>
      <c r="Q1926" s="343" t="str">
        <f>EUconst_SumBioCO2 &amp; "_" &amp; K1925</f>
        <v>SUM_bioCO2_</v>
      </c>
      <c r="R1926" s="485"/>
      <c r="S1926" s="23"/>
      <c r="T1926" s="48" t="str">
        <f>IF(E1926="","",MATCH(E1926,EUConst_TierActivityListNames,0)&gt;40)</f>
        <v/>
      </c>
      <c r="U1926" s="23"/>
      <c r="V1926" s="76"/>
      <c r="W1926" s="56"/>
      <c r="X1926" s="58"/>
      <c r="Y1926" s="27" t="s">
        <v>91</v>
      </c>
      <c r="Z1926" s="30"/>
      <c r="AA1926" s="30"/>
      <c r="AB1926" s="30"/>
      <c r="AC1926" s="30"/>
      <c r="AD1926" s="30"/>
      <c r="AE1926" s="27" t="s">
        <v>297</v>
      </c>
      <c r="AF1926" s="58"/>
      <c r="AG1926" s="495"/>
      <c r="AH1926" s="30"/>
      <c r="AI1926" s="30"/>
      <c r="AJ1926" s="495"/>
      <c r="AK1926" s="495"/>
      <c r="AL1926" s="333"/>
      <c r="AM1926" s="27" t="s">
        <v>303</v>
      </c>
      <c r="AN1926" s="496"/>
      <c r="AO1926" s="496"/>
      <c r="AP1926" s="30"/>
      <c r="AQ1926" s="30"/>
      <c r="AR1926" s="30"/>
      <c r="AS1926" s="30"/>
      <c r="AT1926" s="30"/>
      <c r="AU1926" s="30"/>
      <c r="AV1926" s="27" t="s">
        <v>310</v>
      </c>
      <c r="AW1926" s="30"/>
      <c r="AX1926" s="483"/>
      <c r="AY1926" s="30"/>
      <c r="AZ1926" s="30"/>
      <c r="BA1926" s="30"/>
      <c r="BB1926" s="27" t="s">
        <v>217</v>
      </c>
      <c r="BC1926" s="30"/>
      <c r="BD1926" s="30"/>
      <c r="BE1926" s="30"/>
      <c r="BF1926" s="30"/>
      <c r="BG1926" s="27" t="s">
        <v>486</v>
      </c>
      <c r="BH1926" s="833" t="s">
        <v>552</v>
      </c>
      <c r="BI1926" s="833" t="s">
        <v>487</v>
      </c>
      <c r="BJ1926" s="833" t="s">
        <v>211</v>
      </c>
      <c r="BK1926" s="833" t="s">
        <v>488</v>
      </c>
      <c r="BL1926" s="833" t="s">
        <v>68</v>
      </c>
      <c r="BM1926" s="833" t="s">
        <v>489</v>
      </c>
      <c r="BN1926" s="833" t="s">
        <v>490</v>
      </c>
      <c r="BO1926" s="833" t="s">
        <v>491</v>
      </c>
      <c r="BP1926" s="833" t="s">
        <v>214</v>
      </c>
      <c r="BQ1926" s="833" t="s">
        <v>492</v>
      </c>
      <c r="BR1926" s="833" t="s">
        <v>493</v>
      </c>
      <c r="BS1926" s="833" t="s">
        <v>494</v>
      </c>
      <c r="BT1926" s="833" t="s">
        <v>287</v>
      </c>
      <c r="BU1926" s="833" t="s">
        <v>495</v>
      </c>
      <c r="BV1926" s="833" t="s">
        <v>498</v>
      </c>
      <c r="BW1926" s="833" t="s">
        <v>496</v>
      </c>
      <c r="BX1926" s="833" t="s">
        <v>497</v>
      </c>
      <c r="BY1926" s="30"/>
      <c r="BZ1926" s="30"/>
    </row>
    <row r="1927" spans="1:78" s="140" customFormat="1" ht="5.0999999999999996" customHeight="1" thickBot="1" x14ac:dyDescent="0.25">
      <c r="A1927" s="777"/>
      <c r="B1927" s="1248"/>
      <c r="C1927" s="164"/>
      <c r="D1927" s="164"/>
      <c r="E1927" s="164"/>
      <c r="F1927" s="164"/>
      <c r="G1927" s="164"/>
      <c r="M1927" s="141"/>
      <c r="N1927" s="141"/>
      <c r="O1927" s="1305"/>
      <c r="P1927" s="33"/>
      <c r="Q1927" s="33"/>
      <c r="R1927" s="33"/>
      <c r="S1927" s="23"/>
      <c r="T1927" s="23"/>
      <c r="U1927" s="23"/>
      <c r="V1927" s="76"/>
      <c r="W1927" s="30"/>
      <c r="X1927" s="30"/>
      <c r="Y1927" s="485"/>
      <c r="Z1927" s="30"/>
      <c r="AA1927" s="30"/>
      <c r="AB1927" s="30"/>
      <c r="AC1927" s="30"/>
      <c r="AD1927" s="30"/>
      <c r="AE1927" s="30"/>
      <c r="AF1927" s="58"/>
      <c r="AG1927" s="30"/>
      <c r="AH1927" s="30"/>
      <c r="AI1927" s="30"/>
      <c r="AJ1927" s="495"/>
      <c r="AK1927" s="495"/>
      <c r="AL1927" s="333"/>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row>
    <row r="1928" spans="1:78" s="140" customFormat="1" ht="12.75" customHeight="1" thickBot="1" x14ac:dyDescent="0.25">
      <c r="A1928" s="777"/>
      <c r="B1928" s="1248"/>
      <c r="C1928" s="164"/>
      <c r="D1928" s="164"/>
      <c r="E1928" s="1628" t="str">
        <f>IF(E1925="","",IF(T1926=TRUE,HYPERLINK("#JUMP_14",EUconst_MsgGoOnPFC),HYPERLINK("#JUMP_E_8",EUconst_FurtherGuidancePoint1)))</f>
        <v/>
      </c>
      <c r="F1928" s="1628"/>
      <c r="G1928" s="1628"/>
      <c r="H1928" s="1628"/>
      <c r="I1928" s="1628"/>
      <c r="J1928" s="1628"/>
      <c r="K1928" s="1628"/>
      <c r="L1928" s="1628"/>
      <c r="M1928" s="1628"/>
      <c r="N1928" s="141"/>
      <c r="O1928" s="1305"/>
      <c r="P1928" s="33"/>
      <c r="Q1928" s="343" t="str">
        <f>EUconst_SumNonSustBioCO2 &amp; "_" &amp; K1925</f>
        <v>SUM_bioNonSustCO2_</v>
      </c>
      <c r="R1928" s="698" t="str">
        <f>IF(OR(K1925="",T1926=TRUE),"",ROUND(INDEX(BC1937:BE1937,MATCH(K1925,BC1935:BE1935,0)),0))</f>
        <v/>
      </c>
      <c r="S1928" s="23"/>
      <c r="T1928" s="23"/>
      <c r="U1928" s="23"/>
      <c r="V1928" s="30"/>
      <c r="W1928" s="30"/>
      <c r="X1928" s="30"/>
      <c r="Y1928" s="58"/>
      <c r="Z1928" s="30"/>
      <c r="AA1928" s="30"/>
      <c r="AB1928" s="30"/>
      <c r="AC1928" s="30"/>
      <c r="AD1928" s="30"/>
      <c r="AE1928" s="30"/>
      <c r="AF1928" s="58"/>
      <c r="AG1928" s="30"/>
      <c r="AH1928" s="30"/>
      <c r="AI1928" s="30"/>
      <c r="AJ1928" s="495"/>
      <c r="AK1928" s="495"/>
      <c r="AL1928" s="333"/>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row>
    <row r="1929" spans="1:78" s="140" customFormat="1" ht="5.0999999999999996" customHeight="1" thickBot="1" x14ac:dyDescent="0.25">
      <c r="A1929" s="777"/>
      <c r="B1929" s="1248"/>
      <c r="C1929" s="164"/>
      <c r="D1929" s="164"/>
      <c r="E1929" s="164"/>
      <c r="F1929" s="164"/>
      <c r="G1929" s="164"/>
      <c r="M1929" s="141"/>
      <c r="N1929" s="141"/>
      <c r="O1929" s="1305"/>
      <c r="P1929" s="23"/>
      <c r="Q1929" s="23"/>
      <c r="R1929" s="23"/>
      <c r="S1929" s="23"/>
      <c r="T1929" s="23"/>
      <c r="U1929" s="23"/>
      <c r="V1929" s="30"/>
      <c r="W1929" s="30"/>
      <c r="X1929" s="30"/>
      <c r="Y1929" s="485"/>
      <c r="Z1929" s="30"/>
      <c r="AA1929" s="30"/>
      <c r="AB1929" s="30"/>
      <c r="AC1929" s="30"/>
      <c r="AD1929" s="30"/>
      <c r="AE1929" s="30"/>
      <c r="AF1929" s="58"/>
      <c r="AG1929" s="30"/>
      <c r="AH1929" s="30"/>
      <c r="AI1929" s="30"/>
      <c r="AJ1929" s="495"/>
      <c r="AK1929" s="495"/>
      <c r="AL1929" s="333"/>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row>
    <row r="1930" spans="1:78" s="140" customFormat="1" ht="12.75" customHeight="1" thickBot="1" x14ac:dyDescent="0.25">
      <c r="A1930" s="777"/>
      <c r="B1930" s="1248"/>
      <c r="C1930" s="783" t="s">
        <v>4</v>
      </c>
      <c r="D1930" s="503" t="str">
        <f>Translations!$B$622</f>
        <v>VD:</v>
      </c>
      <c r="E1930" s="1631" t="str">
        <f>Translations!$B$667</f>
        <v>Ar veiklos duomenys gaunami sudedant išmatuotus kiekius (t. y. ne atliekant nuolatinius matavimus)?</v>
      </c>
      <c r="F1930" s="1631"/>
      <c r="G1930" s="1631"/>
      <c r="H1930" s="1631"/>
      <c r="I1930" s="1631"/>
      <c r="J1930" s="1631"/>
      <c r="K1930" s="1631"/>
      <c r="L1930" s="1122"/>
      <c r="M1930" s="498"/>
      <c r="O1930" s="1305"/>
      <c r="P1930" s="23"/>
      <c r="Q1930" s="23"/>
      <c r="R1930" s="23"/>
      <c r="S1930" s="23"/>
      <c r="T1930" s="23"/>
      <c r="U1930" s="23"/>
      <c r="V1930" s="30"/>
      <c r="W1930" s="30"/>
      <c r="X1930" s="30"/>
      <c r="Y1930" s="485"/>
      <c r="Z1930" s="30"/>
      <c r="AA1930" s="30"/>
      <c r="AB1930" s="30"/>
      <c r="AC1930" s="1115" t="b">
        <f>AND(E1925&lt;&gt;"",T1926&lt;&gt;TRUE)</f>
        <v>0</v>
      </c>
      <c r="AD1930" s="30"/>
      <c r="AE1930" s="30"/>
      <c r="AF1930" s="58"/>
      <c r="AG1930" s="30"/>
      <c r="AH1930" s="30"/>
      <c r="AI1930" s="30"/>
      <c r="AJ1930" s="495"/>
      <c r="AK1930" s="495"/>
      <c r="AL1930" s="333"/>
      <c r="AM1930" s="30"/>
      <c r="AN1930" s="30"/>
      <c r="AO1930" s="30"/>
      <c r="AP1930" s="30"/>
      <c r="AQ1930" s="30"/>
      <c r="AR1930" s="30"/>
      <c r="AS1930" s="30"/>
      <c r="AT1930" s="1115" t="b">
        <f>MSPara_BatchReportingMandatory&lt;&gt;TRUE</f>
        <v>0</v>
      </c>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1115" t="b">
        <f>OR(CNTR_CalcRelevant=EUconst_NotRelevant,AND(COUNTA(CNTR_ListRelevantSections)&gt;0,OR(T1926=TRUE,E1925="")))</f>
        <v>1</v>
      </c>
    </row>
    <row r="1931" spans="1:78" s="140" customFormat="1" ht="5.0999999999999996" customHeight="1" thickBot="1" x14ac:dyDescent="0.25">
      <c r="A1931" s="777"/>
      <c r="B1931" s="1248"/>
      <c r="C1931" s="164"/>
      <c r="D1931" s="164"/>
      <c r="E1931" s="164"/>
      <c r="F1931" s="164"/>
      <c r="G1931" s="164"/>
      <c r="H1931" s="486"/>
      <c r="I1931" s="486"/>
      <c r="J1931" s="486"/>
      <c r="K1931" s="486"/>
      <c r="L1931" s="486"/>
      <c r="M1931" s="498"/>
      <c r="O1931" s="1305"/>
      <c r="P1931" s="23"/>
      <c r="Q1931" s="23"/>
      <c r="R1931" s="23"/>
      <c r="S1931" s="23"/>
      <c r="T1931" s="23"/>
      <c r="U1931" s="23"/>
      <c r="V1931" s="30"/>
      <c r="W1931" s="30"/>
      <c r="X1931" s="30"/>
      <c r="Y1931" s="485"/>
      <c r="Z1931" s="30"/>
      <c r="AA1931" s="30"/>
      <c r="AB1931" s="30"/>
      <c r="AC1931" s="483"/>
      <c r="AD1931" s="30"/>
      <c r="AE1931" s="30"/>
      <c r="AF1931" s="58"/>
      <c r="AG1931" s="30"/>
      <c r="AH1931" s="30"/>
      <c r="AI1931" s="30"/>
      <c r="AJ1931" s="495"/>
      <c r="AK1931" s="495"/>
      <c r="AL1931" s="333"/>
      <c r="AM1931" s="30"/>
      <c r="AN1931" s="30"/>
      <c r="AO1931" s="30"/>
      <c r="AP1931" s="30"/>
      <c r="AQ1931" s="30"/>
      <c r="AR1931" s="30"/>
      <c r="AS1931" s="30"/>
      <c r="AT1931" s="483"/>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483"/>
    </row>
    <row r="1932" spans="1:78" s="140" customFormat="1" ht="12.75" customHeight="1" thickBot="1" x14ac:dyDescent="0.25">
      <c r="A1932" s="777"/>
      <c r="B1932" s="1248"/>
      <c r="C1932" s="783" t="s">
        <v>5</v>
      </c>
      <c r="D1932" s="503" t="str">
        <f>Translations!$B$622</f>
        <v>VD:</v>
      </c>
      <c r="E1932" s="1105" t="str">
        <f>Translations!$B$668</f>
        <v>Pradinis kiekis:</v>
      </c>
      <c r="F1932" s="1123"/>
      <c r="G1932" s="1106" t="str">
        <f>Translations!$B$669</f>
        <v>Galutinis kiekis:</v>
      </c>
      <c r="H1932" s="1123"/>
      <c r="I1932" s="1106" t="str">
        <f>Translations!$B$670</f>
        <v>Įsigytas kiekis:</v>
      </c>
      <c r="J1932" s="1123"/>
      <c r="K1932" s="1106" t="str">
        <f>Translations!$B$671</f>
        <v>Perduotas kiekis:</v>
      </c>
      <c r="L1932" s="1123"/>
      <c r="M1932" s="1107" t="str">
        <f>IF(AND(L1930=TRUE,COUNT(F1932,H1932,J1932,L1932)&lt;4),EUconst_ERR_Incomplete,"")</f>
        <v/>
      </c>
      <c r="O1932" s="1305"/>
      <c r="P1932" s="23"/>
      <c r="Q1932" s="23"/>
      <c r="R1932" s="23"/>
      <c r="S1932" s="23"/>
      <c r="T1932" s="23"/>
      <c r="U1932" s="23"/>
      <c r="V1932" s="30"/>
      <c r="W1932" s="30"/>
      <c r="X1932" s="30"/>
      <c r="Y1932" s="485"/>
      <c r="Z1932" s="30"/>
      <c r="AA1932" s="30"/>
      <c r="AB1932" s="30"/>
      <c r="AC1932" s="1115" t="b">
        <f>AC1930</f>
        <v>0</v>
      </c>
      <c r="AD1932" s="30"/>
      <c r="AE1932" s="30"/>
      <c r="AF1932" s="58"/>
      <c r="AG1932" s="30"/>
      <c r="AH1932" s="30"/>
      <c r="AI1932" s="30"/>
      <c r="AJ1932" s="495"/>
      <c r="AK1932" s="495"/>
      <c r="AL1932" s="333"/>
      <c r="AM1932" s="30"/>
      <c r="AN1932" s="30"/>
      <c r="AO1932" s="30"/>
      <c r="AP1932" s="30"/>
      <c r="AQ1932" s="30"/>
      <c r="AR1932" s="30"/>
      <c r="AS1932" s="30"/>
      <c r="AT1932" s="1115" t="b">
        <f>AND(AT1930=TRUE,L1930="")</f>
        <v>0</v>
      </c>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1115" t="b">
        <f>OR(BZ1930,AND(NOT(ISBLANK(L1930)),L1930=FALSE))</f>
        <v>1</v>
      </c>
    </row>
    <row r="1933" spans="1:78" s="140" customFormat="1" ht="5.0999999999999996" customHeight="1" thickBot="1" x14ac:dyDescent="0.25">
      <c r="A1933" s="777"/>
      <c r="B1933" s="1248"/>
      <c r="C1933" s="164"/>
      <c r="D1933" s="164"/>
      <c r="E1933" s="164"/>
      <c r="F1933" s="164"/>
      <c r="G1933" s="164"/>
      <c r="M1933" s="141"/>
      <c r="N1933" s="141"/>
      <c r="O1933" s="1305"/>
      <c r="P1933" s="23"/>
      <c r="Q1933" s="23"/>
      <c r="R1933" s="23"/>
      <c r="S1933" s="23"/>
      <c r="T1933" s="23"/>
      <c r="U1933" s="23"/>
      <c r="V1933" s="30"/>
      <c r="W1933" s="30"/>
      <c r="X1933" s="30"/>
      <c r="Y1933" s="485"/>
      <c r="Z1933" s="30"/>
      <c r="AA1933" s="30"/>
      <c r="AB1933" s="30"/>
      <c r="AC1933" s="30"/>
      <c r="AD1933" s="30"/>
      <c r="AE1933" s="30"/>
      <c r="AF1933" s="58"/>
      <c r="AG1933" s="30"/>
      <c r="AH1933" s="30"/>
      <c r="AI1933" s="30"/>
      <c r="AJ1933" s="495"/>
      <c r="AK1933" s="495"/>
      <c r="AL1933" s="333"/>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row>
    <row r="1934" spans="1:78" s="140" customFormat="1" ht="12.75" customHeight="1" thickBot="1" x14ac:dyDescent="0.25">
      <c r="A1934" s="777"/>
      <c r="B1934" s="1248"/>
      <c r="C1934" s="164"/>
      <c r="D1934" s="164"/>
      <c r="E1934" s="164"/>
      <c r="F1934" s="497" t="str">
        <f>Translations!$B$333</f>
        <v>Pakopa</v>
      </c>
      <c r="G1934" s="1613" t="str">
        <f>Translations!$B$672</f>
        <v>pakopos aprašas</v>
      </c>
      <c r="H1934" s="1613"/>
      <c r="I1934" s="1608" t="str">
        <f>Translations!$B$158</f>
        <v>Vienetas</v>
      </c>
      <c r="J1934" s="1608"/>
      <c r="K1934" s="1608" t="str">
        <f>Translations!$B$673</f>
        <v>Vertė</v>
      </c>
      <c r="L1934" s="1608"/>
      <c r="M1934" s="498" t="str">
        <f>Translations!$B$610</f>
        <v>klaida</v>
      </c>
      <c r="O1934" s="1305"/>
      <c r="P1934" s="499"/>
      <c r="Q1934" s="343" t="str">
        <f>EUconst_SumEnergyIN &amp; "_" &amp; K1925</f>
        <v>SUM_EnergyIN_</v>
      </c>
      <c r="R1934" s="390" t="str">
        <f>IF(OR(K1925="",T1926)=TRUE,"",INDEX(BC1940:BE1940,MATCH(K1925,BC1935:BE1935,0)))</f>
        <v/>
      </c>
      <c r="S1934" s="30"/>
      <c r="T1934" s="480"/>
      <c r="U1934" s="30"/>
      <c r="V1934" s="500" t="s">
        <v>298</v>
      </c>
      <c r="W1934" s="30"/>
      <c r="X1934" s="30"/>
      <c r="Y1934" s="485" t="s">
        <v>560</v>
      </c>
      <c r="Z1934" s="485" t="s">
        <v>313</v>
      </c>
      <c r="AA1934" s="30"/>
      <c r="AB1934" s="30"/>
      <c r="AC1934" s="496" t="s">
        <v>304</v>
      </c>
      <c r="AD1934" s="30"/>
      <c r="AE1934" s="30"/>
      <c r="AF1934" s="483" t="s">
        <v>300</v>
      </c>
      <c r="AG1934" s="483" t="s">
        <v>301</v>
      </c>
      <c r="AH1934" s="485" t="s">
        <v>299</v>
      </c>
      <c r="AI1934" s="495" t="s">
        <v>302</v>
      </c>
      <c r="AJ1934" s="495" t="s">
        <v>561</v>
      </c>
      <c r="AK1934" s="501" t="s">
        <v>306</v>
      </c>
      <c r="AL1934" s="333"/>
      <c r="AM1934" s="30"/>
      <c r="AN1934" s="483" t="s">
        <v>300</v>
      </c>
      <c r="AO1934" s="483" t="s">
        <v>301</v>
      </c>
      <c r="AP1934" s="502" t="s">
        <v>305</v>
      </c>
      <c r="AQ1934" s="495" t="s">
        <v>563</v>
      </c>
      <c r="AR1934" s="495" t="s">
        <v>562</v>
      </c>
      <c r="AS1934" s="501" t="s">
        <v>599</v>
      </c>
      <c r="AT1934" s="501" t="s">
        <v>599</v>
      </c>
      <c r="AU1934" s="30"/>
      <c r="AV1934" s="483"/>
      <c r="AW1934" s="483"/>
      <c r="AX1934" s="483" t="s">
        <v>316</v>
      </c>
      <c r="AY1934" s="483"/>
      <c r="AZ1934" s="483"/>
      <c r="BA1934" s="483"/>
      <c r="BB1934" s="483"/>
      <c r="BC1934" s="483"/>
      <c r="BD1934" s="483"/>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484" t="s">
        <v>259</v>
      </c>
    </row>
    <row r="1935" spans="1:78" s="140" customFormat="1" ht="12.75" customHeight="1" thickBot="1" x14ac:dyDescent="0.25">
      <c r="A1935" s="777"/>
      <c r="B1935" s="1248"/>
      <c r="C1935" s="753" t="s">
        <v>194</v>
      </c>
      <c r="D1935" s="503" t="str">
        <f>Translations!$B$622</f>
        <v>VD:</v>
      </c>
      <c r="E1935" s="504"/>
      <c r="F1935" s="393"/>
      <c r="G1935" s="1603" t="str">
        <f>IF(OR(ISBLANK(F1935),F1935=EUconst_NoTier),"",IF(Z1935=0,EUconst_NA,IF(ISERROR(Z1935),"",Z1935)))</f>
        <v/>
      </c>
      <c r="H1935" s="1604"/>
      <c r="I1935" s="1108" t="str">
        <f>IF(J1935&lt;&gt;"","",AI1935)</f>
        <v/>
      </c>
      <c r="J1935" s="1109"/>
      <c r="K1935" s="1116" t="str">
        <f>IF(L1935="",AQ1935,"")</f>
        <v/>
      </c>
      <c r="L1935" s="1199"/>
      <c r="M1935" s="700" t="str">
        <f>IF(AND(E1926&lt;&gt;"",OR(F1935="",COUNT(K1935:L1935)=0),Y1935&lt;&gt;EUconst_NA,T1926&lt;&gt;TRUE),EUconst_ERR_Incomplete,IF(COUNTIF(AX1935:AZ1935,TRUE)&gt;0,EUconst_ERR_Inconsistent,""))</f>
        <v/>
      </c>
      <c r="O1935" s="1305"/>
      <c r="P1935" s="635"/>
      <c r="Q1935" s="343" t="str">
        <f>EUconst_SumBioEnergyIN &amp; "_" &amp; K1925</f>
        <v>SUM_BioEnergyIN_</v>
      </c>
      <c r="R1935" s="390" t="str">
        <f>IF(OR(K1925="",T1926)=TRUE,"",INDEX(BC1941:BE1941,MATCH(K1925,BC1935:BE1935,0)))</f>
        <v/>
      </c>
      <c r="S1935" s="30"/>
      <c r="T1935" s="505" t="str">
        <f>EUconst_CNTR_ActivityData&amp;E1926</f>
        <v>ActivityData_</v>
      </c>
      <c r="U1935" s="488"/>
      <c r="V1935" s="505" t="str">
        <f>IF(E1925="","",INDEX(B_InstallationDescription!$I$71:$I$145,MATCH(U1924,B_InstallationDescription!$D$71:$D$145,0)))</f>
        <v/>
      </c>
      <c r="W1935" s="495" t="s">
        <v>533</v>
      </c>
      <c r="X1935" s="488"/>
      <c r="Y1935" s="506" t="str">
        <f>IF(OR(T1926=TRUE,E1926=""),"",INDEX(EUwideConstants!$N:$N,MATCH(T1935,EUwideConstants!$Q:$Q,0)))</f>
        <v/>
      </c>
      <c r="Z1935" s="507" t="str">
        <f>IF(ISBLANK(F1935),"",IF(F1935=EUconst_NA,"",INDEX(EUwideConstants!$H:$M,MATCH(T1935,EUwideConstants!$Q:$Q,0),MATCH(F1935,CNTR_TierList,0))))</f>
        <v/>
      </c>
      <c r="AA1935" s="508" t="s">
        <v>299</v>
      </c>
      <c r="AB1935" s="495"/>
      <c r="AC1935" s="509" t="b">
        <f>AC1930</f>
        <v>0</v>
      </c>
      <c r="AD1935" s="30"/>
      <c r="AE1935" s="510" t="str">
        <f>EUconst_CNTR_ActivityData&amp;EUconst_Unit</f>
        <v>ActivityData_Vienetas</v>
      </c>
      <c r="AF1935" s="511" t="str">
        <f>IF(AC1935=TRUE, IF(COUNTIF(MSPara_SourceStreamCategory,V1935)=0,"",INDEX(MSPara_CalcFactorsMatrix,MATCH(V1935,MSPara_SourceStreamCategory,0),MATCH(AE1935&amp;"_"&amp;2,MSPara_CalcFactors,0))),"")</f>
        <v/>
      </c>
      <c r="AG1935" s="512" t="str">
        <f>IF(AC1935=TRUE, IF(COUNTIF(MSPara_SourceStreamCategory,V1935)=0,"",INDEX(MSPara_CalcFactorsMatrix,MATCH(V1935,MSPara_SourceStreamCategory,0),MATCH(AE1935&amp;"_"&amp;1,MSPara_CalcFactors,0))),"")</f>
        <v/>
      </c>
      <c r="AH1935" s="509" t="str">
        <f>IF(OR(AF1935="",AF1935=EUconst_NA),IF(OR(AG1935=EUconst_NA,AG1935=""),"",AG1935),AF1935)</f>
        <v/>
      </c>
      <c r="AI1935" s="506" t="str">
        <f>IF(AC1935=TRUE,IF(AH1935="",EUconst_t,AH1935),"")</f>
        <v/>
      </c>
      <c r="AJ1935" s="513" t="str">
        <f>IF(J1935="",AI1935,J1935)</f>
        <v/>
      </c>
      <c r="AK1935" s="514" t="b">
        <f>IF(K1925=EUconst_Fuel,J1935&lt;&gt;"",FALSE)</f>
        <v>0</v>
      </c>
      <c r="AL1935" s="333"/>
      <c r="AM1935" s="505" t="str">
        <f>EUconst_CNTR_ActivityData&amp;EUconst_Value</f>
        <v>ActivityData_Vertė</v>
      </c>
      <c r="AN1935" s="496"/>
      <c r="AO1935" s="496"/>
      <c r="AP1935" s="509" t="b">
        <f>AND(AND(AH1935&lt;&gt;"",AJ1935&lt;&gt;""),AJ1935=AH1935)</f>
        <v>0</v>
      </c>
      <c r="AQ1935" s="610" t="str">
        <f>IF(L1930=TRUE,SUM(F1932)-SUM(H1932)+SUM(J1932)-SUM(L1932),"")</f>
        <v/>
      </c>
      <c r="AR1935" s="509">
        <f>IF(Y1935=EUconst_NA,0,IF(COUNT(K1935:L1935)=0,0,IF(L1935="",K1935,L1935)))</f>
        <v>0</v>
      </c>
      <c r="AS1935" s="1115" t="b">
        <f>AND(AC1935=TRUE,OR(L1935&lt;&gt;"",AQ1935=""))</f>
        <v>0</v>
      </c>
      <c r="AT1935" s="1115" t="b">
        <f>AND(AC1935=TRUE,NOT(AS1935))</f>
        <v>0</v>
      </c>
      <c r="AU1935" s="30"/>
      <c r="AV1935" s="483" t="s">
        <v>309</v>
      </c>
      <c r="AW1935" s="483" t="s">
        <v>314</v>
      </c>
      <c r="AX1935" s="515"/>
      <c r="AY1935" s="30" t="s">
        <v>536</v>
      </c>
      <c r="AZ1935" s="30"/>
      <c r="BA1935" s="30"/>
      <c r="BB1935" s="495"/>
      <c r="BC1935" s="484" t="str">
        <f>EUconst_Fuel</f>
        <v>Degimas</v>
      </c>
      <c r="BD1935" s="484" t="str">
        <f>EUconst_ProcessCarbonate</f>
        <v>Proceso metu išsiskiriančios ŠESD</v>
      </c>
      <c r="BE1935" s="484" t="str">
        <f>EUconst_MassBalance</f>
        <v>Masės balansas</v>
      </c>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515" t="b">
        <f>BZ1930</f>
        <v>1</v>
      </c>
    </row>
    <row r="1936" spans="1:78" s="140" customFormat="1" ht="5.0999999999999996" customHeight="1" thickBot="1" x14ac:dyDescent="0.25">
      <c r="A1936" s="777"/>
      <c r="B1936" s="1248"/>
      <c r="C1936" s="783"/>
      <c r="D1936" s="298"/>
      <c r="F1936" s="141"/>
      <c r="G1936" s="141"/>
      <c r="H1936" s="141" t="s">
        <v>233</v>
      </c>
      <c r="I1936" s="516"/>
      <c r="J1936" s="516"/>
      <c r="K1936" s="141"/>
      <c r="L1936" s="141"/>
      <c r="M1936" s="701"/>
      <c r="O1936" s="1305"/>
      <c r="P1936" s="33"/>
      <c r="Q1936" s="33"/>
      <c r="R1936" s="33"/>
      <c r="S1936" s="30"/>
      <c r="T1936" s="153"/>
      <c r="U1936" s="488"/>
      <c r="V1936" s="30"/>
      <c r="W1936" s="30"/>
      <c r="X1936" s="488"/>
      <c r="Y1936" s="517"/>
      <c r="Z1936" s="30"/>
      <c r="AA1936" s="30"/>
      <c r="AB1936" s="30"/>
      <c r="AC1936" s="30"/>
      <c r="AD1936" s="30"/>
      <c r="AE1936" s="30"/>
      <c r="AF1936" s="30"/>
      <c r="AG1936" s="30"/>
      <c r="AH1936" s="30"/>
      <c r="AI1936" s="30"/>
      <c r="AJ1936" s="30"/>
      <c r="AK1936" s="30"/>
      <c r="AL1936" s="333"/>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484"/>
    </row>
    <row r="1937" spans="1:78" s="140" customFormat="1" ht="12.75" customHeight="1" thickBot="1" x14ac:dyDescent="0.25">
      <c r="A1937" s="777"/>
      <c r="B1937" s="1248"/>
      <c r="C1937" s="783" t="s">
        <v>195</v>
      </c>
      <c r="D1937" s="503" t="str">
        <f>Translations!$B$634</f>
        <v>(prelim.) ITF:</v>
      </c>
      <c r="E1937" s="504"/>
      <c r="F1937" s="518"/>
      <c r="G1937" s="1603" t="str">
        <f t="shared" ref="G1937:G1943" si="483">IF(OR(ISBLANK(F1937),F1937=EUconst_NoTier),"",IF(Z1937=0,EUconst_NotApplicable,IF(ISERROR(Z1937),"",Z1937)))</f>
        <v/>
      </c>
      <c r="H1937" s="1609"/>
      <c r="I1937" s="1110" t="str">
        <f>IF(J1937&lt;&gt;"","",AI1937)</f>
        <v/>
      </c>
      <c r="J1937" s="1111"/>
      <c r="K1937" s="519" t="str">
        <f t="shared" ref="K1937:K1943" si="484">IF(L1937="",AQ1937,"")</f>
        <v/>
      </c>
      <c r="L1937" s="520"/>
      <c r="M1937" s="700" t="str">
        <f>IF(AND(E1926&lt;&gt;"",OR(F1937="",COUNT(K1937:L1937)=0),Y1937&lt;&gt;EUconst_NA,T1926&lt;&gt;TRUE),EUconst_ERR_Incomplete,IF(COUNTIF(AX1937:AZ1937,TRUE)&gt;0,EUconst_ERR_Inconsistent,""))</f>
        <v/>
      </c>
      <c r="N1937" s="486"/>
      <c r="O1937" s="1305"/>
      <c r="P1937" s="33"/>
      <c r="Q1937" s="33"/>
      <c r="R1937" s="33"/>
      <c r="S1937" s="30"/>
      <c r="T1937" s="521" t="str">
        <f>EUconst_CNTR_EF&amp;E1926</f>
        <v>EF_</v>
      </c>
      <c r="U1937" s="488"/>
      <c r="V1937" s="522" t="str">
        <f>V1935</f>
        <v/>
      </c>
      <c r="W1937" s="30"/>
      <c r="X1937" s="488"/>
      <c r="Y1937" s="523" t="str">
        <f>IF(OR(T1926=TRUE,E1926=""),"",IF(F1937=EUconst_NA,EUconst_NA,INDEX(EUwideConstants!$N:$N,MATCH(T1937,EUwideConstants!$Q:$Q,0))))</f>
        <v/>
      </c>
      <c r="Z1937" s="524" t="str">
        <f>IF(ISBLANK(F1937),"",IF(F1937=EUconst_NA,"",INDEX(EUwideConstants!$H:$M,MATCH(T1937,EUwideConstants!$Q:$Q,0),MATCH(F1937,CNTR_TierList,0))))</f>
        <v/>
      </c>
      <c r="AA1937" s="525" t="str">
        <f>IF(COUNTIF(EUconst_DefaultValues,Z1937)&gt;0,MATCH(Z1937,EUconst_DefaultValues,0),"")</f>
        <v/>
      </c>
      <c r="AB1937" s="30"/>
      <c r="AC1937" s="526" t="b">
        <f>AND(AC1935,Y1937&lt;&gt;EUconst_NA)</f>
        <v>0</v>
      </c>
      <c r="AD1937" s="30"/>
      <c r="AE1937" s="510" t="str">
        <f>EUconst_CNTR_EF&amp;EUconst_Unit</f>
        <v>EF_Vienetas</v>
      </c>
      <c r="AF1937" s="527" t="str">
        <f>IF(AC1937=TRUE, IF(COUNTIF(MSPara_SourceStreamCategory,V1937)=0,"",INDEX(MSPara_CalcFactorsMatrix,MATCH(V1937,MSPara_SourceStreamCategory,0),MATCH(AE1937&amp;"_"&amp;2,MSPara_CalcFactors,0))),"")</f>
        <v/>
      </c>
      <c r="AG1937" s="528" t="str">
        <f>IF(AC1937=TRUE, IF(COUNTIF(MSPara_SourceStreamCategory,V1937)=0,"",INDEX(MSPara_CalcFactorsMatrix,MATCH(V1937,MSPara_SourceStreamCategory,0),MATCH(AE1937&amp;"_"&amp;1,MSPara_CalcFactors,0))),"")</f>
        <v/>
      </c>
      <c r="AH1937" s="529" t="str">
        <f>IF(AA1937="","",INDEX(AF1937:AG1937,3-AA1937))</f>
        <v/>
      </c>
      <c r="AI1937" s="530" t="str">
        <f>IF(AC1937=TRUE,IF(OR(AH1937="",AH1937=EUconst_NA),IF(K1925=EUconst_Fuel,EUconst_tCO2pTJ,EUconst_tCO2pt),AH1937),"")</f>
        <v/>
      </c>
      <c r="AJ1937" s="526" t="str">
        <f>IF(J1937="",AI1937,J1937)</f>
        <v/>
      </c>
      <c r="AK1937" s="531" t="b">
        <f>IF(K1925=EUconst_Fuel,J1937&lt;&gt;"",FALSE)</f>
        <v>0</v>
      </c>
      <c r="AL1937" s="333"/>
      <c r="AM1937" s="510" t="str">
        <f>EUconst_CNTR_EF&amp;EUconst_Value</f>
        <v>EF_Vertė</v>
      </c>
      <c r="AN1937" s="532" t="str">
        <f>IF(AC1937=TRUE,IF(COUNTIF(MSPara_SourceStreamCategory,V1937)=0,"",INDEX(MSPara_CalcFactorsMatrix,MATCH(V1937,MSPara_SourceStreamCategory,0),MATCH(AM1937&amp;"_"&amp;2,MSPara_CalcFactors,0))),"")</f>
        <v/>
      </c>
      <c r="AO1937" s="533" t="str">
        <f>IF(AC1937=TRUE,IF(COUNTIF(MSPara_SourceStreamCategory,V1937)=0,"",INDEX(MSPara_CalcFactorsMatrix,MATCH(V1937,MSPara_SourceStreamCategory,0),MATCH(AM1937&amp;"_"&amp;1,MSPara_CalcFactors,0))),"")</f>
        <v/>
      </c>
      <c r="AP1937" s="526" t="b">
        <f>AND(AND(AH1937&lt;&gt;"",AJ1937&lt;&gt;""),AJ1937=AH1937)</f>
        <v>0</v>
      </c>
      <c r="AQ1937" s="534" t="str">
        <f>IF(AND(AA1937&lt;&gt;"",AP1937=TRUE),IF(OR(INDEX(AN1937:AO1937,3-AA1937)=EUconst_NA,INDEX(AN1937:AO1937,3-AA1937)=0),"",INDEX(AN1937:AO1937,3-AA1937)),"")</f>
        <v/>
      </c>
      <c r="AR1937" s="526">
        <f>IF(AC1937=TRUE,IF(COUNT(K1937:L1937)=0,0,IF(L1937="",K1937,L1937)),0)</f>
        <v>0</v>
      </c>
      <c r="AS1937" s="522" t="b">
        <f>AND(AC1937=TRUE,OR(AND(F1937&lt;&gt;"",NOT(ISNUMBER(AA1937))),L1937&lt;&gt;"",F1937="",AQ1937=""))</f>
        <v>0</v>
      </c>
      <c r="AT1937" s="522" t="b">
        <f t="shared" ref="AT1937:AT1943" si="485">AND(AC1937=TRUE,NOT(AS1937))</f>
        <v>0</v>
      </c>
      <c r="AU1937" s="30"/>
      <c r="AV1937" s="535" t="b">
        <f t="shared" ref="AV1937:AV1943" si="486">AND(ISNUMBER(AA1937),AQ1937="")</f>
        <v>0</v>
      </c>
      <c r="AW1937" s="536" t="b">
        <f t="shared" ref="AW1937:AW1943" si="487">AND(ISNUMBER(AA1937),AQ1937&lt;&gt;AR1937)</f>
        <v>0</v>
      </c>
      <c r="AX1937" s="537" t="b">
        <f>OR(AND(AJ1935=EUconst_kNm3,AJ1937=EUconst_tCO2pt),AND(AJ1935=EUconst_t,AJ1937=EUconst_tCO2pkNm3))</f>
        <v>0</v>
      </c>
      <c r="AY1937" s="522" t="b">
        <f t="shared" ref="AY1937:AY1943" si="488">AND(L1937&lt;&gt;"",Y1937=EUconst_NA)</f>
        <v>0</v>
      </c>
      <c r="AZ1937" s="30"/>
      <c r="BA1937" s="30"/>
      <c r="BB1937" s="538" t="s">
        <v>588</v>
      </c>
      <c r="BC1937" s="537" t="str">
        <f>IF(K1925=BC1935,AR1935*IF(AJ1937=EUconst_tCO2pTJ,(AR1938/1000),1)*AR1937*AR1939*AR1943,"")</f>
        <v/>
      </c>
      <c r="BD1937" s="515" t="str">
        <f>IF(K1925=BD1935,AR1935*AR1937*AR1940*AR1943,"")</f>
        <v/>
      </c>
      <c r="BE1937" s="514" t="str">
        <f>IF(K1925=BE1935,3.664*AR1935*AR1941*AR1943,"")</f>
        <v/>
      </c>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522" t="b">
        <f>OR(BZ1935,Y1937=EUconst_NA)</f>
        <v>1</v>
      </c>
    </row>
    <row r="1938" spans="1:78" s="140" customFormat="1" ht="12.75" customHeight="1" thickBot="1" x14ac:dyDescent="0.25">
      <c r="A1938" s="777"/>
      <c r="B1938" s="1248"/>
      <c r="C1938" s="783" t="s">
        <v>196</v>
      </c>
      <c r="D1938" s="503" t="str">
        <f>Translations!$B$636</f>
        <v>GŠV:</v>
      </c>
      <c r="E1938" s="504"/>
      <c r="F1938" s="539"/>
      <c r="G1938" s="1603" t="str">
        <f t="shared" si="483"/>
        <v/>
      </c>
      <c r="H1938" s="1604"/>
      <c r="I1938" s="1112" t="str">
        <f>AJ1938</f>
        <v/>
      </c>
      <c r="J1938" s="540"/>
      <c r="K1938" s="541" t="str">
        <f t="shared" si="484"/>
        <v/>
      </c>
      <c r="L1938" s="542"/>
      <c r="M1938" s="700" t="str">
        <f>IF(AND(E1926&lt;&gt;"",OR(F1938="",COUNT(K1938:L1938)=0),Y1938&lt;&gt;EUconst_NA,T1926&lt;&gt;TRUE),EUconst_ERR_Incomplete,IF(COUNTIF(AX1938:AZ1938,TRUE)&gt;0,EUconst_ERR_Inconsistent,""))</f>
        <v/>
      </c>
      <c r="O1938" s="1305"/>
      <c r="P1938" s="33"/>
      <c r="Q1938" s="33"/>
      <c r="R1938" s="33"/>
      <c r="S1938" s="30"/>
      <c r="T1938" s="543" t="str">
        <f>EUconst_CNTR_NCV&amp;E1926</f>
        <v>NCV_</v>
      </c>
      <c r="U1938" s="488"/>
      <c r="V1938" s="544" t="str">
        <f t="shared" ref="V1938:V1943" si="489">V1937</f>
        <v/>
      </c>
      <c r="W1938" s="30"/>
      <c r="X1938" s="488"/>
      <c r="Y1938" s="545" t="str">
        <f>IF(OR(T1926=TRUE,E1926=""),"",IF(F1938=EUconst_NA,EUconst_NA,INDEX(EUwideConstants!$N:$N,MATCH(T1938,EUwideConstants!$Q:$Q,0))))</f>
        <v/>
      </c>
      <c r="Z1938" s="546" t="str">
        <f>IF(ISBLANK(F1938),"",IF(F1938=EUconst_NA,"",INDEX(EUwideConstants!$H:$M,MATCH(T1938,EUwideConstants!$Q:$Q,0),MATCH(F1938,CNTR_TierList,0))))</f>
        <v/>
      </c>
      <c r="AA1938" s="547" t="str">
        <f>IF(COUNTIF(EUconst_DefaultValues,Z1938)&gt;0,MATCH(Z1938,EUconst_DefaultValues,0),"")</f>
        <v/>
      </c>
      <c r="AB1938" s="30"/>
      <c r="AC1938" s="548" t="b">
        <f>AND(AC1935,Y1938&lt;&gt;EUconst_NA)</f>
        <v>0</v>
      </c>
      <c r="AD1938" s="30"/>
      <c r="AE1938" s="549" t="str">
        <f>EUconst_CNTR_NCV&amp;EUconst_Unit</f>
        <v>NCV_Vienetas</v>
      </c>
      <c r="AF1938" s="550" t="str">
        <f>IF(AC1938=TRUE, IF(COUNTIF(MSPara_SourceStreamCategory,V1938)=0,"",INDEX(MSPara_CalcFactorsMatrix,MATCH(V1938,MSPara_SourceStreamCategory,0),MATCH(AE1938&amp;"_"&amp;2,MSPara_CalcFactors,0))),"")</f>
        <v/>
      </c>
      <c r="AG1938" s="551" t="str">
        <f>IF(AC1938=TRUE, IF(COUNTIF(MSPara_SourceStreamCategory,V1938)=0,"",INDEX(MSPara_CalcFactorsMatrix,MATCH(V1938,MSPara_SourceStreamCategory,0),MATCH(AE1938&amp;"_"&amp;1,MSPara_CalcFactors,0))),"")</f>
        <v/>
      </c>
      <c r="AH1938" s="552" t="str">
        <f>IF(AA1938="","",INDEX(AF1938:AG1938,3-AA1938))</f>
        <v/>
      </c>
      <c r="AI1938" s="553"/>
      <c r="AJ1938" s="548" t="str">
        <f>IF(AC1938=TRUE,IF(AJ1935="","",IF(AJ1935=EUconst_kNm3,EUconst_GJpkNm3,EUconst_GJpt)),"")</f>
        <v/>
      </c>
      <c r="AK1938" s="554"/>
      <c r="AL1938" s="333"/>
      <c r="AM1938" s="549" t="str">
        <f>EUconst_CNTR_NCV&amp;EUconst_Value</f>
        <v>NCV_Vertė</v>
      </c>
      <c r="AN1938" s="555" t="str">
        <f>IF(AC1938=TRUE,IF(COUNTIF(MSPara_SourceStreamCategory,V1938)=0,"",INDEX(MSPara_CalcFactorsMatrix,MATCH(V1938,MSPara_SourceStreamCategory,0),MATCH(AM1938&amp;"_"&amp;2,MSPara_CalcFactors,0))),"")</f>
        <v/>
      </c>
      <c r="AO1938" s="556" t="str">
        <f>IF(AC1938=TRUE,IF(COUNTIF(MSPara_SourceStreamCategory,V1938)=0,"",INDEX(MSPara_CalcFactorsMatrix,MATCH(V1938,MSPara_SourceStreamCategory,0),MATCH(AM1938&amp;"_"&amp;1,MSPara_CalcFactors,0))),"")</f>
        <v/>
      </c>
      <c r="AP1938" s="548" t="b">
        <f>AND(AND(AH1938&lt;&gt;"",AJ1938&lt;&gt;""),AJ1938=AH1938)</f>
        <v>0</v>
      </c>
      <c r="AQ1938" s="557" t="str">
        <f>IF(AND(AA1938&lt;&gt;"",AP1938=TRUE),IF(OR(INDEX(AN1938:AO1938,3-AA1938)=EUconst_NA,INDEX(AN1938:AO1938,3-AA1938)=0),"",INDEX(AN1938:AO1938,3-AA1938)),"")</f>
        <v/>
      </c>
      <c r="AR1938" s="548">
        <f>IF(AC1938=TRUE,IF(COUNT(K1938:L1938)=0,0,IF(L1938="",K1938,L1938)),0)</f>
        <v>0</v>
      </c>
      <c r="AS1938" s="544" t="b">
        <f>AND(AC1938=TRUE,OR(AND(F1938&lt;&gt;"",NOT(ISNUMBER(AA1938))),L1938&lt;&gt;"",F1938="",AQ1938=""))</f>
        <v>0</v>
      </c>
      <c r="AT1938" s="544" t="b">
        <f t="shared" si="485"/>
        <v>0</v>
      </c>
      <c r="AU1938" s="30"/>
      <c r="AV1938" s="558" t="b">
        <f t="shared" si="486"/>
        <v>0</v>
      </c>
      <c r="AW1938" s="559" t="b">
        <f t="shared" si="487"/>
        <v>0</v>
      </c>
      <c r="AX1938" s="30"/>
      <c r="AY1938" s="544" t="b">
        <f t="shared" si="488"/>
        <v>0</v>
      </c>
      <c r="AZ1938" s="30"/>
      <c r="BA1938" s="30"/>
      <c r="BB1938" s="538" t="s">
        <v>589</v>
      </c>
      <c r="BC1938" s="537" t="str">
        <f>IF(K1925=BC1935,AR1935*IF(AJ1937=EUconst_tCO2pTJ,(AR1938/1000),1)*AR1937*AR1939*AR1942,"")</f>
        <v/>
      </c>
      <c r="BD1938" s="515" t="str">
        <f>IF(K1925=BD1935,AR1935*AR1937*AR1940*AR1942,"")</f>
        <v/>
      </c>
      <c r="BE1938" s="514" t="str">
        <f>IF(K1925=BE1935,3.664*AR1935*AR1941*AR1942,"")</f>
        <v/>
      </c>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544" t="b">
        <f>OR(BZ1935,Y1938=EUconst_NA)</f>
        <v>1</v>
      </c>
    </row>
    <row r="1939" spans="1:78" s="140" customFormat="1" ht="12.75" customHeight="1" thickBot="1" x14ac:dyDescent="0.25">
      <c r="A1939" s="777"/>
      <c r="B1939" s="1248"/>
      <c r="C1939" s="783" t="s">
        <v>197</v>
      </c>
      <c r="D1939" s="503" t="str">
        <f>Translations!$B$638</f>
        <v>Oksidacijos koef.:</v>
      </c>
      <c r="E1939" s="504"/>
      <c r="F1939" s="539"/>
      <c r="G1939" s="1603" t="str">
        <f t="shared" si="483"/>
        <v/>
      </c>
      <c r="H1939" s="1604"/>
      <c r="I1939" s="1113" t="str">
        <f>IF(OR(AC1939=FALSE,Y1939=EUconst_NA),"","-")</f>
        <v/>
      </c>
      <c r="J1939" s="560"/>
      <c r="K1939" s="561" t="str">
        <f t="shared" si="484"/>
        <v/>
      </c>
      <c r="L1939" s="694"/>
      <c r="M1939" s="700" t="str">
        <f>IF(AND(E1926&lt;&gt;"",OR(F1939="",COUNT(K1939:L1939)=0),Y1939&lt;&gt;EUconst_NA,T1926&lt;&gt;TRUE),EUconst_ERR_Incomplete,IF(COUNTIF(AX1939:AZ1939,TRUE)&gt;0,EUconst_ERR_Inconsistent,""))</f>
        <v/>
      </c>
      <c r="O1939" s="1305"/>
      <c r="P1939" s="33"/>
      <c r="Q1939" s="33"/>
      <c r="R1939" s="33"/>
      <c r="S1939" s="30"/>
      <c r="T1939" s="543" t="str">
        <f>EUconst_CNTR_OxidationFactor&amp;E1926</f>
        <v>OxF_</v>
      </c>
      <c r="U1939" s="488"/>
      <c r="V1939" s="544" t="str">
        <f t="shared" si="489"/>
        <v/>
      </c>
      <c r="W1939" s="30"/>
      <c r="X1939" s="488"/>
      <c r="Y1939" s="545" t="str">
        <f>IF(OR(T1926=TRUE,E1926=""),"",INDEX(EUwideConstants!$N:$N,MATCH(T1939,EUwideConstants!$Q:$Q,0)))</f>
        <v/>
      </c>
      <c r="Z1939" s="546" t="str">
        <f>IF(ISBLANK(F1939),"",IF(F1939=EUconst_NA,"",INDEX(EUwideConstants!$H:$M,MATCH(T1939,EUwideConstants!$Q:$Q,0),MATCH(F1939,CNTR_TierList,0))))</f>
        <v/>
      </c>
      <c r="AA1939" s="525" t="str">
        <f>IF(F1939=1,1,"")</f>
        <v/>
      </c>
      <c r="AB1939" s="30"/>
      <c r="AC1939" s="548" t="b">
        <f>AND(AC1935,Y1939&lt;&gt;EUconst_NA)</f>
        <v>0</v>
      </c>
      <c r="AD1939" s="30"/>
      <c r="AE1939" s="563"/>
      <c r="AG1939" s="564"/>
      <c r="AH1939" s="553"/>
      <c r="AI1939" s="565"/>
      <c r="AJ1939" s="553"/>
      <c r="AK1939" s="566"/>
      <c r="AL1939" s="333"/>
      <c r="AM1939" s="549" t="str">
        <f>EUconst_CNTR_OxidationFactor&amp;EUconst_Value</f>
        <v>OxF_Vertė</v>
      </c>
      <c r="AN1939" s="567"/>
      <c r="AO1939" s="525">
        <v>1</v>
      </c>
      <c r="AP1939" s="553"/>
      <c r="AQ1939" s="568" t="str">
        <f>IF(AA1939="","",AO1939)</f>
        <v/>
      </c>
      <c r="AR1939" s="548">
        <f>IF(AC1939=TRUE,IF(COUNT(K1939:L1939)=0,0,IF(L1939="",K1939,L1939)),1)</f>
        <v>1</v>
      </c>
      <c r="AS1939" s="544" t="b">
        <f>AND(AC1939=TRUE,OR(ISNUMBER(L1939),NOT(ISNUMBER(AA1939))))</f>
        <v>0</v>
      </c>
      <c r="AT1939" s="544" t="b">
        <f t="shared" si="485"/>
        <v>0</v>
      </c>
      <c r="AU1939" s="30"/>
      <c r="AV1939" s="558" t="b">
        <f t="shared" si="486"/>
        <v>0</v>
      </c>
      <c r="AW1939" s="559" t="b">
        <f t="shared" si="487"/>
        <v>0</v>
      </c>
      <c r="AX1939" s="30"/>
      <c r="AY1939" s="585" t="b">
        <f t="shared" si="488"/>
        <v>0</v>
      </c>
      <c r="AZ1939" s="522" t="b">
        <f>AR1939&gt;100%</f>
        <v>0</v>
      </c>
      <c r="BA1939" s="30"/>
      <c r="BB1939" s="538" t="s">
        <v>287</v>
      </c>
      <c r="BC1939" s="537" t="str">
        <f>IF(K1925=BC1935,AR1935*IF(AJ1937=EUconst_tCO2pTJ,(AR1938/1000),1)*AR1937*AR1939*(1-AR1942),"")</f>
        <v/>
      </c>
      <c r="BD1939" s="515" t="str">
        <f>IF(K1925=BD1935,AR1935*AR1937*AR1940*(1-AR1942),"")</f>
        <v/>
      </c>
      <c r="BE1939" s="514" t="str">
        <f>IF(K1925=BE1935,3.664*AR1935*AR1941*(1-AR1942),"")</f>
        <v/>
      </c>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544" t="b">
        <f>OR(BZ1935,Y1939=EUconst_NA)</f>
        <v>1</v>
      </c>
    </row>
    <row r="1940" spans="1:78" s="140" customFormat="1" ht="12.75" customHeight="1" thickBot="1" x14ac:dyDescent="0.25">
      <c r="A1940" s="777"/>
      <c r="B1940" s="1248"/>
      <c r="C1940" s="783" t="s">
        <v>198</v>
      </c>
      <c r="D1940" s="503" t="str">
        <f>Translations!$B$639</f>
        <v>Konversijos koef.:</v>
      </c>
      <c r="E1940" s="504"/>
      <c r="F1940" s="539"/>
      <c r="G1940" s="1603" t="str">
        <f t="shared" si="483"/>
        <v/>
      </c>
      <c r="H1940" s="1604"/>
      <c r="I1940" s="1113" t="str">
        <f>IF(OR(AC1940=FALSE,Y1940=EUconst_NA),"","-")</f>
        <v/>
      </c>
      <c r="J1940" s="560"/>
      <c r="K1940" s="561" t="str">
        <f t="shared" si="484"/>
        <v/>
      </c>
      <c r="L1940" s="694"/>
      <c r="M1940" s="700" t="str">
        <f>IF(AND(E1926&lt;&gt;"",OR(F1940="",COUNT(K1940:L1940)=0),Y1940&lt;&gt;EUconst_NA,T1926&lt;&gt;TRUE),EUconst_ERR_Incomplete,IF(COUNTIF(AX1940:AZ1940,TRUE)&gt;0,EUconst_ERR_Inconsistent,""))</f>
        <v/>
      </c>
      <c r="O1940" s="1305"/>
      <c r="P1940" s="33"/>
      <c r="Q1940" s="33"/>
      <c r="R1940" s="33"/>
      <c r="S1940" s="30"/>
      <c r="T1940" s="543" t="str">
        <f>EUconst_CNTR_ConversionFactor&amp;E1926</f>
        <v>ConvF_</v>
      </c>
      <c r="U1940" s="488"/>
      <c r="V1940" s="544" t="str">
        <f t="shared" si="489"/>
        <v/>
      </c>
      <c r="W1940" s="30"/>
      <c r="X1940" s="488"/>
      <c r="Y1940" s="545" t="str">
        <f>IF(OR(T1926=TRUE,E1926=""),"",INDEX(EUwideConstants!$N:$N,MATCH(T1940,EUwideConstants!$Q:$Q,0)))</f>
        <v/>
      </c>
      <c r="Z1940" s="546" t="str">
        <f>IF(ISBLANK(F1940),"",IF(F1940=EUconst_NA,"",INDEX(EUwideConstants!$H:$M,MATCH(T1940,EUwideConstants!$Q:$Q,0),MATCH(F1940,CNTR_TierList,0))))</f>
        <v/>
      </c>
      <c r="AA1940" s="573" t="str">
        <f>IF(F1940=1,1,"")</f>
        <v/>
      </c>
      <c r="AB1940" s="30"/>
      <c r="AC1940" s="548" t="b">
        <f>AND(AC1935,Y1940&lt;&gt;EUconst_NA)</f>
        <v>0</v>
      </c>
      <c r="AD1940" s="30"/>
      <c r="AE1940" s="563"/>
      <c r="AG1940" s="564"/>
      <c r="AH1940" s="574"/>
      <c r="AI1940" s="565"/>
      <c r="AJ1940" s="574"/>
      <c r="AK1940" s="566"/>
      <c r="AL1940" s="333"/>
      <c r="AM1940" s="549" t="str">
        <f>EUconst_CNTR_ConversionFactor&amp;EUconst_Value</f>
        <v>ConvF_Vertė</v>
      </c>
      <c r="AN1940" s="575"/>
      <c r="AO1940" s="573">
        <v>1</v>
      </c>
      <c r="AP1940" s="574"/>
      <c r="AQ1940" s="576" t="str">
        <f>IF(AA1940="","",AO1940)</f>
        <v/>
      </c>
      <c r="AR1940" s="548">
        <f>IF(AC1940=TRUE,IF(COUNT(K1940:L1940)=0,0,IF(L1940="",K1940,L1940)),1)</f>
        <v>1</v>
      </c>
      <c r="AS1940" s="544" t="b">
        <f>AND(AC1940=TRUE,OR(ISNUMBER(L1940),NOT(ISNUMBER(AA1940))))</f>
        <v>0</v>
      </c>
      <c r="AT1940" s="544" t="b">
        <f t="shared" si="485"/>
        <v>0</v>
      </c>
      <c r="AU1940" s="30"/>
      <c r="AV1940" s="558" t="b">
        <f t="shared" si="486"/>
        <v>0</v>
      </c>
      <c r="AW1940" s="559" t="b">
        <f t="shared" si="487"/>
        <v>0</v>
      </c>
      <c r="AX1940" s="30"/>
      <c r="AY1940" s="585" t="b">
        <f t="shared" si="488"/>
        <v>0</v>
      </c>
      <c r="AZ1940" s="571" t="b">
        <f>AR1940&gt;100%</f>
        <v>0</v>
      </c>
      <c r="BA1940" s="30"/>
      <c r="BB1940" s="569" t="s">
        <v>481</v>
      </c>
      <c r="BC1940" s="570">
        <f>AR1935*AR1938/1000*(1-AR1942)</f>
        <v>0</v>
      </c>
      <c r="BD1940" s="571">
        <f>BC1940</f>
        <v>0</v>
      </c>
      <c r="BE1940" s="572">
        <f>BC1940</f>
        <v>0</v>
      </c>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544" t="b">
        <f>OR(BZ1935,Y1940=EUconst_NA)</f>
        <v>1</v>
      </c>
    </row>
    <row r="1941" spans="1:78" s="140" customFormat="1" ht="12.75" customHeight="1" thickBot="1" x14ac:dyDescent="0.25">
      <c r="A1941" s="777"/>
      <c r="B1941" s="1248"/>
      <c r="C1941" s="783" t="s">
        <v>324</v>
      </c>
      <c r="D1941" s="503" t="str">
        <f>Translations!$B$640</f>
        <v>Anglies kiekis (C):</v>
      </c>
      <c r="E1941" s="504"/>
      <c r="F1941" s="539"/>
      <c r="G1941" s="1603" t="str">
        <f t="shared" si="483"/>
        <v/>
      </c>
      <c r="H1941" s="1604"/>
      <c r="I1941" s="1113" t="str">
        <f>AJ1941</f>
        <v/>
      </c>
      <c r="J1941" s="577"/>
      <c r="K1941" s="578" t="str">
        <f t="shared" si="484"/>
        <v/>
      </c>
      <c r="L1941" s="579"/>
      <c r="M1941" s="700" t="str">
        <f>IF(AND(E1926&lt;&gt;"",OR(F1941="",COUNT(K1941:L1941)=0),Y1941&lt;&gt;EUconst_NA,T1926&lt;&gt;TRUE),EUconst_ERR_Incomplete,IF(COUNTIF(AX1941:AZ1941,TRUE)&gt;0,EUconst_ERR_Inconsistent,""))</f>
        <v/>
      </c>
      <c r="O1941" s="1305"/>
      <c r="P1941" s="33"/>
      <c r="Q1941" s="33"/>
      <c r="R1941" s="33"/>
      <c r="S1941" s="30"/>
      <c r="T1941" s="543" t="str">
        <f>EUconst_CNTR_CarbonContent&amp;E1926</f>
        <v>CarbC_</v>
      </c>
      <c r="U1941" s="488"/>
      <c r="V1941" s="544" t="str">
        <f t="shared" si="489"/>
        <v/>
      </c>
      <c r="W1941" s="30"/>
      <c r="X1941" s="488"/>
      <c r="Y1941" s="545" t="str">
        <f>IF(OR(T1926=TRUE,E1926=""),"",INDEX(EUwideConstants!$N:$N,MATCH(T1941,EUwideConstants!$Q:$Q,0)))</f>
        <v/>
      </c>
      <c r="Z1941" s="546" t="str">
        <f>IF(ISBLANK(F1941),"",IF(F1941=EUconst_NA,"",INDEX(EUwideConstants!$H:$M,MATCH(T1941,EUwideConstants!$Q:$Q,0),MATCH(F1941,CNTR_TierList,0))))</f>
        <v/>
      </c>
      <c r="AA1941" s="580" t="str">
        <f>IF(COUNTIF(EUconst_DefaultValues,Z1941)&gt;0,MATCH(Z1941,EUconst_DefaultValues,0),"")</f>
        <v/>
      </c>
      <c r="AB1941" s="30"/>
      <c r="AC1941" s="548" t="b">
        <f>AND(AC1935,Y1941&lt;&gt;EUconst_NA)</f>
        <v>0</v>
      </c>
      <c r="AD1941" s="30"/>
      <c r="AE1941" s="549" t="str">
        <f>EUconst_CNTR_CarbonContent&amp;EUconst_Unit</f>
        <v>CarbC_Vienetas</v>
      </c>
      <c r="AF1941" s="550" t="str">
        <f>IF(AC1941=TRUE, IF(COUNTIF(MSPara_SourceStreamCategory,V1941)=0,"",INDEX(MSPara_CalcFactorsMatrix,MATCH(V1941,MSPara_SourceStreamCategory,0),MATCH(AE1941&amp;"_"&amp;2,MSPara_CalcFactors,0))),"")</f>
        <v/>
      </c>
      <c r="AG1941" s="551" t="str">
        <f>IF(AC1941=TRUE, IF(COUNTIF(MSPara_SourceStreamCategory,V1941)=0,"",INDEX(MSPara_CalcFactorsMatrix,MATCH(V1941,MSPara_SourceStreamCategory,0),MATCH(AE1941&amp;"_"&amp;1,MSPara_CalcFactors,0))),"")</f>
        <v/>
      </c>
      <c r="AH1941" s="581" t="str">
        <f>IF(AA1941="","",INDEX(AF1941:AG1941,3-AA1941))</f>
        <v/>
      </c>
      <c r="AI1941" s="565"/>
      <c r="AJ1941" s="582" t="str">
        <f>IF(AC1941=TRUE,IF(AJ1935="","",IF(AJ1935=EUconst_kNm3,EUconst_tCpkNm3,EUconst_tCpt)),"")</f>
        <v/>
      </c>
      <c r="AK1941" s="566"/>
      <c r="AL1941" s="333"/>
      <c r="AM1941" s="549" t="str">
        <f>EUconst_CNTR_CarbonContent&amp;EUconst_Value</f>
        <v>CarbC_Vertė</v>
      </c>
      <c r="AN1941" s="555" t="str">
        <f>IF(AC1941=TRUE,IF(COUNTIF(MSPara_SourceStreamCategory,V1941)=0,"",INDEX(MSPara_CalcFactorsMatrix,MATCH(V1941,MSPara_SourceStreamCategory,0),MATCH(AM1941&amp;"_"&amp;2,MSPara_CalcFactors,0))),"")</f>
        <v/>
      </c>
      <c r="AO1941" s="583" t="str">
        <f>IF(AC1941=TRUE,IF(COUNTIF(MSPara_SourceStreamCategory,V1941)=0,"",INDEX(MSPara_CalcFactorsMatrix,MATCH(V1941,MSPara_SourceStreamCategory,0),MATCH(AM1941&amp;"_"&amp;1,MSPara_CalcFactors,0))),"")</f>
        <v/>
      </c>
      <c r="AP1941" s="548" t="b">
        <f>AND(AND(AH1941&lt;&gt;"",AJ1941&lt;&gt;""),AJ1941=AH1941)</f>
        <v>0</v>
      </c>
      <c r="AQ1941" s="584" t="str">
        <f>IF(AND(AA1941&lt;&gt;"",AP1941=TRUE),IF(OR(INDEX(AN1941:AO1941,3-AA1941)=EUconst_NA,INDEX(AN1941:AO1941,3-AA1941)=0),"",INDEX(AN1941:AO1941,3-AA1941)),"")</f>
        <v/>
      </c>
      <c r="AR1941" s="548">
        <f>IF(AC1941=TRUE,IF(COUNT(K1941:L1941)=0,0,IF(L1941="",K1941,L1941)),0)</f>
        <v>0</v>
      </c>
      <c r="AS1941" s="544" t="b">
        <f>AND(AC1941=TRUE,OR(AND(F1941&lt;&gt;"",NOT(ISNUMBER(AA1941))),L1941&lt;&gt;"",F1941="",AQ1941=""))</f>
        <v>0</v>
      </c>
      <c r="AT1941" s="544" t="b">
        <f t="shared" si="485"/>
        <v>0</v>
      </c>
      <c r="AU1941" s="30"/>
      <c r="AV1941" s="558" t="b">
        <f t="shared" si="486"/>
        <v>0</v>
      </c>
      <c r="AW1941" s="559" t="b">
        <f t="shared" si="487"/>
        <v>0</v>
      </c>
      <c r="AX1941" s="537" t="b">
        <f>OR(AND(AJ1935=EUconst_kNm3,AJ1941=EUconst_tCpt),AND(AJ1935=EUconst_t,AJ1941=EUconst_tCpkNm3))</f>
        <v>0</v>
      </c>
      <c r="AY1941" s="544" t="b">
        <f t="shared" si="488"/>
        <v>0</v>
      </c>
      <c r="AZ1941" s="30"/>
      <c r="BA1941" s="30"/>
      <c r="BB1941" s="569" t="s">
        <v>482</v>
      </c>
      <c r="BC1941" s="570">
        <f>AR1935*AR1938/1000*AR1942</f>
        <v>0</v>
      </c>
      <c r="BD1941" s="571">
        <f>BC1941</f>
        <v>0</v>
      </c>
      <c r="BE1941" s="572">
        <f>BC1941</f>
        <v>0</v>
      </c>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544" t="b">
        <f>OR(BZ1935,Y1941=EUconst_NA)</f>
        <v>1</v>
      </c>
    </row>
    <row r="1942" spans="1:78" s="140" customFormat="1" ht="12.75" customHeight="1" x14ac:dyDescent="0.2">
      <c r="A1942" s="777"/>
      <c r="B1942" s="1248"/>
      <c r="C1942" s="753" t="s">
        <v>325</v>
      </c>
      <c r="D1942" s="503" t="str">
        <f>Translations!$B$641</f>
        <v>Biomasės dalis (BioC):</v>
      </c>
      <c r="E1942" s="504"/>
      <c r="F1942" s="539"/>
      <c r="G1942" s="1603" t="str">
        <f t="shared" si="483"/>
        <v/>
      </c>
      <c r="H1942" s="1604"/>
      <c r="I1942" s="1113" t="str">
        <f>IF(OR(AC1942=FALSE,Y1942=EUconst_NA),"","-")</f>
        <v/>
      </c>
      <c r="J1942" s="560"/>
      <c r="K1942" s="561" t="str">
        <f t="shared" si="484"/>
        <v/>
      </c>
      <c r="L1942" s="694"/>
      <c r="M1942" s="700" t="str">
        <f>IF(AND(E1926&lt;&gt;"",OR(F1942="",COUNT(K1942:L1942)=0),Y1942&lt;&gt;EUconst_NA,T1926&lt;&gt;TRUE),EUconst_ERR_Incomplete,IF(COUNTIF(AX1942:AZ1942,TRUE)&gt;0,EUconst_ERR_Inconsistent,""))</f>
        <v/>
      </c>
      <c r="O1942" s="1305"/>
      <c r="P1942" s="635"/>
      <c r="Q1942" s="635"/>
      <c r="R1942" s="635"/>
      <c r="S1942" s="30"/>
      <c r="T1942" s="543" t="str">
        <f>EUconst_CNTR_BiomassContent&amp;E1926</f>
        <v>BioC_</v>
      </c>
      <c r="U1942" s="488"/>
      <c r="V1942" s="585" t="str">
        <f t="shared" si="489"/>
        <v/>
      </c>
      <c r="W1942" s="522" t="str">
        <f>IF(COUNTIF(MSPara_SourceStreamCategory,V1942)=0,"",INDEX(MSPara_IsFossil,MATCH(V1942,MSPara_SourceStreamCategory,0)))</f>
        <v/>
      </c>
      <c r="X1942" s="488"/>
      <c r="Y1942" s="545" t="str">
        <f>IF(OR(T1926=TRUE,E1926=""),"",IF(OR(W1942=TRUE,F1942=EUconst_NA),EUconst_NA,INDEX(EUwideConstants!$N:$N,MATCH(T1942,EUwideConstants!$Q:$Q,0))))</f>
        <v/>
      </c>
      <c r="Z1942" s="546" t="str">
        <f>IF(ISBLANK(F1942),"",IF(F1942=EUconst_NA,"",INDEX(EUwideConstants!$H:$M,MATCH(T1942,EUwideConstants!$Q:$Q,0),MATCH(F1942,CNTR_TierList,0))))</f>
        <v/>
      </c>
      <c r="AA1942" s="586" t="str">
        <f>IF(F1942=1,1,"")</f>
        <v/>
      </c>
      <c r="AB1942" s="30"/>
      <c r="AC1942" s="548" t="b">
        <f>AND(AC1935,Y1942&lt;&gt;EUconst_NA)</f>
        <v>0</v>
      </c>
      <c r="AD1942" s="30"/>
      <c r="AE1942" s="563"/>
      <c r="AG1942" s="564"/>
      <c r="AH1942" s="553"/>
      <c r="AI1942" s="565"/>
      <c r="AJ1942" s="553"/>
      <c r="AK1942" s="566"/>
      <c r="AL1942" s="333"/>
      <c r="AM1942" s="549" t="str">
        <f>EUconst_CNTR_BiomassContent&amp;EUconst_Value</f>
        <v>BioC_Vertė</v>
      </c>
      <c r="AO1942" s="587" t="str">
        <f>IF(AC1942=TRUE,IF(COUNTIF(MSPara_SourceStreamCategory,V1942)=0,"",INDEX(MSPara_CalcFactorsMatrix,MATCH(V1942,MSPara_SourceStreamCategory,0),MATCH(AM1942&amp;"_"&amp;2,MSPara_CalcFactors,0))),"")</f>
        <v/>
      </c>
      <c r="AP1942" s="553"/>
      <c r="AQ1942" s="568" t="str">
        <f>IF(OR(AA1942="",AO1942=EUconst_NA),"",AO1942)</f>
        <v/>
      </c>
      <c r="AR1942" s="548">
        <f>IF(AC1942=TRUE,IF(COUNT(K1942:L1942)=0,0,IF(L1942="",K1942,L1942)),0)</f>
        <v>0</v>
      </c>
      <c r="AS1942" s="544" t="b">
        <f>AND(AC1942=TRUE,OR(AND(F1942&lt;&gt;"",NOT(ISNUMBER(AA1942))),L1942&lt;&gt;"",F1942="",AQ1942=""))</f>
        <v>0</v>
      </c>
      <c r="AT1942" s="544" t="b">
        <f t="shared" si="485"/>
        <v>0</v>
      </c>
      <c r="AU1942" s="30"/>
      <c r="AV1942" s="558" t="b">
        <f t="shared" si="486"/>
        <v>0</v>
      </c>
      <c r="AW1942" s="559" t="b">
        <f t="shared" si="487"/>
        <v>0</v>
      </c>
      <c r="AX1942" s="30"/>
      <c r="AY1942" s="585" t="b">
        <f t="shared" si="488"/>
        <v>0</v>
      </c>
      <c r="AZ1942" s="522" t="b">
        <f>OR(AR1942&gt;100%,(AR1942+AR1943)&gt;100%)</f>
        <v>0</v>
      </c>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544" t="b">
        <f>OR(BZ1935,Y1942=EUconst_NA)</f>
        <v>1</v>
      </c>
    </row>
    <row r="1943" spans="1:78" s="140" customFormat="1" ht="12.75" customHeight="1" thickBot="1" x14ac:dyDescent="0.25">
      <c r="A1943" s="777"/>
      <c r="B1943" s="1248"/>
      <c r="C1943" s="753" t="s">
        <v>448</v>
      </c>
      <c r="D1943" s="503" t="str">
        <f>Translations!$B$647</f>
        <v>Netvarios BioC dalis:</v>
      </c>
      <c r="E1943" s="504"/>
      <c r="F1943" s="588"/>
      <c r="G1943" s="1603" t="str">
        <f t="shared" si="483"/>
        <v/>
      </c>
      <c r="H1943" s="1604"/>
      <c r="I1943" s="1114" t="str">
        <f>IF(OR(AC1943=FALSE,Y1943=EUconst_NA),"","-")</f>
        <v/>
      </c>
      <c r="J1943" s="560"/>
      <c r="K1943" s="589" t="str">
        <f t="shared" si="484"/>
        <v/>
      </c>
      <c r="L1943" s="1100"/>
      <c r="M1943" s="700" t="str">
        <f>IF(AND(E1926&lt;&gt;"",OR(F1943="",COUNT(K1943:L1943)=0),Y1943&lt;&gt;EUconst_NA,T1926&lt;&gt;TRUE),EUconst_ERR_Incomplete,IF(COUNTIF(AX1943:AZ1943,TRUE)&gt;0,EUconst_ERR_Inconsistent,""))</f>
        <v/>
      </c>
      <c r="O1943" s="1305"/>
      <c r="P1943" s="635"/>
      <c r="Q1943" s="635"/>
      <c r="R1943" s="635"/>
      <c r="S1943" s="30"/>
      <c r="T1943" s="590" t="str">
        <f>EUconst_CNTR_BiomassContent&amp;E1926</f>
        <v>BioC_</v>
      </c>
      <c r="U1943" s="488"/>
      <c r="V1943" s="570" t="str">
        <f t="shared" si="489"/>
        <v/>
      </c>
      <c r="W1943" s="571" t="str">
        <f>IF(COUNTIF(MSPara_SourceStreamCategory,V1943)=0,"",INDEX(MSPara_IsFossil,MATCH(V1943,MSPara_SourceStreamCategory,0)))</f>
        <v/>
      </c>
      <c r="X1943" s="488"/>
      <c r="Y1943" s="591" t="str">
        <f>IF(OR(T1926=TRUE,E1926=""),"",IF(OR(W1943=TRUE,F1943=EUconst_NA),EUconst_NA,INDEX(EUwideConstants!$N:$N,MATCH(T1943,EUwideConstants!$Q:$Q,0))))</f>
        <v/>
      </c>
      <c r="Z1943" s="592" t="str">
        <f>IF(ISBLANK(F1943),"",IF(F1943=EUconst_NA,"",INDEX(EUwideConstants!$H:$M,MATCH(T1943,EUwideConstants!$Q:$Q,0),MATCH(F1943,CNTR_TierList,0))))</f>
        <v/>
      </c>
      <c r="AA1943" s="593" t="str">
        <f>IF(F1943=1,1,"")</f>
        <v/>
      </c>
      <c r="AB1943" s="30"/>
      <c r="AC1943" s="594" t="b">
        <f>AND(AC1935,Y1943&lt;&gt;EUconst_NA)</f>
        <v>0</v>
      </c>
      <c r="AD1943" s="30"/>
      <c r="AE1943" s="595"/>
      <c r="AF1943" s="596"/>
      <c r="AG1943" s="597"/>
      <c r="AH1943" s="598"/>
      <c r="AI1943" s="598"/>
      <c r="AJ1943" s="598"/>
      <c r="AK1943" s="599"/>
      <c r="AL1943" s="333"/>
      <c r="AM1943" s="600" t="str">
        <f>EUconst_CNTR_BiomassContent&amp;EUconst_Value</f>
        <v>BioC_Vertė</v>
      </c>
      <c r="AN1943" s="596"/>
      <c r="AO1943" s="601" t="str">
        <f>IF(AC1943=TRUE,IF(COUNTIF(MSPara_SourceStreamCategory,V1943)=0,"",INDEX(MSPara_CalcFactorsMatrix,MATCH(V1943,MSPara_SourceStreamCategory,0),MATCH(AM1943&amp;"_"&amp;2,MSPara_CalcFactors,0))),"")</f>
        <v/>
      </c>
      <c r="AP1943" s="598"/>
      <c r="AQ1943" s="602" t="str">
        <f>IF(OR(AA1943="",AO1943=EUconst_NA),"",AO1943)</f>
        <v/>
      </c>
      <c r="AR1943" s="594">
        <f>IF(AC1943=TRUE,IF(COUNT(K1943:L1943)=0,0,IF(L1943="",K1943,L1943)),0)</f>
        <v>0</v>
      </c>
      <c r="AS1943" s="603" t="b">
        <f>AND(AC1943=TRUE,OR(AND(F1943&lt;&gt;"",NOT(ISNUMBER(AA1943))),L1943&lt;&gt;"",F1943="",AQ1943=""))</f>
        <v>0</v>
      </c>
      <c r="AT1943" s="603" t="b">
        <f t="shared" si="485"/>
        <v>0</v>
      </c>
      <c r="AU1943" s="30"/>
      <c r="AV1943" s="604" t="b">
        <f t="shared" si="486"/>
        <v>0</v>
      </c>
      <c r="AW1943" s="605" t="b">
        <f t="shared" si="487"/>
        <v>0</v>
      </c>
      <c r="AX1943" s="30"/>
      <c r="AY1943" s="570" t="b">
        <f t="shared" si="488"/>
        <v>0</v>
      </c>
      <c r="AZ1943" s="571" t="b">
        <f>OR(AR1942&gt;100%,(AR1942+AR1943)&gt;100%)</f>
        <v>0</v>
      </c>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571" t="b">
        <f>OR(BZ1935,Y1943=EUconst_NA)</f>
        <v>1</v>
      </c>
    </row>
    <row r="1944" spans="1:78" s="140" customFormat="1" ht="5.0999999999999996" customHeight="1" x14ac:dyDescent="0.2">
      <c r="A1944" s="777"/>
      <c r="B1944" s="1248"/>
      <c r="C1944" s="164"/>
      <c r="D1944" s="178"/>
      <c r="O1944" s="1305"/>
      <c r="P1944" s="33"/>
      <c r="Q1944" s="33"/>
      <c r="R1944" s="33"/>
      <c r="S1944" s="172"/>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row>
    <row r="1945" spans="1:78" s="140" customFormat="1" ht="12.75" customHeight="1" x14ac:dyDescent="0.2">
      <c r="A1945" s="777"/>
      <c r="B1945" s="1248"/>
      <c r="C1945" s="164"/>
      <c r="D1945" s="1629" t="str">
        <f>Translations!$B$674</f>
        <v>Pakopos galioja nuo:</v>
      </c>
      <c r="E1945" s="1629"/>
      <c r="F1945" s="1630"/>
      <c r="G1945" s="1014"/>
      <c r="H1945" s="606" t="str">
        <f>Translations!$B$675</f>
        <v>iki:</v>
      </c>
      <c r="I1945" s="1014"/>
      <c r="J1945" s="1620" t="str">
        <f>Translations!$B$676</f>
        <v>Atliekų katalogo numeris (jeigu taikytina):</v>
      </c>
      <c r="K1945" s="1621"/>
      <c r="L1945" s="1621"/>
      <c r="M1945" s="1622"/>
      <c r="N1945" s="1232"/>
      <c r="O1945" s="1305"/>
      <c r="P1945" s="33"/>
      <c r="Q1945" s="33"/>
      <c r="R1945" s="33"/>
      <c r="S1945" s="1233"/>
      <c r="T1945" s="483"/>
      <c r="U1945" s="483"/>
      <c r="V1945" s="48" t="b">
        <f>IF(V1935="",FALSE,INDEX(CNTR_IsWaste,MATCH(V1935,MSParameters!$A$218:$A$376,0)))</f>
        <v>0</v>
      </c>
      <c r="W1945" s="1233" t="s">
        <v>1689</v>
      </c>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2" t="b">
        <f>BZ1935</f>
        <v>1</v>
      </c>
    </row>
    <row r="1946" spans="1:78" s="140" customFormat="1" ht="5.0999999999999996" customHeight="1" x14ac:dyDescent="0.2">
      <c r="A1946" s="777"/>
      <c r="B1946" s="1248"/>
      <c r="C1946" s="164"/>
      <c r="D1946" s="606"/>
      <c r="E1946" s="486"/>
      <c r="F1946" s="486"/>
      <c r="G1946" s="486"/>
      <c r="H1946" s="486"/>
      <c r="I1946" s="486"/>
      <c r="J1946" s="486"/>
      <c r="K1946" s="486"/>
      <c r="L1946" s="486"/>
      <c r="M1946" s="486"/>
      <c r="N1946" s="486"/>
      <c r="O1946" s="1305"/>
      <c r="P1946" s="33"/>
      <c r="Q1946" s="33"/>
      <c r="R1946" s="33"/>
      <c r="S1946" s="172"/>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row>
    <row r="1947" spans="1:78" s="140" customFormat="1" ht="12.75" customHeight="1" x14ac:dyDescent="0.2">
      <c r="A1947" s="777"/>
      <c r="B1947" s="1248"/>
      <c r="C1947" s="164"/>
      <c r="D1947" s="486"/>
      <c r="E1947" s="486"/>
      <c r="F1947" s="486"/>
      <c r="G1947" s="486"/>
      <c r="H1947" s="486"/>
      <c r="I1947" s="486"/>
      <c r="J1947" s="486"/>
      <c r="K1947" s="486"/>
      <c r="L1947" s="486"/>
      <c r="M1947" s="606" t="str">
        <f>Translations!$B$677</f>
        <v>Stebėsenos plane šiam sukėlikliui suteiktas identifikatorius:</v>
      </c>
      <c r="N1947" s="705"/>
      <c r="O1947" s="1305"/>
      <c r="P1947" s="33"/>
      <c r="Q1947" s="33"/>
      <c r="R1947" s="33"/>
      <c r="S1947" s="172"/>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2" t="b">
        <f>BZ1945</f>
        <v>1</v>
      </c>
    </row>
    <row r="1948" spans="1:78" s="140" customFormat="1" ht="5.0999999999999996" customHeight="1" x14ac:dyDescent="0.2">
      <c r="A1948" s="784"/>
      <c r="B1948" s="1316"/>
      <c r="D1948" s="178"/>
      <c r="O1948" s="1317"/>
      <c r="P1948" s="488"/>
      <c r="Q1948" s="488"/>
      <c r="R1948" s="488"/>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row>
    <row r="1949" spans="1:78" s="140" customFormat="1" x14ac:dyDescent="0.2">
      <c r="A1949" s="784"/>
      <c r="B1949" s="1316"/>
      <c r="D1949" s="1618" t="str">
        <f>Translations!$B$160</f>
        <v>Pastabos:</v>
      </c>
      <c r="E1949" s="1619"/>
      <c r="F1949" s="1605"/>
      <c r="G1949" s="1606"/>
      <c r="H1949" s="1606"/>
      <c r="I1949" s="1606"/>
      <c r="J1949" s="1606"/>
      <c r="K1949" s="1606"/>
      <c r="L1949" s="1606"/>
      <c r="M1949" s="1606"/>
      <c r="N1949" s="1607"/>
      <c r="O1949" s="1317"/>
      <c r="P1949" s="488"/>
      <c r="Q1949" s="488"/>
      <c r="R1949" s="488"/>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2" t="b">
        <f>BZ1945</f>
        <v>1</v>
      </c>
    </row>
    <row r="1950" spans="1:78" s="28" customFormat="1" ht="12.75" customHeight="1" thickBot="1" x14ac:dyDescent="0.25">
      <c r="A1950" s="777"/>
      <c r="B1950" s="1312"/>
      <c r="C1950" s="490"/>
      <c r="D1950" s="491"/>
      <c r="E1950" s="492"/>
      <c r="F1950" s="490"/>
      <c r="G1950" s="493"/>
      <c r="H1950" s="493"/>
      <c r="I1950" s="493"/>
      <c r="J1950" s="493"/>
      <c r="K1950" s="493"/>
      <c r="L1950" s="493"/>
      <c r="M1950" s="493"/>
      <c r="N1950" s="493"/>
      <c r="O1950" s="1313"/>
      <c r="P1950" s="485"/>
      <c r="Q1950" s="485"/>
      <c r="R1950" s="485"/>
      <c r="S1950" s="58"/>
      <c r="T1950" s="58"/>
      <c r="U1950" s="489"/>
      <c r="V1950" s="58"/>
      <c r="W1950" s="58"/>
      <c r="X1950" s="489"/>
      <c r="Y1950" s="58"/>
      <c r="Z1950" s="58"/>
      <c r="AA1950" s="58"/>
      <c r="AB1950" s="58"/>
      <c r="AC1950" s="58"/>
      <c r="AD1950" s="58"/>
      <c r="AE1950" s="58"/>
      <c r="AF1950" s="58"/>
      <c r="AG1950" s="58"/>
      <c r="AH1950" s="58"/>
      <c r="AI1950" s="58"/>
      <c r="AJ1950" s="58"/>
      <c r="AK1950" s="58"/>
      <c r="AL1950" s="58"/>
      <c r="AM1950" s="58"/>
      <c r="AN1950" s="58"/>
      <c r="AO1950" s="58"/>
      <c r="AP1950" s="58"/>
      <c r="AQ1950" s="58"/>
      <c r="AR1950" s="58"/>
      <c r="AS1950" s="58"/>
      <c r="AT1950" s="58"/>
      <c r="AU1950" s="58"/>
      <c r="AV1950" s="58"/>
      <c r="AW1950" s="58"/>
      <c r="AX1950" s="58"/>
      <c r="AY1950" s="58"/>
      <c r="AZ1950" s="58"/>
      <c r="BA1950" s="58"/>
      <c r="BB1950" s="58"/>
      <c r="BC1950" s="58"/>
      <c r="BD1950" s="58"/>
      <c r="BE1950" s="58"/>
      <c r="BF1950" s="58"/>
      <c r="BG1950" s="58"/>
      <c r="BH1950" s="58"/>
      <c r="BI1950" s="30"/>
      <c r="BJ1950" s="30"/>
      <c r="BK1950" s="30"/>
      <c r="BL1950" s="58"/>
      <c r="BM1950" s="58"/>
      <c r="BN1950" s="58"/>
      <c r="BO1950" s="58"/>
      <c r="BP1950" s="58"/>
      <c r="BQ1950" s="58"/>
      <c r="BR1950" s="58"/>
      <c r="BS1950" s="58"/>
      <c r="BT1950" s="58"/>
      <c r="BU1950" s="58"/>
      <c r="BV1950" s="58"/>
      <c r="BW1950" s="58"/>
      <c r="BX1950" s="58"/>
      <c r="BY1950" s="58"/>
      <c r="BZ1950" s="58"/>
    </row>
    <row r="1951" spans="1:78" s="28" customFormat="1" ht="12.75" customHeight="1" thickBot="1" x14ac:dyDescent="0.25">
      <c r="A1951" s="782"/>
      <c r="B1951" s="1312"/>
      <c r="C1951" s="486"/>
      <c r="D1951" s="178"/>
      <c r="E1951" s="487"/>
      <c r="F1951" s="486"/>
      <c r="G1951" s="478"/>
      <c r="H1951" s="478"/>
      <c r="I1951" s="478"/>
      <c r="J1951" s="478"/>
      <c r="K1951" s="486"/>
      <c r="L1951" s="478"/>
      <c r="M1951" s="478"/>
      <c r="N1951" s="478"/>
      <c r="O1951" s="1313"/>
      <c r="P1951" s="485"/>
      <c r="Q1951" s="485"/>
      <c r="R1951" s="485"/>
      <c r="S1951" s="23"/>
      <c r="T1951" s="27" t="str">
        <f>IF(ISBLANK(E1952),"",MATCH(E1952,CNTR_SourceStreamNames,0))</f>
        <v/>
      </c>
      <c r="U1951" s="609" t="str">
        <f>IF(ISBLANK(E1952),"",INDEX(B_InstallationDescription!$D$71:$D$145,MATCH(E1952,CNTR_SourceStreamNames,0)))</f>
        <v/>
      </c>
      <c r="V1951" s="76"/>
      <c r="W1951" s="56"/>
      <c r="X1951" s="56"/>
      <c r="Y1951" s="56"/>
      <c r="Z1951" s="58"/>
      <c r="AA1951" s="58"/>
      <c r="AB1951" s="58"/>
      <c r="AC1951" s="58"/>
      <c r="AD1951" s="58"/>
      <c r="AE1951" s="58"/>
      <c r="AF1951" s="58"/>
      <c r="AG1951" s="58"/>
      <c r="AH1951" s="58"/>
      <c r="AI1951" s="58"/>
      <c r="AJ1951" s="58"/>
      <c r="AK1951" s="482"/>
      <c r="AL1951" s="58"/>
      <c r="AM1951" s="58"/>
      <c r="AN1951" s="58"/>
      <c r="AO1951" s="58"/>
      <c r="AP1951" s="58"/>
      <c r="AQ1951" s="58"/>
      <c r="AR1951" s="58"/>
      <c r="AS1951" s="58"/>
      <c r="AT1951" s="58"/>
      <c r="AU1951" s="58"/>
      <c r="AV1951" s="58"/>
      <c r="AW1951" s="58"/>
      <c r="AX1951" s="58"/>
      <c r="AY1951" s="58"/>
      <c r="AZ1951" s="58"/>
      <c r="BA1951" s="58"/>
      <c r="BB1951" s="58"/>
      <c r="BC1951" s="58"/>
      <c r="BD1951" s="58"/>
      <c r="BE1951" s="58"/>
      <c r="BF1951" s="58"/>
      <c r="BG1951" s="58"/>
      <c r="BH1951" s="56"/>
      <c r="BI1951" s="56"/>
      <c r="BJ1951" s="56"/>
      <c r="BK1951" s="56"/>
      <c r="BL1951" s="56"/>
      <c r="BM1951" s="56"/>
      <c r="BN1951" s="56"/>
      <c r="BO1951" s="56"/>
      <c r="BP1951" s="56"/>
      <c r="BQ1951" s="56"/>
      <c r="BR1951" s="56"/>
      <c r="BS1951" s="56"/>
      <c r="BT1951" s="56"/>
      <c r="BU1951" s="56"/>
      <c r="BV1951" s="56"/>
      <c r="BW1951" s="56"/>
      <c r="BX1951" s="56"/>
      <c r="BY1951" s="56"/>
      <c r="BZ1951" s="484" t="s">
        <v>259</v>
      </c>
    </row>
    <row r="1952" spans="1:78" s="140" customFormat="1" ht="15" customHeight="1" thickBot="1" x14ac:dyDescent="0.25">
      <c r="A1952" s="1302" t="str">
        <f>IF(E1952="","","PRINT")</f>
        <v/>
      </c>
      <c r="B1952" s="1248"/>
      <c r="C1952" s="608">
        <f>C1925+1</f>
        <v>71</v>
      </c>
      <c r="D1952" s="164"/>
      <c r="E1952" s="1610"/>
      <c r="F1952" s="1611"/>
      <c r="G1952" s="1611"/>
      <c r="H1952" s="1611"/>
      <c r="I1952" s="1611"/>
      <c r="J1952" s="1612"/>
      <c r="K1952" s="1623" t="str">
        <f>IF(E1953="","",INDEX(EUwideConstants!$F$353:$F$394,MATCH(E1953,EUConst_TierActivityListNames,0)))</f>
        <v/>
      </c>
      <c r="L1952" s="1624"/>
      <c r="M1952" s="494" t="str">
        <f>Translations!$B$665</f>
        <v>CO2, iškastinio kuro kilmės:</v>
      </c>
      <c r="N1952" s="1012" t="str">
        <f>IF(OR(K1952="",T1953=TRUE),"",INDEX(BC1966:BE1966,MATCH(K1952,BC1962:BE1962,0)))</f>
        <v/>
      </c>
      <c r="O1952" s="1314" t="s">
        <v>257</v>
      </c>
      <c r="P1952" s="1303" t="str">
        <f>IF(AND(E1952&lt;&gt;"",COUNTIF(P1953:$P$2089,"PRINT")=0),"PRINT","")</f>
        <v/>
      </c>
      <c r="Q1952" s="343" t="str">
        <f>EUconst_SumCO2 &amp; "_" &amp; K1952</f>
        <v>SUM_CO2_</v>
      </c>
      <c r="R1952" s="485"/>
      <c r="S1952" s="23"/>
      <c r="T1952" s="500" t="s">
        <v>387</v>
      </c>
      <c r="U1952" s="23"/>
      <c r="V1952" s="76"/>
      <c r="W1952" s="56"/>
      <c r="X1952" s="58"/>
      <c r="Y1952" s="58"/>
      <c r="Z1952" s="58"/>
      <c r="AA1952" s="58"/>
      <c r="AB1952" s="58"/>
      <c r="AC1952" s="58"/>
      <c r="AD1952" s="58"/>
      <c r="AE1952" s="58"/>
      <c r="AF1952" s="58"/>
      <c r="AG1952" s="58"/>
      <c r="AH1952" s="58"/>
      <c r="AI1952" s="333"/>
      <c r="AJ1952" s="333"/>
      <c r="AK1952" s="333"/>
      <c r="AL1952" s="333"/>
      <c r="AM1952" s="333"/>
      <c r="AN1952" s="333"/>
      <c r="AO1952" s="333"/>
      <c r="AP1952" s="333"/>
      <c r="AQ1952" s="333"/>
      <c r="AR1952" s="333"/>
      <c r="AS1952" s="333"/>
      <c r="AT1952" s="333"/>
      <c r="AU1952" s="333"/>
      <c r="AV1952" s="333"/>
      <c r="AW1952" s="333"/>
      <c r="AX1952" s="333"/>
      <c r="AY1952" s="333"/>
      <c r="AZ1952" s="333"/>
      <c r="BA1952" s="333"/>
      <c r="BB1952" s="333"/>
      <c r="BC1952" s="333"/>
      <c r="BD1952" s="333"/>
      <c r="BE1952" s="333"/>
      <c r="BF1952" s="333"/>
      <c r="BG1952" s="333"/>
      <c r="BH1952" s="834">
        <f>AR1962</f>
        <v>0</v>
      </c>
      <c r="BI1952" s="834" t="str">
        <f>AJ1962</f>
        <v/>
      </c>
      <c r="BJ1952" s="834">
        <f>AR1964</f>
        <v>0</v>
      </c>
      <c r="BK1952" s="834" t="str">
        <f>AJ1964</f>
        <v/>
      </c>
      <c r="BL1952" s="834">
        <f>AR1965</f>
        <v>0</v>
      </c>
      <c r="BM1952" s="834" t="str">
        <f>AJ1965</f>
        <v/>
      </c>
      <c r="BN1952" s="834">
        <f>AR1966</f>
        <v>1</v>
      </c>
      <c r="BO1952" s="834">
        <f>AR1967</f>
        <v>1</v>
      </c>
      <c r="BP1952" s="834">
        <f>AR1968</f>
        <v>0</v>
      </c>
      <c r="BQ1952" s="834" t="str">
        <f>AJ1968</f>
        <v/>
      </c>
      <c r="BR1952" s="834">
        <f>AR1969</f>
        <v>0</v>
      </c>
      <c r="BS1952" s="834">
        <f>AR1970</f>
        <v>0</v>
      </c>
      <c r="BT1952" s="834" t="str">
        <f>N1952</f>
        <v/>
      </c>
      <c r="BU1952" s="834" t="str">
        <f>N1953</f>
        <v/>
      </c>
      <c r="BV1952" s="834" t="str">
        <f>R1955</f>
        <v/>
      </c>
      <c r="BW1952" s="834" t="str">
        <f>R1961</f>
        <v/>
      </c>
      <c r="BX1952" s="834" t="str">
        <f>R1962</f>
        <v/>
      </c>
      <c r="BY1952" s="56"/>
      <c r="BZ1952" s="610" t="b">
        <f>CNTR_CalcRelevant=EUconst_NotRelevant</f>
        <v>0</v>
      </c>
    </row>
    <row r="1953" spans="1:78" s="140" customFormat="1" ht="15" customHeight="1" thickBot="1" x14ac:dyDescent="0.25">
      <c r="A1953" s="777"/>
      <c r="B1953" s="1248"/>
      <c r="C1953" s="164"/>
      <c r="D1953" s="164"/>
      <c r="E1953" s="1625" t="str">
        <f>IF(ISBLANK(E1952),"",IF(INDEX(B_InstallationDescription!$E$71:$E$145,MATCH(U1951,B_InstallationDescription!$D$71:$D$145,0))&gt;0,INDEX(B_InstallationDescription!$E$71:$E$145,MATCH(U1951,B_InstallationDescription!$D$71:$D$145,0)),""))</f>
        <v/>
      </c>
      <c r="F1953" s="1626"/>
      <c r="G1953" s="1626"/>
      <c r="H1953" s="1626"/>
      <c r="I1953" s="1626"/>
      <c r="J1953" s="1627"/>
      <c r="M1953" s="337" t="str">
        <f>Translations!$B$666</f>
        <v>CO2, biomasės kilmės.:</v>
      </c>
      <c r="N1953" s="1013" t="str">
        <f>IF(OR(K1952="",T1953=TRUE),"",INDEX(BC1965:BE1965,MATCH(K1952,BC1962:BE1962,0)))</f>
        <v/>
      </c>
      <c r="O1953" s="1315" t="s">
        <v>257</v>
      </c>
      <c r="P1953" s="485"/>
      <c r="Q1953" s="343" t="str">
        <f>EUconst_SumBioCO2 &amp; "_" &amp; K1952</f>
        <v>SUM_bioCO2_</v>
      </c>
      <c r="R1953" s="485"/>
      <c r="S1953" s="23"/>
      <c r="T1953" s="48" t="str">
        <f>IF(E1953="","",MATCH(E1953,EUConst_TierActivityListNames,0)&gt;40)</f>
        <v/>
      </c>
      <c r="U1953" s="23"/>
      <c r="V1953" s="76"/>
      <c r="W1953" s="56"/>
      <c r="X1953" s="58"/>
      <c r="Y1953" s="27" t="s">
        <v>91</v>
      </c>
      <c r="Z1953" s="30"/>
      <c r="AA1953" s="30"/>
      <c r="AB1953" s="30"/>
      <c r="AC1953" s="30"/>
      <c r="AD1953" s="30"/>
      <c r="AE1953" s="27" t="s">
        <v>297</v>
      </c>
      <c r="AF1953" s="58"/>
      <c r="AG1953" s="495"/>
      <c r="AH1953" s="30"/>
      <c r="AI1953" s="30"/>
      <c r="AJ1953" s="495"/>
      <c r="AK1953" s="495"/>
      <c r="AL1953" s="333"/>
      <c r="AM1953" s="27" t="s">
        <v>303</v>
      </c>
      <c r="AN1953" s="496"/>
      <c r="AO1953" s="496"/>
      <c r="AP1953" s="30"/>
      <c r="AQ1953" s="30"/>
      <c r="AR1953" s="30"/>
      <c r="AS1953" s="30"/>
      <c r="AT1953" s="30"/>
      <c r="AU1953" s="30"/>
      <c r="AV1953" s="27" t="s">
        <v>310</v>
      </c>
      <c r="AW1953" s="30"/>
      <c r="AX1953" s="483"/>
      <c r="AY1953" s="30"/>
      <c r="AZ1953" s="30"/>
      <c r="BA1953" s="30"/>
      <c r="BB1953" s="27" t="s">
        <v>217</v>
      </c>
      <c r="BC1953" s="30"/>
      <c r="BD1953" s="30"/>
      <c r="BE1953" s="30"/>
      <c r="BF1953" s="30"/>
      <c r="BG1953" s="27" t="s">
        <v>486</v>
      </c>
      <c r="BH1953" s="833" t="s">
        <v>552</v>
      </c>
      <c r="BI1953" s="833" t="s">
        <v>487</v>
      </c>
      <c r="BJ1953" s="833" t="s">
        <v>211</v>
      </c>
      <c r="BK1953" s="833" t="s">
        <v>488</v>
      </c>
      <c r="BL1953" s="833" t="s">
        <v>68</v>
      </c>
      <c r="BM1953" s="833" t="s">
        <v>489</v>
      </c>
      <c r="BN1953" s="833" t="s">
        <v>490</v>
      </c>
      <c r="BO1953" s="833" t="s">
        <v>491</v>
      </c>
      <c r="BP1953" s="833" t="s">
        <v>214</v>
      </c>
      <c r="BQ1953" s="833" t="s">
        <v>492</v>
      </c>
      <c r="BR1953" s="833" t="s">
        <v>493</v>
      </c>
      <c r="BS1953" s="833" t="s">
        <v>494</v>
      </c>
      <c r="BT1953" s="833" t="s">
        <v>287</v>
      </c>
      <c r="BU1953" s="833" t="s">
        <v>495</v>
      </c>
      <c r="BV1953" s="833" t="s">
        <v>498</v>
      </c>
      <c r="BW1953" s="833" t="s">
        <v>496</v>
      </c>
      <c r="BX1953" s="833" t="s">
        <v>497</v>
      </c>
      <c r="BY1953" s="30"/>
      <c r="BZ1953" s="30"/>
    </row>
    <row r="1954" spans="1:78" s="140" customFormat="1" ht="5.0999999999999996" customHeight="1" thickBot="1" x14ac:dyDescent="0.25">
      <c r="A1954" s="777"/>
      <c r="B1954" s="1248"/>
      <c r="C1954" s="164"/>
      <c r="D1954" s="164"/>
      <c r="E1954" s="164"/>
      <c r="F1954" s="164"/>
      <c r="G1954" s="164"/>
      <c r="M1954" s="141"/>
      <c r="N1954" s="141"/>
      <c r="O1954" s="1305"/>
      <c r="P1954" s="33"/>
      <c r="Q1954" s="33"/>
      <c r="R1954" s="33"/>
      <c r="S1954" s="23"/>
      <c r="T1954" s="23"/>
      <c r="U1954" s="23"/>
      <c r="V1954" s="76"/>
      <c r="W1954" s="30"/>
      <c r="X1954" s="30"/>
      <c r="Y1954" s="485"/>
      <c r="Z1954" s="30"/>
      <c r="AA1954" s="30"/>
      <c r="AB1954" s="30"/>
      <c r="AC1954" s="30"/>
      <c r="AD1954" s="30"/>
      <c r="AE1954" s="30"/>
      <c r="AF1954" s="58"/>
      <c r="AG1954" s="30"/>
      <c r="AH1954" s="30"/>
      <c r="AI1954" s="30"/>
      <c r="AJ1954" s="495"/>
      <c r="AK1954" s="495"/>
      <c r="AL1954" s="333"/>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row>
    <row r="1955" spans="1:78" s="140" customFormat="1" ht="12.75" customHeight="1" thickBot="1" x14ac:dyDescent="0.25">
      <c r="A1955" s="777"/>
      <c r="B1955" s="1248"/>
      <c r="C1955" s="164"/>
      <c r="D1955" s="164"/>
      <c r="E1955" s="1628" t="str">
        <f>IF(E1952="","",IF(T1953=TRUE,HYPERLINK("#JUMP_14",EUconst_MsgGoOnPFC),HYPERLINK("#JUMP_E_8",EUconst_FurtherGuidancePoint1)))</f>
        <v/>
      </c>
      <c r="F1955" s="1628"/>
      <c r="G1955" s="1628"/>
      <c r="H1955" s="1628"/>
      <c r="I1955" s="1628"/>
      <c r="J1955" s="1628"/>
      <c r="K1955" s="1628"/>
      <c r="L1955" s="1628"/>
      <c r="M1955" s="1628"/>
      <c r="N1955" s="141"/>
      <c r="O1955" s="1305"/>
      <c r="P1955" s="33"/>
      <c r="Q1955" s="343" t="str">
        <f>EUconst_SumNonSustBioCO2 &amp; "_" &amp; K1952</f>
        <v>SUM_bioNonSustCO2_</v>
      </c>
      <c r="R1955" s="698" t="str">
        <f>IF(OR(K1952="",T1953=TRUE),"",ROUND(INDEX(BC1964:BE1964,MATCH(K1952,BC1962:BE1962,0)),0))</f>
        <v/>
      </c>
      <c r="S1955" s="23"/>
      <c r="T1955" s="23"/>
      <c r="U1955" s="23"/>
      <c r="V1955" s="30"/>
      <c r="W1955" s="30"/>
      <c r="X1955" s="30"/>
      <c r="Y1955" s="58"/>
      <c r="Z1955" s="30"/>
      <c r="AA1955" s="30"/>
      <c r="AB1955" s="30"/>
      <c r="AC1955" s="30"/>
      <c r="AD1955" s="30"/>
      <c r="AE1955" s="30"/>
      <c r="AF1955" s="58"/>
      <c r="AG1955" s="30"/>
      <c r="AH1955" s="30"/>
      <c r="AI1955" s="30"/>
      <c r="AJ1955" s="495"/>
      <c r="AK1955" s="495"/>
      <c r="AL1955" s="333"/>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row>
    <row r="1956" spans="1:78" s="140" customFormat="1" ht="5.0999999999999996" customHeight="1" thickBot="1" x14ac:dyDescent="0.25">
      <c r="A1956" s="777"/>
      <c r="B1956" s="1248"/>
      <c r="C1956" s="164"/>
      <c r="D1956" s="164"/>
      <c r="E1956" s="164"/>
      <c r="F1956" s="164"/>
      <c r="G1956" s="164"/>
      <c r="M1956" s="141"/>
      <c r="N1956" s="141"/>
      <c r="O1956" s="1305"/>
      <c r="P1956" s="23"/>
      <c r="Q1956" s="23"/>
      <c r="R1956" s="23"/>
      <c r="S1956" s="23"/>
      <c r="T1956" s="23"/>
      <c r="U1956" s="23"/>
      <c r="V1956" s="30"/>
      <c r="W1956" s="30"/>
      <c r="X1956" s="30"/>
      <c r="Y1956" s="485"/>
      <c r="Z1956" s="30"/>
      <c r="AA1956" s="30"/>
      <c r="AB1956" s="30"/>
      <c r="AC1956" s="30"/>
      <c r="AD1956" s="30"/>
      <c r="AE1956" s="30"/>
      <c r="AF1956" s="58"/>
      <c r="AG1956" s="30"/>
      <c r="AH1956" s="30"/>
      <c r="AI1956" s="30"/>
      <c r="AJ1956" s="495"/>
      <c r="AK1956" s="495"/>
      <c r="AL1956" s="333"/>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row>
    <row r="1957" spans="1:78" s="140" customFormat="1" ht="12.75" customHeight="1" thickBot="1" x14ac:dyDescent="0.25">
      <c r="A1957" s="777"/>
      <c r="B1957" s="1248"/>
      <c r="C1957" s="783" t="s">
        <v>4</v>
      </c>
      <c r="D1957" s="503" t="str">
        <f>Translations!$B$622</f>
        <v>VD:</v>
      </c>
      <c r="E1957" s="1631" t="str">
        <f>Translations!$B$667</f>
        <v>Ar veiklos duomenys gaunami sudedant išmatuotus kiekius (t. y. ne atliekant nuolatinius matavimus)?</v>
      </c>
      <c r="F1957" s="1631"/>
      <c r="G1957" s="1631"/>
      <c r="H1957" s="1631"/>
      <c r="I1957" s="1631"/>
      <c r="J1957" s="1631"/>
      <c r="K1957" s="1631"/>
      <c r="L1957" s="1122"/>
      <c r="M1957" s="498"/>
      <c r="O1957" s="1305"/>
      <c r="P1957" s="23"/>
      <c r="Q1957" s="23"/>
      <c r="R1957" s="23"/>
      <c r="S1957" s="23"/>
      <c r="T1957" s="23"/>
      <c r="U1957" s="23"/>
      <c r="V1957" s="30"/>
      <c r="W1957" s="30"/>
      <c r="X1957" s="30"/>
      <c r="Y1957" s="485"/>
      <c r="Z1957" s="30"/>
      <c r="AA1957" s="30"/>
      <c r="AB1957" s="30"/>
      <c r="AC1957" s="1115" t="b">
        <f>AND(E1952&lt;&gt;"",T1953&lt;&gt;TRUE)</f>
        <v>0</v>
      </c>
      <c r="AD1957" s="30"/>
      <c r="AE1957" s="30"/>
      <c r="AF1957" s="58"/>
      <c r="AG1957" s="30"/>
      <c r="AH1957" s="30"/>
      <c r="AI1957" s="30"/>
      <c r="AJ1957" s="495"/>
      <c r="AK1957" s="495"/>
      <c r="AL1957" s="333"/>
      <c r="AM1957" s="30"/>
      <c r="AN1957" s="30"/>
      <c r="AO1957" s="30"/>
      <c r="AP1957" s="30"/>
      <c r="AQ1957" s="30"/>
      <c r="AR1957" s="30"/>
      <c r="AS1957" s="30"/>
      <c r="AT1957" s="1115" t="b">
        <f>MSPara_BatchReportingMandatory&lt;&gt;TRUE</f>
        <v>0</v>
      </c>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1115" t="b">
        <f>OR(CNTR_CalcRelevant=EUconst_NotRelevant,AND(COUNTA(CNTR_ListRelevantSections)&gt;0,OR(T1953=TRUE,E1952="")))</f>
        <v>1</v>
      </c>
    </row>
    <row r="1958" spans="1:78" s="140" customFormat="1" ht="5.0999999999999996" customHeight="1" thickBot="1" x14ac:dyDescent="0.25">
      <c r="A1958" s="777"/>
      <c r="B1958" s="1248"/>
      <c r="C1958" s="164"/>
      <c r="D1958" s="164"/>
      <c r="E1958" s="164"/>
      <c r="F1958" s="164"/>
      <c r="G1958" s="164"/>
      <c r="H1958" s="486"/>
      <c r="I1958" s="486"/>
      <c r="J1958" s="486"/>
      <c r="K1958" s="486"/>
      <c r="L1958" s="486"/>
      <c r="M1958" s="498"/>
      <c r="O1958" s="1305"/>
      <c r="P1958" s="23"/>
      <c r="Q1958" s="23"/>
      <c r="R1958" s="23"/>
      <c r="S1958" s="23"/>
      <c r="T1958" s="23"/>
      <c r="U1958" s="23"/>
      <c r="V1958" s="30"/>
      <c r="W1958" s="30"/>
      <c r="X1958" s="30"/>
      <c r="Y1958" s="485"/>
      <c r="Z1958" s="30"/>
      <c r="AA1958" s="30"/>
      <c r="AB1958" s="30"/>
      <c r="AC1958" s="483"/>
      <c r="AD1958" s="30"/>
      <c r="AE1958" s="30"/>
      <c r="AF1958" s="58"/>
      <c r="AG1958" s="30"/>
      <c r="AH1958" s="30"/>
      <c r="AI1958" s="30"/>
      <c r="AJ1958" s="495"/>
      <c r="AK1958" s="495"/>
      <c r="AL1958" s="333"/>
      <c r="AM1958" s="30"/>
      <c r="AN1958" s="30"/>
      <c r="AO1958" s="30"/>
      <c r="AP1958" s="30"/>
      <c r="AQ1958" s="30"/>
      <c r="AR1958" s="30"/>
      <c r="AS1958" s="30"/>
      <c r="AT1958" s="483"/>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483"/>
    </row>
    <row r="1959" spans="1:78" s="140" customFormat="1" ht="12.75" customHeight="1" thickBot="1" x14ac:dyDescent="0.25">
      <c r="A1959" s="777"/>
      <c r="B1959" s="1248"/>
      <c r="C1959" s="783" t="s">
        <v>5</v>
      </c>
      <c r="D1959" s="503" t="str">
        <f>Translations!$B$622</f>
        <v>VD:</v>
      </c>
      <c r="E1959" s="1105" t="str">
        <f>Translations!$B$668</f>
        <v>Pradinis kiekis:</v>
      </c>
      <c r="F1959" s="1123"/>
      <c r="G1959" s="1106" t="str">
        <f>Translations!$B$669</f>
        <v>Galutinis kiekis:</v>
      </c>
      <c r="H1959" s="1123"/>
      <c r="I1959" s="1106" t="str">
        <f>Translations!$B$670</f>
        <v>Įsigytas kiekis:</v>
      </c>
      <c r="J1959" s="1123"/>
      <c r="K1959" s="1106" t="str">
        <f>Translations!$B$671</f>
        <v>Perduotas kiekis:</v>
      </c>
      <c r="L1959" s="1123"/>
      <c r="M1959" s="1107" t="str">
        <f>IF(AND(L1957=TRUE,COUNT(F1959,H1959,J1959,L1959)&lt;4),EUconst_ERR_Incomplete,"")</f>
        <v/>
      </c>
      <c r="O1959" s="1305"/>
      <c r="P1959" s="23"/>
      <c r="Q1959" s="23"/>
      <c r="R1959" s="23"/>
      <c r="S1959" s="23"/>
      <c r="T1959" s="23"/>
      <c r="U1959" s="23"/>
      <c r="V1959" s="30"/>
      <c r="W1959" s="30"/>
      <c r="X1959" s="30"/>
      <c r="Y1959" s="485"/>
      <c r="Z1959" s="30"/>
      <c r="AA1959" s="30"/>
      <c r="AB1959" s="30"/>
      <c r="AC1959" s="1115" t="b">
        <f>AC1957</f>
        <v>0</v>
      </c>
      <c r="AD1959" s="30"/>
      <c r="AE1959" s="30"/>
      <c r="AF1959" s="58"/>
      <c r="AG1959" s="30"/>
      <c r="AH1959" s="30"/>
      <c r="AI1959" s="30"/>
      <c r="AJ1959" s="495"/>
      <c r="AK1959" s="495"/>
      <c r="AL1959" s="333"/>
      <c r="AM1959" s="30"/>
      <c r="AN1959" s="30"/>
      <c r="AO1959" s="30"/>
      <c r="AP1959" s="30"/>
      <c r="AQ1959" s="30"/>
      <c r="AR1959" s="30"/>
      <c r="AS1959" s="30"/>
      <c r="AT1959" s="1115" t="b">
        <f>AND(AT1957=TRUE,L1957="")</f>
        <v>0</v>
      </c>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1115" t="b">
        <f>OR(BZ1957,AND(NOT(ISBLANK(L1957)),L1957=FALSE))</f>
        <v>1</v>
      </c>
    </row>
    <row r="1960" spans="1:78" s="140" customFormat="1" ht="5.0999999999999996" customHeight="1" thickBot="1" x14ac:dyDescent="0.25">
      <c r="A1960" s="777"/>
      <c r="B1960" s="1248"/>
      <c r="C1960" s="164"/>
      <c r="D1960" s="164"/>
      <c r="E1960" s="164"/>
      <c r="F1960" s="164"/>
      <c r="G1960" s="164"/>
      <c r="M1960" s="141"/>
      <c r="N1960" s="141"/>
      <c r="O1960" s="1305"/>
      <c r="P1960" s="23"/>
      <c r="Q1960" s="23"/>
      <c r="R1960" s="23"/>
      <c r="S1960" s="23"/>
      <c r="T1960" s="23"/>
      <c r="U1960" s="23"/>
      <c r="V1960" s="30"/>
      <c r="W1960" s="30"/>
      <c r="X1960" s="30"/>
      <c r="Y1960" s="485"/>
      <c r="Z1960" s="30"/>
      <c r="AA1960" s="30"/>
      <c r="AB1960" s="30"/>
      <c r="AC1960" s="30"/>
      <c r="AD1960" s="30"/>
      <c r="AE1960" s="30"/>
      <c r="AF1960" s="58"/>
      <c r="AG1960" s="30"/>
      <c r="AH1960" s="30"/>
      <c r="AI1960" s="30"/>
      <c r="AJ1960" s="495"/>
      <c r="AK1960" s="495"/>
      <c r="AL1960" s="333"/>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row>
    <row r="1961" spans="1:78" s="140" customFormat="1" ht="12.75" customHeight="1" thickBot="1" x14ac:dyDescent="0.25">
      <c r="A1961" s="777"/>
      <c r="B1961" s="1248"/>
      <c r="C1961" s="164"/>
      <c r="D1961" s="164"/>
      <c r="E1961" s="164"/>
      <c r="F1961" s="497" t="str">
        <f>Translations!$B$333</f>
        <v>Pakopa</v>
      </c>
      <c r="G1961" s="1613" t="str">
        <f>Translations!$B$672</f>
        <v>pakopos aprašas</v>
      </c>
      <c r="H1961" s="1613"/>
      <c r="I1961" s="1608" t="str">
        <f>Translations!$B$158</f>
        <v>Vienetas</v>
      </c>
      <c r="J1961" s="1608"/>
      <c r="K1961" s="1608" t="str">
        <f>Translations!$B$673</f>
        <v>Vertė</v>
      </c>
      <c r="L1961" s="1608"/>
      <c r="M1961" s="498" t="str">
        <f>Translations!$B$610</f>
        <v>klaida</v>
      </c>
      <c r="O1961" s="1305"/>
      <c r="P1961" s="499"/>
      <c r="Q1961" s="343" t="str">
        <f>EUconst_SumEnergyIN &amp; "_" &amp; K1952</f>
        <v>SUM_EnergyIN_</v>
      </c>
      <c r="R1961" s="390" t="str">
        <f>IF(OR(K1952="",T1953)=TRUE,"",INDEX(BC1967:BE1967,MATCH(K1952,BC1962:BE1962,0)))</f>
        <v/>
      </c>
      <c r="S1961" s="30"/>
      <c r="T1961" s="480"/>
      <c r="U1961" s="30"/>
      <c r="V1961" s="500" t="s">
        <v>298</v>
      </c>
      <c r="W1961" s="30"/>
      <c r="X1961" s="30"/>
      <c r="Y1961" s="485" t="s">
        <v>560</v>
      </c>
      <c r="Z1961" s="485" t="s">
        <v>313</v>
      </c>
      <c r="AA1961" s="30"/>
      <c r="AB1961" s="30"/>
      <c r="AC1961" s="496" t="s">
        <v>304</v>
      </c>
      <c r="AD1961" s="30"/>
      <c r="AE1961" s="30"/>
      <c r="AF1961" s="483" t="s">
        <v>300</v>
      </c>
      <c r="AG1961" s="483" t="s">
        <v>301</v>
      </c>
      <c r="AH1961" s="485" t="s">
        <v>299</v>
      </c>
      <c r="AI1961" s="495" t="s">
        <v>302</v>
      </c>
      <c r="AJ1961" s="495" t="s">
        <v>561</v>
      </c>
      <c r="AK1961" s="501" t="s">
        <v>306</v>
      </c>
      <c r="AL1961" s="333"/>
      <c r="AM1961" s="30"/>
      <c r="AN1961" s="483" t="s">
        <v>300</v>
      </c>
      <c r="AO1961" s="483" t="s">
        <v>301</v>
      </c>
      <c r="AP1961" s="502" t="s">
        <v>305</v>
      </c>
      <c r="AQ1961" s="495" t="s">
        <v>563</v>
      </c>
      <c r="AR1961" s="495" t="s">
        <v>562</v>
      </c>
      <c r="AS1961" s="501" t="s">
        <v>599</v>
      </c>
      <c r="AT1961" s="501" t="s">
        <v>599</v>
      </c>
      <c r="AU1961" s="30"/>
      <c r="AV1961" s="483"/>
      <c r="AW1961" s="483"/>
      <c r="AX1961" s="483" t="s">
        <v>316</v>
      </c>
      <c r="AY1961" s="483"/>
      <c r="AZ1961" s="483"/>
      <c r="BA1961" s="483"/>
      <c r="BB1961" s="483"/>
      <c r="BC1961" s="483"/>
      <c r="BD1961" s="483"/>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484" t="s">
        <v>259</v>
      </c>
    </row>
    <row r="1962" spans="1:78" s="140" customFormat="1" ht="12.75" customHeight="1" thickBot="1" x14ac:dyDescent="0.25">
      <c r="A1962" s="777"/>
      <c r="B1962" s="1248"/>
      <c r="C1962" s="753" t="s">
        <v>194</v>
      </c>
      <c r="D1962" s="503" t="str">
        <f>Translations!$B$622</f>
        <v>VD:</v>
      </c>
      <c r="E1962" s="504"/>
      <c r="F1962" s="393"/>
      <c r="G1962" s="1603" t="str">
        <f>IF(OR(ISBLANK(F1962),F1962=EUconst_NoTier),"",IF(Z1962=0,EUconst_NA,IF(ISERROR(Z1962),"",Z1962)))</f>
        <v/>
      </c>
      <c r="H1962" s="1604"/>
      <c r="I1962" s="1108" t="str">
        <f>IF(J1962&lt;&gt;"","",AI1962)</f>
        <v/>
      </c>
      <c r="J1962" s="1109"/>
      <c r="K1962" s="1116" t="str">
        <f>IF(L1962="",AQ1962,"")</f>
        <v/>
      </c>
      <c r="L1962" s="1199"/>
      <c r="M1962" s="700" t="str">
        <f>IF(AND(E1953&lt;&gt;"",OR(F1962="",COUNT(K1962:L1962)=0),Y1962&lt;&gt;EUconst_NA,T1953&lt;&gt;TRUE),EUconst_ERR_Incomplete,IF(COUNTIF(AX1962:AZ1962,TRUE)&gt;0,EUconst_ERR_Inconsistent,""))</f>
        <v/>
      </c>
      <c r="O1962" s="1305"/>
      <c r="P1962" s="635"/>
      <c r="Q1962" s="343" t="str">
        <f>EUconst_SumBioEnergyIN &amp; "_" &amp; K1952</f>
        <v>SUM_BioEnergyIN_</v>
      </c>
      <c r="R1962" s="390" t="str">
        <f>IF(OR(K1952="",T1953)=TRUE,"",INDEX(BC1968:BE1968,MATCH(K1952,BC1962:BE1962,0)))</f>
        <v/>
      </c>
      <c r="S1962" s="30"/>
      <c r="T1962" s="505" t="str">
        <f>EUconst_CNTR_ActivityData&amp;E1953</f>
        <v>ActivityData_</v>
      </c>
      <c r="U1962" s="488"/>
      <c r="V1962" s="505" t="str">
        <f>IF(E1952="","",INDEX(B_InstallationDescription!$I$71:$I$145,MATCH(U1951,B_InstallationDescription!$D$71:$D$145,0)))</f>
        <v/>
      </c>
      <c r="W1962" s="495" t="s">
        <v>533</v>
      </c>
      <c r="X1962" s="488"/>
      <c r="Y1962" s="506" t="str">
        <f>IF(OR(T1953=TRUE,E1953=""),"",INDEX(EUwideConstants!$N:$N,MATCH(T1962,EUwideConstants!$Q:$Q,0)))</f>
        <v/>
      </c>
      <c r="Z1962" s="507" t="str">
        <f>IF(ISBLANK(F1962),"",IF(F1962=EUconst_NA,"",INDEX(EUwideConstants!$H:$M,MATCH(T1962,EUwideConstants!$Q:$Q,0),MATCH(F1962,CNTR_TierList,0))))</f>
        <v/>
      </c>
      <c r="AA1962" s="508" t="s">
        <v>299</v>
      </c>
      <c r="AB1962" s="495"/>
      <c r="AC1962" s="509" t="b">
        <f>AC1957</f>
        <v>0</v>
      </c>
      <c r="AD1962" s="30"/>
      <c r="AE1962" s="510" t="str">
        <f>EUconst_CNTR_ActivityData&amp;EUconst_Unit</f>
        <v>ActivityData_Vienetas</v>
      </c>
      <c r="AF1962" s="511" t="str">
        <f>IF(AC1962=TRUE, IF(COUNTIF(MSPara_SourceStreamCategory,V1962)=0,"",INDEX(MSPara_CalcFactorsMatrix,MATCH(V1962,MSPara_SourceStreamCategory,0),MATCH(AE1962&amp;"_"&amp;2,MSPara_CalcFactors,0))),"")</f>
        <v/>
      </c>
      <c r="AG1962" s="512" t="str">
        <f>IF(AC1962=TRUE, IF(COUNTIF(MSPara_SourceStreamCategory,V1962)=0,"",INDEX(MSPara_CalcFactorsMatrix,MATCH(V1962,MSPara_SourceStreamCategory,0),MATCH(AE1962&amp;"_"&amp;1,MSPara_CalcFactors,0))),"")</f>
        <v/>
      </c>
      <c r="AH1962" s="509" t="str">
        <f>IF(OR(AF1962="",AF1962=EUconst_NA),IF(OR(AG1962=EUconst_NA,AG1962=""),"",AG1962),AF1962)</f>
        <v/>
      </c>
      <c r="AI1962" s="506" t="str">
        <f>IF(AC1962=TRUE,IF(AH1962="",EUconst_t,AH1962),"")</f>
        <v/>
      </c>
      <c r="AJ1962" s="513" t="str">
        <f>IF(J1962="",AI1962,J1962)</f>
        <v/>
      </c>
      <c r="AK1962" s="514" t="b">
        <f>IF(K1952=EUconst_Fuel,J1962&lt;&gt;"",FALSE)</f>
        <v>0</v>
      </c>
      <c r="AL1962" s="333"/>
      <c r="AM1962" s="505" t="str">
        <f>EUconst_CNTR_ActivityData&amp;EUconst_Value</f>
        <v>ActivityData_Vertė</v>
      </c>
      <c r="AN1962" s="496"/>
      <c r="AO1962" s="496"/>
      <c r="AP1962" s="509" t="b">
        <f>AND(AND(AH1962&lt;&gt;"",AJ1962&lt;&gt;""),AJ1962=AH1962)</f>
        <v>0</v>
      </c>
      <c r="AQ1962" s="610" t="str">
        <f>IF(L1957=TRUE,SUM(F1959)-SUM(H1959)+SUM(J1959)-SUM(L1959),"")</f>
        <v/>
      </c>
      <c r="AR1962" s="509">
        <f>IF(Y1962=EUconst_NA,0,IF(COUNT(K1962:L1962)=0,0,IF(L1962="",K1962,L1962)))</f>
        <v>0</v>
      </c>
      <c r="AS1962" s="1115" t="b">
        <f>AND(AC1962=TRUE,OR(L1962&lt;&gt;"",AQ1962=""))</f>
        <v>0</v>
      </c>
      <c r="AT1962" s="1115" t="b">
        <f>AND(AC1962=TRUE,NOT(AS1962))</f>
        <v>0</v>
      </c>
      <c r="AU1962" s="30"/>
      <c r="AV1962" s="483" t="s">
        <v>309</v>
      </c>
      <c r="AW1962" s="483" t="s">
        <v>314</v>
      </c>
      <c r="AX1962" s="515"/>
      <c r="AY1962" s="30" t="s">
        <v>536</v>
      </c>
      <c r="AZ1962" s="30"/>
      <c r="BA1962" s="30"/>
      <c r="BB1962" s="495"/>
      <c r="BC1962" s="484" t="str">
        <f>EUconst_Fuel</f>
        <v>Degimas</v>
      </c>
      <c r="BD1962" s="484" t="str">
        <f>EUconst_ProcessCarbonate</f>
        <v>Proceso metu išsiskiriančios ŠESD</v>
      </c>
      <c r="BE1962" s="484" t="str">
        <f>EUconst_MassBalance</f>
        <v>Masės balansas</v>
      </c>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515" t="b">
        <f>BZ1957</f>
        <v>1</v>
      </c>
    </row>
    <row r="1963" spans="1:78" s="140" customFormat="1" ht="5.0999999999999996" customHeight="1" thickBot="1" x14ac:dyDescent="0.25">
      <c r="A1963" s="777"/>
      <c r="B1963" s="1248"/>
      <c r="C1963" s="783"/>
      <c r="D1963" s="298"/>
      <c r="F1963" s="141"/>
      <c r="G1963" s="141"/>
      <c r="H1963" s="141" t="s">
        <v>233</v>
      </c>
      <c r="I1963" s="516"/>
      <c r="J1963" s="516"/>
      <c r="K1963" s="141"/>
      <c r="L1963" s="141"/>
      <c r="M1963" s="701"/>
      <c r="O1963" s="1305"/>
      <c r="P1963" s="33"/>
      <c r="Q1963" s="33"/>
      <c r="R1963" s="33"/>
      <c r="S1963" s="30"/>
      <c r="T1963" s="153"/>
      <c r="U1963" s="488"/>
      <c r="V1963" s="30"/>
      <c r="W1963" s="30"/>
      <c r="X1963" s="488"/>
      <c r="Y1963" s="517"/>
      <c r="Z1963" s="30"/>
      <c r="AA1963" s="30"/>
      <c r="AB1963" s="30"/>
      <c r="AC1963" s="30"/>
      <c r="AD1963" s="30"/>
      <c r="AE1963" s="30"/>
      <c r="AF1963" s="30"/>
      <c r="AG1963" s="30"/>
      <c r="AH1963" s="30"/>
      <c r="AI1963" s="30"/>
      <c r="AJ1963" s="30"/>
      <c r="AK1963" s="30"/>
      <c r="AL1963" s="333"/>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484"/>
    </row>
    <row r="1964" spans="1:78" s="140" customFormat="1" ht="12.75" customHeight="1" thickBot="1" x14ac:dyDescent="0.25">
      <c r="A1964" s="777"/>
      <c r="B1964" s="1248"/>
      <c r="C1964" s="783" t="s">
        <v>195</v>
      </c>
      <c r="D1964" s="503" t="str">
        <f>Translations!$B$634</f>
        <v>(prelim.) ITF:</v>
      </c>
      <c r="E1964" s="504"/>
      <c r="F1964" s="518"/>
      <c r="G1964" s="1603" t="str">
        <f t="shared" ref="G1964:G1970" si="490">IF(OR(ISBLANK(F1964),F1964=EUconst_NoTier),"",IF(Z1964=0,EUconst_NotApplicable,IF(ISERROR(Z1964),"",Z1964)))</f>
        <v/>
      </c>
      <c r="H1964" s="1609"/>
      <c r="I1964" s="1110" t="str">
        <f>IF(J1964&lt;&gt;"","",AI1964)</f>
        <v/>
      </c>
      <c r="J1964" s="1111"/>
      <c r="K1964" s="519" t="str">
        <f t="shared" ref="K1964:K1970" si="491">IF(L1964="",AQ1964,"")</f>
        <v/>
      </c>
      <c r="L1964" s="520"/>
      <c r="M1964" s="700" t="str">
        <f>IF(AND(E1953&lt;&gt;"",OR(F1964="",COUNT(K1964:L1964)=0),Y1964&lt;&gt;EUconst_NA,T1953&lt;&gt;TRUE),EUconst_ERR_Incomplete,IF(COUNTIF(AX1964:AZ1964,TRUE)&gt;0,EUconst_ERR_Inconsistent,""))</f>
        <v/>
      </c>
      <c r="N1964" s="486"/>
      <c r="O1964" s="1305"/>
      <c r="P1964" s="33"/>
      <c r="Q1964" s="33"/>
      <c r="R1964" s="33"/>
      <c r="S1964" s="30"/>
      <c r="T1964" s="521" t="str">
        <f>EUconst_CNTR_EF&amp;E1953</f>
        <v>EF_</v>
      </c>
      <c r="U1964" s="488"/>
      <c r="V1964" s="522" t="str">
        <f>V1962</f>
        <v/>
      </c>
      <c r="W1964" s="30"/>
      <c r="X1964" s="488"/>
      <c r="Y1964" s="523" t="str">
        <f>IF(OR(T1953=TRUE,E1953=""),"",IF(F1964=EUconst_NA,EUconst_NA,INDEX(EUwideConstants!$N:$N,MATCH(T1964,EUwideConstants!$Q:$Q,0))))</f>
        <v/>
      </c>
      <c r="Z1964" s="524" t="str">
        <f>IF(ISBLANK(F1964),"",IF(F1964=EUconst_NA,"",INDEX(EUwideConstants!$H:$M,MATCH(T1964,EUwideConstants!$Q:$Q,0),MATCH(F1964,CNTR_TierList,0))))</f>
        <v/>
      </c>
      <c r="AA1964" s="525" t="str">
        <f>IF(COUNTIF(EUconst_DefaultValues,Z1964)&gt;0,MATCH(Z1964,EUconst_DefaultValues,0),"")</f>
        <v/>
      </c>
      <c r="AB1964" s="30"/>
      <c r="AC1964" s="526" t="b">
        <f>AND(AC1962,Y1964&lt;&gt;EUconst_NA)</f>
        <v>0</v>
      </c>
      <c r="AD1964" s="30"/>
      <c r="AE1964" s="510" t="str">
        <f>EUconst_CNTR_EF&amp;EUconst_Unit</f>
        <v>EF_Vienetas</v>
      </c>
      <c r="AF1964" s="527" t="str">
        <f>IF(AC1964=TRUE, IF(COUNTIF(MSPara_SourceStreamCategory,V1964)=0,"",INDEX(MSPara_CalcFactorsMatrix,MATCH(V1964,MSPara_SourceStreamCategory,0),MATCH(AE1964&amp;"_"&amp;2,MSPara_CalcFactors,0))),"")</f>
        <v/>
      </c>
      <c r="AG1964" s="528" t="str">
        <f>IF(AC1964=TRUE, IF(COUNTIF(MSPara_SourceStreamCategory,V1964)=0,"",INDEX(MSPara_CalcFactorsMatrix,MATCH(V1964,MSPara_SourceStreamCategory,0),MATCH(AE1964&amp;"_"&amp;1,MSPara_CalcFactors,0))),"")</f>
        <v/>
      </c>
      <c r="AH1964" s="529" t="str">
        <f>IF(AA1964="","",INDEX(AF1964:AG1964,3-AA1964))</f>
        <v/>
      </c>
      <c r="AI1964" s="530" t="str">
        <f>IF(AC1964=TRUE,IF(OR(AH1964="",AH1964=EUconst_NA),IF(K1952=EUconst_Fuel,EUconst_tCO2pTJ,EUconst_tCO2pt),AH1964),"")</f>
        <v/>
      </c>
      <c r="AJ1964" s="526" t="str">
        <f>IF(J1964="",AI1964,J1964)</f>
        <v/>
      </c>
      <c r="AK1964" s="531" t="b">
        <f>IF(K1952=EUconst_Fuel,J1964&lt;&gt;"",FALSE)</f>
        <v>0</v>
      </c>
      <c r="AL1964" s="333"/>
      <c r="AM1964" s="510" t="str">
        <f>EUconst_CNTR_EF&amp;EUconst_Value</f>
        <v>EF_Vertė</v>
      </c>
      <c r="AN1964" s="532" t="str">
        <f>IF(AC1964=TRUE,IF(COUNTIF(MSPara_SourceStreamCategory,V1964)=0,"",INDEX(MSPara_CalcFactorsMatrix,MATCH(V1964,MSPara_SourceStreamCategory,0),MATCH(AM1964&amp;"_"&amp;2,MSPara_CalcFactors,0))),"")</f>
        <v/>
      </c>
      <c r="AO1964" s="533" t="str">
        <f>IF(AC1964=TRUE,IF(COUNTIF(MSPara_SourceStreamCategory,V1964)=0,"",INDEX(MSPara_CalcFactorsMatrix,MATCH(V1964,MSPara_SourceStreamCategory,0),MATCH(AM1964&amp;"_"&amp;1,MSPara_CalcFactors,0))),"")</f>
        <v/>
      </c>
      <c r="AP1964" s="526" t="b">
        <f>AND(AND(AH1964&lt;&gt;"",AJ1964&lt;&gt;""),AJ1964=AH1964)</f>
        <v>0</v>
      </c>
      <c r="AQ1964" s="534" t="str">
        <f>IF(AND(AA1964&lt;&gt;"",AP1964=TRUE),IF(OR(INDEX(AN1964:AO1964,3-AA1964)=EUconst_NA,INDEX(AN1964:AO1964,3-AA1964)=0),"",INDEX(AN1964:AO1964,3-AA1964)),"")</f>
        <v/>
      </c>
      <c r="AR1964" s="526">
        <f>IF(AC1964=TRUE,IF(COUNT(K1964:L1964)=0,0,IF(L1964="",K1964,L1964)),0)</f>
        <v>0</v>
      </c>
      <c r="AS1964" s="522" t="b">
        <f>AND(AC1964=TRUE,OR(AND(F1964&lt;&gt;"",NOT(ISNUMBER(AA1964))),L1964&lt;&gt;"",F1964="",AQ1964=""))</f>
        <v>0</v>
      </c>
      <c r="AT1964" s="522" t="b">
        <f t="shared" ref="AT1964:AT1970" si="492">AND(AC1964=TRUE,NOT(AS1964))</f>
        <v>0</v>
      </c>
      <c r="AU1964" s="30"/>
      <c r="AV1964" s="535" t="b">
        <f t="shared" ref="AV1964:AV1970" si="493">AND(ISNUMBER(AA1964),AQ1964="")</f>
        <v>0</v>
      </c>
      <c r="AW1964" s="536" t="b">
        <f t="shared" ref="AW1964:AW1970" si="494">AND(ISNUMBER(AA1964),AQ1964&lt;&gt;AR1964)</f>
        <v>0</v>
      </c>
      <c r="AX1964" s="537" t="b">
        <f>OR(AND(AJ1962=EUconst_kNm3,AJ1964=EUconst_tCO2pt),AND(AJ1962=EUconst_t,AJ1964=EUconst_tCO2pkNm3))</f>
        <v>0</v>
      </c>
      <c r="AY1964" s="522" t="b">
        <f t="shared" ref="AY1964:AY1970" si="495">AND(L1964&lt;&gt;"",Y1964=EUconst_NA)</f>
        <v>0</v>
      </c>
      <c r="AZ1964" s="30"/>
      <c r="BA1964" s="30"/>
      <c r="BB1964" s="538" t="s">
        <v>588</v>
      </c>
      <c r="BC1964" s="537" t="str">
        <f>IF(K1952=BC1962,AR1962*IF(AJ1964=EUconst_tCO2pTJ,(AR1965/1000),1)*AR1964*AR1966*AR1970,"")</f>
        <v/>
      </c>
      <c r="BD1964" s="515" t="str">
        <f>IF(K1952=BD1962,AR1962*AR1964*AR1967*AR1970,"")</f>
        <v/>
      </c>
      <c r="BE1964" s="514" t="str">
        <f>IF(K1952=BE1962,3.664*AR1962*AR1968*AR1970,"")</f>
        <v/>
      </c>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522" t="b">
        <f>OR(BZ1962,Y1964=EUconst_NA)</f>
        <v>1</v>
      </c>
    </row>
    <row r="1965" spans="1:78" s="140" customFormat="1" ht="12.75" customHeight="1" thickBot="1" x14ac:dyDescent="0.25">
      <c r="A1965" s="777"/>
      <c r="B1965" s="1248"/>
      <c r="C1965" s="783" t="s">
        <v>196</v>
      </c>
      <c r="D1965" s="503" t="str">
        <f>Translations!$B$636</f>
        <v>GŠV:</v>
      </c>
      <c r="E1965" s="504"/>
      <c r="F1965" s="539"/>
      <c r="G1965" s="1603" t="str">
        <f t="shared" si="490"/>
        <v/>
      </c>
      <c r="H1965" s="1604"/>
      <c r="I1965" s="1112" t="str">
        <f>AJ1965</f>
        <v/>
      </c>
      <c r="J1965" s="540"/>
      <c r="K1965" s="541" t="str">
        <f t="shared" si="491"/>
        <v/>
      </c>
      <c r="L1965" s="542"/>
      <c r="M1965" s="700" t="str">
        <f>IF(AND(E1953&lt;&gt;"",OR(F1965="",COUNT(K1965:L1965)=0),Y1965&lt;&gt;EUconst_NA,T1953&lt;&gt;TRUE),EUconst_ERR_Incomplete,IF(COUNTIF(AX1965:AZ1965,TRUE)&gt;0,EUconst_ERR_Inconsistent,""))</f>
        <v/>
      </c>
      <c r="O1965" s="1305"/>
      <c r="P1965" s="33"/>
      <c r="Q1965" s="33"/>
      <c r="R1965" s="33"/>
      <c r="S1965" s="30"/>
      <c r="T1965" s="543" t="str">
        <f>EUconst_CNTR_NCV&amp;E1953</f>
        <v>NCV_</v>
      </c>
      <c r="U1965" s="488"/>
      <c r="V1965" s="544" t="str">
        <f t="shared" ref="V1965:V1970" si="496">V1964</f>
        <v/>
      </c>
      <c r="W1965" s="30"/>
      <c r="X1965" s="488"/>
      <c r="Y1965" s="545" t="str">
        <f>IF(OR(T1953=TRUE,E1953=""),"",IF(F1965=EUconst_NA,EUconst_NA,INDEX(EUwideConstants!$N:$N,MATCH(T1965,EUwideConstants!$Q:$Q,0))))</f>
        <v/>
      </c>
      <c r="Z1965" s="546" t="str">
        <f>IF(ISBLANK(F1965),"",IF(F1965=EUconst_NA,"",INDEX(EUwideConstants!$H:$M,MATCH(T1965,EUwideConstants!$Q:$Q,0),MATCH(F1965,CNTR_TierList,0))))</f>
        <v/>
      </c>
      <c r="AA1965" s="547" t="str">
        <f>IF(COUNTIF(EUconst_DefaultValues,Z1965)&gt;0,MATCH(Z1965,EUconst_DefaultValues,0),"")</f>
        <v/>
      </c>
      <c r="AB1965" s="30"/>
      <c r="AC1965" s="548" t="b">
        <f>AND(AC1962,Y1965&lt;&gt;EUconst_NA)</f>
        <v>0</v>
      </c>
      <c r="AD1965" s="30"/>
      <c r="AE1965" s="549" t="str">
        <f>EUconst_CNTR_NCV&amp;EUconst_Unit</f>
        <v>NCV_Vienetas</v>
      </c>
      <c r="AF1965" s="550" t="str">
        <f>IF(AC1965=TRUE, IF(COUNTIF(MSPara_SourceStreamCategory,V1965)=0,"",INDEX(MSPara_CalcFactorsMatrix,MATCH(V1965,MSPara_SourceStreamCategory,0),MATCH(AE1965&amp;"_"&amp;2,MSPara_CalcFactors,0))),"")</f>
        <v/>
      </c>
      <c r="AG1965" s="551" t="str">
        <f>IF(AC1965=TRUE, IF(COUNTIF(MSPara_SourceStreamCategory,V1965)=0,"",INDEX(MSPara_CalcFactorsMatrix,MATCH(V1965,MSPara_SourceStreamCategory,0),MATCH(AE1965&amp;"_"&amp;1,MSPara_CalcFactors,0))),"")</f>
        <v/>
      </c>
      <c r="AH1965" s="552" t="str">
        <f>IF(AA1965="","",INDEX(AF1965:AG1965,3-AA1965))</f>
        <v/>
      </c>
      <c r="AI1965" s="553"/>
      <c r="AJ1965" s="548" t="str">
        <f>IF(AC1965=TRUE,IF(AJ1962="","",IF(AJ1962=EUconst_kNm3,EUconst_GJpkNm3,EUconst_GJpt)),"")</f>
        <v/>
      </c>
      <c r="AK1965" s="554"/>
      <c r="AL1965" s="333"/>
      <c r="AM1965" s="549" t="str">
        <f>EUconst_CNTR_NCV&amp;EUconst_Value</f>
        <v>NCV_Vertė</v>
      </c>
      <c r="AN1965" s="555" t="str">
        <f>IF(AC1965=TRUE,IF(COUNTIF(MSPara_SourceStreamCategory,V1965)=0,"",INDEX(MSPara_CalcFactorsMatrix,MATCH(V1965,MSPara_SourceStreamCategory,0),MATCH(AM1965&amp;"_"&amp;2,MSPara_CalcFactors,0))),"")</f>
        <v/>
      </c>
      <c r="AO1965" s="556" t="str">
        <f>IF(AC1965=TRUE,IF(COUNTIF(MSPara_SourceStreamCategory,V1965)=0,"",INDEX(MSPara_CalcFactorsMatrix,MATCH(V1965,MSPara_SourceStreamCategory,0),MATCH(AM1965&amp;"_"&amp;1,MSPara_CalcFactors,0))),"")</f>
        <v/>
      </c>
      <c r="AP1965" s="548" t="b">
        <f>AND(AND(AH1965&lt;&gt;"",AJ1965&lt;&gt;""),AJ1965=AH1965)</f>
        <v>0</v>
      </c>
      <c r="AQ1965" s="557" t="str">
        <f>IF(AND(AA1965&lt;&gt;"",AP1965=TRUE),IF(OR(INDEX(AN1965:AO1965,3-AA1965)=EUconst_NA,INDEX(AN1965:AO1965,3-AA1965)=0),"",INDEX(AN1965:AO1965,3-AA1965)),"")</f>
        <v/>
      </c>
      <c r="AR1965" s="548">
        <f>IF(AC1965=TRUE,IF(COUNT(K1965:L1965)=0,0,IF(L1965="",K1965,L1965)),0)</f>
        <v>0</v>
      </c>
      <c r="AS1965" s="544" t="b">
        <f>AND(AC1965=TRUE,OR(AND(F1965&lt;&gt;"",NOT(ISNUMBER(AA1965))),L1965&lt;&gt;"",F1965="",AQ1965=""))</f>
        <v>0</v>
      </c>
      <c r="AT1965" s="544" t="b">
        <f t="shared" si="492"/>
        <v>0</v>
      </c>
      <c r="AU1965" s="30"/>
      <c r="AV1965" s="558" t="b">
        <f t="shared" si="493"/>
        <v>0</v>
      </c>
      <c r="AW1965" s="559" t="b">
        <f t="shared" si="494"/>
        <v>0</v>
      </c>
      <c r="AX1965" s="30"/>
      <c r="AY1965" s="544" t="b">
        <f t="shared" si="495"/>
        <v>0</v>
      </c>
      <c r="AZ1965" s="30"/>
      <c r="BA1965" s="30"/>
      <c r="BB1965" s="538" t="s">
        <v>589</v>
      </c>
      <c r="BC1965" s="537" t="str">
        <f>IF(K1952=BC1962,AR1962*IF(AJ1964=EUconst_tCO2pTJ,(AR1965/1000),1)*AR1964*AR1966*AR1969,"")</f>
        <v/>
      </c>
      <c r="BD1965" s="515" t="str">
        <f>IF(K1952=BD1962,AR1962*AR1964*AR1967*AR1969,"")</f>
        <v/>
      </c>
      <c r="BE1965" s="514" t="str">
        <f>IF(K1952=BE1962,3.664*AR1962*AR1968*AR1969,"")</f>
        <v/>
      </c>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544" t="b">
        <f>OR(BZ1962,Y1965=EUconst_NA)</f>
        <v>1</v>
      </c>
    </row>
    <row r="1966" spans="1:78" s="140" customFormat="1" ht="12.75" customHeight="1" thickBot="1" x14ac:dyDescent="0.25">
      <c r="A1966" s="777"/>
      <c r="B1966" s="1248"/>
      <c r="C1966" s="783" t="s">
        <v>197</v>
      </c>
      <c r="D1966" s="503" t="str">
        <f>Translations!$B$638</f>
        <v>Oksidacijos koef.:</v>
      </c>
      <c r="E1966" s="504"/>
      <c r="F1966" s="539"/>
      <c r="G1966" s="1603" t="str">
        <f t="shared" si="490"/>
        <v/>
      </c>
      <c r="H1966" s="1604"/>
      <c r="I1966" s="1113" t="str">
        <f>IF(OR(AC1966=FALSE,Y1966=EUconst_NA),"","-")</f>
        <v/>
      </c>
      <c r="J1966" s="560"/>
      <c r="K1966" s="561" t="str">
        <f t="shared" si="491"/>
        <v/>
      </c>
      <c r="L1966" s="694"/>
      <c r="M1966" s="700" t="str">
        <f>IF(AND(E1953&lt;&gt;"",OR(F1966="",COUNT(K1966:L1966)=0),Y1966&lt;&gt;EUconst_NA,T1953&lt;&gt;TRUE),EUconst_ERR_Incomplete,IF(COUNTIF(AX1966:AZ1966,TRUE)&gt;0,EUconst_ERR_Inconsistent,""))</f>
        <v/>
      </c>
      <c r="O1966" s="1305"/>
      <c r="P1966" s="33"/>
      <c r="Q1966" s="33"/>
      <c r="R1966" s="33"/>
      <c r="S1966" s="30"/>
      <c r="T1966" s="543" t="str">
        <f>EUconst_CNTR_OxidationFactor&amp;E1953</f>
        <v>OxF_</v>
      </c>
      <c r="U1966" s="488"/>
      <c r="V1966" s="544" t="str">
        <f t="shared" si="496"/>
        <v/>
      </c>
      <c r="W1966" s="30"/>
      <c r="X1966" s="488"/>
      <c r="Y1966" s="545" t="str">
        <f>IF(OR(T1953=TRUE,E1953=""),"",INDEX(EUwideConstants!$N:$N,MATCH(T1966,EUwideConstants!$Q:$Q,0)))</f>
        <v/>
      </c>
      <c r="Z1966" s="546" t="str">
        <f>IF(ISBLANK(F1966),"",IF(F1966=EUconst_NA,"",INDEX(EUwideConstants!$H:$M,MATCH(T1966,EUwideConstants!$Q:$Q,0),MATCH(F1966,CNTR_TierList,0))))</f>
        <v/>
      </c>
      <c r="AA1966" s="525" t="str">
        <f>IF(F1966=1,1,"")</f>
        <v/>
      </c>
      <c r="AB1966" s="30"/>
      <c r="AC1966" s="548" t="b">
        <f>AND(AC1962,Y1966&lt;&gt;EUconst_NA)</f>
        <v>0</v>
      </c>
      <c r="AD1966" s="30"/>
      <c r="AE1966" s="563"/>
      <c r="AG1966" s="564"/>
      <c r="AH1966" s="553"/>
      <c r="AI1966" s="565"/>
      <c r="AJ1966" s="553"/>
      <c r="AK1966" s="566"/>
      <c r="AL1966" s="333"/>
      <c r="AM1966" s="549" t="str">
        <f>EUconst_CNTR_OxidationFactor&amp;EUconst_Value</f>
        <v>OxF_Vertė</v>
      </c>
      <c r="AN1966" s="567"/>
      <c r="AO1966" s="525">
        <v>1</v>
      </c>
      <c r="AP1966" s="553"/>
      <c r="AQ1966" s="568" t="str">
        <f>IF(AA1966="","",AO1966)</f>
        <v/>
      </c>
      <c r="AR1966" s="548">
        <f>IF(AC1966=TRUE,IF(COUNT(K1966:L1966)=0,0,IF(L1966="",K1966,L1966)),1)</f>
        <v>1</v>
      </c>
      <c r="AS1966" s="544" t="b">
        <f>AND(AC1966=TRUE,OR(ISNUMBER(L1966),NOT(ISNUMBER(AA1966))))</f>
        <v>0</v>
      </c>
      <c r="AT1966" s="544" t="b">
        <f t="shared" si="492"/>
        <v>0</v>
      </c>
      <c r="AU1966" s="30"/>
      <c r="AV1966" s="558" t="b">
        <f t="shared" si="493"/>
        <v>0</v>
      </c>
      <c r="AW1966" s="559" t="b">
        <f t="shared" si="494"/>
        <v>0</v>
      </c>
      <c r="AX1966" s="30"/>
      <c r="AY1966" s="585" t="b">
        <f t="shared" si="495"/>
        <v>0</v>
      </c>
      <c r="AZ1966" s="522" t="b">
        <f>AR1966&gt;100%</f>
        <v>0</v>
      </c>
      <c r="BA1966" s="30"/>
      <c r="BB1966" s="538" t="s">
        <v>287</v>
      </c>
      <c r="BC1966" s="537" t="str">
        <f>IF(K1952=BC1962,AR1962*IF(AJ1964=EUconst_tCO2pTJ,(AR1965/1000),1)*AR1964*AR1966*(1-AR1969),"")</f>
        <v/>
      </c>
      <c r="BD1966" s="515" t="str">
        <f>IF(K1952=BD1962,AR1962*AR1964*AR1967*(1-AR1969),"")</f>
        <v/>
      </c>
      <c r="BE1966" s="514" t="str">
        <f>IF(K1952=BE1962,3.664*AR1962*AR1968*(1-AR1969),"")</f>
        <v/>
      </c>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544" t="b">
        <f>OR(BZ1962,Y1966=EUconst_NA)</f>
        <v>1</v>
      </c>
    </row>
    <row r="1967" spans="1:78" s="140" customFormat="1" ht="12.75" customHeight="1" thickBot="1" x14ac:dyDescent="0.25">
      <c r="A1967" s="777"/>
      <c r="B1967" s="1248"/>
      <c r="C1967" s="783" t="s">
        <v>198</v>
      </c>
      <c r="D1967" s="503" t="str">
        <f>Translations!$B$639</f>
        <v>Konversijos koef.:</v>
      </c>
      <c r="E1967" s="504"/>
      <c r="F1967" s="539"/>
      <c r="G1967" s="1603" t="str">
        <f t="shared" si="490"/>
        <v/>
      </c>
      <c r="H1967" s="1604"/>
      <c r="I1967" s="1113" t="str">
        <f>IF(OR(AC1967=FALSE,Y1967=EUconst_NA),"","-")</f>
        <v/>
      </c>
      <c r="J1967" s="560"/>
      <c r="K1967" s="561" t="str">
        <f t="shared" si="491"/>
        <v/>
      </c>
      <c r="L1967" s="694"/>
      <c r="M1967" s="700" t="str">
        <f>IF(AND(E1953&lt;&gt;"",OR(F1967="",COUNT(K1967:L1967)=0),Y1967&lt;&gt;EUconst_NA,T1953&lt;&gt;TRUE),EUconst_ERR_Incomplete,IF(COUNTIF(AX1967:AZ1967,TRUE)&gt;0,EUconst_ERR_Inconsistent,""))</f>
        <v/>
      </c>
      <c r="O1967" s="1305"/>
      <c r="P1967" s="33"/>
      <c r="Q1967" s="33"/>
      <c r="R1967" s="33"/>
      <c r="S1967" s="30"/>
      <c r="T1967" s="543" t="str">
        <f>EUconst_CNTR_ConversionFactor&amp;E1953</f>
        <v>ConvF_</v>
      </c>
      <c r="U1967" s="488"/>
      <c r="V1967" s="544" t="str">
        <f t="shared" si="496"/>
        <v/>
      </c>
      <c r="W1967" s="30"/>
      <c r="X1967" s="488"/>
      <c r="Y1967" s="545" t="str">
        <f>IF(OR(T1953=TRUE,E1953=""),"",INDEX(EUwideConstants!$N:$N,MATCH(T1967,EUwideConstants!$Q:$Q,0)))</f>
        <v/>
      </c>
      <c r="Z1967" s="546" t="str">
        <f>IF(ISBLANK(F1967),"",IF(F1967=EUconst_NA,"",INDEX(EUwideConstants!$H:$M,MATCH(T1967,EUwideConstants!$Q:$Q,0),MATCH(F1967,CNTR_TierList,0))))</f>
        <v/>
      </c>
      <c r="AA1967" s="573" t="str">
        <f>IF(F1967=1,1,"")</f>
        <v/>
      </c>
      <c r="AB1967" s="30"/>
      <c r="AC1967" s="548" t="b">
        <f>AND(AC1962,Y1967&lt;&gt;EUconst_NA)</f>
        <v>0</v>
      </c>
      <c r="AD1967" s="30"/>
      <c r="AE1967" s="563"/>
      <c r="AG1967" s="564"/>
      <c r="AH1967" s="574"/>
      <c r="AI1967" s="565"/>
      <c r="AJ1967" s="574"/>
      <c r="AK1967" s="566"/>
      <c r="AL1967" s="333"/>
      <c r="AM1967" s="549" t="str">
        <f>EUconst_CNTR_ConversionFactor&amp;EUconst_Value</f>
        <v>ConvF_Vertė</v>
      </c>
      <c r="AN1967" s="575"/>
      <c r="AO1967" s="573">
        <v>1</v>
      </c>
      <c r="AP1967" s="574"/>
      <c r="AQ1967" s="576" t="str">
        <f>IF(AA1967="","",AO1967)</f>
        <v/>
      </c>
      <c r="AR1967" s="548">
        <f>IF(AC1967=TRUE,IF(COUNT(K1967:L1967)=0,0,IF(L1967="",K1967,L1967)),1)</f>
        <v>1</v>
      </c>
      <c r="AS1967" s="544" t="b">
        <f>AND(AC1967=TRUE,OR(ISNUMBER(L1967),NOT(ISNUMBER(AA1967))))</f>
        <v>0</v>
      </c>
      <c r="AT1967" s="544" t="b">
        <f t="shared" si="492"/>
        <v>0</v>
      </c>
      <c r="AU1967" s="30"/>
      <c r="AV1967" s="558" t="b">
        <f t="shared" si="493"/>
        <v>0</v>
      </c>
      <c r="AW1967" s="559" t="b">
        <f t="shared" si="494"/>
        <v>0</v>
      </c>
      <c r="AX1967" s="30"/>
      <c r="AY1967" s="585" t="b">
        <f t="shared" si="495"/>
        <v>0</v>
      </c>
      <c r="AZ1967" s="571" t="b">
        <f>AR1967&gt;100%</f>
        <v>0</v>
      </c>
      <c r="BA1967" s="30"/>
      <c r="BB1967" s="569" t="s">
        <v>481</v>
      </c>
      <c r="BC1967" s="570">
        <f>AR1962*AR1965/1000*(1-AR1969)</f>
        <v>0</v>
      </c>
      <c r="BD1967" s="571">
        <f>BC1967</f>
        <v>0</v>
      </c>
      <c r="BE1967" s="572">
        <f>BC1967</f>
        <v>0</v>
      </c>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544" t="b">
        <f>OR(BZ1962,Y1967=EUconst_NA)</f>
        <v>1</v>
      </c>
    </row>
    <row r="1968" spans="1:78" s="140" customFormat="1" ht="12.75" customHeight="1" thickBot="1" x14ac:dyDescent="0.25">
      <c r="A1968" s="777"/>
      <c r="B1968" s="1248"/>
      <c r="C1968" s="783" t="s">
        <v>324</v>
      </c>
      <c r="D1968" s="503" t="str">
        <f>Translations!$B$640</f>
        <v>Anglies kiekis (C):</v>
      </c>
      <c r="E1968" s="504"/>
      <c r="F1968" s="539"/>
      <c r="G1968" s="1603" t="str">
        <f t="shared" si="490"/>
        <v/>
      </c>
      <c r="H1968" s="1604"/>
      <c r="I1968" s="1113" t="str">
        <f>AJ1968</f>
        <v/>
      </c>
      <c r="J1968" s="577"/>
      <c r="K1968" s="578" t="str">
        <f t="shared" si="491"/>
        <v/>
      </c>
      <c r="L1968" s="579"/>
      <c r="M1968" s="700" t="str">
        <f>IF(AND(E1953&lt;&gt;"",OR(F1968="",COUNT(K1968:L1968)=0),Y1968&lt;&gt;EUconst_NA,T1953&lt;&gt;TRUE),EUconst_ERR_Incomplete,IF(COUNTIF(AX1968:AZ1968,TRUE)&gt;0,EUconst_ERR_Inconsistent,""))</f>
        <v/>
      </c>
      <c r="O1968" s="1305"/>
      <c r="P1968" s="33"/>
      <c r="Q1968" s="33"/>
      <c r="R1968" s="33"/>
      <c r="S1968" s="30"/>
      <c r="T1968" s="543" t="str">
        <f>EUconst_CNTR_CarbonContent&amp;E1953</f>
        <v>CarbC_</v>
      </c>
      <c r="U1968" s="488"/>
      <c r="V1968" s="544" t="str">
        <f t="shared" si="496"/>
        <v/>
      </c>
      <c r="W1968" s="30"/>
      <c r="X1968" s="488"/>
      <c r="Y1968" s="545" t="str">
        <f>IF(OR(T1953=TRUE,E1953=""),"",INDEX(EUwideConstants!$N:$N,MATCH(T1968,EUwideConstants!$Q:$Q,0)))</f>
        <v/>
      </c>
      <c r="Z1968" s="546" t="str">
        <f>IF(ISBLANK(F1968),"",IF(F1968=EUconst_NA,"",INDEX(EUwideConstants!$H:$M,MATCH(T1968,EUwideConstants!$Q:$Q,0),MATCH(F1968,CNTR_TierList,0))))</f>
        <v/>
      </c>
      <c r="AA1968" s="580" t="str">
        <f>IF(COUNTIF(EUconst_DefaultValues,Z1968)&gt;0,MATCH(Z1968,EUconst_DefaultValues,0),"")</f>
        <v/>
      </c>
      <c r="AB1968" s="30"/>
      <c r="AC1968" s="548" t="b">
        <f>AND(AC1962,Y1968&lt;&gt;EUconst_NA)</f>
        <v>0</v>
      </c>
      <c r="AD1968" s="30"/>
      <c r="AE1968" s="549" t="str">
        <f>EUconst_CNTR_CarbonContent&amp;EUconst_Unit</f>
        <v>CarbC_Vienetas</v>
      </c>
      <c r="AF1968" s="550" t="str">
        <f>IF(AC1968=TRUE, IF(COUNTIF(MSPara_SourceStreamCategory,V1968)=0,"",INDEX(MSPara_CalcFactorsMatrix,MATCH(V1968,MSPara_SourceStreamCategory,0),MATCH(AE1968&amp;"_"&amp;2,MSPara_CalcFactors,0))),"")</f>
        <v/>
      </c>
      <c r="AG1968" s="551" t="str">
        <f>IF(AC1968=TRUE, IF(COUNTIF(MSPara_SourceStreamCategory,V1968)=0,"",INDEX(MSPara_CalcFactorsMatrix,MATCH(V1968,MSPara_SourceStreamCategory,0),MATCH(AE1968&amp;"_"&amp;1,MSPara_CalcFactors,0))),"")</f>
        <v/>
      </c>
      <c r="AH1968" s="581" t="str">
        <f>IF(AA1968="","",INDEX(AF1968:AG1968,3-AA1968))</f>
        <v/>
      </c>
      <c r="AI1968" s="565"/>
      <c r="AJ1968" s="582" t="str">
        <f>IF(AC1968=TRUE,IF(AJ1962="","",IF(AJ1962=EUconst_kNm3,EUconst_tCpkNm3,EUconst_tCpt)),"")</f>
        <v/>
      </c>
      <c r="AK1968" s="566"/>
      <c r="AL1968" s="333"/>
      <c r="AM1968" s="549" t="str">
        <f>EUconst_CNTR_CarbonContent&amp;EUconst_Value</f>
        <v>CarbC_Vertė</v>
      </c>
      <c r="AN1968" s="555" t="str">
        <f>IF(AC1968=TRUE,IF(COUNTIF(MSPara_SourceStreamCategory,V1968)=0,"",INDEX(MSPara_CalcFactorsMatrix,MATCH(V1968,MSPara_SourceStreamCategory,0),MATCH(AM1968&amp;"_"&amp;2,MSPara_CalcFactors,0))),"")</f>
        <v/>
      </c>
      <c r="AO1968" s="583" t="str">
        <f>IF(AC1968=TRUE,IF(COUNTIF(MSPara_SourceStreamCategory,V1968)=0,"",INDEX(MSPara_CalcFactorsMatrix,MATCH(V1968,MSPara_SourceStreamCategory,0),MATCH(AM1968&amp;"_"&amp;1,MSPara_CalcFactors,0))),"")</f>
        <v/>
      </c>
      <c r="AP1968" s="548" t="b">
        <f>AND(AND(AH1968&lt;&gt;"",AJ1968&lt;&gt;""),AJ1968=AH1968)</f>
        <v>0</v>
      </c>
      <c r="AQ1968" s="584" t="str">
        <f>IF(AND(AA1968&lt;&gt;"",AP1968=TRUE),IF(OR(INDEX(AN1968:AO1968,3-AA1968)=EUconst_NA,INDEX(AN1968:AO1968,3-AA1968)=0),"",INDEX(AN1968:AO1968,3-AA1968)),"")</f>
        <v/>
      </c>
      <c r="AR1968" s="548">
        <f>IF(AC1968=TRUE,IF(COUNT(K1968:L1968)=0,0,IF(L1968="",K1968,L1968)),0)</f>
        <v>0</v>
      </c>
      <c r="AS1968" s="544" t="b">
        <f>AND(AC1968=TRUE,OR(AND(F1968&lt;&gt;"",NOT(ISNUMBER(AA1968))),L1968&lt;&gt;"",F1968="",AQ1968=""))</f>
        <v>0</v>
      </c>
      <c r="AT1968" s="544" t="b">
        <f t="shared" si="492"/>
        <v>0</v>
      </c>
      <c r="AU1968" s="30"/>
      <c r="AV1968" s="558" t="b">
        <f t="shared" si="493"/>
        <v>0</v>
      </c>
      <c r="AW1968" s="559" t="b">
        <f t="shared" si="494"/>
        <v>0</v>
      </c>
      <c r="AX1968" s="537" t="b">
        <f>OR(AND(AJ1962=EUconst_kNm3,AJ1968=EUconst_tCpt),AND(AJ1962=EUconst_t,AJ1968=EUconst_tCpkNm3))</f>
        <v>0</v>
      </c>
      <c r="AY1968" s="544" t="b">
        <f t="shared" si="495"/>
        <v>0</v>
      </c>
      <c r="AZ1968" s="30"/>
      <c r="BA1968" s="30"/>
      <c r="BB1968" s="569" t="s">
        <v>482</v>
      </c>
      <c r="BC1968" s="570">
        <f>AR1962*AR1965/1000*AR1969</f>
        <v>0</v>
      </c>
      <c r="BD1968" s="571">
        <f>BC1968</f>
        <v>0</v>
      </c>
      <c r="BE1968" s="572">
        <f>BC1968</f>
        <v>0</v>
      </c>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544" t="b">
        <f>OR(BZ1962,Y1968=EUconst_NA)</f>
        <v>1</v>
      </c>
    </row>
    <row r="1969" spans="1:78" s="140" customFormat="1" ht="12.75" customHeight="1" x14ac:dyDescent="0.2">
      <c r="A1969" s="777"/>
      <c r="B1969" s="1248"/>
      <c r="C1969" s="753" t="s">
        <v>325</v>
      </c>
      <c r="D1969" s="503" t="str">
        <f>Translations!$B$641</f>
        <v>Biomasės dalis (BioC):</v>
      </c>
      <c r="E1969" s="504"/>
      <c r="F1969" s="539"/>
      <c r="G1969" s="1603" t="str">
        <f t="shared" si="490"/>
        <v/>
      </c>
      <c r="H1969" s="1604"/>
      <c r="I1969" s="1113" t="str">
        <f>IF(OR(AC1969=FALSE,Y1969=EUconst_NA),"","-")</f>
        <v/>
      </c>
      <c r="J1969" s="560"/>
      <c r="K1969" s="561" t="str">
        <f t="shared" si="491"/>
        <v/>
      </c>
      <c r="L1969" s="694"/>
      <c r="M1969" s="700" t="str">
        <f>IF(AND(E1953&lt;&gt;"",OR(F1969="",COUNT(K1969:L1969)=0),Y1969&lt;&gt;EUconst_NA,T1953&lt;&gt;TRUE),EUconst_ERR_Incomplete,IF(COUNTIF(AX1969:AZ1969,TRUE)&gt;0,EUconst_ERR_Inconsistent,""))</f>
        <v/>
      </c>
      <c r="O1969" s="1305"/>
      <c r="P1969" s="635"/>
      <c r="Q1969" s="635"/>
      <c r="R1969" s="635"/>
      <c r="S1969" s="30"/>
      <c r="T1969" s="543" t="str">
        <f>EUconst_CNTR_BiomassContent&amp;E1953</f>
        <v>BioC_</v>
      </c>
      <c r="U1969" s="488"/>
      <c r="V1969" s="585" t="str">
        <f t="shared" si="496"/>
        <v/>
      </c>
      <c r="W1969" s="522" t="str">
        <f>IF(COUNTIF(MSPara_SourceStreamCategory,V1969)=0,"",INDEX(MSPara_IsFossil,MATCH(V1969,MSPara_SourceStreamCategory,0)))</f>
        <v/>
      </c>
      <c r="X1969" s="488"/>
      <c r="Y1969" s="545" t="str">
        <f>IF(OR(T1953=TRUE,E1953=""),"",IF(OR(W1969=TRUE,F1969=EUconst_NA),EUconst_NA,INDEX(EUwideConstants!$N:$N,MATCH(T1969,EUwideConstants!$Q:$Q,0))))</f>
        <v/>
      </c>
      <c r="Z1969" s="546" t="str">
        <f>IF(ISBLANK(F1969),"",IF(F1969=EUconst_NA,"",INDEX(EUwideConstants!$H:$M,MATCH(T1969,EUwideConstants!$Q:$Q,0),MATCH(F1969,CNTR_TierList,0))))</f>
        <v/>
      </c>
      <c r="AA1969" s="586" t="str">
        <f>IF(F1969=1,1,"")</f>
        <v/>
      </c>
      <c r="AB1969" s="30"/>
      <c r="AC1969" s="548" t="b">
        <f>AND(AC1962,Y1969&lt;&gt;EUconst_NA)</f>
        <v>0</v>
      </c>
      <c r="AD1969" s="30"/>
      <c r="AE1969" s="563"/>
      <c r="AG1969" s="564"/>
      <c r="AH1969" s="553"/>
      <c r="AI1969" s="565"/>
      <c r="AJ1969" s="553"/>
      <c r="AK1969" s="566"/>
      <c r="AL1969" s="333"/>
      <c r="AM1969" s="549" t="str">
        <f>EUconst_CNTR_BiomassContent&amp;EUconst_Value</f>
        <v>BioC_Vertė</v>
      </c>
      <c r="AO1969" s="587" t="str">
        <f>IF(AC1969=TRUE,IF(COUNTIF(MSPara_SourceStreamCategory,V1969)=0,"",INDEX(MSPara_CalcFactorsMatrix,MATCH(V1969,MSPara_SourceStreamCategory,0),MATCH(AM1969&amp;"_"&amp;2,MSPara_CalcFactors,0))),"")</f>
        <v/>
      </c>
      <c r="AP1969" s="553"/>
      <c r="AQ1969" s="568" t="str">
        <f>IF(OR(AA1969="",AO1969=EUconst_NA),"",AO1969)</f>
        <v/>
      </c>
      <c r="AR1969" s="548">
        <f>IF(AC1969=TRUE,IF(COUNT(K1969:L1969)=0,0,IF(L1969="",K1969,L1969)),0)</f>
        <v>0</v>
      </c>
      <c r="AS1969" s="544" t="b">
        <f>AND(AC1969=TRUE,OR(AND(F1969&lt;&gt;"",NOT(ISNUMBER(AA1969))),L1969&lt;&gt;"",F1969="",AQ1969=""))</f>
        <v>0</v>
      </c>
      <c r="AT1969" s="544" t="b">
        <f t="shared" si="492"/>
        <v>0</v>
      </c>
      <c r="AU1969" s="30"/>
      <c r="AV1969" s="558" t="b">
        <f t="shared" si="493"/>
        <v>0</v>
      </c>
      <c r="AW1969" s="559" t="b">
        <f t="shared" si="494"/>
        <v>0</v>
      </c>
      <c r="AX1969" s="30"/>
      <c r="AY1969" s="585" t="b">
        <f t="shared" si="495"/>
        <v>0</v>
      </c>
      <c r="AZ1969" s="522" t="b">
        <f>OR(AR1969&gt;100%,(AR1969+AR1970)&gt;100%)</f>
        <v>0</v>
      </c>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544" t="b">
        <f>OR(BZ1962,Y1969=EUconst_NA)</f>
        <v>1</v>
      </c>
    </row>
    <row r="1970" spans="1:78" s="140" customFormat="1" ht="12.75" customHeight="1" thickBot="1" x14ac:dyDescent="0.25">
      <c r="A1970" s="777"/>
      <c r="B1970" s="1248"/>
      <c r="C1970" s="753" t="s">
        <v>448</v>
      </c>
      <c r="D1970" s="503" t="str">
        <f>Translations!$B$647</f>
        <v>Netvarios BioC dalis:</v>
      </c>
      <c r="E1970" s="504"/>
      <c r="F1970" s="588"/>
      <c r="G1970" s="1603" t="str">
        <f t="shared" si="490"/>
        <v/>
      </c>
      <c r="H1970" s="1604"/>
      <c r="I1970" s="1114" t="str">
        <f>IF(OR(AC1970=FALSE,Y1970=EUconst_NA),"","-")</f>
        <v/>
      </c>
      <c r="J1970" s="560"/>
      <c r="K1970" s="589" t="str">
        <f t="shared" si="491"/>
        <v/>
      </c>
      <c r="L1970" s="1100"/>
      <c r="M1970" s="700" t="str">
        <f>IF(AND(E1953&lt;&gt;"",OR(F1970="",COUNT(K1970:L1970)=0),Y1970&lt;&gt;EUconst_NA,T1953&lt;&gt;TRUE),EUconst_ERR_Incomplete,IF(COUNTIF(AX1970:AZ1970,TRUE)&gt;0,EUconst_ERR_Inconsistent,""))</f>
        <v/>
      </c>
      <c r="O1970" s="1305"/>
      <c r="P1970" s="635"/>
      <c r="Q1970" s="635"/>
      <c r="R1970" s="635"/>
      <c r="S1970" s="30"/>
      <c r="T1970" s="590" t="str">
        <f>EUconst_CNTR_BiomassContent&amp;E1953</f>
        <v>BioC_</v>
      </c>
      <c r="U1970" s="488"/>
      <c r="V1970" s="570" t="str">
        <f t="shared" si="496"/>
        <v/>
      </c>
      <c r="W1970" s="571" t="str">
        <f>IF(COUNTIF(MSPara_SourceStreamCategory,V1970)=0,"",INDEX(MSPara_IsFossil,MATCH(V1970,MSPara_SourceStreamCategory,0)))</f>
        <v/>
      </c>
      <c r="X1970" s="488"/>
      <c r="Y1970" s="591" t="str">
        <f>IF(OR(T1953=TRUE,E1953=""),"",IF(OR(W1970=TRUE,F1970=EUconst_NA),EUconst_NA,INDEX(EUwideConstants!$N:$N,MATCH(T1970,EUwideConstants!$Q:$Q,0))))</f>
        <v/>
      </c>
      <c r="Z1970" s="592" t="str">
        <f>IF(ISBLANK(F1970),"",IF(F1970=EUconst_NA,"",INDEX(EUwideConstants!$H:$M,MATCH(T1970,EUwideConstants!$Q:$Q,0),MATCH(F1970,CNTR_TierList,0))))</f>
        <v/>
      </c>
      <c r="AA1970" s="593" t="str">
        <f>IF(F1970=1,1,"")</f>
        <v/>
      </c>
      <c r="AB1970" s="30"/>
      <c r="AC1970" s="594" t="b">
        <f>AND(AC1962,Y1970&lt;&gt;EUconst_NA)</f>
        <v>0</v>
      </c>
      <c r="AD1970" s="30"/>
      <c r="AE1970" s="595"/>
      <c r="AF1970" s="596"/>
      <c r="AG1970" s="597"/>
      <c r="AH1970" s="598"/>
      <c r="AI1970" s="598"/>
      <c r="AJ1970" s="598"/>
      <c r="AK1970" s="599"/>
      <c r="AL1970" s="333"/>
      <c r="AM1970" s="600" t="str">
        <f>EUconst_CNTR_BiomassContent&amp;EUconst_Value</f>
        <v>BioC_Vertė</v>
      </c>
      <c r="AN1970" s="596"/>
      <c r="AO1970" s="601" t="str">
        <f>IF(AC1970=TRUE,IF(COUNTIF(MSPara_SourceStreamCategory,V1970)=0,"",INDEX(MSPara_CalcFactorsMatrix,MATCH(V1970,MSPara_SourceStreamCategory,0),MATCH(AM1970&amp;"_"&amp;2,MSPara_CalcFactors,0))),"")</f>
        <v/>
      </c>
      <c r="AP1970" s="598"/>
      <c r="AQ1970" s="602" t="str">
        <f>IF(OR(AA1970="",AO1970=EUconst_NA),"",AO1970)</f>
        <v/>
      </c>
      <c r="AR1970" s="594">
        <f>IF(AC1970=TRUE,IF(COUNT(K1970:L1970)=0,0,IF(L1970="",K1970,L1970)),0)</f>
        <v>0</v>
      </c>
      <c r="AS1970" s="603" t="b">
        <f>AND(AC1970=TRUE,OR(AND(F1970&lt;&gt;"",NOT(ISNUMBER(AA1970))),L1970&lt;&gt;"",F1970="",AQ1970=""))</f>
        <v>0</v>
      </c>
      <c r="AT1970" s="603" t="b">
        <f t="shared" si="492"/>
        <v>0</v>
      </c>
      <c r="AU1970" s="30"/>
      <c r="AV1970" s="604" t="b">
        <f t="shared" si="493"/>
        <v>0</v>
      </c>
      <c r="AW1970" s="605" t="b">
        <f t="shared" si="494"/>
        <v>0</v>
      </c>
      <c r="AX1970" s="30"/>
      <c r="AY1970" s="570" t="b">
        <f t="shared" si="495"/>
        <v>0</v>
      </c>
      <c r="AZ1970" s="571" t="b">
        <f>OR(AR1969&gt;100%,(AR1969+AR1970)&gt;100%)</f>
        <v>0</v>
      </c>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571" t="b">
        <f>OR(BZ1962,Y1970=EUconst_NA)</f>
        <v>1</v>
      </c>
    </row>
    <row r="1971" spans="1:78" s="140" customFormat="1" ht="5.0999999999999996" customHeight="1" x14ac:dyDescent="0.2">
      <c r="A1971" s="777"/>
      <c r="B1971" s="1248"/>
      <c r="C1971" s="164"/>
      <c r="D1971" s="178"/>
      <c r="O1971" s="1305"/>
      <c r="P1971" s="33"/>
      <c r="Q1971" s="33"/>
      <c r="R1971" s="33"/>
      <c r="S1971" s="172"/>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row>
    <row r="1972" spans="1:78" s="140" customFormat="1" ht="12.75" customHeight="1" x14ac:dyDescent="0.2">
      <c r="A1972" s="777"/>
      <c r="B1972" s="1248"/>
      <c r="C1972" s="164"/>
      <c r="D1972" s="1629" t="str">
        <f>Translations!$B$674</f>
        <v>Pakopos galioja nuo:</v>
      </c>
      <c r="E1972" s="1629"/>
      <c r="F1972" s="1630"/>
      <c r="G1972" s="1014"/>
      <c r="H1972" s="606" t="str">
        <f>Translations!$B$675</f>
        <v>iki:</v>
      </c>
      <c r="I1972" s="1014"/>
      <c r="J1972" s="1620" t="str">
        <f>Translations!$B$676</f>
        <v>Atliekų katalogo numeris (jeigu taikytina):</v>
      </c>
      <c r="K1972" s="1621"/>
      <c r="L1972" s="1621"/>
      <c r="M1972" s="1622"/>
      <c r="N1972" s="1232"/>
      <c r="O1972" s="1305"/>
      <c r="P1972" s="33"/>
      <c r="Q1972" s="33"/>
      <c r="R1972" s="33"/>
      <c r="S1972" s="1233"/>
      <c r="T1972" s="483"/>
      <c r="U1972" s="483"/>
      <c r="V1972" s="48" t="b">
        <f>IF(V1962="",FALSE,INDEX(CNTR_IsWaste,MATCH(V1962,MSParameters!$A$218:$A$376,0)))</f>
        <v>0</v>
      </c>
      <c r="W1972" s="1233" t="s">
        <v>1689</v>
      </c>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2" t="b">
        <f>BZ1962</f>
        <v>1</v>
      </c>
    </row>
    <row r="1973" spans="1:78" s="140" customFormat="1" ht="5.0999999999999996" customHeight="1" x14ac:dyDescent="0.2">
      <c r="A1973" s="777"/>
      <c r="B1973" s="1248"/>
      <c r="C1973" s="164"/>
      <c r="D1973" s="606"/>
      <c r="E1973" s="486"/>
      <c r="F1973" s="486"/>
      <c r="G1973" s="486"/>
      <c r="H1973" s="486"/>
      <c r="I1973" s="486"/>
      <c r="J1973" s="486"/>
      <c r="K1973" s="486"/>
      <c r="L1973" s="486"/>
      <c r="M1973" s="486"/>
      <c r="N1973" s="486"/>
      <c r="O1973" s="1305"/>
      <c r="P1973" s="33"/>
      <c r="Q1973" s="33"/>
      <c r="R1973" s="33"/>
      <c r="S1973" s="172"/>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row>
    <row r="1974" spans="1:78" s="140" customFormat="1" ht="12.75" customHeight="1" x14ac:dyDescent="0.2">
      <c r="A1974" s="777"/>
      <c r="B1974" s="1248"/>
      <c r="C1974" s="164"/>
      <c r="D1974" s="486"/>
      <c r="E1974" s="486"/>
      <c r="F1974" s="486"/>
      <c r="G1974" s="486"/>
      <c r="H1974" s="486"/>
      <c r="I1974" s="486"/>
      <c r="J1974" s="486"/>
      <c r="K1974" s="486"/>
      <c r="L1974" s="486"/>
      <c r="M1974" s="606" t="str">
        <f>Translations!$B$677</f>
        <v>Stebėsenos plane šiam sukėlikliui suteiktas identifikatorius:</v>
      </c>
      <c r="N1974" s="705"/>
      <c r="O1974" s="1305"/>
      <c r="P1974" s="33"/>
      <c r="Q1974" s="33"/>
      <c r="R1974" s="33"/>
      <c r="S1974" s="172"/>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2" t="b">
        <f>BZ1972</f>
        <v>1</v>
      </c>
    </row>
    <row r="1975" spans="1:78" s="140" customFormat="1" ht="5.0999999999999996" customHeight="1" x14ac:dyDescent="0.2">
      <c r="A1975" s="784"/>
      <c r="B1975" s="1316"/>
      <c r="D1975" s="178"/>
      <c r="O1975" s="1317"/>
      <c r="P1975" s="488"/>
      <c r="Q1975" s="488"/>
      <c r="R1975" s="488"/>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row>
    <row r="1976" spans="1:78" s="140" customFormat="1" x14ac:dyDescent="0.2">
      <c r="A1976" s="784"/>
      <c r="B1976" s="1316"/>
      <c r="D1976" s="1618" t="str">
        <f>Translations!$B$160</f>
        <v>Pastabos:</v>
      </c>
      <c r="E1976" s="1619"/>
      <c r="F1976" s="1605"/>
      <c r="G1976" s="1606"/>
      <c r="H1976" s="1606"/>
      <c r="I1976" s="1606"/>
      <c r="J1976" s="1606"/>
      <c r="K1976" s="1606"/>
      <c r="L1976" s="1606"/>
      <c r="M1976" s="1606"/>
      <c r="N1976" s="1607"/>
      <c r="O1976" s="1317"/>
      <c r="P1976" s="488"/>
      <c r="Q1976" s="488"/>
      <c r="R1976" s="488"/>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2" t="b">
        <f>BZ1972</f>
        <v>1</v>
      </c>
    </row>
    <row r="1977" spans="1:78" s="28" customFormat="1" ht="12.75" customHeight="1" thickBot="1" x14ac:dyDescent="0.25">
      <c r="A1977" s="777"/>
      <c r="B1977" s="1312"/>
      <c r="C1977" s="490"/>
      <c r="D1977" s="491"/>
      <c r="E1977" s="492"/>
      <c r="F1977" s="490"/>
      <c r="G1977" s="493"/>
      <c r="H1977" s="493"/>
      <c r="I1977" s="493"/>
      <c r="J1977" s="493"/>
      <c r="K1977" s="493"/>
      <c r="L1977" s="493"/>
      <c r="M1977" s="493"/>
      <c r="N1977" s="493"/>
      <c r="O1977" s="1313"/>
      <c r="P1977" s="485"/>
      <c r="Q1977" s="485"/>
      <c r="R1977" s="485"/>
      <c r="S1977" s="58"/>
      <c r="T1977" s="58"/>
      <c r="U1977" s="489"/>
      <c r="V1977" s="58"/>
      <c r="W1977" s="58"/>
      <c r="X1977" s="489"/>
      <c r="Y1977" s="58"/>
      <c r="Z1977" s="58"/>
      <c r="AA1977" s="58"/>
      <c r="AB1977" s="58"/>
      <c r="AC1977" s="58"/>
      <c r="AD1977" s="58"/>
      <c r="AE1977" s="58"/>
      <c r="AF1977" s="58"/>
      <c r="AG1977" s="58"/>
      <c r="AH1977" s="58"/>
      <c r="AI1977" s="58"/>
      <c r="AJ1977" s="58"/>
      <c r="AK1977" s="58"/>
      <c r="AL1977" s="58"/>
      <c r="AM1977" s="58"/>
      <c r="AN1977" s="58"/>
      <c r="AO1977" s="58"/>
      <c r="AP1977" s="58"/>
      <c r="AQ1977" s="58"/>
      <c r="AR1977" s="58"/>
      <c r="AS1977" s="58"/>
      <c r="AT1977" s="58"/>
      <c r="AU1977" s="58"/>
      <c r="AV1977" s="58"/>
      <c r="AW1977" s="58"/>
      <c r="AX1977" s="58"/>
      <c r="AY1977" s="58"/>
      <c r="AZ1977" s="58"/>
      <c r="BA1977" s="58"/>
      <c r="BB1977" s="58"/>
      <c r="BC1977" s="58"/>
      <c r="BD1977" s="58"/>
      <c r="BE1977" s="58"/>
      <c r="BF1977" s="58"/>
      <c r="BG1977" s="58"/>
      <c r="BH1977" s="58"/>
      <c r="BI1977" s="30"/>
      <c r="BJ1977" s="30"/>
      <c r="BK1977" s="30"/>
      <c r="BL1977" s="58"/>
      <c r="BM1977" s="58"/>
      <c r="BN1977" s="58"/>
      <c r="BO1977" s="58"/>
      <c r="BP1977" s="58"/>
      <c r="BQ1977" s="58"/>
      <c r="BR1977" s="58"/>
      <c r="BS1977" s="58"/>
      <c r="BT1977" s="58"/>
      <c r="BU1977" s="58"/>
      <c r="BV1977" s="58"/>
      <c r="BW1977" s="58"/>
      <c r="BX1977" s="58"/>
      <c r="BY1977" s="58"/>
      <c r="BZ1977" s="58"/>
    </row>
    <row r="1978" spans="1:78" s="28" customFormat="1" ht="12.75" customHeight="1" thickBot="1" x14ac:dyDescent="0.25">
      <c r="A1978" s="782"/>
      <c r="B1978" s="1312"/>
      <c r="C1978" s="486"/>
      <c r="D1978" s="178"/>
      <c r="E1978" s="487"/>
      <c r="F1978" s="486"/>
      <c r="G1978" s="478"/>
      <c r="H1978" s="478"/>
      <c r="I1978" s="478"/>
      <c r="J1978" s="478"/>
      <c r="K1978" s="486"/>
      <c r="L1978" s="478"/>
      <c r="M1978" s="478"/>
      <c r="N1978" s="478"/>
      <c r="O1978" s="1313"/>
      <c r="P1978" s="485"/>
      <c r="Q1978" s="485"/>
      <c r="R1978" s="485"/>
      <c r="S1978" s="23"/>
      <c r="T1978" s="27" t="str">
        <f>IF(ISBLANK(E1979),"",MATCH(E1979,CNTR_SourceStreamNames,0))</f>
        <v/>
      </c>
      <c r="U1978" s="609" t="str">
        <f>IF(ISBLANK(E1979),"",INDEX(B_InstallationDescription!$D$71:$D$145,MATCH(E1979,CNTR_SourceStreamNames,0)))</f>
        <v/>
      </c>
      <c r="V1978" s="76"/>
      <c r="W1978" s="56"/>
      <c r="X1978" s="56"/>
      <c r="Y1978" s="56"/>
      <c r="Z1978" s="58"/>
      <c r="AA1978" s="58"/>
      <c r="AB1978" s="58"/>
      <c r="AC1978" s="58"/>
      <c r="AD1978" s="58"/>
      <c r="AE1978" s="58"/>
      <c r="AF1978" s="58"/>
      <c r="AG1978" s="58"/>
      <c r="AH1978" s="58"/>
      <c r="AI1978" s="58"/>
      <c r="AJ1978" s="58"/>
      <c r="AK1978" s="482"/>
      <c r="AL1978" s="58"/>
      <c r="AM1978" s="58"/>
      <c r="AN1978" s="58"/>
      <c r="AO1978" s="58"/>
      <c r="AP1978" s="58"/>
      <c r="AQ1978" s="58"/>
      <c r="AR1978" s="58"/>
      <c r="AS1978" s="58"/>
      <c r="AT1978" s="58"/>
      <c r="AU1978" s="58"/>
      <c r="AV1978" s="58"/>
      <c r="AW1978" s="58"/>
      <c r="AX1978" s="58"/>
      <c r="AY1978" s="58"/>
      <c r="AZ1978" s="58"/>
      <c r="BA1978" s="58"/>
      <c r="BB1978" s="58"/>
      <c r="BC1978" s="58"/>
      <c r="BD1978" s="58"/>
      <c r="BE1978" s="58"/>
      <c r="BF1978" s="58"/>
      <c r="BG1978" s="58"/>
      <c r="BH1978" s="56"/>
      <c r="BI1978" s="56"/>
      <c r="BJ1978" s="56"/>
      <c r="BK1978" s="56"/>
      <c r="BL1978" s="56"/>
      <c r="BM1978" s="56"/>
      <c r="BN1978" s="56"/>
      <c r="BO1978" s="56"/>
      <c r="BP1978" s="56"/>
      <c r="BQ1978" s="56"/>
      <c r="BR1978" s="56"/>
      <c r="BS1978" s="56"/>
      <c r="BT1978" s="56"/>
      <c r="BU1978" s="56"/>
      <c r="BV1978" s="56"/>
      <c r="BW1978" s="56"/>
      <c r="BX1978" s="56"/>
      <c r="BY1978" s="56"/>
      <c r="BZ1978" s="484" t="s">
        <v>259</v>
      </c>
    </row>
    <row r="1979" spans="1:78" s="140" customFormat="1" ht="15" customHeight="1" thickBot="1" x14ac:dyDescent="0.25">
      <c r="A1979" s="1302" t="str">
        <f>IF(E1979="","","PRINT")</f>
        <v/>
      </c>
      <c r="B1979" s="1248"/>
      <c r="C1979" s="608">
        <f>C1952+1</f>
        <v>72</v>
      </c>
      <c r="D1979" s="164"/>
      <c r="E1979" s="1610"/>
      <c r="F1979" s="1611"/>
      <c r="G1979" s="1611"/>
      <c r="H1979" s="1611"/>
      <c r="I1979" s="1611"/>
      <c r="J1979" s="1612"/>
      <c r="K1979" s="1623" t="str">
        <f>IF(E1980="","",INDEX(EUwideConstants!$F$353:$F$394,MATCH(E1980,EUConst_TierActivityListNames,0)))</f>
        <v/>
      </c>
      <c r="L1979" s="1624"/>
      <c r="M1979" s="494" t="str">
        <f>Translations!$B$665</f>
        <v>CO2, iškastinio kuro kilmės:</v>
      </c>
      <c r="N1979" s="1012" t="str">
        <f>IF(OR(K1979="",T1980=TRUE),"",INDEX(BC1993:BE1993,MATCH(K1979,BC1989:BE1989,0)))</f>
        <v/>
      </c>
      <c r="O1979" s="1314" t="s">
        <v>257</v>
      </c>
      <c r="P1979" s="1303" t="str">
        <f>IF(AND(E1979&lt;&gt;"",COUNTIF(P1980:$P$2089,"PRINT")=0),"PRINT","")</f>
        <v/>
      </c>
      <c r="Q1979" s="343" t="str">
        <f>EUconst_SumCO2 &amp; "_" &amp; K1979</f>
        <v>SUM_CO2_</v>
      </c>
      <c r="R1979" s="485"/>
      <c r="S1979" s="23"/>
      <c r="T1979" s="500" t="s">
        <v>387</v>
      </c>
      <c r="U1979" s="23"/>
      <c r="V1979" s="76"/>
      <c r="W1979" s="56"/>
      <c r="X1979" s="58"/>
      <c r="Y1979" s="58"/>
      <c r="Z1979" s="58"/>
      <c r="AA1979" s="58"/>
      <c r="AB1979" s="58"/>
      <c r="AC1979" s="58"/>
      <c r="AD1979" s="58"/>
      <c r="AE1979" s="58"/>
      <c r="AF1979" s="58"/>
      <c r="AG1979" s="58"/>
      <c r="AH1979" s="58"/>
      <c r="AI1979" s="333"/>
      <c r="AJ1979" s="333"/>
      <c r="AK1979" s="333"/>
      <c r="AL1979" s="333"/>
      <c r="AM1979" s="333"/>
      <c r="AN1979" s="333"/>
      <c r="AO1979" s="333"/>
      <c r="AP1979" s="333"/>
      <c r="AQ1979" s="333"/>
      <c r="AR1979" s="333"/>
      <c r="AS1979" s="333"/>
      <c r="AT1979" s="333"/>
      <c r="AU1979" s="333"/>
      <c r="AV1979" s="333"/>
      <c r="AW1979" s="333"/>
      <c r="AX1979" s="333"/>
      <c r="AY1979" s="333"/>
      <c r="AZ1979" s="333"/>
      <c r="BA1979" s="333"/>
      <c r="BB1979" s="333"/>
      <c r="BC1979" s="333"/>
      <c r="BD1979" s="333"/>
      <c r="BE1979" s="333"/>
      <c r="BF1979" s="333"/>
      <c r="BG1979" s="333"/>
      <c r="BH1979" s="834">
        <f>AR1989</f>
        <v>0</v>
      </c>
      <c r="BI1979" s="834" t="str">
        <f>AJ1989</f>
        <v/>
      </c>
      <c r="BJ1979" s="834">
        <f>AR1991</f>
        <v>0</v>
      </c>
      <c r="BK1979" s="834" t="str">
        <f>AJ1991</f>
        <v/>
      </c>
      <c r="BL1979" s="834">
        <f>AR1992</f>
        <v>0</v>
      </c>
      <c r="BM1979" s="834" t="str">
        <f>AJ1992</f>
        <v/>
      </c>
      <c r="BN1979" s="834">
        <f>AR1993</f>
        <v>1</v>
      </c>
      <c r="BO1979" s="834">
        <f>AR1994</f>
        <v>1</v>
      </c>
      <c r="BP1979" s="834">
        <f>AR1995</f>
        <v>0</v>
      </c>
      <c r="BQ1979" s="834" t="str">
        <f>AJ1995</f>
        <v/>
      </c>
      <c r="BR1979" s="834">
        <f>AR1996</f>
        <v>0</v>
      </c>
      <c r="BS1979" s="834">
        <f>AR1997</f>
        <v>0</v>
      </c>
      <c r="BT1979" s="834" t="str">
        <f>N1979</f>
        <v/>
      </c>
      <c r="BU1979" s="834" t="str">
        <f>N1980</f>
        <v/>
      </c>
      <c r="BV1979" s="834" t="str">
        <f>R1982</f>
        <v/>
      </c>
      <c r="BW1979" s="834" t="str">
        <f>R1988</f>
        <v/>
      </c>
      <c r="BX1979" s="834" t="str">
        <f>R1989</f>
        <v/>
      </c>
      <c r="BY1979" s="56"/>
      <c r="BZ1979" s="610" t="b">
        <f>CNTR_CalcRelevant=EUconst_NotRelevant</f>
        <v>0</v>
      </c>
    </row>
    <row r="1980" spans="1:78" s="140" customFormat="1" ht="15" customHeight="1" thickBot="1" x14ac:dyDescent="0.25">
      <c r="A1980" s="777"/>
      <c r="B1980" s="1248"/>
      <c r="C1980" s="164"/>
      <c r="D1980" s="164"/>
      <c r="E1980" s="1625" t="str">
        <f>IF(ISBLANK(E1979),"",IF(INDEX(B_InstallationDescription!$E$71:$E$145,MATCH(U1978,B_InstallationDescription!$D$71:$D$145,0))&gt;0,INDEX(B_InstallationDescription!$E$71:$E$145,MATCH(U1978,B_InstallationDescription!$D$71:$D$145,0)),""))</f>
        <v/>
      </c>
      <c r="F1980" s="1626"/>
      <c r="G1980" s="1626"/>
      <c r="H1980" s="1626"/>
      <c r="I1980" s="1626"/>
      <c r="J1980" s="1627"/>
      <c r="M1980" s="337" t="str">
        <f>Translations!$B$666</f>
        <v>CO2, biomasės kilmės.:</v>
      </c>
      <c r="N1980" s="1013" t="str">
        <f>IF(OR(K1979="",T1980=TRUE),"",INDEX(BC1992:BE1992,MATCH(K1979,BC1989:BE1989,0)))</f>
        <v/>
      </c>
      <c r="O1980" s="1315" t="s">
        <v>257</v>
      </c>
      <c r="P1980" s="485"/>
      <c r="Q1980" s="343" t="str">
        <f>EUconst_SumBioCO2 &amp; "_" &amp; K1979</f>
        <v>SUM_bioCO2_</v>
      </c>
      <c r="R1980" s="485"/>
      <c r="S1980" s="23"/>
      <c r="T1980" s="48" t="str">
        <f>IF(E1980="","",MATCH(E1980,EUConst_TierActivityListNames,0)&gt;40)</f>
        <v/>
      </c>
      <c r="U1980" s="23"/>
      <c r="V1980" s="76"/>
      <c r="W1980" s="56"/>
      <c r="X1980" s="58"/>
      <c r="Y1980" s="27" t="s">
        <v>91</v>
      </c>
      <c r="Z1980" s="30"/>
      <c r="AA1980" s="30"/>
      <c r="AB1980" s="30"/>
      <c r="AC1980" s="30"/>
      <c r="AD1980" s="30"/>
      <c r="AE1980" s="27" t="s">
        <v>297</v>
      </c>
      <c r="AF1980" s="58"/>
      <c r="AG1980" s="495"/>
      <c r="AH1980" s="30"/>
      <c r="AI1980" s="30"/>
      <c r="AJ1980" s="495"/>
      <c r="AK1980" s="495"/>
      <c r="AL1980" s="333"/>
      <c r="AM1980" s="27" t="s">
        <v>303</v>
      </c>
      <c r="AN1980" s="496"/>
      <c r="AO1980" s="496"/>
      <c r="AP1980" s="30"/>
      <c r="AQ1980" s="30"/>
      <c r="AR1980" s="30"/>
      <c r="AS1980" s="30"/>
      <c r="AT1980" s="30"/>
      <c r="AU1980" s="30"/>
      <c r="AV1980" s="27" t="s">
        <v>310</v>
      </c>
      <c r="AW1980" s="30"/>
      <c r="AX1980" s="483"/>
      <c r="AY1980" s="30"/>
      <c r="AZ1980" s="30"/>
      <c r="BA1980" s="30"/>
      <c r="BB1980" s="27" t="s">
        <v>217</v>
      </c>
      <c r="BC1980" s="30"/>
      <c r="BD1980" s="30"/>
      <c r="BE1980" s="30"/>
      <c r="BF1980" s="30"/>
      <c r="BG1980" s="27" t="s">
        <v>486</v>
      </c>
      <c r="BH1980" s="833" t="s">
        <v>552</v>
      </c>
      <c r="BI1980" s="833" t="s">
        <v>487</v>
      </c>
      <c r="BJ1980" s="833" t="s">
        <v>211</v>
      </c>
      <c r="BK1980" s="833" t="s">
        <v>488</v>
      </c>
      <c r="BL1980" s="833" t="s">
        <v>68</v>
      </c>
      <c r="BM1980" s="833" t="s">
        <v>489</v>
      </c>
      <c r="BN1980" s="833" t="s">
        <v>490</v>
      </c>
      <c r="BO1980" s="833" t="s">
        <v>491</v>
      </c>
      <c r="BP1980" s="833" t="s">
        <v>214</v>
      </c>
      <c r="BQ1980" s="833" t="s">
        <v>492</v>
      </c>
      <c r="BR1980" s="833" t="s">
        <v>493</v>
      </c>
      <c r="BS1980" s="833" t="s">
        <v>494</v>
      </c>
      <c r="BT1980" s="833" t="s">
        <v>287</v>
      </c>
      <c r="BU1980" s="833" t="s">
        <v>495</v>
      </c>
      <c r="BV1980" s="833" t="s">
        <v>498</v>
      </c>
      <c r="BW1980" s="833" t="s">
        <v>496</v>
      </c>
      <c r="BX1980" s="833" t="s">
        <v>497</v>
      </c>
      <c r="BY1980" s="30"/>
      <c r="BZ1980" s="30"/>
    </row>
    <row r="1981" spans="1:78" s="140" customFormat="1" ht="5.0999999999999996" customHeight="1" thickBot="1" x14ac:dyDescent="0.25">
      <c r="A1981" s="777"/>
      <c r="B1981" s="1248"/>
      <c r="C1981" s="164"/>
      <c r="D1981" s="164"/>
      <c r="E1981" s="164"/>
      <c r="F1981" s="164"/>
      <c r="G1981" s="164"/>
      <c r="M1981" s="141"/>
      <c r="N1981" s="141"/>
      <c r="O1981" s="1305"/>
      <c r="P1981" s="33"/>
      <c r="Q1981" s="33"/>
      <c r="R1981" s="33"/>
      <c r="S1981" s="23"/>
      <c r="T1981" s="23"/>
      <c r="U1981" s="23"/>
      <c r="V1981" s="76"/>
      <c r="W1981" s="30"/>
      <c r="X1981" s="30"/>
      <c r="Y1981" s="485"/>
      <c r="Z1981" s="30"/>
      <c r="AA1981" s="30"/>
      <c r="AB1981" s="30"/>
      <c r="AC1981" s="30"/>
      <c r="AD1981" s="30"/>
      <c r="AE1981" s="30"/>
      <c r="AF1981" s="58"/>
      <c r="AG1981" s="30"/>
      <c r="AH1981" s="30"/>
      <c r="AI1981" s="30"/>
      <c r="AJ1981" s="495"/>
      <c r="AK1981" s="495"/>
      <c r="AL1981" s="333"/>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row>
    <row r="1982" spans="1:78" s="140" customFormat="1" ht="12.75" customHeight="1" thickBot="1" x14ac:dyDescent="0.25">
      <c r="A1982" s="777"/>
      <c r="B1982" s="1248"/>
      <c r="C1982" s="164"/>
      <c r="D1982" s="164"/>
      <c r="E1982" s="1628" t="str">
        <f>IF(E1979="","",IF(T1980=TRUE,HYPERLINK("#JUMP_14",EUconst_MsgGoOnPFC),HYPERLINK("#JUMP_E_8",EUconst_FurtherGuidancePoint1)))</f>
        <v/>
      </c>
      <c r="F1982" s="1628"/>
      <c r="G1982" s="1628"/>
      <c r="H1982" s="1628"/>
      <c r="I1982" s="1628"/>
      <c r="J1982" s="1628"/>
      <c r="K1982" s="1628"/>
      <c r="L1982" s="1628"/>
      <c r="M1982" s="1628"/>
      <c r="N1982" s="141"/>
      <c r="O1982" s="1305"/>
      <c r="P1982" s="33"/>
      <c r="Q1982" s="343" t="str">
        <f>EUconst_SumNonSustBioCO2 &amp; "_" &amp; K1979</f>
        <v>SUM_bioNonSustCO2_</v>
      </c>
      <c r="R1982" s="698" t="str">
        <f>IF(OR(K1979="",T1980=TRUE),"",ROUND(INDEX(BC1991:BE1991,MATCH(K1979,BC1989:BE1989,0)),0))</f>
        <v/>
      </c>
      <c r="S1982" s="23"/>
      <c r="T1982" s="23"/>
      <c r="U1982" s="23"/>
      <c r="V1982" s="30"/>
      <c r="W1982" s="30"/>
      <c r="X1982" s="30"/>
      <c r="Y1982" s="58"/>
      <c r="Z1982" s="30"/>
      <c r="AA1982" s="30"/>
      <c r="AB1982" s="30"/>
      <c r="AC1982" s="30"/>
      <c r="AD1982" s="30"/>
      <c r="AE1982" s="30"/>
      <c r="AF1982" s="58"/>
      <c r="AG1982" s="30"/>
      <c r="AH1982" s="30"/>
      <c r="AI1982" s="30"/>
      <c r="AJ1982" s="495"/>
      <c r="AK1982" s="495"/>
      <c r="AL1982" s="333"/>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row>
    <row r="1983" spans="1:78" s="140" customFormat="1" ht="5.0999999999999996" customHeight="1" thickBot="1" x14ac:dyDescent="0.25">
      <c r="A1983" s="777"/>
      <c r="B1983" s="1248"/>
      <c r="C1983" s="164"/>
      <c r="D1983" s="164"/>
      <c r="E1983" s="164"/>
      <c r="F1983" s="164"/>
      <c r="G1983" s="164"/>
      <c r="M1983" s="141"/>
      <c r="N1983" s="141"/>
      <c r="O1983" s="1305"/>
      <c r="P1983" s="23"/>
      <c r="Q1983" s="23"/>
      <c r="R1983" s="23"/>
      <c r="S1983" s="23"/>
      <c r="T1983" s="23"/>
      <c r="U1983" s="23"/>
      <c r="V1983" s="30"/>
      <c r="W1983" s="30"/>
      <c r="X1983" s="30"/>
      <c r="Y1983" s="485"/>
      <c r="Z1983" s="30"/>
      <c r="AA1983" s="30"/>
      <c r="AB1983" s="30"/>
      <c r="AC1983" s="30"/>
      <c r="AD1983" s="30"/>
      <c r="AE1983" s="30"/>
      <c r="AF1983" s="58"/>
      <c r="AG1983" s="30"/>
      <c r="AH1983" s="30"/>
      <c r="AI1983" s="30"/>
      <c r="AJ1983" s="495"/>
      <c r="AK1983" s="495"/>
      <c r="AL1983" s="333"/>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row>
    <row r="1984" spans="1:78" s="140" customFormat="1" ht="12.75" customHeight="1" thickBot="1" x14ac:dyDescent="0.25">
      <c r="A1984" s="777"/>
      <c r="B1984" s="1248"/>
      <c r="C1984" s="783" t="s">
        <v>4</v>
      </c>
      <c r="D1984" s="503" t="str">
        <f>Translations!$B$622</f>
        <v>VD:</v>
      </c>
      <c r="E1984" s="1631" t="str">
        <f>Translations!$B$667</f>
        <v>Ar veiklos duomenys gaunami sudedant išmatuotus kiekius (t. y. ne atliekant nuolatinius matavimus)?</v>
      </c>
      <c r="F1984" s="1631"/>
      <c r="G1984" s="1631"/>
      <c r="H1984" s="1631"/>
      <c r="I1984" s="1631"/>
      <c r="J1984" s="1631"/>
      <c r="K1984" s="1631"/>
      <c r="L1984" s="1122"/>
      <c r="M1984" s="498"/>
      <c r="O1984" s="1305"/>
      <c r="P1984" s="23"/>
      <c r="Q1984" s="23"/>
      <c r="R1984" s="23"/>
      <c r="S1984" s="23"/>
      <c r="T1984" s="23"/>
      <c r="U1984" s="23"/>
      <c r="V1984" s="30"/>
      <c r="W1984" s="30"/>
      <c r="X1984" s="30"/>
      <c r="Y1984" s="485"/>
      <c r="Z1984" s="30"/>
      <c r="AA1984" s="30"/>
      <c r="AB1984" s="30"/>
      <c r="AC1984" s="1115" t="b">
        <f>AND(E1979&lt;&gt;"",T1980&lt;&gt;TRUE)</f>
        <v>0</v>
      </c>
      <c r="AD1984" s="30"/>
      <c r="AE1984" s="30"/>
      <c r="AF1984" s="58"/>
      <c r="AG1984" s="30"/>
      <c r="AH1984" s="30"/>
      <c r="AI1984" s="30"/>
      <c r="AJ1984" s="495"/>
      <c r="AK1984" s="495"/>
      <c r="AL1984" s="333"/>
      <c r="AM1984" s="30"/>
      <c r="AN1984" s="30"/>
      <c r="AO1984" s="30"/>
      <c r="AP1984" s="30"/>
      <c r="AQ1984" s="30"/>
      <c r="AR1984" s="30"/>
      <c r="AS1984" s="30"/>
      <c r="AT1984" s="1115" t="b">
        <f>MSPara_BatchReportingMandatory&lt;&gt;TRUE</f>
        <v>0</v>
      </c>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1115" t="b">
        <f>OR(CNTR_CalcRelevant=EUconst_NotRelevant,AND(COUNTA(CNTR_ListRelevantSections)&gt;0,OR(T1980=TRUE,E1979="")))</f>
        <v>1</v>
      </c>
    </row>
    <row r="1985" spans="1:78" s="140" customFormat="1" ht="5.0999999999999996" customHeight="1" thickBot="1" x14ac:dyDescent="0.25">
      <c r="A1985" s="777"/>
      <c r="B1985" s="1248"/>
      <c r="C1985" s="164"/>
      <c r="D1985" s="164"/>
      <c r="E1985" s="164"/>
      <c r="F1985" s="164"/>
      <c r="G1985" s="164"/>
      <c r="H1985" s="486"/>
      <c r="I1985" s="486"/>
      <c r="J1985" s="486"/>
      <c r="K1985" s="486"/>
      <c r="L1985" s="486"/>
      <c r="M1985" s="498"/>
      <c r="O1985" s="1305"/>
      <c r="P1985" s="23"/>
      <c r="Q1985" s="23"/>
      <c r="R1985" s="23"/>
      <c r="S1985" s="23"/>
      <c r="T1985" s="23"/>
      <c r="U1985" s="23"/>
      <c r="V1985" s="30"/>
      <c r="W1985" s="30"/>
      <c r="X1985" s="30"/>
      <c r="Y1985" s="485"/>
      <c r="Z1985" s="30"/>
      <c r="AA1985" s="30"/>
      <c r="AB1985" s="30"/>
      <c r="AC1985" s="483"/>
      <c r="AD1985" s="30"/>
      <c r="AE1985" s="30"/>
      <c r="AF1985" s="58"/>
      <c r="AG1985" s="30"/>
      <c r="AH1985" s="30"/>
      <c r="AI1985" s="30"/>
      <c r="AJ1985" s="495"/>
      <c r="AK1985" s="495"/>
      <c r="AL1985" s="333"/>
      <c r="AM1985" s="30"/>
      <c r="AN1985" s="30"/>
      <c r="AO1985" s="30"/>
      <c r="AP1985" s="30"/>
      <c r="AQ1985" s="30"/>
      <c r="AR1985" s="30"/>
      <c r="AS1985" s="30"/>
      <c r="AT1985" s="483"/>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483"/>
    </row>
    <row r="1986" spans="1:78" s="140" customFormat="1" ht="12.75" customHeight="1" thickBot="1" x14ac:dyDescent="0.25">
      <c r="A1986" s="777"/>
      <c r="B1986" s="1248"/>
      <c r="C1986" s="783" t="s">
        <v>5</v>
      </c>
      <c r="D1986" s="503" t="str">
        <f>Translations!$B$622</f>
        <v>VD:</v>
      </c>
      <c r="E1986" s="1105" t="str">
        <f>Translations!$B$668</f>
        <v>Pradinis kiekis:</v>
      </c>
      <c r="F1986" s="1123"/>
      <c r="G1986" s="1106" t="str">
        <f>Translations!$B$669</f>
        <v>Galutinis kiekis:</v>
      </c>
      <c r="H1986" s="1123"/>
      <c r="I1986" s="1106" t="str">
        <f>Translations!$B$670</f>
        <v>Įsigytas kiekis:</v>
      </c>
      <c r="J1986" s="1123"/>
      <c r="K1986" s="1106" t="str">
        <f>Translations!$B$671</f>
        <v>Perduotas kiekis:</v>
      </c>
      <c r="L1986" s="1123"/>
      <c r="M1986" s="1107" t="str">
        <f>IF(AND(L1984=TRUE,COUNT(F1986,H1986,J1986,L1986)&lt;4),EUconst_ERR_Incomplete,"")</f>
        <v/>
      </c>
      <c r="O1986" s="1305"/>
      <c r="P1986" s="23"/>
      <c r="Q1986" s="23"/>
      <c r="R1986" s="23"/>
      <c r="S1986" s="23"/>
      <c r="T1986" s="23"/>
      <c r="U1986" s="23"/>
      <c r="V1986" s="30"/>
      <c r="W1986" s="30"/>
      <c r="X1986" s="30"/>
      <c r="Y1986" s="485"/>
      <c r="Z1986" s="30"/>
      <c r="AA1986" s="30"/>
      <c r="AB1986" s="30"/>
      <c r="AC1986" s="1115" t="b">
        <f>AC1984</f>
        <v>0</v>
      </c>
      <c r="AD1986" s="30"/>
      <c r="AE1986" s="30"/>
      <c r="AF1986" s="58"/>
      <c r="AG1986" s="30"/>
      <c r="AH1986" s="30"/>
      <c r="AI1986" s="30"/>
      <c r="AJ1986" s="495"/>
      <c r="AK1986" s="495"/>
      <c r="AL1986" s="333"/>
      <c r="AM1986" s="30"/>
      <c r="AN1986" s="30"/>
      <c r="AO1986" s="30"/>
      <c r="AP1986" s="30"/>
      <c r="AQ1986" s="30"/>
      <c r="AR1986" s="30"/>
      <c r="AS1986" s="30"/>
      <c r="AT1986" s="1115" t="b">
        <f>AND(AT1984=TRUE,L1984="")</f>
        <v>0</v>
      </c>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1115" t="b">
        <f>OR(BZ1984,AND(NOT(ISBLANK(L1984)),L1984=FALSE))</f>
        <v>1</v>
      </c>
    </row>
    <row r="1987" spans="1:78" s="140" customFormat="1" ht="5.0999999999999996" customHeight="1" thickBot="1" x14ac:dyDescent="0.25">
      <c r="A1987" s="777"/>
      <c r="B1987" s="1248"/>
      <c r="C1987" s="164"/>
      <c r="D1987" s="164"/>
      <c r="E1987" s="164"/>
      <c r="F1987" s="164"/>
      <c r="G1987" s="164"/>
      <c r="M1987" s="141"/>
      <c r="N1987" s="141"/>
      <c r="O1987" s="1305"/>
      <c r="P1987" s="23"/>
      <c r="Q1987" s="23"/>
      <c r="R1987" s="23"/>
      <c r="S1987" s="23"/>
      <c r="T1987" s="23"/>
      <c r="U1987" s="23"/>
      <c r="V1987" s="30"/>
      <c r="W1987" s="30"/>
      <c r="X1987" s="30"/>
      <c r="Y1987" s="485"/>
      <c r="Z1987" s="30"/>
      <c r="AA1987" s="30"/>
      <c r="AB1987" s="30"/>
      <c r="AC1987" s="30"/>
      <c r="AD1987" s="30"/>
      <c r="AE1987" s="30"/>
      <c r="AF1987" s="58"/>
      <c r="AG1987" s="30"/>
      <c r="AH1987" s="30"/>
      <c r="AI1987" s="30"/>
      <c r="AJ1987" s="495"/>
      <c r="AK1987" s="495"/>
      <c r="AL1987" s="333"/>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row>
    <row r="1988" spans="1:78" s="140" customFormat="1" ht="12.75" customHeight="1" thickBot="1" x14ac:dyDescent="0.25">
      <c r="A1988" s="777"/>
      <c r="B1988" s="1248"/>
      <c r="C1988" s="164"/>
      <c r="D1988" s="164"/>
      <c r="E1988" s="164"/>
      <c r="F1988" s="497" t="str">
        <f>Translations!$B$333</f>
        <v>Pakopa</v>
      </c>
      <c r="G1988" s="1613" t="str">
        <f>Translations!$B$672</f>
        <v>pakopos aprašas</v>
      </c>
      <c r="H1988" s="1613"/>
      <c r="I1988" s="1608" t="str">
        <f>Translations!$B$158</f>
        <v>Vienetas</v>
      </c>
      <c r="J1988" s="1608"/>
      <c r="K1988" s="1608" t="str">
        <f>Translations!$B$673</f>
        <v>Vertė</v>
      </c>
      <c r="L1988" s="1608"/>
      <c r="M1988" s="498" t="str">
        <f>Translations!$B$610</f>
        <v>klaida</v>
      </c>
      <c r="O1988" s="1305"/>
      <c r="P1988" s="499"/>
      <c r="Q1988" s="343" t="str">
        <f>EUconst_SumEnergyIN &amp; "_" &amp; K1979</f>
        <v>SUM_EnergyIN_</v>
      </c>
      <c r="R1988" s="390" t="str">
        <f>IF(OR(K1979="",T1980)=TRUE,"",INDEX(BC1994:BE1994,MATCH(K1979,BC1989:BE1989,0)))</f>
        <v/>
      </c>
      <c r="S1988" s="30"/>
      <c r="T1988" s="480"/>
      <c r="U1988" s="30"/>
      <c r="V1988" s="500" t="s">
        <v>298</v>
      </c>
      <c r="W1988" s="30"/>
      <c r="X1988" s="30"/>
      <c r="Y1988" s="485" t="s">
        <v>560</v>
      </c>
      <c r="Z1988" s="485" t="s">
        <v>313</v>
      </c>
      <c r="AA1988" s="30"/>
      <c r="AB1988" s="30"/>
      <c r="AC1988" s="496" t="s">
        <v>304</v>
      </c>
      <c r="AD1988" s="30"/>
      <c r="AE1988" s="30"/>
      <c r="AF1988" s="483" t="s">
        <v>300</v>
      </c>
      <c r="AG1988" s="483" t="s">
        <v>301</v>
      </c>
      <c r="AH1988" s="485" t="s">
        <v>299</v>
      </c>
      <c r="AI1988" s="495" t="s">
        <v>302</v>
      </c>
      <c r="AJ1988" s="495" t="s">
        <v>561</v>
      </c>
      <c r="AK1988" s="501" t="s">
        <v>306</v>
      </c>
      <c r="AL1988" s="333"/>
      <c r="AM1988" s="30"/>
      <c r="AN1988" s="483" t="s">
        <v>300</v>
      </c>
      <c r="AO1988" s="483" t="s">
        <v>301</v>
      </c>
      <c r="AP1988" s="502" t="s">
        <v>305</v>
      </c>
      <c r="AQ1988" s="495" t="s">
        <v>563</v>
      </c>
      <c r="AR1988" s="495" t="s">
        <v>562</v>
      </c>
      <c r="AS1988" s="501" t="s">
        <v>599</v>
      </c>
      <c r="AT1988" s="501" t="s">
        <v>599</v>
      </c>
      <c r="AU1988" s="30"/>
      <c r="AV1988" s="483"/>
      <c r="AW1988" s="483"/>
      <c r="AX1988" s="483" t="s">
        <v>316</v>
      </c>
      <c r="AY1988" s="483"/>
      <c r="AZ1988" s="483"/>
      <c r="BA1988" s="483"/>
      <c r="BB1988" s="483"/>
      <c r="BC1988" s="483"/>
      <c r="BD1988" s="483"/>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484" t="s">
        <v>259</v>
      </c>
    </row>
    <row r="1989" spans="1:78" s="140" customFormat="1" ht="12.75" customHeight="1" thickBot="1" x14ac:dyDescent="0.25">
      <c r="A1989" s="777"/>
      <c r="B1989" s="1248"/>
      <c r="C1989" s="753" t="s">
        <v>194</v>
      </c>
      <c r="D1989" s="503" t="str">
        <f>Translations!$B$622</f>
        <v>VD:</v>
      </c>
      <c r="E1989" s="504"/>
      <c r="F1989" s="393"/>
      <c r="G1989" s="1603" t="str">
        <f>IF(OR(ISBLANK(F1989),F1989=EUconst_NoTier),"",IF(Z1989=0,EUconst_NA,IF(ISERROR(Z1989),"",Z1989)))</f>
        <v/>
      </c>
      <c r="H1989" s="1604"/>
      <c r="I1989" s="1108" t="str">
        <f>IF(J1989&lt;&gt;"","",AI1989)</f>
        <v/>
      </c>
      <c r="J1989" s="1109"/>
      <c r="K1989" s="1116" t="str">
        <f>IF(L1989="",AQ1989,"")</f>
        <v/>
      </c>
      <c r="L1989" s="1199"/>
      <c r="M1989" s="700" t="str">
        <f>IF(AND(E1980&lt;&gt;"",OR(F1989="",COUNT(K1989:L1989)=0),Y1989&lt;&gt;EUconst_NA,T1980&lt;&gt;TRUE),EUconst_ERR_Incomplete,IF(COUNTIF(AX1989:AZ1989,TRUE)&gt;0,EUconst_ERR_Inconsistent,""))</f>
        <v/>
      </c>
      <c r="O1989" s="1305"/>
      <c r="P1989" s="635"/>
      <c r="Q1989" s="343" t="str">
        <f>EUconst_SumBioEnergyIN &amp; "_" &amp; K1979</f>
        <v>SUM_BioEnergyIN_</v>
      </c>
      <c r="R1989" s="390" t="str">
        <f>IF(OR(K1979="",T1980)=TRUE,"",INDEX(BC1995:BE1995,MATCH(K1979,BC1989:BE1989,0)))</f>
        <v/>
      </c>
      <c r="S1989" s="30"/>
      <c r="T1989" s="505" t="str">
        <f>EUconst_CNTR_ActivityData&amp;E1980</f>
        <v>ActivityData_</v>
      </c>
      <c r="U1989" s="488"/>
      <c r="V1989" s="505" t="str">
        <f>IF(E1979="","",INDEX(B_InstallationDescription!$I$71:$I$145,MATCH(U1978,B_InstallationDescription!$D$71:$D$145,0)))</f>
        <v/>
      </c>
      <c r="W1989" s="495" t="s">
        <v>533</v>
      </c>
      <c r="X1989" s="488"/>
      <c r="Y1989" s="506" t="str">
        <f>IF(OR(T1980=TRUE,E1980=""),"",INDEX(EUwideConstants!$N:$N,MATCH(T1989,EUwideConstants!$Q:$Q,0)))</f>
        <v/>
      </c>
      <c r="Z1989" s="507" t="str">
        <f>IF(ISBLANK(F1989),"",IF(F1989=EUconst_NA,"",INDEX(EUwideConstants!$H:$M,MATCH(T1989,EUwideConstants!$Q:$Q,0),MATCH(F1989,CNTR_TierList,0))))</f>
        <v/>
      </c>
      <c r="AA1989" s="508" t="s">
        <v>299</v>
      </c>
      <c r="AB1989" s="495"/>
      <c r="AC1989" s="509" t="b">
        <f>AC1984</f>
        <v>0</v>
      </c>
      <c r="AD1989" s="30"/>
      <c r="AE1989" s="510" t="str">
        <f>EUconst_CNTR_ActivityData&amp;EUconst_Unit</f>
        <v>ActivityData_Vienetas</v>
      </c>
      <c r="AF1989" s="511" t="str">
        <f>IF(AC1989=TRUE, IF(COUNTIF(MSPara_SourceStreamCategory,V1989)=0,"",INDEX(MSPara_CalcFactorsMatrix,MATCH(V1989,MSPara_SourceStreamCategory,0),MATCH(AE1989&amp;"_"&amp;2,MSPara_CalcFactors,0))),"")</f>
        <v/>
      </c>
      <c r="AG1989" s="512" t="str">
        <f>IF(AC1989=TRUE, IF(COUNTIF(MSPara_SourceStreamCategory,V1989)=0,"",INDEX(MSPara_CalcFactorsMatrix,MATCH(V1989,MSPara_SourceStreamCategory,0),MATCH(AE1989&amp;"_"&amp;1,MSPara_CalcFactors,0))),"")</f>
        <v/>
      </c>
      <c r="AH1989" s="509" t="str">
        <f>IF(OR(AF1989="",AF1989=EUconst_NA),IF(OR(AG1989=EUconst_NA,AG1989=""),"",AG1989),AF1989)</f>
        <v/>
      </c>
      <c r="AI1989" s="506" t="str">
        <f>IF(AC1989=TRUE,IF(AH1989="",EUconst_t,AH1989),"")</f>
        <v/>
      </c>
      <c r="AJ1989" s="513" t="str">
        <f>IF(J1989="",AI1989,J1989)</f>
        <v/>
      </c>
      <c r="AK1989" s="514" t="b">
        <f>IF(K1979=EUconst_Fuel,J1989&lt;&gt;"",FALSE)</f>
        <v>0</v>
      </c>
      <c r="AL1989" s="333"/>
      <c r="AM1989" s="505" t="str">
        <f>EUconst_CNTR_ActivityData&amp;EUconst_Value</f>
        <v>ActivityData_Vertė</v>
      </c>
      <c r="AN1989" s="496"/>
      <c r="AO1989" s="496"/>
      <c r="AP1989" s="509" t="b">
        <f>AND(AND(AH1989&lt;&gt;"",AJ1989&lt;&gt;""),AJ1989=AH1989)</f>
        <v>0</v>
      </c>
      <c r="AQ1989" s="610" t="str">
        <f>IF(L1984=TRUE,SUM(F1986)-SUM(H1986)+SUM(J1986)-SUM(L1986),"")</f>
        <v/>
      </c>
      <c r="AR1989" s="509">
        <f>IF(Y1989=EUconst_NA,0,IF(COUNT(K1989:L1989)=0,0,IF(L1989="",K1989,L1989)))</f>
        <v>0</v>
      </c>
      <c r="AS1989" s="1115" t="b">
        <f>AND(AC1989=TRUE,OR(L1989&lt;&gt;"",AQ1989=""))</f>
        <v>0</v>
      </c>
      <c r="AT1989" s="1115" t="b">
        <f>AND(AC1989=TRUE,NOT(AS1989))</f>
        <v>0</v>
      </c>
      <c r="AU1989" s="30"/>
      <c r="AV1989" s="483" t="s">
        <v>309</v>
      </c>
      <c r="AW1989" s="483" t="s">
        <v>314</v>
      </c>
      <c r="AX1989" s="515"/>
      <c r="AY1989" s="30" t="s">
        <v>536</v>
      </c>
      <c r="AZ1989" s="30"/>
      <c r="BA1989" s="30"/>
      <c r="BB1989" s="495"/>
      <c r="BC1989" s="484" t="str">
        <f>EUconst_Fuel</f>
        <v>Degimas</v>
      </c>
      <c r="BD1989" s="484" t="str">
        <f>EUconst_ProcessCarbonate</f>
        <v>Proceso metu išsiskiriančios ŠESD</v>
      </c>
      <c r="BE1989" s="484" t="str">
        <f>EUconst_MassBalance</f>
        <v>Masės balansas</v>
      </c>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515" t="b">
        <f>BZ1984</f>
        <v>1</v>
      </c>
    </row>
    <row r="1990" spans="1:78" s="140" customFormat="1" ht="5.0999999999999996" customHeight="1" thickBot="1" x14ac:dyDescent="0.25">
      <c r="A1990" s="777"/>
      <c r="B1990" s="1248"/>
      <c r="C1990" s="783"/>
      <c r="D1990" s="298"/>
      <c r="F1990" s="141"/>
      <c r="G1990" s="141"/>
      <c r="H1990" s="141" t="s">
        <v>233</v>
      </c>
      <c r="I1990" s="516"/>
      <c r="J1990" s="516"/>
      <c r="K1990" s="141"/>
      <c r="L1990" s="141"/>
      <c r="M1990" s="701"/>
      <c r="O1990" s="1305"/>
      <c r="P1990" s="33"/>
      <c r="Q1990" s="33"/>
      <c r="R1990" s="33"/>
      <c r="S1990" s="30"/>
      <c r="T1990" s="153"/>
      <c r="U1990" s="488"/>
      <c r="V1990" s="30"/>
      <c r="W1990" s="30"/>
      <c r="X1990" s="488"/>
      <c r="Y1990" s="517"/>
      <c r="Z1990" s="30"/>
      <c r="AA1990" s="30"/>
      <c r="AB1990" s="30"/>
      <c r="AC1990" s="30"/>
      <c r="AD1990" s="30"/>
      <c r="AE1990" s="30"/>
      <c r="AF1990" s="30"/>
      <c r="AG1990" s="30"/>
      <c r="AH1990" s="30"/>
      <c r="AI1990" s="30"/>
      <c r="AJ1990" s="30"/>
      <c r="AK1990" s="30"/>
      <c r="AL1990" s="333"/>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484"/>
    </row>
    <row r="1991" spans="1:78" s="140" customFormat="1" ht="12.75" customHeight="1" thickBot="1" x14ac:dyDescent="0.25">
      <c r="A1991" s="777"/>
      <c r="B1991" s="1248"/>
      <c r="C1991" s="783" t="s">
        <v>195</v>
      </c>
      <c r="D1991" s="503" t="str">
        <f>Translations!$B$634</f>
        <v>(prelim.) ITF:</v>
      </c>
      <c r="E1991" s="504"/>
      <c r="F1991" s="518"/>
      <c r="G1991" s="1603" t="str">
        <f t="shared" ref="G1991:G1997" si="497">IF(OR(ISBLANK(F1991),F1991=EUconst_NoTier),"",IF(Z1991=0,EUconst_NotApplicable,IF(ISERROR(Z1991),"",Z1991)))</f>
        <v/>
      </c>
      <c r="H1991" s="1609"/>
      <c r="I1991" s="1110" t="str">
        <f>IF(J1991&lt;&gt;"","",AI1991)</f>
        <v/>
      </c>
      <c r="J1991" s="1111"/>
      <c r="K1991" s="519" t="str">
        <f t="shared" ref="K1991:K1997" si="498">IF(L1991="",AQ1991,"")</f>
        <v/>
      </c>
      <c r="L1991" s="520"/>
      <c r="M1991" s="700" t="str">
        <f>IF(AND(E1980&lt;&gt;"",OR(F1991="",COUNT(K1991:L1991)=0),Y1991&lt;&gt;EUconst_NA,T1980&lt;&gt;TRUE),EUconst_ERR_Incomplete,IF(COUNTIF(AX1991:AZ1991,TRUE)&gt;0,EUconst_ERR_Inconsistent,""))</f>
        <v/>
      </c>
      <c r="N1991" s="486"/>
      <c r="O1991" s="1305"/>
      <c r="P1991" s="33"/>
      <c r="Q1991" s="33"/>
      <c r="R1991" s="33"/>
      <c r="S1991" s="30"/>
      <c r="T1991" s="521" t="str">
        <f>EUconst_CNTR_EF&amp;E1980</f>
        <v>EF_</v>
      </c>
      <c r="U1991" s="488"/>
      <c r="V1991" s="522" t="str">
        <f>V1989</f>
        <v/>
      </c>
      <c r="W1991" s="30"/>
      <c r="X1991" s="488"/>
      <c r="Y1991" s="523" t="str">
        <f>IF(OR(T1980=TRUE,E1980=""),"",IF(F1991=EUconst_NA,EUconst_NA,INDEX(EUwideConstants!$N:$N,MATCH(T1991,EUwideConstants!$Q:$Q,0))))</f>
        <v/>
      </c>
      <c r="Z1991" s="524" t="str">
        <f>IF(ISBLANK(F1991),"",IF(F1991=EUconst_NA,"",INDEX(EUwideConstants!$H:$M,MATCH(T1991,EUwideConstants!$Q:$Q,0),MATCH(F1991,CNTR_TierList,0))))</f>
        <v/>
      </c>
      <c r="AA1991" s="525" t="str">
        <f>IF(COUNTIF(EUconst_DefaultValues,Z1991)&gt;0,MATCH(Z1991,EUconst_DefaultValues,0),"")</f>
        <v/>
      </c>
      <c r="AB1991" s="30"/>
      <c r="AC1991" s="526" t="b">
        <f>AND(AC1989,Y1991&lt;&gt;EUconst_NA)</f>
        <v>0</v>
      </c>
      <c r="AD1991" s="30"/>
      <c r="AE1991" s="510" t="str">
        <f>EUconst_CNTR_EF&amp;EUconst_Unit</f>
        <v>EF_Vienetas</v>
      </c>
      <c r="AF1991" s="527" t="str">
        <f>IF(AC1991=TRUE, IF(COUNTIF(MSPara_SourceStreamCategory,V1991)=0,"",INDEX(MSPara_CalcFactorsMatrix,MATCH(V1991,MSPara_SourceStreamCategory,0),MATCH(AE1991&amp;"_"&amp;2,MSPara_CalcFactors,0))),"")</f>
        <v/>
      </c>
      <c r="AG1991" s="528" t="str">
        <f>IF(AC1991=TRUE, IF(COUNTIF(MSPara_SourceStreamCategory,V1991)=0,"",INDEX(MSPara_CalcFactorsMatrix,MATCH(V1991,MSPara_SourceStreamCategory,0),MATCH(AE1991&amp;"_"&amp;1,MSPara_CalcFactors,0))),"")</f>
        <v/>
      </c>
      <c r="AH1991" s="529" t="str">
        <f>IF(AA1991="","",INDEX(AF1991:AG1991,3-AA1991))</f>
        <v/>
      </c>
      <c r="AI1991" s="530" t="str">
        <f>IF(AC1991=TRUE,IF(OR(AH1991="",AH1991=EUconst_NA),IF(K1979=EUconst_Fuel,EUconst_tCO2pTJ,EUconst_tCO2pt),AH1991),"")</f>
        <v/>
      </c>
      <c r="AJ1991" s="526" t="str">
        <f>IF(J1991="",AI1991,J1991)</f>
        <v/>
      </c>
      <c r="AK1991" s="531" t="b">
        <f>IF(K1979=EUconst_Fuel,J1991&lt;&gt;"",FALSE)</f>
        <v>0</v>
      </c>
      <c r="AL1991" s="333"/>
      <c r="AM1991" s="510" t="str">
        <f>EUconst_CNTR_EF&amp;EUconst_Value</f>
        <v>EF_Vertė</v>
      </c>
      <c r="AN1991" s="532" t="str">
        <f>IF(AC1991=TRUE,IF(COUNTIF(MSPara_SourceStreamCategory,V1991)=0,"",INDEX(MSPara_CalcFactorsMatrix,MATCH(V1991,MSPara_SourceStreamCategory,0),MATCH(AM1991&amp;"_"&amp;2,MSPara_CalcFactors,0))),"")</f>
        <v/>
      </c>
      <c r="AO1991" s="533" t="str">
        <f>IF(AC1991=TRUE,IF(COUNTIF(MSPara_SourceStreamCategory,V1991)=0,"",INDEX(MSPara_CalcFactorsMatrix,MATCH(V1991,MSPara_SourceStreamCategory,0),MATCH(AM1991&amp;"_"&amp;1,MSPara_CalcFactors,0))),"")</f>
        <v/>
      </c>
      <c r="AP1991" s="526" t="b">
        <f>AND(AND(AH1991&lt;&gt;"",AJ1991&lt;&gt;""),AJ1991=AH1991)</f>
        <v>0</v>
      </c>
      <c r="AQ1991" s="534" t="str">
        <f>IF(AND(AA1991&lt;&gt;"",AP1991=TRUE),IF(OR(INDEX(AN1991:AO1991,3-AA1991)=EUconst_NA,INDEX(AN1991:AO1991,3-AA1991)=0),"",INDEX(AN1991:AO1991,3-AA1991)),"")</f>
        <v/>
      </c>
      <c r="AR1991" s="526">
        <f>IF(AC1991=TRUE,IF(COUNT(K1991:L1991)=0,0,IF(L1991="",K1991,L1991)),0)</f>
        <v>0</v>
      </c>
      <c r="AS1991" s="522" t="b">
        <f>AND(AC1991=TRUE,OR(AND(F1991&lt;&gt;"",NOT(ISNUMBER(AA1991))),L1991&lt;&gt;"",F1991="",AQ1991=""))</f>
        <v>0</v>
      </c>
      <c r="AT1991" s="522" t="b">
        <f t="shared" ref="AT1991:AT1997" si="499">AND(AC1991=TRUE,NOT(AS1991))</f>
        <v>0</v>
      </c>
      <c r="AU1991" s="30"/>
      <c r="AV1991" s="535" t="b">
        <f t="shared" ref="AV1991:AV1997" si="500">AND(ISNUMBER(AA1991),AQ1991="")</f>
        <v>0</v>
      </c>
      <c r="AW1991" s="536" t="b">
        <f t="shared" ref="AW1991:AW1997" si="501">AND(ISNUMBER(AA1991),AQ1991&lt;&gt;AR1991)</f>
        <v>0</v>
      </c>
      <c r="AX1991" s="537" t="b">
        <f>OR(AND(AJ1989=EUconst_kNm3,AJ1991=EUconst_tCO2pt),AND(AJ1989=EUconst_t,AJ1991=EUconst_tCO2pkNm3))</f>
        <v>0</v>
      </c>
      <c r="AY1991" s="522" t="b">
        <f t="shared" ref="AY1991:AY1997" si="502">AND(L1991&lt;&gt;"",Y1991=EUconst_NA)</f>
        <v>0</v>
      </c>
      <c r="AZ1991" s="30"/>
      <c r="BA1991" s="30"/>
      <c r="BB1991" s="538" t="s">
        <v>588</v>
      </c>
      <c r="BC1991" s="537" t="str">
        <f>IF(K1979=BC1989,AR1989*IF(AJ1991=EUconst_tCO2pTJ,(AR1992/1000),1)*AR1991*AR1993*AR1997,"")</f>
        <v/>
      </c>
      <c r="BD1991" s="515" t="str">
        <f>IF(K1979=BD1989,AR1989*AR1991*AR1994*AR1997,"")</f>
        <v/>
      </c>
      <c r="BE1991" s="514" t="str">
        <f>IF(K1979=BE1989,3.664*AR1989*AR1995*AR1997,"")</f>
        <v/>
      </c>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522" t="b">
        <f>OR(BZ1989,Y1991=EUconst_NA)</f>
        <v>1</v>
      </c>
    </row>
    <row r="1992" spans="1:78" s="140" customFormat="1" ht="12.75" customHeight="1" thickBot="1" x14ac:dyDescent="0.25">
      <c r="A1992" s="777"/>
      <c r="B1992" s="1248"/>
      <c r="C1992" s="783" t="s">
        <v>196</v>
      </c>
      <c r="D1992" s="503" t="str">
        <f>Translations!$B$636</f>
        <v>GŠV:</v>
      </c>
      <c r="E1992" s="504"/>
      <c r="F1992" s="539"/>
      <c r="G1992" s="1603" t="str">
        <f t="shared" si="497"/>
        <v/>
      </c>
      <c r="H1992" s="1604"/>
      <c r="I1992" s="1112" t="str">
        <f>AJ1992</f>
        <v/>
      </c>
      <c r="J1992" s="540"/>
      <c r="K1992" s="541" t="str">
        <f t="shared" si="498"/>
        <v/>
      </c>
      <c r="L1992" s="542"/>
      <c r="M1992" s="700" t="str">
        <f>IF(AND(E1980&lt;&gt;"",OR(F1992="",COUNT(K1992:L1992)=0),Y1992&lt;&gt;EUconst_NA,T1980&lt;&gt;TRUE),EUconst_ERR_Incomplete,IF(COUNTIF(AX1992:AZ1992,TRUE)&gt;0,EUconst_ERR_Inconsistent,""))</f>
        <v/>
      </c>
      <c r="O1992" s="1305"/>
      <c r="P1992" s="33"/>
      <c r="Q1992" s="33"/>
      <c r="R1992" s="33"/>
      <c r="S1992" s="30"/>
      <c r="T1992" s="543" t="str">
        <f>EUconst_CNTR_NCV&amp;E1980</f>
        <v>NCV_</v>
      </c>
      <c r="U1992" s="488"/>
      <c r="V1992" s="544" t="str">
        <f t="shared" ref="V1992:V1997" si="503">V1991</f>
        <v/>
      </c>
      <c r="W1992" s="30"/>
      <c r="X1992" s="488"/>
      <c r="Y1992" s="545" t="str">
        <f>IF(OR(T1980=TRUE,E1980=""),"",IF(F1992=EUconst_NA,EUconst_NA,INDEX(EUwideConstants!$N:$N,MATCH(T1992,EUwideConstants!$Q:$Q,0))))</f>
        <v/>
      </c>
      <c r="Z1992" s="546" t="str">
        <f>IF(ISBLANK(F1992),"",IF(F1992=EUconst_NA,"",INDEX(EUwideConstants!$H:$M,MATCH(T1992,EUwideConstants!$Q:$Q,0),MATCH(F1992,CNTR_TierList,0))))</f>
        <v/>
      </c>
      <c r="AA1992" s="547" t="str">
        <f>IF(COUNTIF(EUconst_DefaultValues,Z1992)&gt;0,MATCH(Z1992,EUconst_DefaultValues,0),"")</f>
        <v/>
      </c>
      <c r="AB1992" s="30"/>
      <c r="AC1992" s="548" t="b">
        <f>AND(AC1989,Y1992&lt;&gt;EUconst_NA)</f>
        <v>0</v>
      </c>
      <c r="AD1992" s="30"/>
      <c r="AE1992" s="549" t="str">
        <f>EUconst_CNTR_NCV&amp;EUconst_Unit</f>
        <v>NCV_Vienetas</v>
      </c>
      <c r="AF1992" s="550" t="str">
        <f>IF(AC1992=TRUE, IF(COUNTIF(MSPara_SourceStreamCategory,V1992)=0,"",INDEX(MSPara_CalcFactorsMatrix,MATCH(V1992,MSPara_SourceStreamCategory,0),MATCH(AE1992&amp;"_"&amp;2,MSPara_CalcFactors,0))),"")</f>
        <v/>
      </c>
      <c r="AG1992" s="551" t="str">
        <f>IF(AC1992=TRUE, IF(COUNTIF(MSPara_SourceStreamCategory,V1992)=0,"",INDEX(MSPara_CalcFactorsMatrix,MATCH(V1992,MSPara_SourceStreamCategory,0),MATCH(AE1992&amp;"_"&amp;1,MSPara_CalcFactors,0))),"")</f>
        <v/>
      </c>
      <c r="AH1992" s="552" t="str">
        <f>IF(AA1992="","",INDEX(AF1992:AG1992,3-AA1992))</f>
        <v/>
      </c>
      <c r="AI1992" s="553"/>
      <c r="AJ1992" s="548" t="str">
        <f>IF(AC1992=TRUE,IF(AJ1989="","",IF(AJ1989=EUconst_kNm3,EUconst_GJpkNm3,EUconst_GJpt)),"")</f>
        <v/>
      </c>
      <c r="AK1992" s="554"/>
      <c r="AL1992" s="333"/>
      <c r="AM1992" s="549" t="str">
        <f>EUconst_CNTR_NCV&amp;EUconst_Value</f>
        <v>NCV_Vertė</v>
      </c>
      <c r="AN1992" s="555" t="str">
        <f>IF(AC1992=TRUE,IF(COUNTIF(MSPara_SourceStreamCategory,V1992)=0,"",INDEX(MSPara_CalcFactorsMatrix,MATCH(V1992,MSPara_SourceStreamCategory,0),MATCH(AM1992&amp;"_"&amp;2,MSPara_CalcFactors,0))),"")</f>
        <v/>
      </c>
      <c r="AO1992" s="556" t="str">
        <f>IF(AC1992=TRUE,IF(COUNTIF(MSPara_SourceStreamCategory,V1992)=0,"",INDEX(MSPara_CalcFactorsMatrix,MATCH(V1992,MSPara_SourceStreamCategory,0),MATCH(AM1992&amp;"_"&amp;1,MSPara_CalcFactors,0))),"")</f>
        <v/>
      </c>
      <c r="AP1992" s="548" t="b">
        <f>AND(AND(AH1992&lt;&gt;"",AJ1992&lt;&gt;""),AJ1992=AH1992)</f>
        <v>0</v>
      </c>
      <c r="AQ1992" s="557" t="str">
        <f>IF(AND(AA1992&lt;&gt;"",AP1992=TRUE),IF(OR(INDEX(AN1992:AO1992,3-AA1992)=EUconst_NA,INDEX(AN1992:AO1992,3-AA1992)=0),"",INDEX(AN1992:AO1992,3-AA1992)),"")</f>
        <v/>
      </c>
      <c r="AR1992" s="548">
        <f>IF(AC1992=TRUE,IF(COUNT(K1992:L1992)=0,0,IF(L1992="",K1992,L1992)),0)</f>
        <v>0</v>
      </c>
      <c r="AS1992" s="544" t="b">
        <f>AND(AC1992=TRUE,OR(AND(F1992&lt;&gt;"",NOT(ISNUMBER(AA1992))),L1992&lt;&gt;"",F1992="",AQ1992=""))</f>
        <v>0</v>
      </c>
      <c r="AT1992" s="544" t="b">
        <f t="shared" si="499"/>
        <v>0</v>
      </c>
      <c r="AU1992" s="30"/>
      <c r="AV1992" s="558" t="b">
        <f t="shared" si="500"/>
        <v>0</v>
      </c>
      <c r="AW1992" s="559" t="b">
        <f t="shared" si="501"/>
        <v>0</v>
      </c>
      <c r="AX1992" s="30"/>
      <c r="AY1992" s="544" t="b">
        <f t="shared" si="502"/>
        <v>0</v>
      </c>
      <c r="AZ1992" s="30"/>
      <c r="BA1992" s="30"/>
      <c r="BB1992" s="538" t="s">
        <v>589</v>
      </c>
      <c r="BC1992" s="537" t="str">
        <f>IF(K1979=BC1989,AR1989*IF(AJ1991=EUconst_tCO2pTJ,(AR1992/1000),1)*AR1991*AR1993*AR1996,"")</f>
        <v/>
      </c>
      <c r="BD1992" s="515" t="str">
        <f>IF(K1979=BD1989,AR1989*AR1991*AR1994*AR1996,"")</f>
        <v/>
      </c>
      <c r="BE1992" s="514" t="str">
        <f>IF(K1979=BE1989,3.664*AR1989*AR1995*AR1996,"")</f>
        <v/>
      </c>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544" t="b">
        <f>OR(BZ1989,Y1992=EUconst_NA)</f>
        <v>1</v>
      </c>
    </row>
    <row r="1993" spans="1:78" s="140" customFormat="1" ht="12.75" customHeight="1" thickBot="1" x14ac:dyDescent="0.25">
      <c r="A1993" s="777"/>
      <c r="B1993" s="1248"/>
      <c r="C1993" s="783" t="s">
        <v>197</v>
      </c>
      <c r="D1993" s="503" t="str">
        <f>Translations!$B$638</f>
        <v>Oksidacijos koef.:</v>
      </c>
      <c r="E1993" s="504"/>
      <c r="F1993" s="539"/>
      <c r="G1993" s="1603" t="str">
        <f t="shared" si="497"/>
        <v/>
      </c>
      <c r="H1993" s="1604"/>
      <c r="I1993" s="1113" t="str">
        <f>IF(OR(AC1993=FALSE,Y1993=EUconst_NA),"","-")</f>
        <v/>
      </c>
      <c r="J1993" s="560"/>
      <c r="K1993" s="561" t="str">
        <f t="shared" si="498"/>
        <v/>
      </c>
      <c r="L1993" s="694"/>
      <c r="M1993" s="700" t="str">
        <f>IF(AND(E1980&lt;&gt;"",OR(F1993="",COUNT(K1993:L1993)=0),Y1993&lt;&gt;EUconst_NA,T1980&lt;&gt;TRUE),EUconst_ERR_Incomplete,IF(COUNTIF(AX1993:AZ1993,TRUE)&gt;0,EUconst_ERR_Inconsistent,""))</f>
        <v/>
      </c>
      <c r="O1993" s="1305"/>
      <c r="P1993" s="33"/>
      <c r="Q1993" s="33"/>
      <c r="R1993" s="33"/>
      <c r="S1993" s="30"/>
      <c r="T1993" s="543" t="str">
        <f>EUconst_CNTR_OxidationFactor&amp;E1980</f>
        <v>OxF_</v>
      </c>
      <c r="U1993" s="488"/>
      <c r="V1993" s="544" t="str">
        <f t="shared" si="503"/>
        <v/>
      </c>
      <c r="W1993" s="30"/>
      <c r="X1993" s="488"/>
      <c r="Y1993" s="545" t="str">
        <f>IF(OR(T1980=TRUE,E1980=""),"",INDEX(EUwideConstants!$N:$N,MATCH(T1993,EUwideConstants!$Q:$Q,0)))</f>
        <v/>
      </c>
      <c r="Z1993" s="546" t="str">
        <f>IF(ISBLANK(F1993),"",IF(F1993=EUconst_NA,"",INDEX(EUwideConstants!$H:$M,MATCH(T1993,EUwideConstants!$Q:$Q,0),MATCH(F1993,CNTR_TierList,0))))</f>
        <v/>
      </c>
      <c r="AA1993" s="525" t="str">
        <f>IF(F1993=1,1,"")</f>
        <v/>
      </c>
      <c r="AB1993" s="30"/>
      <c r="AC1993" s="548" t="b">
        <f>AND(AC1989,Y1993&lt;&gt;EUconst_NA)</f>
        <v>0</v>
      </c>
      <c r="AD1993" s="30"/>
      <c r="AE1993" s="563"/>
      <c r="AG1993" s="564"/>
      <c r="AH1993" s="553"/>
      <c r="AI1993" s="565"/>
      <c r="AJ1993" s="553"/>
      <c r="AK1993" s="566"/>
      <c r="AL1993" s="333"/>
      <c r="AM1993" s="549" t="str">
        <f>EUconst_CNTR_OxidationFactor&amp;EUconst_Value</f>
        <v>OxF_Vertė</v>
      </c>
      <c r="AN1993" s="567"/>
      <c r="AO1993" s="525">
        <v>1</v>
      </c>
      <c r="AP1993" s="553"/>
      <c r="AQ1993" s="568" t="str">
        <f>IF(AA1993="","",AO1993)</f>
        <v/>
      </c>
      <c r="AR1993" s="548">
        <f>IF(AC1993=TRUE,IF(COUNT(K1993:L1993)=0,0,IF(L1993="",K1993,L1993)),1)</f>
        <v>1</v>
      </c>
      <c r="AS1993" s="544" t="b">
        <f>AND(AC1993=TRUE,OR(ISNUMBER(L1993),NOT(ISNUMBER(AA1993))))</f>
        <v>0</v>
      </c>
      <c r="AT1993" s="544" t="b">
        <f t="shared" si="499"/>
        <v>0</v>
      </c>
      <c r="AU1993" s="30"/>
      <c r="AV1993" s="558" t="b">
        <f t="shared" si="500"/>
        <v>0</v>
      </c>
      <c r="AW1993" s="559" t="b">
        <f t="shared" si="501"/>
        <v>0</v>
      </c>
      <c r="AX1993" s="30"/>
      <c r="AY1993" s="585" t="b">
        <f t="shared" si="502"/>
        <v>0</v>
      </c>
      <c r="AZ1993" s="522" t="b">
        <f>AR1993&gt;100%</f>
        <v>0</v>
      </c>
      <c r="BA1993" s="30"/>
      <c r="BB1993" s="538" t="s">
        <v>287</v>
      </c>
      <c r="BC1993" s="537" t="str">
        <f>IF(K1979=BC1989,AR1989*IF(AJ1991=EUconst_tCO2pTJ,(AR1992/1000),1)*AR1991*AR1993*(1-AR1996),"")</f>
        <v/>
      </c>
      <c r="BD1993" s="515" t="str">
        <f>IF(K1979=BD1989,AR1989*AR1991*AR1994*(1-AR1996),"")</f>
        <v/>
      </c>
      <c r="BE1993" s="514" t="str">
        <f>IF(K1979=BE1989,3.664*AR1989*AR1995*(1-AR1996),"")</f>
        <v/>
      </c>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544" t="b">
        <f>OR(BZ1989,Y1993=EUconst_NA)</f>
        <v>1</v>
      </c>
    </row>
    <row r="1994" spans="1:78" s="140" customFormat="1" ht="12.75" customHeight="1" thickBot="1" x14ac:dyDescent="0.25">
      <c r="A1994" s="777"/>
      <c r="B1994" s="1248"/>
      <c r="C1994" s="783" t="s">
        <v>198</v>
      </c>
      <c r="D1994" s="503" t="str">
        <f>Translations!$B$639</f>
        <v>Konversijos koef.:</v>
      </c>
      <c r="E1994" s="504"/>
      <c r="F1994" s="539"/>
      <c r="G1994" s="1603" t="str">
        <f t="shared" si="497"/>
        <v/>
      </c>
      <c r="H1994" s="1604"/>
      <c r="I1994" s="1113" t="str">
        <f>IF(OR(AC1994=FALSE,Y1994=EUconst_NA),"","-")</f>
        <v/>
      </c>
      <c r="J1994" s="560"/>
      <c r="K1994" s="561" t="str">
        <f t="shared" si="498"/>
        <v/>
      </c>
      <c r="L1994" s="694"/>
      <c r="M1994" s="700" t="str">
        <f>IF(AND(E1980&lt;&gt;"",OR(F1994="",COUNT(K1994:L1994)=0),Y1994&lt;&gt;EUconst_NA,T1980&lt;&gt;TRUE),EUconst_ERR_Incomplete,IF(COUNTIF(AX1994:AZ1994,TRUE)&gt;0,EUconst_ERR_Inconsistent,""))</f>
        <v/>
      </c>
      <c r="O1994" s="1305"/>
      <c r="P1994" s="33"/>
      <c r="Q1994" s="33"/>
      <c r="R1994" s="33"/>
      <c r="S1994" s="30"/>
      <c r="T1994" s="543" t="str">
        <f>EUconst_CNTR_ConversionFactor&amp;E1980</f>
        <v>ConvF_</v>
      </c>
      <c r="U1994" s="488"/>
      <c r="V1994" s="544" t="str">
        <f t="shared" si="503"/>
        <v/>
      </c>
      <c r="W1994" s="30"/>
      <c r="X1994" s="488"/>
      <c r="Y1994" s="545" t="str">
        <f>IF(OR(T1980=TRUE,E1980=""),"",INDEX(EUwideConstants!$N:$N,MATCH(T1994,EUwideConstants!$Q:$Q,0)))</f>
        <v/>
      </c>
      <c r="Z1994" s="546" t="str">
        <f>IF(ISBLANK(F1994),"",IF(F1994=EUconst_NA,"",INDEX(EUwideConstants!$H:$M,MATCH(T1994,EUwideConstants!$Q:$Q,0),MATCH(F1994,CNTR_TierList,0))))</f>
        <v/>
      </c>
      <c r="AA1994" s="573" t="str">
        <f>IF(F1994=1,1,"")</f>
        <v/>
      </c>
      <c r="AB1994" s="30"/>
      <c r="AC1994" s="548" t="b">
        <f>AND(AC1989,Y1994&lt;&gt;EUconst_NA)</f>
        <v>0</v>
      </c>
      <c r="AD1994" s="30"/>
      <c r="AE1994" s="563"/>
      <c r="AG1994" s="564"/>
      <c r="AH1994" s="574"/>
      <c r="AI1994" s="565"/>
      <c r="AJ1994" s="574"/>
      <c r="AK1994" s="566"/>
      <c r="AL1994" s="333"/>
      <c r="AM1994" s="549" t="str">
        <f>EUconst_CNTR_ConversionFactor&amp;EUconst_Value</f>
        <v>ConvF_Vertė</v>
      </c>
      <c r="AN1994" s="575"/>
      <c r="AO1994" s="573">
        <v>1</v>
      </c>
      <c r="AP1994" s="574"/>
      <c r="AQ1994" s="576" t="str">
        <f>IF(AA1994="","",AO1994)</f>
        <v/>
      </c>
      <c r="AR1994" s="548">
        <f>IF(AC1994=TRUE,IF(COUNT(K1994:L1994)=0,0,IF(L1994="",K1994,L1994)),1)</f>
        <v>1</v>
      </c>
      <c r="AS1994" s="544" t="b">
        <f>AND(AC1994=TRUE,OR(ISNUMBER(L1994),NOT(ISNUMBER(AA1994))))</f>
        <v>0</v>
      </c>
      <c r="AT1994" s="544" t="b">
        <f t="shared" si="499"/>
        <v>0</v>
      </c>
      <c r="AU1994" s="30"/>
      <c r="AV1994" s="558" t="b">
        <f t="shared" si="500"/>
        <v>0</v>
      </c>
      <c r="AW1994" s="559" t="b">
        <f t="shared" si="501"/>
        <v>0</v>
      </c>
      <c r="AX1994" s="30"/>
      <c r="AY1994" s="585" t="b">
        <f t="shared" si="502"/>
        <v>0</v>
      </c>
      <c r="AZ1994" s="571" t="b">
        <f>AR1994&gt;100%</f>
        <v>0</v>
      </c>
      <c r="BA1994" s="30"/>
      <c r="BB1994" s="569" t="s">
        <v>481</v>
      </c>
      <c r="BC1994" s="570">
        <f>AR1989*AR1992/1000*(1-AR1996)</f>
        <v>0</v>
      </c>
      <c r="BD1994" s="571">
        <f>BC1994</f>
        <v>0</v>
      </c>
      <c r="BE1994" s="572">
        <f>BC1994</f>
        <v>0</v>
      </c>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544" t="b">
        <f>OR(BZ1989,Y1994=EUconst_NA)</f>
        <v>1</v>
      </c>
    </row>
    <row r="1995" spans="1:78" s="140" customFormat="1" ht="12.75" customHeight="1" thickBot="1" x14ac:dyDescent="0.25">
      <c r="A1995" s="777"/>
      <c r="B1995" s="1248"/>
      <c r="C1995" s="783" t="s">
        <v>324</v>
      </c>
      <c r="D1995" s="503" t="str">
        <f>Translations!$B$640</f>
        <v>Anglies kiekis (C):</v>
      </c>
      <c r="E1995" s="504"/>
      <c r="F1995" s="539"/>
      <c r="G1995" s="1603" t="str">
        <f t="shared" si="497"/>
        <v/>
      </c>
      <c r="H1995" s="1604"/>
      <c r="I1995" s="1113" t="str">
        <f>AJ1995</f>
        <v/>
      </c>
      <c r="J1995" s="577"/>
      <c r="K1995" s="578" t="str">
        <f t="shared" si="498"/>
        <v/>
      </c>
      <c r="L1995" s="579"/>
      <c r="M1995" s="700" t="str">
        <f>IF(AND(E1980&lt;&gt;"",OR(F1995="",COUNT(K1995:L1995)=0),Y1995&lt;&gt;EUconst_NA,T1980&lt;&gt;TRUE),EUconst_ERR_Incomplete,IF(COUNTIF(AX1995:AZ1995,TRUE)&gt;0,EUconst_ERR_Inconsistent,""))</f>
        <v/>
      </c>
      <c r="O1995" s="1305"/>
      <c r="P1995" s="33"/>
      <c r="Q1995" s="33"/>
      <c r="R1995" s="33"/>
      <c r="S1995" s="30"/>
      <c r="T1995" s="543" t="str">
        <f>EUconst_CNTR_CarbonContent&amp;E1980</f>
        <v>CarbC_</v>
      </c>
      <c r="U1995" s="488"/>
      <c r="V1995" s="544" t="str">
        <f t="shared" si="503"/>
        <v/>
      </c>
      <c r="W1995" s="30"/>
      <c r="X1995" s="488"/>
      <c r="Y1995" s="545" t="str">
        <f>IF(OR(T1980=TRUE,E1980=""),"",INDEX(EUwideConstants!$N:$N,MATCH(T1995,EUwideConstants!$Q:$Q,0)))</f>
        <v/>
      </c>
      <c r="Z1995" s="546" t="str">
        <f>IF(ISBLANK(F1995),"",IF(F1995=EUconst_NA,"",INDEX(EUwideConstants!$H:$M,MATCH(T1995,EUwideConstants!$Q:$Q,0),MATCH(F1995,CNTR_TierList,0))))</f>
        <v/>
      </c>
      <c r="AA1995" s="580" t="str">
        <f>IF(COUNTIF(EUconst_DefaultValues,Z1995)&gt;0,MATCH(Z1995,EUconst_DefaultValues,0),"")</f>
        <v/>
      </c>
      <c r="AB1995" s="30"/>
      <c r="AC1995" s="548" t="b">
        <f>AND(AC1989,Y1995&lt;&gt;EUconst_NA)</f>
        <v>0</v>
      </c>
      <c r="AD1995" s="30"/>
      <c r="AE1995" s="549" t="str">
        <f>EUconst_CNTR_CarbonContent&amp;EUconst_Unit</f>
        <v>CarbC_Vienetas</v>
      </c>
      <c r="AF1995" s="550" t="str">
        <f>IF(AC1995=TRUE, IF(COUNTIF(MSPara_SourceStreamCategory,V1995)=0,"",INDEX(MSPara_CalcFactorsMatrix,MATCH(V1995,MSPara_SourceStreamCategory,0),MATCH(AE1995&amp;"_"&amp;2,MSPara_CalcFactors,0))),"")</f>
        <v/>
      </c>
      <c r="AG1995" s="551" t="str">
        <f>IF(AC1995=TRUE, IF(COUNTIF(MSPara_SourceStreamCategory,V1995)=0,"",INDEX(MSPara_CalcFactorsMatrix,MATCH(V1995,MSPara_SourceStreamCategory,0),MATCH(AE1995&amp;"_"&amp;1,MSPara_CalcFactors,0))),"")</f>
        <v/>
      </c>
      <c r="AH1995" s="581" t="str">
        <f>IF(AA1995="","",INDEX(AF1995:AG1995,3-AA1995))</f>
        <v/>
      </c>
      <c r="AI1995" s="565"/>
      <c r="AJ1995" s="582" t="str">
        <f>IF(AC1995=TRUE,IF(AJ1989="","",IF(AJ1989=EUconst_kNm3,EUconst_tCpkNm3,EUconst_tCpt)),"")</f>
        <v/>
      </c>
      <c r="AK1995" s="566"/>
      <c r="AL1995" s="333"/>
      <c r="AM1995" s="549" t="str">
        <f>EUconst_CNTR_CarbonContent&amp;EUconst_Value</f>
        <v>CarbC_Vertė</v>
      </c>
      <c r="AN1995" s="555" t="str">
        <f>IF(AC1995=TRUE,IF(COUNTIF(MSPara_SourceStreamCategory,V1995)=0,"",INDEX(MSPara_CalcFactorsMatrix,MATCH(V1995,MSPara_SourceStreamCategory,0),MATCH(AM1995&amp;"_"&amp;2,MSPara_CalcFactors,0))),"")</f>
        <v/>
      </c>
      <c r="AO1995" s="583" t="str">
        <f>IF(AC1995=TRUE,IF(COUNTIF(MSPara_SourceStreamCategory,V1995)=0,"",INDEX(MSPara_CalcFactorsMatrix,MATCH(V1995,MSPara_SourceStreamCategory,0),MATCH(AM1995&amp;"_"&amp;1,MSPara_CalcFactors,0))),"")</f>
        <v/>
      </c>
      <c r="AP1995" s="548" t="b">
        <f>AND(AND(AH1995&lt;&gt;"",AJ1995&lt;&gt;""),AJ1995=AH1995)</f>
        <v>0</v>
      </c>
      <c r="AQ1995" s="584" t="str">
        <f>IF(AND(AA1995&lt;&gt;"",AP1995=TRUE),IF(OR(INDEX(AN1995:AO1995,3-AA1995)=EUconst_NA,INDEX(AN1995:AO1995,3-AA1995)=0),"",INDEX(AN1995:AO1995,3-AA1995)),"")</f>
        <v/>
      </c>
      <c r="AR1995" s="548">
        <f>IF(AC1995=TRUE,IF(COUNT(K1995:L1995)=0,0,IF(L1995="",K1995,L1995)),0)</f>
        <v>0</v>
      </c>
      <c r="AS1995" s="544" t="b">
        <f>AND(AC1995=TRUE,OR(AND(F1995&lt;&gt;"",NOT(ISNUMBER(AA1995))),L1995&lt;&gt;"",F1995="",AQ1995=""))</f>
        <v>0</v>
      </c>
      <c r="AT1995" s="544" t="b">
        <f t="shared" si="499"/>
        <v>0</v>
      </c>
      <c r="AU1995" s="30"/>
      <c r="AV1995" s="558" t="b">
        <f t="shared" si="500"/>
        <v>0</v>
      </c>
      <c r="AW1995" s="559" t="b">
        <f t="shared" si="501"/>
        <v>0</v>
      </c>
      <c r="AX1995" s="537" t="b">
        <f>OR(AND(AJ1989=EUconst_kNm3,AJ1995=EUconst_tCpt),AND(AJ1989=EUconst_t,AJ1995=EUconst_tCpkNm3))</f>
        <v>0</v>
      </c>
      <c r="AY1995" s="544" t="b">
        <f t="shared" si="502"/>
        <v>0</v>
      </c>
      <c r="AZ1995" s="30"/>
      <c r="BA1995" s="30"/>
      <c r="BB1995" s="569" t="s">
        <v>482</v>
      </c>
      <c r="BC1995" s="570">
        <f>AR1989*AR1992/1000*AR1996</f>
        <v>0</v>
      </c>
      <c r="BD1995" s="571">
        <f>BC1995</f>
        <v>0</v>
      </c>
      <c r="BE1995" s="572">
        <f>BC1995</f>
        <v>0</v>
      </c>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544" t="b">
        <f>OR(BZ1989,Y1995=EUconst_NA)</f>
        <v>1</v>
      </c>
    </row>
    <row r="1996" spans="1:78" s="140" customFormat="1" ht="12.75" customHeight="1" x14ac:dyDescent="0.2">
      <c r="A1996" s="777"/>
      <c r="B1996" s="1248"/>
      <c r="C1996" s="753" t="s">
        <v>325</v>
      </c>
      <c r="D1996" s="503" t="str">
        <f>Translations!$B$641</f>
        <v>Biomasės dalis (BioC):</v>
      </c>
      <c r="E1996" s="504"/>
      <c r="F1996" s="539"/>
      <c r="G1996" s="1603" t="str">
        <f t="shared" si="497"/>
        <v/>
      </c>
      <c r="H1996" s="1604"/>
      <c r="I1996" s="1113" t="str">
        <f>IF(OR(AC1996=FALSE,Y1996=EUconst_NA),"","-")</f>
        <v/>
      </c>
      <c r="J1996" s="560"/>
      <c r="K1996" s="561" t="str">
        <f t="shared" si="498"/>
        <v/>
      </c>
      <c r="L1996" s="694"/>
      <c r="M1996" s="700" t="str">
        <f>IF(AND(E1980&lt;&gt;"",OR(F1996="",COUNT(K1996:L1996)=0),Y1996&lt;&gt;EUconst_NA,T1980&lt;&gt;TRUE),EUconst_ERR_Incomplete,IF(COUNTIF(AX1996:AZ1996,TRUE)&gt;0,EUconst_ERR_Inconsistent,""))</f>
        <v/>
      </c>
      <c r="O1996" s="1305"/>
      <c r="P1996" s="635"/>
      <c r="Q1996" s="635"/>
      <c r="R1996" s="635"/>
      <c r="S1996" s="30"/>
      <c r="T1996" s="543" t="str">
        <f>EUconst_CNTR_BiomassContent&amp;E1980</f>
        <v>BioC_</v>
      </c>
      <c r="U1996" s="488"/>
      <c r="V1996" s="585" t="str">
        <f t="shared" si="503"/>
        <v/>
      </c>
      <c r="W1996" s="522" t="str">
        <f>IF(COUNTIF(MSPara_SourceStreamCategory,V1996)=0,"",INDEX(MSPara_IsFossil,MATCH(V1996,MSPara_SourceStreamCategory,0)))</f>
        <v/>
      </c>
      <c r="X1996" s="488"/>
      <c r="Y1996" s="545" t="str">
        <f>IF(OR(T1980=TRUE,E1980=""),"",IF(OR(W1996=TRUE,F1996=EUconst_NA),EUconst_NA,INDEX(EUwideConstants!$N:$N,MATCH(T1996,EUwideConstants!$Q:$Q,0))))</f>
        <v/>
      </c>
      <c r="Z1996" s="546" t="str">
        <f>IF(ISBLANK(F1996),"",IF(F1996=EUconst_NA,"",INDEX(EUwideConstants!$H:$M,MATCH(T1996,EUwideConstants!$Q:$Q,0),MATCH(F1996,CNTR_TierList,0))))</f>
        <v/>
      </c>
      <c r="AA1996" s="586" t="str">
        <f>IF(F1996=1,1,"")</f>
        <v/>
      </c>
      <c r="AB1996" s="30"/>
      <c r="AC1996" s="548" t="b">
        <f>AND(AC1989,Y1996&lt;&gt;EUconst_NA)</f>
        <v>0</v>
      </c>
      <c r="AD1996" s="30"/>
      <c r="AE1996" s="563"/>
      <c r="AG1996" s="564"/>
      <c r="AH1996" s="553"/>
      <c r="AI1996" s="565"/>
      <c r="AJ1996" s="553"/>
      <c r="AK1996" s="566"/>
      <c r="AL1996" s="333"/>
      <c r="AM1996" s="549" t="str">
        <f>EUconst_CNTR_BiomassContent&amp;EUconst_Value</f>
        <v>BioC_Vertė</v>
      </c>
      <c r="AO1996" s="587" t="str">
        <f>IF(AC1996=TRUE,IF(COUNTIF(MSPara_SourceStreamCategory,V1996)=0,"",INDEX(MSPara_CalcFactorsMatrix,MATCH(V1996,MSPara_SourceStreamCategory,0),MATCH(AM1996&amp;"_"&amp;2,MSPara_CalcFactors,0))),"")</f>
        <v/>
      </c>
      <c r="AP1996" s="553"/>
      <c r="AQ1996" s="568" t="str">
        <f>IF(OR(AA1996="",AO1996=EUconst_NA),"",AO1996)</f>
        <v/>
      </c>
      <c r="AR1996" s="548">
        <f>IF(AC1996=TRUE,IF(COUNT(K1996:L1996)=0,0,IF(L1996="",K1996,L1996)),0)</f>
        <v>0</v>
      </c>
      <c r="AS1996" s="544" t="b">
        <f>AND(AC1996=TRUE,OR(AND(F1996&lt;&gt;"",NOT(ISNUMBER(AA1996))),L1996&lt;&gt;"",F1996="",AQ1996=""))</f>
        <v>0</v>
      </c>
      <c r="AT1996" s="544" t="b">
        <f t="shared" si="499"/>
        <v>0</v>
      </c>
      <c r="AU1996" s="30"/>
      <c r="AV1996" s="558" t="b">
        <f t="shared" si="500"/>
        <v>0</v>
      </c>
      <c r="AW1996" s="559" t="b">
        <f t="shared" si="501"/>
        <v>0</v>
      </c>
      <c r="AX1996" s="30"/>
      <c r="AY1996" s="585" t="b">
        <f t="shared" si="502"/>
        <v>0</v>
      </c>
      <c r="AZ1996" s="522" t="b">
        <f>OR(AR1996&gt;100%,(AR1996+AR1997)&gt;100%)</f>
        <v>0</v>
      </c>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544" t="b">
        <f>OR(BZ1989,Y1996=EUconst_NA)</f>
        <v>1</v>
      </c>
    </row>
    <row r="1997" spans="1:78" s="140" customFormat="1" ht="12.75" customHeight="1" thickBot="1" x14ac:dyDescent="0.25">
      <c r="A1997" s="777"/>
      <c r="B1997" s="1248"/>
      <c r="C1997" s="753" t="s">
        <v>448</v>
      </c>
      <c r="D1997" s="503" t="str">
        <f>Translations!$B$647</f>
        <v>Netvarios BioC dalis:</v>
      </c>
      <c r="E1997" s="504"/>
      <c r="F1997" s="588"/>
      <c r="G1997" s="1603" t="str">
        <f t="shared" si="497"/>
        <v/>
      </c>
      <c r="H1997" s="1604"/>
      <c r="I1997" s="1114" t="str">
        <f>IF(OR(AC1997=FALSE,Y1997=EUconst_NA),"","-")</f>
        <v/>
      </c>
      <c r="J1997" s="560"/>
      <c r="K1997" s="589" t="str">
        <f t="shared" si="498"/>
        <v/>
      </c>
      <c r="L1997" s="1100"/>
      <c r="M1997" s="700" t="str">
        <f>IF(AND(E1980&lt;&gt;"",OR(F1997="",COUNT(K1997:L1997)=0),Y1997&lt;&gt;EUconst_NA,T1980&lt;&gt;TRUE),EUconst_ERR_Incomplete,IF(COUNTIF(AX1997:AZ1997,TRUE)&gt;0,EUconst_ERR_Inconsistent,""))</f>
        <v/>
      </c>
      <c r="O1997" s="1305"/>
      <c r="P1997" s="635"/>
      <c r="Q1997" s="635"/>
      <c r="R1997" s="635"/>
      <c r="S1997" s="30"/>
      <c r="T1997" s="590" t="str">
        <f>EUconst_CNTR_BiomassContent&amp;E1980</f>
        <v>BioC_</v>
      </c>
      <c r="U1997" s="488"/>
      <c r="V1997" s="570" t="str">
        <f t="shared" si="503"/>
        <v/>
      </c>
      <c r="W1997" s="571" t="str">
        <f>IF(COUNTIF(MSPara_SourceStreamCategory,V1997)=0,"",INDEX(MSPara_IsFossil,MATCH(V1997,MSPara_SourceStreamCategory,0)))</f>
        <v/>
      </c>
      <c r="X1997" s="488"/>
      <c r="Y1997" s="591" t="str">
        <f>IF(OR(T1980=TRUE,E1980=""),"",IF(OR(W1997=TRUE,F1997=EUconst_NA),EUconst_NA,INDEX(EUwideConstants!$N:$N,MATCH(T1997,EUwideConstants!$Q:$Q,0))))</f>
        <v/>
      </c>
      <c r="Z1997" s="592" t="str">
        <f>IF(ISBLANK(F1997),"",IF(F1997=EUconst_NA,"",INDEX(EUwideConstants!$H:$M,MATCH(T1997,EUwideConstants!$Q:$Q,0),MATCH(F1997,CNTR_TierList,0))))</f>
        <v/>
      </c>
      <c r="AA1997" s="593" t="str">
        <f>IF(F1997=1,1,"")</f>
        <v/>
      </c>
      <c r="AB1997" s="30"/>
      <c r="AC1997" s="594" t="b">
        <f>AND(AC1989,Y1997&lt;&gt;EUconst_NA)</f>
        <v>0</v>
      </c>
      <c r="AD1997" s="30"/>
      <c r="AE1997" s="595"/>
      <c r="AF1997" s="596"/>
      <c r="AG1997" s="597"/>
      <c r="AH1997" s="598"/>
      <c r="AI1997" s="598"/>
      <c r="AJ1997" s="598"/>
      <c r="AK1997" s="599"/>
      <c r="AL1997" s="333"/>
      <c r="AM1997" s="600" t="str">
        <f>EUconst_CNTR_BiomassContent&amp;EUconst_Value</f>
        <v>BioC_Vertė</v>
      </c>
      <c r="AN1997" s="596"/>
      <c r="AO1997" s="601" t="str">
        <f>IF(AC1997=TRUE,IF(COUNTIF(MSPara_SourceStreamCategory,V1997)=0,"",INDEX(MSPara_CalcFactorsMatrix,MATCH(V1997,MSPara_SourceStreamCategory,0),MATCH(AM1997&amp;"_"&amp;2,MSPara_CalcFactors,0))),"")</f>
        <v/>
      </c>
      <c r="AP1997" s="598"/>
      <c r="AQ1997" s="602" t="str">
        <f>IF(OR(AA1997="",AO1997=EUconst_NA),"",AO1997)</f>
        <v/>
      </c>
      <c r="AR1997" s="594">
        <f>IF(AC1997=TRUE,IF(COUNT(K1997:L1997)=0,0,IF(L1997="",K1997,L1997)),0)</f>
        <v>0</v>
      </c>
      <c r="AS1997" s="603" t="b">
        <f>AND(AC1997=TRUE,OR(AND(F1997&lt;&gt;"",NOT(ISNUMBER(AA1997))),L1997&lt;&gt;"",F1997="",AQ1997=""))</f>
        <v>0</v>
      </c>
      <c r="AT1997" s="603" t="b">
        <f t="shared" si="499"/>
        <v>0</v>
      </c>
      <c r="AU1997" s="30"/>
      <c r="AV1997" s="604" t="b">
        <f t="shared" si="500"/>
        <v>0</v>
      </c>
      <c r="AW1997" s="605" t="b">
        <f t="shared" si="501"/>
        <v>0</v>
      </c>
      <c r="AX1997" s="30"/>
      <c r="AY1997" s="570" t="b">
        <f t="shared" si="502"/>
        <v>0</v>
      </c>
      <c r="AZ1997" s="571" t="b">
        <f>OR(AR1996&gt;100%,(AR1996+AR1997)&gt;100%)</f>
        <v>0</v>
      </c>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571" t="b">
        <f>OR(BZ1989,Y1997=EUconst_NA)</f>
        <v>1</v>
      </c>
    </row>
    <row r="1998" spans="1:78" s="140" customFormat="1" ht="5.0999999999999996" customHeight="1" x14ac:dyDescent="0.2">
      <c r="A1998" s="777"/>
      <c r="B1998" s="1248"/>
      <c r="C1998" s="164"/>
      <c r="D1998" s="178"/>
      <c r="O1998" s="1305"/>
      <c r="P1998" s="33"/>
      <c r="Q1998" s="33"/>
      <c r="R1998" s="33"/>
      <c r="S1998" s="172"/>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row>
    <row r="1999" spans="1:78" s="140" customFormat="1" ht="12.75" customHeight="1" x14ac:dyDescent="0.2">
      <c r="A1999" s="777"/>
      <c r="B1999" s="1248"/>
      <c r="C1999" s="164"/>
      <c r="D1999" s="1629" t="str">
        <f>Translations!$B$674</f>
        <v>Pakopos galioja nuo:</v>
      </c>
      <c r="E1999" s="1629"/>
      <c r="F1999" s="1630"/>
      <c r="G1999" s="1014"/>
      <c r="H1999" s="606" t="str">
        <f>Translations!$B$675</f>
        <v>iki:</v>
      </c>
      <c r="I1999" s="1014"/>
      <c r="J1999" s="1620" t="str">
        <f>Translations!$B$676</f>
        <v>Atliekų katalogo numeris (jeigu taikytina):</v>
      </c>
      <c r="K1999" s="1621"/>
      <c r="L1999" s="1621"/>
      <c r="M1999" s="1622"/>
      <c r="N1999" s="1232"/>
      <c r="O1999" s="1305"/>
      <c r="P1999" s="33"/>
      <c r="Q1999" s="33"/>
      <c r="R1999" s="33"/>
      <c r="S1999" s="1233"/>
      <c r="T1999" s="483"/>
      <c r="U1999" s="483"/>
      <c r="V1999" s="48" t="b">
        <f>IF(V1989="",FALSE,INDEX(CNTR_IsWaste,MATCH(V1989,MSParameters!$A$218:$A$376,0)))</f>
        <v>0</v>
      </c>
      <c r="W1999" s="1233" t="s">
        <v>1689</v>
      </c>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2" t="b">
        <f>BZ1989</f>
        <v>1</v>
      </c>
    </row>
    <row r="2000" spans="1:78" s="140" customFormat="1" ht="5.0999999999999996" customHeight="1" x14ac:dyDescent="0.2">
      <c r="A2000" s="777"/>
      <c r="B2000" s="1248"/>
      <c r="C2000" s="164"/>
      <c r="D2000" s="606"/>
      <c r="E2000" s="486"/>
      <c r="F2000" s="486"/>
      <c r="G2000" s="486"/>
      <c r="H2000" s="486"/>
      <c r="I2000" s="486"/>
      <c r="J2000" s="486"/>
      <c r="K2000" s="486"/>
      <c r="L2000" s="486"/>
      <c r="M2000" s="486"/>
      <c r="N2000" s="486"/>
      <c r="O2000" s="1305"/>
      <c r="P2000" s="33"/>
      <c r="Q2000" s="33"/>
      <c r="R2000" s="33"/>
      <c r="S2000" s="172"/>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row>
    <row r="2001" spans="1:78" s="140" customFormat="1" ht="12.75" customHeight="1" x14ac:dyDescent="0.2">
      <c r="A2001" s="777"/>
      <c r="B2001" s="1248"/>
      <c r="C2001" s="164"/>
      <c r="D2001" s="486"/>
      <c r="E2001" s="486"/>
      <c r="F2001" s="486"/>
      <c r="G2001" s="486"/>
      <c r="H2001" s="486"/>
      <c r="I2001" s="486"/>
      <c r="J2001" s="486"/>
      <c r="K2001" s="486"/>
      <c r="L2001" s="486"/>
      <c r="M2001" s="606" t="str">
        <f>Translations!$B$677</f>
        <v>Stebėsenos plane šiam sukėlikliui suteiktas identifikatorius:</v>
      </c>
      <c r="N2001" s="705"/>
      <c r="O2001" s="1305"/>
      <c r="P2001" s="33"/>
      <c r="Q2001" s="33"/>
      <c r="R2001" s="33"/>
      <c r="S2001" s="172"/>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2" t="b">
        <f>BZ1999</f>
        <v>1</v>
      </c>
    </row>
    <row r="2002" spans="1:78" s="140" customFormat="1" ht="5.0999999999999996" customHeight="1" x14ac:dyDescent="0.2">
      <c r="A2002" s="784"/>
      <c r="B2002" s="1316"/>
      <c r="D2002" s="178"/>
      <c r="O2002" s="1317"/>
      <c r="P2002" s="488"/>
      <c r="Q2002" s="488"/>
      <c r="R2002" s="488"/>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row>
    <row r="2003" spans="1:78" s="140" customFormat="1" x14ac:dyDescent="0.2">
      <c r="A2003" s="784"/>
      <c r="B2003" s="1316"/>
      <c r="D2003" s="1618" t="str">
        <f>Translations!$B$160</f>
        <v>Pastabos:</v>
      </c>
      <c r="E2003" s="1619"/>
      <c r="F2003" s="1605"/>
      <c r="G2003" s="1606"/>
      <c r="H2003" s="1606"/>
      <c r="I2003" s="1606"/>
      <c r="J2003" s="1606"/>
      <c r="K2003" s="1606"/>
      <c r="L2003" s="1606"/>
      <c r="M2003" s="1606"/>
      <c r="N2003" s="1607"/>
      <c r="O2003" s="1317"/>
      <c r="P2003" s="488"/>
      <c r="Q2003" s="488"/>
      <c r="R2003" s="488"/>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2" t="b">
        <f>BZ1999</f>
        <v>1</v>
      </c>
    </row>
    <row r="2004" spans="1:78" s="28" customFormat="1" ht="12.75" customHeight="1" thickBot="1" x14ac:dyDescent="0.25">
      <c r="A2004" s="777"/>
      <c r="B2004" s="1312"/>
      <c r="C2004" s="490"/>
      <c r="D2004" s="491"/>
      <c r="E2004" s="492"/>
      <c r="F2004" s="490"/>
      <c r="G2004" s="493"/>
      <c r="H2004" s="493"/>
      <c r="I2004" s="493"/>
      <c r="J2004" s="493"/>
      <c r="K2004" s="493"/>
      <c r="L2004" s="493"/>
      <c r="M2004" s="493"/>
      <c r="N2004" s="493"/>
      <c r="O2004" s="1313"/>
      <c r="P2004" s="485"/>
      <c r="Q2004" s="485"/>
      <c r="R2004" s="485"/>
      <c r="S2004" s="58"/>
      <c r="T2004" s="58"/>
      <c r="U2004" s="489"/>
      <c r="V2004" s="58"/>
      <c r="W2004" s="58"/>
      <c r="X2004" s="489"/>
      <c r="Y2004" s="58"/>
      <c r="Z2004" s="58"/>
      <c r="AA2004" s="58"/>
      <c r="AB2004" s="58"/>
      <c r="AC2004" s="58"/>
      <c r="AD2004" s="58"/>
      <c r="AE2004" s="58"/>
      <c r="AF2004" s="58"/>
      <c r="AG2004" s="58"/>
      <c r="AH2004" s="58"/>
      <c r="AI2004" s="58"/>
      <c r="AJ2004" s="58"/>
      <c r="AK2004" s="58"/>
      <c r="AL2004" s="58"/>
      <c r="AM2004" s="58"/>
      <c r="AN2004" s="58"/>
      <c r="AO2004" s="58"/>
      <c r="AP2004" s="58"/>
      <c r="AQ2004" s="58"/>
      <c r="AR2004" s="58"/>
      <c r="AS2004" s="58"/>
      <c r="AT2004" s="58"/>
      <c r="AU2004" s="58"/>
      <c r="AV2004" s="58"/>
      <c r="AW2004" s="58"/>
      <c r="AX2004" s="58"/>
      <c r="AY2004" s="58"/>
      <c r="AZ2004" s="58"/>
      <c r="BA2004" s="58"/>
      <c r="BB2004" s="58"/>
      <c r="BC2004" s="58"/>
      <c r="BD2004" s="58"/>
      <c r="BE2004" s="58"/>
      <c r="BF2004" s="58"/>
      <c r="BG2004" s="58"/>
      <c r="BH2004" s="58"/>
      <c r="BI2004" s="30"/>
      <c r="BJ2004" s="30"/>
      <c r="BK2004" s="30"/>
      <c r="BL2004" s="58"/>
      <c r="BM2004" s="58"/>
      <c r="BN2004" s="58"/>
      <c r="BO2004" s="58"/>
      <c r="BP2004" s="58"/>
      <c r="BQ2004" s="58"/>
      <c r="BR2004" s="58"/>
      <c r="BS2004" s="58"/>
      <c r="BT2004" s="58"/>
      <c r="BU2004" s="58"/>
      <c r="BV2004" s="58"/>
      <c r="BW2004" s="58"/>
      <c r="BX2004" s="58"/>
      <c r="BY2004" s="58"/>
      <c r="BZ2004" s="58"/>
    </row>
    <row r="2005" spans="1:78" s="28" customFormat="1" ht="12.75" customHeight="1" thickBot="1" x14ac:dyDescent="0.25">
      <c r="A2005" s="782"/>
      <c r="B2005" s="1312"/>
      <c r="C2005" s="486"/>
      <c r="D2005" s="178"/>
      <c r="E2005" s="487"/>
      <c r="F2005" s="486"/>
      <c r="G2005" s="478"/>
      <c r="H2005" s="478"/>
      <c r="I2005" s="478"/>
      <c r="J2005" s="478"/>
      <c r="K2005" s="486"/>
      <c r="L2005" s="478"/>
      <c r="M2005" s="478"/>
      <c r="N2005" s="478"/>
      <c r="O2005" s="1313"/>
      <c r="P2005" s="485"/>
      <c r="Q2005" s="485"/>
      <c r="R2005" s="485"/>
      <c r="S2005" s="23"/>
      <c r="T2005" s="27" t="str">
        <f>IF(ISBLANK(E2006),"",MATCH(E2006,CNTR_SourceStreamNames,0))</f>
        <v/>
      </c>
      <c r="U2005" s="609" t="str">
        <f>IF(ISBLANK(E2006),"",INDEX(B_InstallationDescription!$D$71:$D$145,MATCH(E2006,CNTR_SourceStreamNames,0)))</f>
        <v/>
      </c>
      <c r="V2005" s="76"/>
      <c r="W2005" s="56"/>
      <c r="X2005" s="56"/>
      <c r="Y2005" s="56"/>
      <c r="Z2005" s="58"/>
      <c r="AA2005" s="58"/>
      <c r="AB2005" s="58"/>
      <c r="AC2005" s="58"/>
      <c r="AD2005" s="58"/>
      <c r="AE2005" s="58"/>
      <c r="AF2005" s="58"/>
      <c r="AG2005" s="58"/>
      <c r="AH2005" s="58"/>
      <c r="AI2005" s="58"/>
      <c r="AJ2005" s="58"/>
      <c r="AK2005" s="482"/>
      <c r="AL2005" s="58"/>
      <c r="AM2005" s="58"/>
      <c r="AN2005" s="58"/>
      <c r="AO2005" s="58"/>
      <c r="AP2005" s="58"/>
      <c r="AQ2005" s="58"/>
      <c r="AR2005" s="58"/>
      <c r="AS2005" s="58"/>
      <c r="AT2005" s="58"/>
      <c r="AU2005" s="58"/>
      <c r="AV2005" s="58"/>
      <c r="AW2005" s="58"/>
      <c r="AX2005" s="58"/>
      <c r="AY2005" s="58"/>
      <c r="AZ2005" s="58"/>
      <c r="BA2005" s="58"/>
      <c r="BB2005" s="58"/>
      <c r="BC2005" s="58"/>
      <c r="BD2005" s="58"/>
      <c r="BE2005" s="58"/>
      <c r="BF2005" s="58"/>
      <c r="BG2005" s="58"/>
      <c r="BH2005" s="56"/>
      <c r="BI2005" s="56"/>
      <c r="BJ2005" s="56"/>
      <c r="BK2005" s="56"/>
      <c r="BL2005" s="56"/>
      <c r="BM2005" s="56"/>
      <c r="BN2005" s="56"/>
      <c r="BO2005" s="56"/>
      <c r="BP2005" s="56"/>
      <c r="BQ2005" s="56"/>
      <c r="BR2005" s="56"/>
      <c r="BS2005" s="56"/>
      <c r="BT2005" s="56"/>
      <c r="BU2005" s="56"/>
      <c r="BV2005" s="56"/>
      <c r="BW2005" s="56"/>
      <c r="BX2005" s="56"/>
      <c r="BY2005" s="56"/>
      <c r="BZ2005" s="484" t="s">
        <v>259</v>
      </c>
    </row>
    <row r="2006" spans="1:78" s="140" customFormat="1" ht="15" customHeight="1" thickBot="1" x14ac:dyDescent="0.25">
      <c r="A2006" s="1302" t="str">
        <f>IF(E2006="","","PRINT")</f>
        <v/>
      </c>
      <c r="B2006" s="1248"/>
      <c r="C2006" s="608">
        <f>C1979+1</f>
        <v>73</v>
      </c>
      <c r="D2006" s="164"/>
      <c r="E2006" s="1610"/>
      <c r="F2006" s="1611"/>
      <c r="G2006" s="1611"/>
      <c r="H2006" s="1611"/>
      <c r="I2006" s="1611"/>
      <c r="J2006" s="1612"/>
      <c r="K2006" s="1623" t="str">
        <f>IF(E2007="","",INDEX(EUwideConstants!$F$353:$F$394,MATCH(E2007,EUConst_TierActivityListNames,0)))</f>
        <v/>
      </c>
      <c r="L2006" s="1624"/>
      <c r="M2006" s="494" t="str">
        <f>Translations!$B$665</f>
        <v>CO2, iškastinio kuro kilmės:</v>
      </c>
      <c r="N2006" s="1012" t="str">
        <f>IF(OR(K2006="",T2007=TRUE),"",INDEX(BC2020:BE2020,MATCH(K2006,BC2016:BE2016,0)))</f>
        <v/>
      </c>
      <c r="O2006" s="1314" t="s">
        <v>257</v>
      </c>
      <c r="P2006" s="1303" t="str">
        <f>IF(AND(E2006&lt;&gt;"",COUNTIF(P2007:$P$2089,"PRINT")=0),"PRINT","")</f>
        <v/>
      </c>
      <c r="Q2006" s="343" t="str">
        <f>EUconst_SumCO2 &amp; "_" &amp; K2006</f>
        <v>SUM_CO2_</v>
      </c>
      <c r="R2006" s="485"/>
      <c r="S2006" s="23"/>
      <c r="T2006" s="500" t="s">
        <v>387</v>
      </c>
      <c r="U2006" s="23"/>
      <c r="V2006" s="76"/>
      <c r="W2006" s="56"/>
      <c r="X2006" s="58"/>
      <c r="Y2006" s="58"/>
      <c r="Z2006" s="58"/>
      <c r="AA2006" s="58"/>
      <c r="AB2006" s="58"/>
      <c r="AC2006" s="58"/>
      <c r="AD2006" s="58"/>
      <c r="AE2006" s="58"/>
      <c r="AF2006" s="58"/>
      <c r="AG2006" s="58"/>
      <c r="AH2006" s="58"/>
      <c r="AI2006" s="333"/>
      <c r="AJ2006" s="333"/>
      <c r="AK2006" s="333"/>
      <c r="AL2006" s="333"/>
      <c r="AM2006" s="333"/>
      <c r="AN2006" s="333"/>
      <c r="AO2006" s="333"/>
      <c r="AP2006" s="333"/>
      <c r="AQ2006" s="333"/>
      <c r="AR2006" s="333"/>
      <c r="AS2006" s="333"/>
      <c r="AT2006" s="333"/>
      <c r="AU2006" s="333"/>
      <c r="AV2006" s="333"/>
      <c r="AW2006" s="333"/>
      <c r="AX2006" s="333"/>
      <c r="AY2006" s="333"/>
      <c r="AZ2006" s="333"/>
      <c r="BA2006" s="333"/>
      <c r="BB2006" s="333"/>
      <c r="BC2006" s="333"/>
      <c r="BD2006" s="333"/>
      <c r="BE2006" s="333"/>
      <c r="BF2006" s="333"/>
      <c r="BG2006" s="333"/>
      <c r="BH2006" s="834">
        <f>AR2016</f>
        <v>0</v>
      </c>
      <c r="BI2006" s="834" t="str">
        <f>AJ2016</f>
        <v/>
      </c>
      <c r="BJ2006" s="834">
        <f>AR2018</f>
        <v>0</v>
      </c>
      <c r="BK2006" s="834" t="str">
        <f>AJ2018</f>
        <v/>
      </c>
      <c r="BL2006" s="834">
        <f>AR2019</f>
        <v>0</v>
      </c>
      <c r="BM2006" s="834" t="str">
        <f>AJ2019</f>
        <v/>
      </c>
      <c r="BN2006" s="834">
        <f>AR2020</f>
        <v>1</v>
      </c>
      <c r="BO2006" s="834">
        <f>AR2021</f>
        <v>1</v>
      </c>
      <c r="BP2006" s="834">
        <f>AR2022</f>
        <v>0</v>
      </c>
      <c r="BQ2006" s="834" t="str">
        <f>AJ2022</f>
        <v/>
      </c>
      <c r="BR2006" s="834">
        <f>AR2023</f>
        <v>0</v>
      </c>
      <c r="BS2006" s="834">
        <f>AR2024</f>
        <v>0</v>
      </c>
      <c r="BT2006" s="834" t="str">
        <f>N2006</f>
        <v/>
      </c>
      <c r="BU2006" s="834" t="str">
        <f>N2007</f>
        <v/>
      </c>
      <c r="BV2006" s="834" t="str">
        <f>R2009</f>
        <v/>
      </c>
      <c r="BW2006" s="834" t="str">
        <f>R2015</f>
        <v/>
      </c>
      <c r="BX2006" s="834" t="str">
        <f>R2016</f>
        <v/>
      </c>
      <c r="BY2006" s="56"/>
      <c r="BZ2006" s="610" t="b">
        <f>CNTR_CalcRelevant=EUconst_NotRelevant</f>
        <v>0</v>
      </c>
    </row>
    <row r="2007" spans="1:78" s="140" customFormat="1" ht="15" customHeight="1" thickBot="1" x14ac:dyDescent="0.25">
      <c r="A2007" s="777"/>
      <c r="B2007" s="1248"/>
      <c r="C2007" s="164"/>
      <c r="D2007" s="164"/>
      <c r="E2007" s="1625" t="str">
        <f>IF(ISBLANK(E2006),"",IF(INDEX(B_InstallationDescription!$E$71:$E$145,MATCH(U2005,B_InstallationDescription!$D$71:$D$145,0))&gt;0,INDEX(B_InstallationDescription!$E$71:$E$145,MATCH(U2005,B_InstallationDescription!$D$71:$D$145,0)),""))</f>
        <v/>
      </c>
      <c r="F2007" s="1626"/>
      <c r="G2007" s="1626"/>
      <c r="H2007" s="1626"/>
      <c r="I2007" s="1626"/>
      <c r="J2007" s="1627"/>
      <c r="M2007" s="337" t="str">
        <f>Translations!$B$666</f>
        <v>CO2, biomasės kilmės.:</v>
      </c>
      <c r="N2007" s="1013" t="str">
        <f>IF(OR(K2006="",T2007=TRUE),"",INDEX(BC2019:BE2019,MATCH(K2006,BC2016:BE2016,0)))</f>
        <v/>
      </c>
      <c r="O2007" s="1315" t="s">
        <v>257</v>
      </c>
      <c r="P2007" s="485"/>
      <c r="Q2007" s="343" t="str">
        <f>EUconst_SumBioCO2 &amp; "_" &amp; K2006</f>
        <v>SUM_bioCO2_</v>
      </c>
      <c r="R2007" s="485"/>
      <c r="S2007" s="23"/>
      <c r="T2007" s="48" t="str">
        <f>IF(E2007="","",MATCH(E2007,EUConst_TierActivityListNames,0)&gt;40)</f>
        <v/>
      </c>
      <c r="U2007" s="23"/>
      <c r="V2007" s="76"/>
      <c r="W2007" s="56"/>
      <c r="X2007" s="58"/>
      <c r="Y2007" s="27" t="s">
        <v>91</v>
      </c>
      <c r="Z2007" s="30"/>
      <c r="AA2007" s="30"/>
      <c r="AB2007" s="30"/>
      <c r="AC2007" s="30"/>
      <c r="AD2007" s="30"/>
      <c r="AE2007" s="27" t="s">
        <v>297</v>
      </c>
      <c r="AF2007" s="58"/>
      <c r="AG2007" s="495"/>
      <c r="AH2007" s="30"/>
      <c r="AI2007" s="30"/>
      <c r="AJ2007" s="495"/>
      <c r="AK2007" s="495"/>
      <c r="AL2007" s="333"/>
      <c r="AM2007" s="27" t="s">
        <v>303</v>
      </c>
      <c r="AN2007" s="496"/>
      <c r="AO2007" s="496"/>
      <c r="AP2007" s="30"/>
      <c r="AQ2007" s="30"/>
      <c r="AR2007" s="30"/>
      <c r="AS2007" s="30"/>
      <c r="AT2007" s="30"/>
      <c r="AU2007" s="30"/>
      <c r="AV2007" s="27" t="s">
        <v>310</v>
      </c>
      <c r="AW2007" s="30"/>
      <c r="AX2007" s="483"/>
      <c r="AY2007" s="30"/>
      <c r="AZ2007" s="30"/>
      <c r="BA2007" s="30"/>
      <c r="BB2007" s="27" t="s">
        <v>217</v>
      </c>
      <c r="BC2007" s="30"/>
      <c r="BD2007" s="30"/>
      <c r="BE2007" s="30"/>
      <c r="BF2007" s="30"/>
      <c r="BG2007" s="27" t="s">
        <v>486</v>
      </c>
      <c r="BH2007" s="833" t="s">
        <v>552</v>
      </c>
      <c r="BI2007" s="833" t="s">
        <v>487</v>
      </c>
      <c r="BJ2007" s="833" t="s">
        <v>211</v>
      </c>
      <c r="BK2007" s="833" t="s">
        <v>488</v>
      </c>
      <c r="BL2007" s="833" t="s">
        <v>68</v>
      </c>
      <c r="BM2007" s="833" t="s">
        <v>489</v>
      </c>
      <c r="BN2007" s="833" t="s">
        <v>490</v>
      </c>
      <c r="BO2007" s="833" t="s">
        <v>491</v>
      </c>
      <c r="BP2007" s="833" t="s">
        <v>214</v>
      </c>
      <c r="BQ2007" s="833" t="s">
        <v>492</v>
      </c>
      <c r="BR2007" s="833" t="s">
        <v>493</v>
      </c>
      <c r="BS2007" s="833" t="s">
        <v>494</v>
      </c>
      <c r="BT2007" s="833" t="s">
        <v>287</v>
      </c>
      <c r="BU2007" s="833" t="s">
        <v>495</v>
      </c>
      <c r="BV2007" s="833" t="s">
        <v>498</v>
      </c>
      <c r="BW2007" s="833" t="s">
        <v>496</v>
      </c>
      <c r="BX2007" s="833" t="s">
        <v>497</v>
      </c>
      <c r="BY2007" s="30"/>
      <c r="BZ2007" s="30"/>
    </row>
    <row r="2008" spans="1:78" s="140" customFormat="1" ht="5.0999999999999996" customHeight="1" thickBot="1" x14ac:dyDescent="0.25">
      <c r="A2008" s="777"/>
      <c r="B2008" s="1248"/>
      <c r="C2008" s="164"/>
      <c r="D2008" s="164"/>
      <c r="E2008" s="164"/>
      <c r="F2008" s="164"/>
      <c r="G2008" s="164"/>
      <c r="M2008" s="141"/>
      <c r="N2008" s="141"/>
      <c r="O2008" s="1305"/>
      <c r="P2008" s="33"/>
      <c r="Q2008" s="33"/>
      <c r="R2008" s="33"/>
      <c r="S2008" s="23"/>
      <c r="T2008" s="23"/>
      <c r="U2008" s="23"/>
      <c r="V2008" s="76"/>
      <c r="W2008" s="30"/>
      <c r="X2008" s="30"/>
      <c r="Y2008" s="485"/>
      <c r="Z2008" s="30"/>
      <c r="AA2008" s="30"/>
      <c r="AB2008" s="30"/>
      <c r="AC2008" s="30"/>
      <c r="AD2008" s="30"/>
      <c r="AE2008" s="30"/>
      <c r="AF2008" s="58"/>
      <c r="AG2008" s="30"/>
      <c r="AH2008" s="30"/>
      <c r="AI2008" s="30"/>
      <c r="AJ2008" s="495"/>
      <c r="AK2008" s="495"/>
      <c r="AL2008" s="333"/>
      <c r="AM2008" s="30"/>
      <c r="AN2008" s="30"/>
      <c r="AO2008" s="30"/>
      <c r="AP2008" s="30"/>
      <c r="AQ2008" s="30"/>
      <c r="AR2008" s="30"/>
      <c r="AS2008" s="30"/>
      <c r="AT2008" s="30"/>
      <c r="AU2008" s="30"/>
      <c r="AV2008" s="30"/>
      <c r="AW2008" s="30"/>
      <c r="AX2008" s="30"/>
      <c r="AY2008" s="30"/>
      <c r="AZ2008" s="30"/>
      <c r="BA2008" s="30"/>
      <c r="BB2008" s="30"/>
      <c r="BC2008" s="30"/>
      <c r="BD2008" s="30"/>
      <c r="BE2008" s="30"/>
      <c r="BF2008" s="30"/>
      <c r="BG2008" s="30"/>
      <c r="BH2008" s="30"/>
      <c r="BI2008" s="30"/>
      <c r="BJ2008" s="30"/>
      <c r="BK2008" s="30"/>
      <c r="BL2008" s="30"/>
      <c r="BM2008" s="30"/>
      <c r="BN2008" s="30"/>
      <c r="BO2008" s="30"/>
      <c r="BP2008" s="30"/>
      <c r="BQ2008" s="30"/>
      <c r="BR2008" s="30"/>
      <c r="BS2008" s="30"/>
      <c r="BT2008" s="30"/>
      <c r="BU2008" s="30"/>
      <c r="BV2008" s="30"/>
      <c r="BW2008" s="30"/>
      <c r="BX2008" s="30"/>
      <c r="BY2008" s="30"/>
      <c r="BZ2008" s="30"/>
    </row>
    <row r="2009" spans="1:78" s="140" customFormat="1" ht="12.75" customHeight="1" thickBot="1" x14ac:dyDescent="0.25">
      <c r="A2009" s="777"/>
      <c r="B2009" s="1248"/>
      <c r="C2009" s="164"/>
      <c r="D2009" s="164"/>
      <c r="E2009" s="1628" t="str">
        <f>IF(E2006="","",IF(T2007=TRUE,HYPERLINK("#JUMP_14",EUconst_MsgGoOnPFC),HYPERLINK("#JUMP_E_8",EUconst_FurtherGuidancePoint1)))</f>
        <v/>
      </c>
      <c r="F2009" s="1628"/>
      <c r="G2009" s="1628"/>
      <c r="H2009" s="1628"/>
      <c r="I2009" s="1628"/>
      <c r="J2009" s="1628"/>
      <c r="K2009" s="1628"/>
      <c r="L2009" s="1628"/>
      <c r="M2009" s="1628"/>
      <c r="N2009" s="141"/>
      <c r="O2009" s="1305"/>
      <c r="P2009" s="33"/>
      <c r="Q2009" s="343" t="str">
        <f>EUconst_SumNonSustBioCO2 &amp; "_" &amp; K2006</f>
        <v>SUM_bioNonSustCO2_</v>
      </c>
      <c r="R2009" s="698" t="str">
        <f>IF(OR(K2006="",T2007=TRUE),"",ROUND(INDEX(BC2018:BE2018,MATCH(K2006,BC2016:BE2016,0)),0))</f>
        <v/>
      </c>
      <c r="S2009" s="23"/>
      <c r="T2009" s="23"/>
      <c r="U2009" s="23"/>
      <c r="V2009" s="30"/>
      <c r="W2009" s="30"/>
      <c r="X2009" s="30"/>
      <c r="Y2009" s="58"/>
      <c r="Z2009" s="30"/>
      <c r="AA2009" s="30"/>
      <c r="AB2009" s="30"/>
      <c r="AC2009" s="30"/>
      <c r="AD2009" s="30"/>
      <c r="AE2009" s="30"/>
      <c r="AF2009" s="58"/>
      <c r="AG2009" s="30"/>
      <c r="AH2009" s="30"/>
      <c r="AI2009" s="30"/>
      <c r="AJ2009" s="495"/>
      <c r="AK2009" s="495"/>
      <c r="AL2009" s="333"/>
      <c r="AM2009" s="30"/>
      <c r="AN2009" s="30"/>
      <c r="AO2009" s="30"/>
      <c r="AP2009" s="30"/>
      <c r="AQ2009" s="30"/>
      <c r="AR2009" s="30"/>
      <c r="AS2009" s="30"/>
      <c r="AT2009" s="30"/>
      <c r="AU2009" s="30"/>
      <c r="AV2009" s="30"/>
      <c r="AW2009" s="30"/>
      <c r="AX2009" s="30"/>
      <c r="AY2009" s="30"/>
      <c r="AZ2009" s="30"/>
      <c r="BA2009" s="30"/>
      <c r="BB2009" s="30"/>
      <c r="BC2009" s="30"/>
      <c r="BD2009" s="30"/>
      <c r="BE2009" s="30"/>
      <c r="BF2009" s="30"/>
      <c r="BG2009" s="30"/>
      <c r="BH2009" s="30"/>
      <c r="BI2009" s="30"/>
      <c r="BJ2009" s="30"/>
      <c r="BK2009" s="30"/>
      <c r="BL2009" s="30"/>
      <c r="BM2009" s="30"/>
      <c r="BN2009" s="30"/>
      <c r="BO2009" s="30"/>
      <c r="BP2009" s="30"/>
      <c r="BQ2009" s="30"/>
      <c r="BR2009" s="30"/>
      <c r="BS2009" s="30"/>
      <c r="BT2009" s="30"/>
      <c r="BU2009" s="30"/>
      <c r="BV2009" s="30"/>
      <c r="BW2009" s="30"/>
      <c r="BX2009" s="30"/>
      <c r="BY2009" s="30"/>
      <c r="BZ2009" s="30"/>
    </row>
    <row r="2010" spans="1:78" s="140" customFormat="1" ht="5.0999999999999996" customHeight="1" thickBot="1" x14ac:dyDescent="0.25">
      <c r="A2010" s="777"/>
      <c r="B2010" s="1248"/>
      <c r="C2010" s="164"/>
      <c r="D2010" s="164"/>
      <c r="E2010" s="164"/>
      <c r="F2010" s="164"/>
      <c r="G2010" s="164"/>
      <c r="M2010" s="141"/>
      <c r="N2010" s="141"/>
      <c r="O2010" s="1305"/>
      <c r="P2010" s="23"/>
      <c r="Q2010" s="23"/>
      <c r="R2010" s="23"/>
      <c r="S2010" s="23"/>
      <c r="T2010" s="23"/>
      <c r="U2010" s="23"/>
      <c r="V2010" s="30"/>
      <c r="W2010" s="30"/>
      <c r="X2010" s="30"/>
      <c r="Y2010" s="485"/>
      <c r="Z2010" s="30"/>
      <c r="AA2010" s="30"/>
      <c r="AB2010" s="30"/>
      <c r="AC2010" s="30"/>
      <c r="AD2010" s="30"/>
      <c r="AE2010" s="30"/>
      <c r="AF2010" s="58"/>
      <c r="AG2010" s="30"/>
      <c r="AH2010" s="30"/>
      <c r="AI2010" s="30"/>
      <c r="AJ2010" s="495"/>
      <c r="AK2010" s="495"/>
      <c r="AL2010" s="333"/>
      <c r="AM2010" s="30"/>
      <c r="AN2010" s="30"/>
      <c r="AO2010" s="30"/>
      <c r="AP2010" s="30"/>
      <c r="AQ2010" s="30"/>
      <c r="AR2010" s="30"/>
      <c r="AS2010" s="30"/>
      <c r="AT2010" s="30"/>
      <c r="AU2010" s="30"/>
      <c r="AV2010" s="30"/>
      <c r="AW2010" s="30"/>
      <c r="AX2010" s="30"/>
      <c r="AY2010" s="30"/>
      <c r="AZ2010" s="30"/>
      <c r="BA2010" s="30"/>
      <c r="BB2010" s="30"/>
      <c r="BC2010" s="30"/>
      <c r="BD2010" s="30"/>
      <c r="BE2010" s="30"/>
      <c r="BF2010" s="30"/>
      <c r="BG2010" s="30"/>
      <c r="BH2010" s="30"/>
      <c r="BI2010" s="30"/>
      <c r="BJ2010" s="30"/>
      <c r="BK2010" s="30"/>
      <c r="BL2010" s="30"/>
      <c r="BM2010" s="30"/>
      <c r="BN2010" s="30"/>
      <c r="BO2010" s="30"/>
      <c r="BP2010" s="30"/>
      <c r="BQ2010" s="30"/>
      <c r="BR2010" s="30"/>
      <c r="BS2010" s="30"/>
      <c r="BT2010" s="30"/>
      <c r="BU2010" s="30"/>
      <c r="BV2010" s="30"/>
      <c r="BW2010" s="30"/>
      <c r="BX2010" s="30"/>
      <c r="BY2010" s="30"/>
      <c r="BZ2010" s="30"/>
    </row>
    <row r="2011" spans="1:78" s="140" customFormat="1" ht="12.75" customHeight="1" thickBot="1" x14ac:dyDescent="0.25">
      <c r="A2011" s="777"/>
      <c r="B2011" s="1248"/>
      <c r="C2011" s="783" t="s">
        <v>4</v>
      </c>
      <c r="D2011" s="503" t="str">
        <f>Translations!$B$622</f>
        <v>VD:</v>
      </c>
      <c r="E2011" s="1631" t="str">
        <f>Translations!$B$667</f>
        <v>Ar veiklos duomenys gaunami sudedant išmatuotus kiekius (t. y. ne atliekant nuolatinius matavimus)?</v>
      </c>
      <c r="F2011" s="1631"/>
      <c r="G2011" s="1631"/>
      <c r="H2011" s="1631"/>
      <c r="I2011" s="1631"/>
      <c r="J2011" s="1631"/>
      <c r="K2011" s="1631"/>
      <c r="L2011" s="1122"/>
      <c r="M2011" s="498"/>
      <c r="O2011" s="1305"/>
      <c r="P2011" s="23"/>
      <c r="Q2011" s="23"/>
      <c r="R2011" s="23"/>
      <c r="S2011" s="23"/>
      <c r="T2011" s="23"/>
      <c r="U2011" s="23"/>
      <c r="V2011" s="30"/>
      <c r="W2011" s="30"/>
      <c r="X2011" s="30"/>
      <c r="Y2011" s="485"/>
      <c r="Z2011" s="30"/>
      <c r="AA2011" s="30"/>
      <c r="AB2011" s="30"/>
      <c r="AC2011" s="1115" t="b">
        <f>AND(E2006&lt;&gt;"",T2007&lt;&gt;TRUE)</f>
        <v>0</v>
      </c>
      <c r="AD2011" s="30"/>
      <c r="AE2011" s="30"/>
      <c r="AF2011" s="58"/>
      <c r="AG2011" s="30"/>
      <c r="AH2011" s="30"/>
      <c r="AI2011" s="30"/>
      <c r="AJ2011" s="495"/>
      <c r="AK2011" s="495"/>
      <c r="AL2011" s="333"/>
      <c r="AM2011" s="30"/>
      <c r="AN2011" s="30"/>
      <c r="AO2011" s="30"/>
      <c r="AP2011" s="30"/>
      <c r="AQ2011" s="30"/>
      <c r="AR2011" s="30"/>
      <c r="AS2011" s="30"/>
      <c r="AT2011" s="1115" t="b">
        <f>MSPara_BatchReportingMandatory&lt;&gt;TRUE</f>
        <v>0</v>
      </c>
      <c r="AU2011" s="30"/>
      <c r="AV2011" s="30"/>
      <c r="AW2011" s="30"/>
      <c r="AX2011" s="30"/>
      <c r="AY2011" s="30"/>
      <c r="AZ2011" s="30"/>
      <c r="BA2011" s="30"/>
      <c r="BB2011" s="30"/>
      <c r="BC2011" s="30"/>
      <c r="BD2011" s="30"/>
      <c r="BE2011" s="30"/>
      <c r="BF2011" s="30"/>
      <c r="BG2011" s="30"/>
      <c r="BH2011" s="30"/>
      <c r="BI2011" s="30"/>
      <c r="BJ2011" s="30"/>
      <c r="BK2011" s="30"/>
      <c r="BL2011" s="30"/>
      <c r="BM2011" s="30"/>
      <c r="BN2011" s="30"/>
      <c r="BO2011" s="30"/>
      <c r="BP2011" s="30"/>
      <c r="BQ2011" s="30"/>
      <c r="BR2011" s="30"/>
      <c r="BS2011" s="30"/>
      <c r="BT2011" s="30"/>
      <c r="BU2011" s="30"/>
      <c r="BV2011" s="30"/>
      <c r="BW2011" s="30"/>
      <c r="BX2011" s="30"/>
      <c r="BY2011" s="30"/>
      <c r="BZ2011" s="1115" t="b">
        <f>OR(CNTR_CalcRelevant=EUconst_NotRelevant,AND(COUNTA(CNTR_ListRelevantSections)&gt;0,OR(T2007=TRUE,E2006="")))</f>
        <v>1</v>
      </c>
    </row>
    <row r="2012" spans="1:78" s="140" customFormat="1" ht="5.0999999999999996" customHeight="1" thickBot="1" x14ac:dyDescent="0.25">
      <c r="A2012" s="777"/>
      <c r="B2012" s="1248"/>
      <c r="C2012" s="164"/>
      <c r="D2012" s="164"/>
      <c r="E2012" s="164"/>
      <c r="F2012" s="164"/>
      <c r="G2012" s="164"/>
      <c r="H2012" s="486"/>
      <c r="I2012" s="486"/>
      <c r="J2012" s="486"/>
      <c r="K2012" s="486"/>
      <c r="L2012" s="486"/>
      <c r="M2012" s="498"/>
      <c r="O2012" s="1305"/>
      <c r="P2012" s="23"/>
      <c r="Q2012" s="23"/>
      <c r="R2012" s="23"/>
      <c r="S2012" s="23"/>
      <c r="T2012" s="23"/>
      <c r="U2012" s="23"/>
      <c r="V2012" s="30"/>
      <c r="W2012" s="30"/>
      <c r="X2012" s="30"/>
      <c r="Y2012" s="485"/>
      <c r="Z2012" s="30"/>
      <c r="AA2012" s="30"/>
      <c r="AB2012" s="30"/>
      <c r="AC2012" s="483"/>
      <c r="AD2012" s="30"/>
      <c r="AE2012" s="30"/>
      <c r="AF2012" s="58"/>
      <c r="AG2012" s="30"/>
      <c r="AH2012" s="30"/>
      <c r="AI2012" s="30"/>
      <c r="AJ2012" s="495"/>
      <c r="AK2012" s="495"/>
      <c r="AL2012" s="333"/>
      <c r="AM2012" s="30"/>
      <c r="AN2012" s="30"/>
      <c r="AO2012" s="30"/>
      <c r="AP2012" s="30"/>
      <c r="AQ2012" s="30"/>
      <c r="AR2012" s="30"/>
      <c r="AS2012" s="30"/>
      <c r="AT2012" s="483"/>
      <c r="AU2012" s="30"/>
      <c r="AV2012" s="30"/>
      <c r="AW2012" s="30"/>
      <c r="AX2012" s="30"/>
      <c r="AY2012" s="30"/>
      <c r="AZ2012" s="30"/>
      <c r="BA2012" s="30"/>
      <c r="BB2012" s="30"/>
      <c r="BC2012" s="30"/>
      <c r="BD2012" s="30"/>
      <c r="BE2012" s="30"/>
      <c r="BF2012" s="30"/>
      <c r="BG2012" s="30"/>
      <c r="BH2012" s="30"/>
      <c r="BI2012" s="30"/>
      <c r="BJ2012" s="30"/>
      <c r="BK2012" s="30"/>
      <c r="BL2012" s="30"/>
      <c r="BM2012" s="30"/>
      <c r="BN2012" s="30"/>
      <c r="BO2012" s="30"/>
      <c r="BP2012" s="30"/>
      <c r="BQ2012" s="30"/>
      <c r="BR2012" s="30"/>
      <c r="BS2012" s="30"/>
      <c r="BT2012" s="30"/>
      <c r="BU2012" s="30"/>
      <c r="BV2012" s="30"/>
      <c r="BW2012" s="30"/>
      <c r="BX2012" s="30"/>
      <c r="BY2012" s="30"/>
      <c r="BZ2012" s="483"/>
    </row>
    <row r="2013" spans="1:78" s="140" customFormat="1" ht="12.75" customHeight="1" thickBot="1" x14ac:dyDescent="0.25">
      <c r="A2013" s="777"/>
      <c r="B2013" s="1248"/>
      <c r="C2013" s="783" t="s">
        <v>5</v>
      </c>
      <c r="D2013" s="503" t="str">
        <f>Translations!$B$622</f>
        <v>VD:</v>
      </c>
      <c r="E2013" s="1105" t="str">
        <f>Translations!$B$668</f>
        <v>Pradinis kiekis:</v>
      </c>
      <c r="F2013" s="1123"/>
      <c r="G2013" s="1106" t="str">
        <f>Translations!$B$669</f>
        <v>Galutinis kiekis:</v>
      </c>
      <c r="H2013" s="1123"/>
      <c r="I2013" s="1106" t="str">
        <f>Translations!$B$670</f>
        <v>Įsigytas kiekis:</v>
      </c>
      <c r="J2013" s="1123"/>
      <c r="K2013" s="1106" t="str">
        <f>Translations!$B$671</f>
        <v>Perduotas kiekis:</v>
      </c>
      <c r="L2013" s="1123"/>
      <c r="M2013" s="1107" t="str">
        <f>IF(AND(L2011=TRUE,COUNT(F2013,H2013,J2013,L2013)&lt;4),EUconst_ERR_Incomplete,"")</f>
        <v/>
      </c>
      <c r="O2013" s="1305"/>
      <c r="P2013" s="23"/>
      <c r="Q2013" s="23"/>
      <c r="R2013" s="23"/>
      <c r="S2013" s="23"/>
      <c r="T2013" s="23"/>
      <c r="U2013" s="23"/>
      <c r="V2013" s="30"/>
      <c r="W2013" s="30"/>
      <c r="X2013" s="30"/>
      <c r="Y2013" s="485"/>
      <c r="Z2013" s="30"/>
      <c r="AA2013" s="30"/>
      <c r="AB2013" s="30"/>
      <c r="AC2013" s="1115" t="b">
        <f>AC2011</f>
        <v>0</v>
      </c>
      <c r="AD2013" s="30"/>
      <c r="AE2013" s="30"/>
      <c r="AF2013" s="58"/>
      <c r="AG2013" s="30"/>
      <c r="AH2013" s="30"/>
      <c r="AI2013" s="30"/>
      <c r="AJ2013" s="495"/>
      <c r="AK2013" s="495"/>
      <c r="AL2013" s="333"/>
      <c r="AM2013" s="30"/>
      <c r="AN2013" s="30"/>
      <c r="AO2013" s="30"/>
      <c r="AP2013" s="30"/>
      <c r="AQ2013" s="30"/>
      <c r="AR2013" s="30"/>
      <c r="AS2013" s="30"/>
      <c r="AT2013" s="1115" t="b">
        <f>AND(AT2011=TRUE,L2011="")</f>
        <v>0</v>
      </c>
      <c r="AU2013" s="30"/>
      <c r="AV2013" s="30"/>
      <c r="AW2013" s="30"/>
      <c r="AX2013" s="30"/>
      <c r="AY2013" s="30"/>
      <c r="AZ2013" s="30"/>
      <c r="BA2013" s="30"/>
      <c r="BB2013" s="30"/>
      <c r="BC2013" s="30"/>
      <c r="BD2013" s="30"/>
      <c r="BE2013" s="30"/>
      <c r="BF2013" s="30"/>
      <c r="BG2013" s="30"/>
      <c r="BH2013" s="30"/>
      <c r="BI2013" s="30"/>
      <c r="BJ2013" s="30"/>
      <c r="BK2013" s="30"/>
      <c r="BL2013" s="30"/>
      <c r="BM2013" s="30"/>
      <c r="BN2013" s="30"/>
      <c r="BO2013" s="30"/>
      <c r="BP2013" s="30"/>
      <c r="BQ2013" s="30"/>
      <c r="BR2013" s="30"/>
      <c r="BS2013" s="30"/>
      <c r="BT2013" s="30"/>
      <c r="BU2013" s="30"/>
      <c r="BV2013" s="30"/>
      <c r="BW2013" s="30"/>
      <c r="BX2013" s="30"/>
      <c r="BY2013" s="30"/>
      <c r="BZ2013" s="1115" t="b">
        <f>OR(BZ2011,AND(NOT(ISBLANK(L2011)),L2011=FALSE))</f>
        <v>1</v>
      </c>
    </row>
    <row r="2014" spans="1:78" s="140" customFormat="1" ht="5.0999999999999996" customHeight="1" thickBot="1" x14ac:dyDescent="0.25">
      <c r="A2014" s="777"/>
      <c r="B2014" s="1248"/>
      <c r="C2014" s="164"/>
      <c r="D2014" s="164"/>
      <c r="E2014" s="164"/>
      <c r="F2014" s="164"/>
      <c r="G2014" s="164"/>
      <c r="M2014" s="141"/>
      <c r="N2014" s="141"/>
      <c r="O2014" s="1305"/>
      <c r="P2014" s="23"/>
      <c r="Q2014" s="23"/>
      <c r="R2014" s="23"/>
      <c r="S2014" s="23"/>
      <c r="T2014" s="23"/>
      <c r="U2014" s="23"/>
      <c r="V2014" s="30"/>
      <c r="W2014" s="30"/>
      <c r="X2014" s="30"/>
      <c r="Y2014" s="485"/>
      <c r="Z2014" s="30"/>
      <c r="AA2014" s="30"/>
      <c r="AB2014" s="30"/>
      <c r="AC2014" s="30"/>
      <c r="AD2014" s="30"/>
      <c r="AE2014" s="30"/>
      <c r="AF2014" s="58"/>
      <c r="AG2014" s="30"/>
      <c r="AH2014" s="30"/>
      <c r="AI2014" s="30"/>
      <c r="AJ2014" s="495"/>
      <c r="AK2014" s="495"/>
      <c r="AL2014" s="333"/>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30"/>
      <c r="BI2014" s="30"/>
      <c r="BJ2014" s="30"/>
      <c r="BK2014" s="30"/>
      <c r="BL2014" s="30"/>
      <c r="BM2014" s="30"/>
      <c r="BN2014" s="30"/>
      <c r="BO2014" s="30"/>
      <c r="BP2014" s="30"/>
      <c r="BQ2014" s="30"/>
      <c r="BR2014" s="30"/>
      <c r="BS2014" s="30"/>
      <c r="BT2014" s="30"/>
      <c r="BU2014" s="30"/>
      <c r="BV2014" s="30"/>
      <c r="BW2014" s="30"/>
      <c r="BX2014" s="30"/>
      <c r="BY2014" s="30"/>
      <c r="BZ2014" s="30"/>
    </row>
    <row r="2015" spans="1:78" s="140" customFormat="1" ht="12.75" customHeight="1" thickBot="1" x14ac:dyDescent="0.25">
      <c r="A2015" s="777"/>
      <c r="B2015" s="1248"/>
      <c r="C2015" s="164"/>
      <c r="D2015" s="164"/>
      <c r="E2015" s="164"/>
      <c r="F2015" s="497" t="str">
        <f>Translations!$B$333</f>
        <v>Pakopa</v>
      </c>
      <c r="G2015" s="1613" t="str">
        <f>Translations!$B$672</f>
        <v>pakopos aprašas</v>
      </c>
      <c r="H2015" s="1613"/>
      <c r="I2015" s="1608" t="str">
        <f>Translations!$B$158</f>
        <v>Vienetas</v>
      </c>
      <c r="J2015" s="1608"/>
      <c r="K2015" s="1608" t="str">
        <f>Translations!$B$673</f>
        <v>Vertė</v>
      </c>
      <c r="L2015" s="1608"/>
      <c r="M2015" s="498" t="str">
        <f>Translations!$B$610</f>
        <v>klaida</v>
      </c>
      <c r="O2015" s="1305"/>
      <c r="P2015" s="499"/>
      <c r="Q2015" s="343" t="str">
        <f>EUconst_SumEnergyIN &amp; "_" &amp; K2006</f>
        <v>SUM_EnergyIN_</v>
      </c>
      <c r="R2015" s="390" t="str">
        <f>IF(OR(K2006="",T2007)=TRUE,"",INDEX(BC2021:BE2021,MATCH(K2006,BC2016:BE2016,0)))</f>
        <v/>
      </c>
      <c r="S2015" s="30"/>
      <c r="T2015" s="480"/>
      <c r="U2015" s="30"/>
      <c r="V2015" s="500" t="s">
        <v>298</v>
      </c>
      <c r="W2015" s="30"/>
      <c r="X2015" s="30"/>
      <c r="Y2015" s="485" t="s">
        <v>560</v>
      </c>
      <c r="Z2015" s="485" t="s">
        <v>313</v>
      </c>
      <c r="AA2015" s="30"/>
      <c r="AB2015" s="30"/>
      <c r="AC2015" s="496" t="s">
        <v>304</v>
      </c>
      <c r="AD2015" s="30"/>
      <c r="AE2015" s="30"/>
      <c r="AF2015" s="483" t="s">
        <v>300</v>
      </c>
      <c r="AG2015" s="483" t="s">
        <v>301</v>
      </c>
      <c r="AH2015" s="485" t="s">
        <v>299</v>
      </c>
      <c r="AI2015" s="495" t="s">
        <v>302</v>
      </c>
      <c r="AJ2015" s="495" t="s">
        <v>561</v>
      </c>
      <c r="AK2015" s="501" t="s">
        <v>306</v>
      </c>
      <c r="AL2015" s="333"/>
      <c r="AM2015" s="30"/>
      <c r="AN2015" s="483" t="s">
        <v>300</v>
      </c>
      <c r="AO2015" s="483" t="s">
        <v>301</v>
      </c>
      <c r="AP2015" s="502" t="s">
        <v>305</v>
      </c>
      <c r="AQ2015" s="495" t="s">
        <v>563</v>
      </c>
      <c r="AR2015" s="495" t="s">
        <v>562</v>
      </c>
      <c r="AS2015" s="501" t="s">
        <v>599</v>
      </c>
      <c r="AT2015" s="501" t="s">
        <v>599</v>
      </c>
      <c r="AU2015" s="30"/>
      <c r="AV2015" s="483"/>
      <c r="AW2015" s="483"/>
      <c r="AX2015" s="483" t="s">
        <v>316</v>
      </c>
      <c r="AY2015" s="483"/>
      <c r="AZ2015" s="483"/>
      <c r="BA2015" s="483"/>
      <c r="BB2015" s="483"/>
      <c r="BC2015" s="483"/>
      <c r="BD2015" s="483"/>
      <c r="BE2015" s="30"/>
      <c r="BF2015" s="30"/>
      <c r="BG2015" s="30"/>
      <c r="BH2015" s="30"/>
      <c r="BI2015" s="30"/>
      <c r="BJ2015" s="30"/>
      <c r="BK2015" s="30"/>
      <c r="BL2015" s="30"/>
      <c r="BM2015" s="30"/>
      <c r="BN2015" s="30"/>
      <c r="BO2015" s="30"/>
      <c r="BP2015" s="30"/>
      <c r="BQ2015" s="30"/>
      <c r="BR2015" s="30"/>
      <c r="BS2015" s="30"/>
      <c r="BT2015" s="30"/>
      <c r="BU2015" s="30"/>
      <c r="BV2015" s="30"/>
      <c r="BW2015" s="30"/>
      <c r="BX2015" s="30"/>
      <c r="BY2015" s="30"/>
      <c r="BZ2015" s="484" t="s">
        <v>259</v>
      </c>
    </row>
    <row r="2016" spans="1:78" s="140" customFormat="1" ht="12.75" customHeight="1" thickBot="1" x14ac:dyDescent="0.25">
      <c r="A2016" s="777"/>
      <c r="B2016" s="1248"/>
      <c r="C2016" s="753" t="s">
        <v>194</v>
      </c>
      <c r="D2016" s="503" t="str">
        <f>Translations!$B$622</f>
        <v>VD:</v>
      </c>
      <c r="E2016" s="504"/>
      <c r="F2016" s="393"/>
      <c r="G2016" s="1603" t="str">
        <f>IF(OR(ISBLANK(F2016),F2016=EUconst_NoTier),"",IF(Z2016=0,EUconst_NA,IF(ISERROR(Z2016),"",Z2016)))</f>
        <v/>
      </c>
      <c r="H2016" s="1604"/>
      <c r="I2016" s="1108" t="str">
        <f>IF(J2016&lt;&gt;"","",AI2016)</f>
        <v/>
      </c>
      <c r="J2016" s="1109"/>
      <c r="K2016" s="1116" t="str">
        <f>IF(L2016="",AQ2016,"")</f>
        <v/>
      </c>
      <c r="L2016" s="1199"/>
      <c r="M2016" s="700" t="str">
        <f>IF(AND(E2007&lt;&gt;"",OR(F2016="",COUNT(K2016:L2016)=0),Y2016&lt;&gt;EUconst_NA,T2007&lt;&gt;TRUE),EUconst_ERR_Incomplete,IF(COUNTIF(AX2016:AZ2016,TRUE)&gt;0,EUconst_ERR_Inconsistent,""))</f>
        <v/>
      </c>
      <c r="O2016" s="1305"/>
      <c r="P2016" s="635"/>
      <c r="Q2016" s="343" t="str">
        <f>EUconst_SumBioEnergyIN &amp; "_" &amp; K2006</f>
        <v>SUM_BioEnergyIN_</v>
      </c>
      <c r="R2016" s="390" t="str">
        <f>IF(OR(K2006="",T2007)=TRUE,"",INDEX(BC2022:BE2022,MATCH(K2006,BC2016:BE2016,0)))</f>
        <v/>
      </c>
      <c r="S2016" s="30"/>
      <c r="T2016" s="505" t="str">
        <f>EUconst_CNTR_ActivityData&amp;E2007</f>
        <v>ActivityData_</v>
      </c>
      <c r="U2016" s="488"/>
      <c r="V2016" s="505" t="str">
        <f>IF(E2006="","",INDEX(B_InstallationDescription!$I$71:$I$145,MATCH(U2005,B_InstallationDescription!$D$71:$D$145,0)))</f>
        <v/>
      </c>
      <c r="W2016" s="495" t="s">
        <v>533</v>
      </c>
      <c r="X2016" s="488"/>
      <c r="Y2016" s="506" t="str">
        <f>IF(OR(T2007=TRUE,E2007=""),"",INDEX(EUwideConstants!$N:$N,MATCH(T2016,EUwideConstants!$Q:$Q,0)))</f>
        <v/>
      </c>
      <c r="Z2016" s="507" t="str">
        <f>IF(ISBLANK(F2016),"",IF(F2016=EUconst_NA,"",INDEX(EUwideConstants!$H:$M,MATCH(T2016,EUwideConstants!$Q:$Q,0),MATCH(F2016,CNTR_TierList,0))))</f>
        <v/>
      </c>
      <c r="AA2016" s="508" t="s">
        <v>299</v>
      </c>
      <c r="AB2016" s="495"/>
      <c r="AC2016" s="509" t="b">
        <f>AC2011</f>
        <v>0</v>
      </c>
      <c r="AD2016" s="30"/>
      <c r="AE2016" s="510" t="str">
        <f>EUconst_CNTR_ActivityData&amp;EUconst_Unit</f>
        <v>ActivityData_Vienetas</v>
      </c>
      <c r="AF2016" s="511" t="str">
        <f>IF(AC2016=TRUE, IF(COUNTIF(MSPara_SourceStreamCategory,V2016)=0,"",INDEX(MSPara_CalcFactorsMatrix,MATCH(V2016,MSPara_SourceStreamCategory,0),MATCH(AE2016&amp;"_"&amp;2,MSPara_CalcFactors,0))),"")</f>
        <v/>
      </c>
      <c r="AG2016" s="512" t="str">
        <f>IF(AC2016=TRUE, IF(COUNTIF(MSPara_SourceStreamCategory,V2016)=0,"",INDEX(MSPara_CalcFactorsMatrix,MATCH(V2016,MSPara_SourceStreamCategory,0),MATCH(AE2016&amp;"_"&amp;1,MSPara_CalcFactors,0))),"")</f>
        <v/>
      </c>
      <c r="AH2016" s="509" t="str">
        <f>IF(OR(AF2016="",AF2016=EUconst_NA),IF(OR(AG2016=EUconst_NA,AG2016=""),"",AG2016),AF2016)</f>
        <v/>
      </c>
      <c r="AI2016" s="506" t="str">
        <f>IF(AC2016=TRUE,IF(AH2016="",EUconst_t,AH2016),"")</f>
        <v/>
      </c>
      <c r="AJ2016" s="513" t="str">
        <f>IF(J2016="",AI2016,J2016)</f>
        <v/>
      </c>
      <c r="AK2016" s="514" t="b">
        <f>IF(K2006=EUconst_Fuel,J2016&lt;&gt;"",FALSE)</f>
        <v>0</v>
      </c>
      <c r="AL2016" s="333"/>
      <c r="AM2016" s="505" t="str">
        <f>EUconst_CNTR_ActivityData&amp;EUconst_Value</f>
        <v>ActivityData_Vertė</v>
      </c>
      <c r="AN2016" s="496"/>
      <c r="AO2016" s="496"/>
      <c r="AP2016" s="509" t="b">
        <f>AND(AND(AH2016&lt;&gt;"",AJ2016&lt;&gt;""),AJ2016=AH2016)</f>
        <v>0</v>
      </c>
      <c r="AQ2016" s="610" t="str">
        <f>IF(L2011=TRUE,SUM(F2013)-SUM(H2013)+SUM(J2013)-SUM(L2013),"")</f>
        <v/>
      </c>
      <c r="AR2016" s="509">
        <f>IF(Y2016=EUconst_NA,0,IF(COUNT(K2016:L2016)=0,0,IF(L2016="",K2016,L2016)))</f>
        <v>0</v>
      </c>
      <c r="AS2016" s="1115" t="b">
        <f>AND(AC2016=TRUE,OR(L2016&lt;&gt;"",AQ2016=""))</f>
        <v>0</v>
      </c>
      <c r="AT2016" s="1115" t="b">
        <f>AND(AC2016=TRUE,NOT(AS2016))</f>
        <v>0</v>
      </c>
      <c r="AU2016" s="30"/>
      <c r="AV2016" s="483" t="s">
        <v>309</v>
      </c>
      <c r="AW2016" s="483" t="s">
        <v>314</v>
      </c>
      <c r="AX2016" s="515"/>
      <c r="AY2016" s="30" t="s">
        <v>536</v>
      </c>
      <c r="AZ2016" s="30"/>
      <c r="BA2016" s="30"/>
      <c r="BB2016" s="495"/>
      <c r="BC2016" s="484" t="str">
        <f>EUconst_Fuel</f>
        <v>Degimas</v>
      </c>
      <c r="BD2016" s="484" t="str">
        <f>EUconst_ProcessCarbonate</f>
        <v>Proceso metu išsiskiriančios ŠESD</v>
      </c>
      <c r="BE2016" s="484" t="str">
        <f>EUconst_MassBalance</f>
        <v>Masės balansas</v>
      </c>
      <c r="BF2016" s="30"/>
      <c r="BG2016" s="30"/>
      <c r="BH2016" s="30"/>
      <c r="BI2016" s="30"/>
      <c r="BJ2016" s="30"/>
      <c r="BK2016" s="30"/>
      <c r="BL2016" s="30"/>
      <c r="BM2016" s="30"/>
      <c r="BN2016" s="30"/>
      <c r="BO2016" s="30"/>
      <c r="BP2016" s="30"/>
      <c r="BQ2016" s="30"/>
      <c r="BR2016" s="30"/>
      <c r="BS2016" s="30"/>
      <c r="BT2016" s="30"/>
      <c r="BU2016" s="30"/>
      <c r="BV2016" s="30"/>
      <c r="BW2016" s="30"/>
      <c r="BX2016" s="30"/>
      <c r="BY2016" s="30"/>
      <c r="BZ2016" s="515" t="b">
        <f>BZ2011</f>
        <v>1</v>
      </c>
    </row>
    <row r="2017" spans="1:78" s="140" customFormat="1" ht="5.0999999999999996" customHeight="1" thickBot="1" x14ac:dyDescent="0.25">
      <c r="A2017" s="777"/>
      <c r="B2017" s="1248"/>
      <c r="C2017" s="783"/>
      <c r="D2017" s="298"/>
      <c r="F2017" s="141"/>
      <c r="G2017" s="141"/>
      <c r="H2017" s="141" t="s">
        <v>233</v>
      </c>
      <c r="I2017" s="516"/>
      <c r="J2017" s="516"/>
      <c r="K2017" s="141"/>
      <c r="L2017" s="141"/>
      <c r="M2017" s="701"/>
      <c r="O2017" s="1305"/>
      <c r="P2017" s="33"/>
      <c r="Q2017" s="33"/>
      <c r="R2017" s="33"/>
      <c r="S2017" s="30"/>
      <c r="T2017" s="153"/>
      <c r="U2017" s="488"/>
      <c r="V2017" s="30"/>
      <c r="W2017" s="30"/>
      <c r="X2017" s="488"/>
      <c r="Y2017" s="517"/>
      <c r="Z2017" s="30"/>
      <c r="AA2017" s="30"/>
      <c r="AB2017" s="30"/>
      <c r="AC2017" s="30"/>
      <c r="AD2017" s="30"/>
      <c r="AE2017" s="30"/>
      <c r="AF2017" s="30"/>
      <c r="AG2017" s="30"/>
      <c r="AH2017" s="30"/>
      <c r="AI2017" s="30"/>
      <c r="AJ2017" s="30"/>
      <c r="AK2017" s="30"/>
      <c r="AL2017" s="333"/>
      <c r="AM2017" s="30"/>
      <c r="AN2017" s="30"/>
      <c r="AO2017" s="30"/>
      <c r="AP2017" s="30"/>
      <c r="AQ2017" s="30"/>
      <c r="AR2017" s="30"/>
      <c r="AS2017" s="30"/>
      <c r="AT2017" s="30"/>
      <c r="AU2017" s="30"/>
      <c r="AV2017" s="30"/>
      <c r="AW2017" s="30"/>
      <c r="AX2017" s="30"/>
      <c r="AY2017" s="30"/>
      <c r="AZ2017" s="30"/>
      <c r="BA2017" s="30"/>
      <c r="BB2017" s="30"/>
      <c r="BC2017" s="30"/>
      <c r="BD2017" s="30"/>
      <c r="BE2017" s="30"/>
      <c r="BF2017" s="30"/>
      <c r="BG2017" s="30"/>
      <c r="BH2017" s="30"/>
      <c r="BI2017" s="30"/>
      <c r="BJ2017" s="30"/>
      <c r="BK2017" s="30"/>
      <c r="BL2017" s="30"/>
      <c r="BM2017" s="30"/>
      <c r="BN2017" s="30"/>
      <c r="BO2017" s="30"/>
      <c r="BP2017" s="30"/>
      <c r="BQ2017" s="30"/>
      <c r="BR2017" s="30"/>
      <c r="BS2017" s="30"/>
      <c r="BT2017" s="30"/>
      <c r="BU2017" s="30"/>
      <c r="BV2017" s="30"/>
      <c r="BW2017" s="30"/>
      <c r="BX2017" s="30"/>
      <c r="BY2017" s="30"/>
      <c r="BZ2017" s="484"/>
    </row>
    <row r="2018" spans="1:78" s="140" customFormat="1" ht="12.75" customHeight="1" thickBot="1" x14ac:dyDescent="0.25">
      <c r="A2018" s="777"/>
      <c r="B2018" s="1248"/>
      <c r="C2018" s="783" t="s">
        <v>195</v>
      </c>
      <c r="D2018" s="503" t="str">
        <f>Translations!$B$634</f>
        <v>(prelim.) ITF:</v>
      </c>
      <c r="E2018" s="504"/>
      <c r="F2018" s="518"/>
      <c r="G2018" s="1603" t="str">
        <f t="shared" ref="G2018:G2024" si="504">IF(OR(ISBLANK(F2018),F2018=EUconst_NoTier),"",IF(Z2018=0,EUconst_NotApplicable,IF(ISERROR(Z2018),"",Z2018)))</f>
        <v/>
      </c>
      <c r="H2018" s="1609"/>
      <c r="I2018" s="1110" t="str">
        <f>IF(J2018&lt;&gt;"","",AI2018)</f>
        <v/>
      </c>
      <c r="J2018" s="1111"/>
      <c r="K2018" s="519" t="str">
        <f t="shared" ref="K2018:K2024" si="505">IF(L2018="",AQ2018,"")</f>
        <v/>
      </c>
      <c r="L2018" s="520"/>
      <c r="M2018" s="700" t="str">
        <f>IF(AND(E2007&lt;&gt;"",OR(F2018="",COUNT(K2018:L2018)=0),Y2018&lt;&gt;EUconst_NA,T2007&lt;&gt;TRUE),EUconst_ERR_Incomplete,IF(COUNTIF(AX2018:AZ2018,TRUE)&gt;0,EUconst_ERR_Inconsistent,""))</f>
        <v/>
      </c>
      <c r="N2018" s="486"/>
      <c r="O2018" s="1305"/>
      <c r="P2018" s="33"/>
      <c r="Q2018" s="33"/>
      <c r="R2018" s="33"/>
      <c r="S2018" s="30"/>
      <c r="T2018" s="521" t="str">
        <f>EUconst_CNTR_EF&amp;E2007</f>
        <v>EF_</v>
      </c>
      <c r="U2018" s="488"/>
      <c r="V2018" s="522" t="str">
        <f>V2016</f>
        <v/>
      </c>
      <c r="W2018" s="30"/>
      <c r="X2018" s="488"/>
      <c r="Y2018" s="523" t="str">
        <f>IF(OR(T2007=TRUE,E2007=""),"",IF(F2018=EUconst_NA,EUconst_NA,INDEX(EUwideConstants!$N:$N,MATCH(T2018,EUwideConstants!$Q:$Q,0))))</f>
        <v/>
      </c>
      <c r="Z2018" s="524" t="str">
        <f>IF(ISBLANK(F2018),"",IF(F2018=EUconst_NA,"",INDEX(EUwideConstants!$H:$M,MATCH(T2018,EUwideConstants!$Q:$Q,0),MATCH(F2018,CNTR_TierList,0))))</f>
        <v/>
      </c>
      <c r="AA2018" s="525" t="str">
        <f>IF(COUNTIF(EUconst_DefaultValues,Z2018)&gt;0,MATCH(Z2018,EUconst_DefaultValues,0),"")</f>
        <v/>
      </c>
      <c r="AB2018" s="30"/>
      <c r="AC2018" s="526" t="b">
        <f>AND(AC2016,Y2018&lt;&gt;EUconst_NA)</f>
        <v>0</v>
      </c>
      <c r="AD2018" s="30"/>
      <c r="AE2018" s="510" t="str">
        <f>EUconst_CNTR_EF&amp;EUconst_Unit</f>
        <v>EF_Vienetas</v>
      </c>
      <c r="AF2018" s="527" t="str">
        <f>IF(AC2018=TRUE, IF(COUNTIF(MSPara_SourceStreamCategory,V2018)=0,"",INDEX(MSPara_CalcFactorsMatrix,MATCH(V2018,MSPara_SourceStreamCategory,0),MATCH(AE2018&amp;"_"&amp;2,MSPara_CalcFactors,0))),"")</f>
        <v/>
      </c>
      <c r="AG2018" s="528" t="str">
        <f>IF(AC2018=TRUE, IF(COUNTIF(MSPara_SourceStreamCategory,V2018)=0,"",INDEX(MSPara_CalcFactorsMatrix,MATCH(V2018,MSPara_SourceStreamCategory,0),MATCH(AE2018&amp;"_"&amp;1,MSPara_CalcFactors,0))),"")</f>
        <v/>
      </c>
      <c r="AH2018" s="529" t="str">
        <f>IF(AA2018="","",INDEX(AF2018:AG2018,3-AA2018))</f>
        <v/>
      </c>
      <c r="AI2018" s="530" t="str">
        <f>IF(AC2018=TRUE,IF(OR(AH2018="",AH2018=EUconst_NA),IF(K2006=EUconst_Fuel,EUconst_tCO2pTJ,EUconst_tCO2pt),AH2018),"")</f>
        <v/>
      </c>
      <c r="AJ2018" s="526" t="str">
        <f>IF(J2018="",AI2018,J2018)</f>
        <v/>
      </c>
      <c r="AK2018" s="531" t="b">
        <f>IF(K2006=EUconst_Fuel,J2018&lt;&gt;"",FALSE)</f>
        <v>0</v>
      </c>
      <c r="AL2018" s="333"/>
      <c r="AM2018" s="510" t="str">
        <f>EUconst_CNTR_EF&amp;EUconst_Value</f>
        <v>EF_Vertė</v>
      </c>
      <c r="AN2018" s="532" t="str">
        <f>IF(AC2018=TRUE,IF(COUNTIF(MSPara_SourceStreamCategory,V2018)=0,"",INDEX(MSPara_CalcFactorsMatrix,MATCH(V2018,MSPara_SourceStreamCategory,0),MATCH(AM2018&amp;"_"&amp;2,MSPara_CalcFactors,0))),"")</f>
        <v/>
      </c>
      <c r="AO2018" s="533" t="str">
        <f>IF(AC2018=TRUE,IF(COUNTIF(MSPara_SourceStreamCategory,V2018)=0,"",INDEX(MSPara_CalcFactorsMatrix,MATCH(V2018,MSPara_SourceStreamCategory,0),MATCH(AM2018&amp;"_"&amp;1,MSPara_CalcFactors,0))),"")</f>
        <v/>
      </c>
      <c r="AP2018" s="526" t="b">
        <f>AND(AND(AH2018&lt;&gt;"",AJ2018&lt;&gt;""),AJ2018=AH2018)</f>
        <v>0</v>
      </c>
      <c r="AQ2018" s="534" t="str">
        <f>IF(AND(AA2018&lt;&gt;"",AP2018=TRUE),IF(OR(INDEX(AN2018:AO2018,3-AA2018)=EUconst_NA,INDEX(AN2018:AO2018,3-AA2018)=0),"",INDEX(AN2018:AO2018,3-AA2018)),"")</f>
        <v/>
      </c>
      <c r="AR2018" s="526">
        <f>IF(AC2018=TRUE,IF(COUNT(K2018:L2018)=0,0,IF(L2018="",K2018,L2018)),0)</f>
        <v>0</v>
      </c>
      <c r="AS2018" s="522" t="b">
        <f>AND(AC2018=TRUE,OR(AND(F2018&lt;&gt;"",NOT(ISNUMBER(AA2018))),L2018&lt;&gt;"",F2018="",AQ2018=""))</f>
        <v>0</v>
      </c>
      <c r="AT2018" s="522" t="b">
        <f t="shared" ref="AT2018:AT2024" si="506">AND(AC2018=TRUE,NOT(AS2018))</f>
        <v>0</v>
      </c>
      <c r="AU2018" s="30"/>
      <c r="AV2018" s="535" t="b">
        <f t="shared" ref="AV2018:AV2024" si="507">AND(ISNUMBER(AA2018),AQ2018="")</f>
        <v>0</v>
      </c>
      <c r="AW2018" s="536" t="b">
        <f t="shared" ref="AW2018:AW2024" si="508">AND(ISNUMBER(AA2018),AQ2018&lt;&gt;AR2018)</f>
        <v>0</v>
      </c>
      <c r="AX2018" s="537" t="b">
        <f>OR(AND(AJ2016=EUconst_kNm3,AJ2018=EUconst_tCO2pt),AND(AJ2016=EUconst_t,AJ2018=EUconst_tCO2pkNm3))</f>
        <v>0</v>
      </c>
      <c r="AY2018" s="522" t="b">
        <f t="shared" ref="AY2018:AY2024" si="509">AND(L2018&lt;&gt;"",Y2018=EUconst_NA)</f>
        <v>0</v>
      </c>
      <c r="AZ2018" s="30"/>
      <c r="BA2018" s="30"/>
      <c r="BB2018" s="538" t="s">
        <v>588</v>
      </c>
      <c r="BC2018" s="537" t="str">
        <f>IF(K2006=BC2016,AR2016*IF(AJ2018=EUconst_tCO2pTJ,(AR2019/1000),1)*AR2018*AR2020*AR2024,"")</f>
        <v/>
      </c>
      <c r="BD2018" s="515" t="str">
        <f>IF(K2006=BD2016,AR2016*AR2018*AR2021*AR2024,"")</f>
        <v/>
      </c>
      <c r="BE2018" s="514" t="str">
        <f>IF(K2006=BE2016,3.664*AR2016*AR2022*AR2024,"")</f>
        <v/>
      </c>
      <c r="BF2018" s="30"/>
      <c r="BG2018" s="30"/>
      <c r="BH2018" s="30"/>
      <c r="BI2018" s="30"/>
      <c r="BJ2018" s="30"/>
      <c r="BK2018" s="30"/>
      <c r="BL2018" s="30"/>
      <c r="BM2018" s="30"/>
      <c r="BN2018" s="30"/>
      <c r="BO2018" s="30"/>
      <c r="BP2018" s="30"/>
      <c r="BQ2018" s="30"/>
      <c r="BR2018" s="30"/>
      <c r="BS2018" s="30"/>
      <c r="BT2018" s="30"/>
      <c r="BU2018" s="30"/>
      <c r="BV2018" s="30"/>
      <c r="BW2018" s="30"/>
      <c r="BX2018" s="30"/>
      <c r="BY2018" s="30"/>
      <c r="BZ2018" s="522" t="b">
        <f>OR(BZ2016,Y2018=EUconst_NA)</f>
        <v>1</v>
      </c>
    </row>
    <row r="2019" spans="1:78" s="140" customFormat="1" ht="12.75" customHeight="1" thickBot="1" x14ac:dyDescent="0.25">
      <c r="A2019" s="777"/>
      <c r="B2019" s="1248"/>
      <c r="C2019" s="783" t="s">
        <v>196</v>
      </c>
      <c r="D2019" s="503" t="str">
        <f>Translations!$B$636</f>
        <v>GŠV:</v>
      </c>
      <c r="E2019" s="504"/>
      <c r="F2019" s="539"/>
      <c r="G2019" s="1603" t="str">
        <f t="shared" si="504"/>
        <v/>
      </c>
      <c r="H2019" s="1604"/>
      <c r="I2019" s="1112" t="str">
        <f>AJ2019</f>
        <v/>
      </c>
      <c r="J2019" s="540"/>
      <c r="K2019" s="541" t="str">
        <f t="shared" si="505"/>
        <v/>
      </c>
      <c r="L2019" s="542"/>
      <c r="M2019" s="700" t="str">
        <f>IF(AND(E2007&lt;&gt;"",OR(F2019="",COUNT(K2019:L2019)=0),Y2019&lt;&gt;EUconst_NA,T2007&lt;&gt;TRUE),EUconst_ERR_Incomplete,IF(COUNTIF(AX2019:AZ2019,TRUE)&gt;0,EUconst_ERR_Inconsistent,""))</f>
        <v/>
      </c>
      <c r="O2019" s="1305"/>
      <c r="P2019" s="33"/>
      <c r="Q2019" s="33"/>
      <c r="R2019" s="33"/>
      <c r="S2019" s="30"/>
      <c r="T2019" s="543" t="str">
        <f>EUconst_CNTR_NCV&amp;E2007</f>
        <v>NCV_</v>
      </c>
      <c r="U2019" s="488"/>
      <c r="V2019" s="544" t="str">
        <f t="shared" ref="V2019:V2024" si="510">V2018</f>
        <v/>
      </c>
      <c r="W2019" s="30"/>
      <c r="X2019" s="488"/>
      <c r="Y2019" s="545" t="str">
        <f>IF(OR(T2007=TRUE,E2007=""),"",IF(F2019=EUconst_NA,EUconst_NA,INDEX(EUwideConstants!$N:$N,MATCH(T2019,EUwideConstants!$Q:$Q,0))))</f>
        <v/>
      </c>
      <c r="Z2019" s="546" t="str">
        <f>IF(ISBLANK(F2019),"",IF(F2019=EUconst_NA,"",INDEX(EUwideConstants!$H:$M,MATCH(T2019,EUwideConstants!$Q:$Q,0),MATCH(F2019,CNTR_TierList,0))))</f>
        <v/>
      </c>
      <c r="AA2019" s="547" t="str">
        <f>IF(COUNTIF(EUconst_DefaultValues,Z2019)&gt;0,MATCH(Z2019,EUconst_DefaultValues,0),"")</f>
        <v/>
      </c>
      <c r="AB2019" s="30"/>
      <c r="AC2019" s="548" t="b">
        <f>AND(AC2016,Y2019&lt;&gt;EUconst_NA)</f>
        <v>0</v>
      </c>
      <c r="AD2019" s="30"/>
      <c r="AE2019" s="549" t="str">
        <f>EUconst_CNTR_NCV&amp;EUconst_Unit</f>
        <v>NCV_Vienetas</v>
      </c>
      <c r="AF2019" s="550" t="str">
        <f>IF(AC2019=TRUE, IF(COUNTIF(MSPara_SourceStreamCategory,V2019)=0,"",INDEX(MSPara_CalcFactorsMatrix,MATCH(V2019,MSPara_SourceStreamCategory,0),MATCH(AE2019&amp;"_"&amp;2,MSPara_CalcFactors,0))),"")</f>
        <v/>
      </c>
      <c r="AG2019" s="551" t="str">
        <f>IF(AC2019=TRUE, IF(COUNTIF(MSPara_SourceStreamCategory,V2019)=0,"",INDEX(MSPara_CalcFactorsMatrix,MATCH(V2019,MSPara_SourceStreamCategory,0),MATCH(AE2019&amp;"_"&amp;1,MSPara_CalcFactors,0))),"")</f>
        <v/>
      </c>
      <c r="AH2019" s="552" t="str">
        <f>IF(AA2019="","",INDEX(AF2019:AG2019,3-AA2019))</f>
        <v/>
      </c>
      <c r="AI2019" s="553"/>
      <c r="AJ2019" s="548" t="str">
        <f>IF(AC2019=TRUE,IF(AJ2016="","",IF(AJ2016=EUconst_kNm3,EUconst_GJpkNm3,EUconst_GJpt)),"")</f>
        <v/>
      </c>
      <c r="AK2019" s="554"/>
      <c r="AL2019" s="333"/>
      <c r="AM2019" s="549" t="str">
        <f>EUconst_CNTR_NCV&amp;EUconst_Value</f>
        <v>NCV_Vertė</v>
      </c>
      <c r="AN2019" s="555" t="str">
        <f>IF(AC2019=TRUE,IF(COUNTIF(MSPara_SourceStreamCategory,V2019)=0,"",INDEX(MSPara_CalcFactorsMatrix,MATCH(V2019,MSPara_SourceStreamCategory,0),MATCH(AM2019&amp;"_"&amp;2,MSPara_CalcFactors,0))),"")</f>
        <v/>
      </c>
      <c r="AO2019" s="556" t="str">
        <f>IF(AC2019=TRUE,IF(COUNTIF(MSPara_SourceStreamCategory,V2019)=0,"",INDEX(MSPara_CalcFactorsMatrix,MATCH(V2019,MSPara_SourceStreamCategory,0),MATCH(AM2019&amp;"_"&amp;1,MSPara_CalcFactors,0))),"")</f>
        <v/>
      </c>
      <c r="AP2019" s="548" t="b">
        <f>AND(AND(AH2019&lt;&gt;"",AJ2019&lt;&gt;""),AJ2019=AH2019)</f>
        <v>0</v>
      </c>
      <c r="AQ2019" s="557" t="str">
        <f>IF(AND(AA2019&lt;&gt;"",AP2019=TRUE),IF(OR(INDEX(AN2019:AO2019,3-AA2019)=EUconst_NA,INDEX(AN2019:AO2019,3-AA2019)=0),"",INDEX(AN2019:AO2019,3-AA2019)),"")</f>
        <v/>
      </c>
      <c r="AR2019" s="548">
        <f>IF(AC2019=TRUE,IF(COUNT(K2019:L2019)=0,0,IF(L2019="",K2019,L2019)),0)</f>
        <v>0</v>
      </c>
      <c r="AS2019" s="544" t="b">
        <f>AND(AC2019=TRUE,OR(AND(F2019&lt;&gt;"",NOT(ISNUMBER(AA2019))),L2019&lt;&gt;"",F2019="",AQ2019=""))</f>
        <v>0</v>
      </c>
      <c r="AT2019" s="544" t="b">
        <f t="shared" si="506"/>
        <v>0</v>
      </c>
      <c r="AU2019" s="30"/>
      <c r="AV2019" s="558" t="b">
        <f t="shared" si="507"/>
        <v>0</v>
      </c>
      <c r="AW2019" s="559" t="b">
        <f t="shared" si="508"/>
        <v>0</v>
      </c>
      <c r="AX2019" s="30"/>
      <c r="AY2019" s="544" t="b">
        <f t="shared" si="509"/>
        <v>0</v>
      </c>
      <c r="AZ2019" s="30"/>
      <c r="BA2019" s="30"/>
      <c r="BB2019" s="538" t="s">
        <v>589</v>
      </c>
      <c r="BC2019" s="537" t="str">
        <f>IF(K2006=BC2016,AR2016*IF(AJ2018=EUconst_tCO2pTJ,(AR2019/1000),1)*AR2018*AR2020*AR2023,"")</f>
        <v/>
      </c>
      <c r="BD2019" s="515" t="str">
        <f>IF(K2006=BD2016,AR2016*AR2018*AR2021*AR2023,"")</f>
        <v/>
      </c>
      <c r="BE2019" s="514" t="str">
        <f>IF(K2006=BE2016,3.664*AR2016*AR2022*AR2023,"")</f>
        <v/>
      </c>
      <c r="BF2019" s="30"/>
      <c r="BG2019" s="30"/>
      <c r="BH2019" s="30"/>
      <c r="BI2019" s="30"/>
      <c r="BJ2019" s="30"/>
      <c r="BK2019" s="30"/>
      <c r="BL2019" s="30"/>
      <c r="BM2019" s="30"/>
      <c r="BN2019" s="30"/>
      <c r="BO2019" s="30"/>
      <c r="BP2019" s="30"/>
      <c r="BQ2019" s="30"/>
      <c r="BR2019" s="30"/>
      <c r="BS2019" s="30"/>
      <c r="BT2019" s="30"/>
      <c r="BU2019" s="30"/>
      <c r="BV2019" s="30"/>
      <c r="BW2019" s="30"/>
      <c r="BX2019" s="30"/>
      <c r="BY2019" s="30"/>
      <c r="BZ2019" s="544" t="b">
        <f>OR(BZ2016,Y2019=EUconst_NA)</f>
        <v>1</v>
      </c>
    </row>
    <row r="2020" spans="1:78" s="140" customFormat="1" ht="12.75" customHeight="1" thickBot="1" x14ac:dyDescent="0.25">
      <c r="A2020" s="777"/>
      <c r="B2020" s="1248"/>
      <c r="C2020" s="783" t="s">
        <v>197</v>
      </c>
      <c r="D2020" s="503" t="str">
        <f>Translations!$B$638</f>
        <v>Oksidacijos koef.:</v>
      </c>
      <c r="E2020" s="504"/>
      <c r="F2020" s="539"/>
      <c r="G2020" s="1603" t="str">
        <f t="shared" si="504"/>
        <v/>
      </c>
      <c r="H2020" s="1604"/>
      <c r="I2020" s="1113" t="str">
        <f>IF(OR(AC2020=FALSE,Y2020=EUconst_NA),"","-")</f>
        <v/>
      </c>
      <c r="J2020" s="560"/>
      <c r="K2020" s="561" t="str">
        <f t="shared" si="505"/>
        <v/>
      </c>
      <c r="L2020" s="694"/>
      <c r="M2020" s="700" t="str">
        <f>IF(AND(E2007&lt;&gt;"",OR(F2020="",COUNT(K2020:L2020)=0),Y2020&lt;&gt;EUconst_NA,T2007&lt;&gt;TRUE),EUconst_ERR_Incomplete,IF(COUNTIF(AX2020:AZ2020,TRUE)&gt;0,EUconst_ERR_Inconsistent,""))</f>
        <v/>
      </c>
      <c r="O2020" s="1305"/>
      <c r="P2020" s="33"/>
      <c r="Q2020" s="33"/>
      <c r="R2020" s="33"/>
      <c r="S2020" s="30"/>
      <c r="T2020" s="543" t="str">
        <f>EUconst_CNTR_OxidationFactor&amp;E2007</f>
        <v>OxF_</v>
      </c>
      <c r="U2020" s="488"/>
      <c r="V2020" s="544" t="str">
        <f t="shared" si="510"/>
        <v/>
      </c>
      <c r="W2020" s="30"/>
      <c r="X2020" s="488"/>
      <c r="Y2020" s="545" t="str">
        <f>IF(OR(T2007=TRUE,E2007=""),"",INDEX(EUwideConstants!$N:$N,MATCH(T2020,EUwideConstants!$Q:$Q,0)))</f>
        <v/>
      </c>
      <c r="Z2020" s="546" t="str">
        <f>IF(ISBLANK(F2020),"",IF(F2020=EUconst_NA,"",INDEX(EUwideConstants!$H:$M,MATCH(T2020,EUwideConstants!$Q:$Q,0),MATCH(F2020,CNTR_TierList,0))))</f>
        <v/>
      </c>
      <c r="AA2020" s="525" t="str">
        <f>IF(F2020=1,1,"")</f>
        <v/>
      </c>
      <c r="AB2020" s="30"/>
      <c r="AC2020" s="548" t="b">
        <f>AND(AC2016,Y2020&lt;&gt;EUconst_NA)</f>
        <v>0</v>
      </c>
      <c r="AD2020" s="30"/>
      <c r="AE2020" s="563"/>
      <c r="AG2020" s="564"/>
      <c r="AH2020" s="553"/>
      <c r="AI2020" s="565"/>
      <c r="AJ2020" s="553"/>
      <c r="AK2020" s="566"/>
      <c r="AL2020" s="333"/>
      <c r="AM2020" s="549" t="str">
        <f>EUconst_CNTR_OxidationFactor&amp;EUconst_Value</f>
        <v>OxF_Vertė</v>
      </c>
      <c r="AN2020" s="567"/>
      <c r="AO2020" s="525">
        <v>1</v>
      </c>
      <c r="AP2020" s="553"/>
      <c r="AQ2020" s="568" t="str">
        <f>IF(AA2020="","",AO2020)</f>
        <v/>
      </c>
      <c r="AR2020" s="548">
        <f>IF(AC2020=TRUE,IF(COUNT(K2020:L2020)=0,0,IF(L2020="",K2020,L2020)),1)</f>
        <v>1</v>
      </c>
      <c r="AS2020" s="544" t="b">
        <f>AND(AC2020=TRUE,OR(ISNUMBER(L2020),NOT(ISNUMBER(AA2020))))</f>
        <v>0</v>
      </c>
      <c r="AT2020" s="544" t="b">
        <f t="shared" si="506"/>
        <v>0</v>
      </c>
      <c r="AU2020" s="30"/>
      <c r="AV2020" s="558" t="b">
        <f t="shared" si="507"/>
        <v>0</v>
      </c>
      <c r="AW2020" s="559" t="b">
        <f t="shared" si="508"/>
        <v>0</v>
      </c>
      <c r="AX2020" s="30"/>
      <c r="AY2020" s="585" t="b">
        <f t="shared" si="509"/>
        <v>0</v>
      </c>
      <c r="AZ2020" s="522" t="b">
        <f>AR2020&gt;100%</f>
        <v>0</v>
      </c>
      <c r="BA2020" s="30"/>
      <c r="BB2020" s="538" t="s">
        <v>287</v>
      </c>
      <c r="BC2020" s="537" t="str">
        <f>IF(K2006=BC2016,AR2016*IF(AJ2018=EUconst_tCO2pTJ,(AR2019/1000),1)*AR2018*AR2020*(1-AR2023),"")</f>
        <v/>
      </c>
      <c r="BD2020" s="515" t="str">
        <f>IF(K2006=BD2016,AR2016*AR2018*AR2021*(1-AR2023),"")</f>
        <v/>
      </c>
      <c r="BE2020" s="514" t="str">
        <f>IF(K2006=BE2016,3.664*AR2016*AR2022*(1-AR2023),"")</f>
        <v/>
      </c>
      <c r="BF2020" s="30"/>
      <c r="BG2020" s="30"/>
      <c r="BH2020" s="30"/>
      <c r="BI2020" s="30"/>
      <c r="BJ2020" s="30"/>
      <c r="BK2020" s="30"/>
      <c r="BL2020" s="30"/>
      <c r="BM2020" s="30"/>
      <c r="BN2020" s="30"/>
      <c r="BO2020" s="30"/>
      <c r="BP2020" s="30"/>
      <c r="BQ2020" s="30"/>
      <c r="BR2020" s="30"/>
      <c r="BS2020" s="30"/>
      <c r="BT2020" s="30"/>
      <c r="BU2020" s="30"/>
      <c r="BV2020" s="30"/>
      <c r="BW2020" s="30"/>
      <c r="BX2020" s="30"/>
      <c r="BY2020" s="30"/>
      <c r="BZ2020" s="544" t="b">
        <f>OR(BZ2016,Y2020=EUconst_NA)</f>
        <v>1</v>
      </c>
    </row>
    <row r="2021" spans="1:78" s="140" customFormat="1" ht="12.75" customHeight="1" thickBot="1" x14ac:dyDescent="0.25">
      <c r="A2021" s="777"/>
      <c r="B2021" s="1248"/>
      <c r="C2021" s="783" t="s">
        <v>198</v>
      </c>
      <c r="D2021" s="503" t="str">
        <f>Translations!$B$639</f>
        <v>Konversijos koef.:</v>
      </c>
      <c r="E2021" s="504"/>
      <c r="F2021" s="539"/>
      <c r="G2021" s="1603" t="str">
        <f t="shared" si="504"/>
        <v/>
      </c>
      <c r="H2021" s="1604"/>
      <c r="I2021" s="1113" t="str">
        <f>IF(OR(AC2021=FALSE,Y2021=EUconst_NA),"","-")</f>
        <v/>
      </c>
      <c r="J2021" s="560"/>
      <c r="K2021" s="561" t="str">
        <f t="shared" si="505"/>
        <v/>
      </c>
      <c r="L2021" s="694"/>
      <c r="M2021" s="700" t="str">
        <f>IF(AND(E2007&lt;&gt;"",OR(F2021="",COUNT(K2021:L2021)=0),Y2021&lt;&gt;EUconst_NA,T2007&lt;&gt;TRUE),EUconst_ERR_Incomplete,IF(COUNTIF(AX2021:AZ2021,TRUE)&gt;0,EUconst_ERR_Inconsistent,""))</f>
        <v/>
      </c>
      <c r="O2021" s="1305"/>
      <c r="P2021" s="33"/>
      <c r="Q2021" s="33"/>
      <c r="R2021" s="33"/>
      <c r="S2021" s="30"/>
      <c r="T2021" s="543" t="str">
        <f>EUconst_CNTR_ConversionFactor&amp;E2007</f>
        <v>ConvF_</v>
      </c>
      <c r="U2021" s="488"/>
      <c r="V2021" s="544" t="str">
        <f t="shared" si="510"/>
        <v/>
      </c>
      <c r="W2021" s="30"/>
      <c r="X2021" s="488"/>
      <c r="Y2021" s="545" t="str">
        <f>IF(OR(T2007=TRUE,E2007=""),"",INDEX(EUwideConstants!$N:$N,MATCH(T2021,EUwideConstants!$Q:$Q,0)))</f>
        <v/>
      </c>
      <c r="Z2021" s="546" t="str">
        <f>IF(ISBLANK(F2021),"",IF(F2021=EUconst_NA,"",INDEX(EUwideConstants!$H:$M,MATCH(T2021,EUwideConstants!$Q:$Q,0),MATCH(F2021,CNTR_TierList,0))))</f>
        <v/>
      </c>
      <c r="AA2021" s="573" t="str">
        <f>IF(F2021=1,1,"")</f>
        <v/>
      </c>
      <c r="AB2021" s="30"/>
      <c r="AC2021" s="548" t="b">
        <f>AND(AC2016,Y2021&lt;&gt;EUconst_NA)</f>
        <v>0</v>
      </c>
      <c r="AD2021" s="30"/>
      <c r="AE2021" s="563"/>
      <c r="AG2021" s="564"/>
      <c r="AH2021" s="574"/>
      <c r="AI2021" s="565"/>
      <c r="AJ2021" s="574"/>
      <c r="AK2021" s="566"/>
      <c r="AL2021" s="333"/>
      <c r="AM2021" s="549" t="str">
        <f>EUconst_CNTR_ConversionFactor&amp;EUconst_Value</f>
        <v>ConvF_Vertė</v>
      </c>
      <c r="AN2021" s="575"/>
      <c r="AO2021" s="573">
        <v>1</v>
      </c>
      <c r="AP2021" s="574"/>
      <c r="AQ2021" s="576" t="str">
        <f>IF(AA2021="","",AO2021)</f>
        <v/>
      </c>
      <c r="AR2021" s="548">
        <f>IF(AC2021=TRUE,IF(COUNT(K2021:L2021)=0,0,IF(L2021="",K2021,L2021)),1)</f>
        <v>1</v>
      </c>
      <c r="AS2021" s="544" t="b">
        <f>AND(AC2021=TRUE,OR(ISNUMBER(L2021),NOT(ISNUMBER(AA2021))))</f>
        <v>0</v>
      </c>
      <c r="AT2021" s="544" t="b">
        <f t="shared" si="506"/>
        <v>0</v>
      </c>
      <c r="AU2021" s="30"/>
      <c r="AV2021" s="558" t="b">
        <f t="shared" si="507"/>
        <v>0</v>
      </c>
      <c r="AW2021" s="559" t="b">
        <f t="shared" si="508"/>
        <v>0</v>
      </c>
      <c r="AX2021" s="30"/>
      <c r="AY2021" s="585" t="b">
        <f t="shared" si="509"/>
        <v>0</v>
      </c>
      <c r="AZ2021" s="571" t="b">
        <f>AR2021&gt;100%</f>
        <v>0</v>
      </c>
      <c r="BA2021" s="30"/>
      <c r="BB2021" s="569" t="s">
        <v>481</v>
      </c>
      <c r="BC2021" s="570">
        <f>AR2016*AR2019/1000*(1-AR2023)</f>
        <v>0</v>
      </c>
      <c r="BD2021" s="571">
        <f>BC2021</f>
        <v>0</v>
      </c>
      <c r="BE2021" s="572">
        <f>BC2021</f>
        <v>0</v>
      </c>
      <c r="BF2021" s="30"/>
      <c r="BG2021" s="30"/>
      <c r="BH2021" s="30"/>
      <c r="BI2021" s="30"/>
      <c r="BJ2021" s="30"/>
      <c r="BK2021" s="30"/>
      <c r="BL2021" s="30"/>
      <c r="BM2021" s="30"/>
      <c r="BN2021" s="30"/>
      <c r="BO2021" s="30"/>
      <c r="BP2021" s="30"/>
      <c r="BQ2021" s="30"/>
      <c r="BR2021" s="30"/>
      <c r="BS2021" s="30"/>
      <c r="BT2021" s="30"/>
      <c r="BU2021" s="30"/>
      <c r="BV2021" s="30"/>
      <c r="BW2021" s="30"/>
      <c r="BX2021" s="30"/>
      <c r="BY2021" s="30"/>
      <c r="BZ2021" s="544" t="b">
        <f>OR(BZ2016,Y2021=EUconst_NA)</f>
        <v>1</v>
      </c>
    </row>
    <row r="2022" spans="1:78" s="140" customFormat="1" ht="12.75" customHeight="1" thickBot="1" x14ac:dyDescent="0.25">
      <c r="A2022" s="777"/>
      <c r="B2022" s="1248"/>
      <c r="C2022" s="783" t="s">
        <v>324</v>
      </c>
      <c r="D2022" s="503" t="str">
        <f>Translations!$B$640</f>
        <v>Anglies kiekis (C):</v>
      </c>
      <c r="E2022" s="504"/>
      <c r="F2022" s="539"/>
      <c r="G2022" s="1603" t="str">
        <f t="shared" si="504"/>
        <v/>
      </c>
      <c r="H2022" s="1604"/>
      <c r="I2022" s="1113" t="str">
        <f>AJ2022</f>
        <v/>
      </c>
      <c r="J2022" s="577"/>
      <c r="K2022" s="578" t="str">
        <f t="shared" si="505"/>
        <v/>
      </c>
      <c r="L2022" s="579"/>
      <c r="M2022" s="700" t="str">
        <f>IF(AND(E2007&lt;&gt;"",OR(F2022="",COUNT(K2022:L2022)=0),Y2022&lt;&gt;EUconst_NA,T2007&lt;&gt;TRUE),EUconst_ERR_Incomplete,IF(COUNTIF(AX2022:AZ2022,TRUE)&gt;0,EUconst_ERR_Inconsistent,""))</f>
        <v/>
      </c>
      <c r="O2022" s="1305"/>
      <c r="P2022" s="33"/>
      <c r="Q2022" s="33"/>
      <c r="R2022" s="33"/>
      <c r="S2022" s="30"/>
      <c r="T2022" s="543" t="str">
        <f>EUconst_CNTR_CarbonContent&amp;E2007</f>
        <v>CarbC_</v>
      </c>
      <c r="U2022" s="488"/>
      <c r="V2022" s="544" t="str">
        <f t="shared" si="510"/>
        <v/>
      </c>
      <c r="W2022" s="30"/>
      <c r="X2022" s="488"/>
      <c r="Y2022" s="545" t="str">
        <f>IF(OR(T2007=TRUE,E2007=""),"",INDEX(EUwideConstants!$N:$N,MATCH(T2022,EUwideConstants!$Q:$Q,0)))</f>
        <v/>
      </c>
      <c r="Z2022" s="546" t="str">
        <f>IF(ISBLANK(F2022),"",IF(F2022=EUconst_NA,"",INDEX(EUwideConstants!$H:$M,MATCH(T2022,EUwideConstants!$Q:$Q,0),MATCH(F2022,CNTR_TierList,0))))</f>
        <v/>
      </c>
      <c r="AA2022" s="580" t="str">
        <f>IF(COUNTIF(EUconst_DefaultValues,Z2022)&gt;0,MATCH(Z2022,EUconst_DefaultValues,0),"")</f>
        <v/>
      </c>
      <c r="AB2022" s="30"/>
      <c r="AC2022" s="548" t="b">
        <f>AND(AC2016,Y2022&lt;&gt;EUconst_NA)</f>
        <v>0</v>
      </c>
      <c r="AD2022" s="30"/>
      <c r="AE2022" s="549" t="str">
        <f>EUconst_CNTR_CarbonContent&amp;EUconst_Unit</f>
        <v>CarbC_Vienetas</v>
      </c>
      <c r="AF2022" s="550" t="str">
        <f>IF(AC2022=TRUE, IF(COUNTIF(MSPara_SourceStreamCategory,V2022)=0,"",INDEX(MSPara_CalcFactorsMatrix,MATCH(V2022,MSPara_SourceStreamCategory,0),MATCH(AE2022&amp;"_"&amp;2,MSPara_CalcFactors,0))),"")</f>
        <v/>
      </c>
      <c r="AG2022" s="551" t="str">
        <f>IF(AC2022=TRUE, IF(COUNTIF(MSPara_SourceStreamCategory,V2022)=0,"",INDEX(MSPara_CalcFactorsMatrix,MATCH(V2022,MSPara_SourceStreamCategory,0),MATCH(AE2022&amp;"_"&amp;1,MSPara_CalcFactors,0))),"")</f>
        <v/>
      </c>
      <c r="AH2022" s="581" t="str">
        <f>IF(AA2022="","",INDEX(AF2022:AG2022,3-AA2022))</f>
        <v/>
      </c>
      <c r="AI2022" s="565"/>
      <c r="AJ2022" s="582" t="str">
        <f>IF(AC2022=TRUE,IF(AJ2016="","",IF(AJ2016=EUconst_kNm3,EUconst_tCpkNm3,EUconst_tCpt)),"")</f>
        <v/>
      </c>
      <c r="AK2022" s="566"/>
      <c r="AL2022" s="333"/>
      <c r="AM2022" s="549" t="str">
        <f>EUconst_CNTR_CarbonContent&amp;EUconst_Value</f>
        <v>CarbC_Vertė</v>
      </c>
      <c r="AN2022" s="555" t="str">
        <f>IF(AC2022=TRUE,IF(COUNTIF(MSPara_SourceStreamCategory,V2022)=0,"",INDEX(MSPara_CalcFactorsMatrix,MATCH(V2022,MSPara_SourceStreamCategory,0),MATCH(AM2022&amp;"_"&amp;2,MSPara_CalcFactors,0))),"")</f>
        <v/>
      </c>
      <c r="AO2022" s="583" t="str">
        <f>IF(AC2022=TRUE,IF(COUNTIF(MSPara_SourceStreamCategory,V2022)=0,"",INDEX(MSPara_CalcFactorsMatrix,MATCH(V2022,MSPara_SourceStreamCategory,0),MATCH(AM2022&amp;"_"&amp;1,MSPara_CalcFactors,0))),"")</f>
        <v/>
      </c>
      <c r="AP2022" s="548" t="b">
        <f>AND(AND(AH2022&lt;&gt;"",AJ2022&lt;&gt;""),AJ2022=AH2022)</f>
        <v>0</v>
      </c>
      <c r="AQ2022" s="584" t="str">
        <f>IF(AND(AA2022&lt;&gt;"",AP2022=TRUE),IF(OR(INDEX(AN2022:AO2022,3-AA2022)=EUconst_NA,INDEX(AN2022:AO2022,3-AA2022)=0),"",INDEX(AN2022:AO2022,3-AA2022)),"")</f>
        <v/>
      </c>
      <c r="AR2022" s="548">
        <f>IF(AC2022=TRUE,IF(COUNT(K2022:L2022)=0,0,IF(L2022="",K2022,L2022)),0)</f>
        <v>0</v>
      </c>
      <c r="AS2022" s="544" t="b">
        <f>AND(AC2022=TRUE,OR(AND(F2022&lt;&gt;"",NOT(ISNUMBER(AA2022))),L2022&lt;&gt;"",F2022="",AQ2022=""))</f>
        <v>0</v>
      </c>
      <c r="AT2022" s="544" t="b">
        <f t="shared" si="506"/>
        <v>0</v>
      </c>
      <c r="AU2022" s="30"/>
      <c r="AV2022" s="558" t="b">
        <f t="shared" si="507"/>
        <v>0</v>
      </c>
      <c r="AW2022" s="559" t="b">
        <f t="shared" si="508"/>
        <v>0</v>
      </c>
      <c r="AX2022" s="537" t="b">
        <f>OR(AND(AJ2016=EUconst_kNm3,AJ2022=EUconst_tCpt),AND(AJ2016=EUconst_t,AJ2022=EUconst_tCpkNm3))</f>
        <v>0</v>
      </c>
      <c r="AY2022" s="544" t="b">
        <f t="shared" si="509"/>
        <v>0</v>
      </c>
      <c r="AZ2022" s="30"/>
      <c r="BA2022" s="30"/>
      <c r="BB2022" s="569" t="s">
        <v>482</v>
      </c>
      <c r="BC2022" s="570">
        <f>AR2016*AR2019/1000*AR2023</f>
        <v>0</v>
      </c>
      <c r="BD2022" s="571">
        <f>BC2022</f>
        <v>0</v>
      </c>
      <c r="BE2022" s="572">
        <f>BC2022</f>
        <v>0</v>
      </c>
      <c r="BF2022" s="30"/>
      <c r="BG2022" s="30"/>
      <c r="BH2022" s="30"/>
      <c r="BI2022" s="30"/>
      <c r="BJ2022" s="30"/>
      <c r="BK2022" s="30"/>
      <c r="BL2022" s="30"/>
      <c r="BM2022" s="30"/>
      <c r="BN2022" s="30"/>
      <c r="BO2022" s="30"/>
      <c r="BP2022" s="30"/>
      <c r="BQ2022" s="30"/>
      <c r="BR2022" s="30"/>
      <c r="BS2022" s="30"/>
      <c r="BT2022" s="30"/>
      <c r="BU2022" s="30"/>
      <c r="BV2022" s="30"/>
      <c r="BW2022" s="30"/>
      <c r="BX2022" s="30"/>
      <c r="BY2022" s="30"/>
      <c r="BZ2022" s="544" t="b">
        <f>OR(BZ2016,Y2022=EUconst_NA)</f>
        <v>1</v>
      </c>
    </row>
    <row r="2023" spans="1:78" s="140" customFormat="1" ht="12.75" customHeight="1" x14ac:dyDescent="0.2">
      <c r="A2023" s="777"/>
      <c r="B2023" s="1248"/>
      <c r="C2023" s="753" t="s">
        <v>325</v>
      </c>
      <c r="D2023" s="503" t="str">
        <f>Translations!$B$641</f>
        <v>Biomasės dalis (BioC):</v>
      </c>
      <c r="E2023" s="504"/>
      <c r="F2023" s="539"/>
      <c r="G2023" s="1603" t="str">
        <f t="shared" si="504"/>
        <v/>
      </c>
      <c r="H2023" s="1604"/>
      <c r="I2023" s="1113" t="str">
        <f>IF(OR(AC2023=FALSE,Y2023=EUconst_NA),"","-")</f>
        <v/>
      </c>
      <c r="J2023" s="560"/>
      <c r="K2023" s="561" t="str">
        <f t="shared" si="505"/>
        <v/>
      </c>
      <c r="L2023" s="694"/>
      <c r="M2023" s="700" t="str">
        <f>IF(AND(E2007&lt;&gt;"",OR(F2023="",COUNT(K2023:L2023)=0),Y2023&lt;&gt;EUconst_NA,T2007&lt;&gt;TRUE),EUconst_ERR_Incomplete,IF(COUNTIF(AX2023:AZ2023,TRUE)&gt;0,EUconst_ERR_Inconsistent,""))</f>
        <v/>
      </c>
      <c r="O2023" s="1305"/>
      <c r="P2023" s="635"/>
      <c r="Q2023" s="635"/>
      <c r="R2023" s="635"/>
      <c r="S2023" s="30"/>
      <c r="T2023" s="543" t="str">
        <f>EUconst_CNTR_BiomassContent&amp;E2007</f>
        <v>BioC_</v>
      </c>
      <c r="U2023" s="488"/>
      <c r="V2023" s="585" t="str">
        <f t="shared" si="510"/>
        <v/>
      </c>
      <c r="W2023" s="522" t="str">
        <f>IF(COUNTIF(MSPara_SourceStreamCategory,V2023)=0,"",INDEX(MSPara_IsFossil,MATCH(V2023,MSPara_SourceStreamCategory,0)))</f>
        <v/>
      </c>
      <c r="X2023" s="488"/>
      <c r="Y2023" s="545" t="str">
        <f>IF(OR(T2007=TRUE,E2007=""),"",IF(OR(W2023=TRUE,F2023=EUconst_NA),EUconst_NA,INDEX(EUwideConstants!$N:$N,MATCH(T2023,EUwideConstants!$Q:$Q,0))))</f>
        <v/>
      </c>
      <c r="Z2023" s="546" t="str">
        <f>IF(ISBLANK(F2023),"",IF(F2023=EUconst_NA,"",INDEX(EUwideConstants!$H:$M,MATCH(T2023,EUwideConstants!$Q:$Q,0),MATCH(F2023,CNTR_TierList,0))))</f>
        <v/>
      </c>
      <c r="AA2023" s="586" t="str">
        <f>IF(F2023=1,1,"")</f>
        <v/>
      </c>
      <c r="AB2023" s="30"/>
      <c r="AC2023" s="548" t="b">
        <f>AND(AC2016,Y2023&lt;&gt;EUconst_NA)</f>
        <v>0</v>
      </c>
      <c r="AD2023" s="30"/>
      <c r="AE2023" s="563"/>
      <c r="AG2023" s="564"/>
      <c r="AH2023" s="553"/>
      <c r="AI2023" s="565"/>
      <c r="AJ2023" s="553"/>
      <c r="AK2023" s="566"/>
      <c r="AL2023" s="333"/>
      <c r="AM2023" s="549" t="str">
        <f>EUconst_CNTR_BiomassContent&amp;EUconst_Value</f>
        <v>BioC_Vertė</v>
      </c>
      <c r="AO2023" s="587" t="str">
        <f>IF(AC2023=TRUE,IF(COUNTIF(MSPara_SourceStreamCategory,V2023)=0,"",INDEX(MSPara_CalcFactorsMatrix,MATCH(V2023,MSPara_SourceStreamCategory,0),MATCH(AM2023&amp;"_"&amp;2,MSPara_CalcFactors,0))),"")</f>
        <v/>
      </c>
      <c r="AP2023" s="553"/>
      <c r="AQ2023" s="568" t="str">
        <f>IF(OR(AA2023="",AO2023=EUconst_NA),"",AO2023)</f>
        <v/>
      </c>
      <c r="AR2023" s="548">
        <f>IF(AC2023=TRUE,IF(COUNT(K2023:L2023)=0,0,IF(L2023="",K2023,L2023)),0)</f>
        <v>0</v>
      </c>
      <c r="AS2023" s="544" t="b">
        <f>AND(AC2023=TRUE,OR(AND(F2023&lt;&gt;"",NOT(ISNUMBER(AA2023))),L2023&lt;&gt;"",F2023="",AQ2023=""))</f>
        <v>0</v>
      </c>
      <c r="AT2023" s="544" t="b">
        <f t="shared" si="506"/>
        <v>0</v>
      </c>
      <c r="AU2023" s="30"/>
      <c r="AV2023" s="558" t="b">
        <f t="shared" si="507"/>
        <v>0</v>
      </c>
      <c r="AW2023" s="559" t="b">
        <f t="shared" si="508"/>
        <v>0</v>
      </c>
      <c r="AX2023" s="30"/>
      <c r="AY2023" s="585" t="b">
        <f t="shared" si="509"/>
        <v>0</v>
      </c>
      <c r="AZ2023" s="522" t="b">
        <f>OR(AR2023&gt;100%,(AR2023+AR2024)&gt;100%)</f>
        <v>0</v>
      </c>
      <c r="BA2023" s="30"/>
      <c r="BB2023" s="30"/>
      <c r="BC2023" s="30"/>
      <c r="BD2023" s="30"/>
      <c r="BE2023" s="30"/>
      <c r="BF2023" s="30"/>
      <c r="BG2023" s="30"/>
      <c r="BH2023" s="30"/>
      <c r="BI2023" s="30"/>
      <c r="BJ2023" s="30"/>
      <c r="BK2023" s="30"/>
      <c r="BL2023" s="30"/>
      <c r="BM2023" s="30"/>
      <c r="BN2023" s="30"/>
      <c r="BO2023" s="30"/>
      <c r="BP2023" s="30"/>
      <c r="BQ2023" s="30"/>
      <c r="BR2023" s="30"/>
      <c r="BS2023" s="30"/>
      <c r="BT2023" s="30"/>
      <c r="BU2023" s="30"/>
      <c r="BV2023" s="30"/>
      <c r="BW2023" s="30"/>
      <c r="BX2023" s="30"/>
      <c r="BY2023" s="30"/>
      <c r="BZ2023" s="544" t="b">
        <f>OR(BZ2016,Y2023=EUconst_NA)</f>
        <v>1</v>
      </c>
    </row>
    <row r="2024" spans="1:78" s="140" customFormat="1" ht="12.75" customHeight="1" thickBot="1" x14ac:dyDescent="0.25">
      <c r="A2024" s="777"/>
      <c r="B2024" s="1248"/>
      <c r="C2024" s="753" t="s">
        <v>448</v>
      </c>
      <c r="D2024" s="503" t="str">
        <f>Translations!$B$647</f>
        <v>Netvarios BioC dalis:</v>
      </c>
      <c r="E2024" s="504"/>
      <c r="F2024" s="588"/>
      <c r="G2024" s="1603" t="str">
        <f t="shared" si="504"/>
        <v/>
      </c>
      <c r="H2024" s="1604"/>
      <c r="I2024" s="1114" t="str">
        <f>IF(OR(AC2024=FALSE,Y2024=EUconst_NA),"","-")</f>
        <v/>
      </c>
      <c r="J2024" s="560"/>
      <c r="K2024" s="589" t="str">
        <f t="shared" si="505"/>
        <v/>
      </c>
      <c r="L2024" s="1100"/>
      <c r="M2024" s="700" t="str">
        <f>IF(AND(E2007&lt;&gt;"",OR(F2024="",COUNT(K2024:L2024)=0),Y2024&lt;&gt;EUconst_NA,T2007&lt;&gt;TRUE),EUconst_ERR_Incomplete,IF(COUNTIF(AX2024:AZ2024,TRUE)&gt;0,EUconst_ERR_Inconsistent,""))</f>
        <v/>
      </c>
      <c r="O2024" s="1305"/>
      <c r="P2024" s="635"/>
      <c r="Q2024" s="635"/>
      <c r="R2024" s="635"/>
      <c r="S2024" s="30"/>
      <c r="T2024" s="590" t="str">
        <f>EUconst_CNTR_BiomassContent&amp;E2007</f>
        <v>BioC_</v>
      </c>
      <c r="U2024" s="488"/>
      <c r="V2024" s="570" t="str">
        <f t="shared" si="510"/>
        <v/>
      </c>
      <c r="W2024" s="571" t="str">
        <f>IF(COUNTIF(MSPara_SourceStreamCategory,V2024)=0,"",INDEX(MSPara_IsFossil,MATCH(V2024,MSPara_SourceStreamCategory,0)))</f>
        <v/>
      </c>
      <c r="X2024" s="488"/>
      <c r="Y2024" s="591" t="str">
        <f>IF(OR(T2007=TRUE,E2007=""),"",IF(OR(W2024=TRUE,F2024=EUconst_NA),EUconst_NA,INDEX(EUwideConstants!$N:$N,MATCH(T2024,EUwideConstants!$Q:$Q,0))))</f>
        <v/>
      </c>
      <c r="Z2024" s="592" t="str">
        <f>IF(ISBLANK(F2024),"",IF(F2024=EUconst_NA,"",INDEX(EUwideConstants!$H:$M,MATCH(T2024,EUwideConstants!$Q:$Q,0),MATCH(F2024,CNTR_TierList,0))))</f>
        <v/>
      </c>
      <c r="AA2024" s="593" t="str">
        <f>IF(F2024=1,1,"")</f>
        <v/>
      </c>
      <c r="AB2024" s="30"/>
      <c r="AC2024" s="594" t="b">
        <f>AND(AC2016,Y2024&lt;&gt;EUconst_NA)</f>
        <v>0</v>
      </c>
      <c r="AD2024" s="30"/>
      <c r="AE2024" s="595"/>
      <c r="AF2024" s="596"/>
      <c r="AG2024" s="597"/>
      <c r="AH2024" s="598"/>
      <c r="AI2024" s="598"/>
      <c r="AJ2024" s="598"/>
      <c r="AK2024" s="599"/>
      <c r="AL2024" s="333"/>
      <c r="AM2024" s="600" t="str">
        <f>EUconst_CNTR_BiomassContent&amp;EUconst_Value</f>
        <v>BioC_Vertė</v>
      </c>
      <c r="AN2024" s="596"/>
      <c r="AO2024" s="601" t="str">
        <f>IF(AC2024=TRUE,IF(COUNTIF(MSPara_SourceStreamCategory,V2024)=0,"",INDEX(MSPara_CalcFactorsMatrix,MATCH(V2024,MSPara_SourceStreamCategory,0),MATCH(AM2024&amp;"_"&amp;2,MSPara_CalcFactors,0))),"")</f>
        <v/>
      </c>
      <c r="AP2024" s="598"/>
      <c r="AQ2024" s="602" t="str">
        <f>IF(OR(AA2024="",AO2024=EUconst_NA),"",AO2024)</f>
        <v/>
      </c>
      <c r="AR2024" s="594">
        <f>IF(AC2024=TRUE,IF(COUNT(K2024:L2024)=0,0,IF(L2024="",K2024,L2024)),0)</f>
        <v>0</v>
      </c>
      <c r="AS2024" s="603" t="b">
        <f>AND(AC2024=TRUE,OR(AND(F2024&lt;&gt;"",NOT(ISNUMBER(AA2024))),L2024&lt;&gt;"",F2024="",AQ2024=""))</f>
        <v>0</v>
      </c>
      <c r="AT2024" s="603" t="b">
        <f t="shared" si="506"/>
        <v>0</v>
      </c>
      <c r="AU2024" s="30"/>
      <c r="AV2024" s="604" t="b">
        <f t="shared" si="507"/>
        <v>0</v>
      </c>
      <c r="AW2024" s="605" t="b">
        <f t="shared" si="508"/>
        <v>0</v>
      </c>
      <c r="AX2024" s="30"/>
      <c r="AY2024" s="570" t="b">
        <f t="shared" si="509"/>
        <v>0</v>
      </c>
      <c r="AZ2024" s="571" t="b">
        <f>OR(AR2023&gt;100%,(AR2023+AR2024)&gt;100%)</f>
        <v>0</v>
      </c>
      <c r="BA2024" s="30"/>
      <c r="BB2024" s="30"/>
      <c r="BC2024" s="30"/>
      <c r="BD2024" s="30"/>
      <c r="BE2024" s="30"/>
      <c r="BF2024" s="30"/>
      <c r="BG2024" s="30"/>
      <c r="BH2024" s="30"/>
      <c r="BI2024" s="30"/>
      <c r="BJ2024" s="30"/>
      <c r="BK2024" s="30"/>
      <c r="BL2024" s="30"/>
      <c r="BM2024" s="30"/>
      <c r="BN2024" s="30"/>
      <c r="BO2024" s="30"/>
      <c r="BP2024" s="30"/>
      <c r="BQ2024" s="30"/>
      <c r="BR2024" s="30"/>
      <c r="BS2024" s="30"/>
      <c r="BT2024" s="30"/>
      <c r="BU2024" s="30"/>
      <c r="BV2024" s="30"/>
      <c r="BW2024" s="30"/>
      <c r="BX2024" s="30"/>
      <c r="BY2024" s="30"/>
      <c r="BZ2024" s="571" t="b">
        <f>OR(BZ2016,Y2024=EUconst_NA)</f>
        <v>1</v>
      </c>
    </row>
    <row r="2025" spans="1:78" s="140" customFormat="1" ht="5.0999999999999996" customHeight="1" x14ac:dyDescent="0.2">
      <c r="A2025" s="777"/>
      <c r="B2025" s="1248"/>
      <c r="C2025" s="164"/>
      <c r="D2025" s="178"/>
      <c r="O2025" s="1305"/>
      <c r="P2025" s="33"/>
      <c r="Q2025" s="33"/>
      <c r="R2025" s="33"/>
      <c r="S2025" s="172"/>
      <c r="T2025" s="30"/>
      <c r="U2025" s="30"/>
      <c r="V2025" s="30"/>
      <c r="W2025" s="30"/>
      <c r="X2025" s="30"/>
      <c r="Y2025" s="30"/>
      <c r="Z2025" s="30"/>
      <c r="AA2025" s="30"/>
      <c r="AB2025" s="30"/>
      <c r="AC2025" s="30"/>
      <c r="AD2025" s="30"/>
      <c r="AE2025" s="30"/>
      <c r="AF2025" s="30"/>
      <c r="AG2025" s="30"/>
      <c r="AH2025" s="30"/>
      <c r="AI2025" s="30"/>
      <c r="AJ2025" s="30"/>
      <c r="AK2025" s="30"/>
      <c r="AL2025" s="30"/>
      <c r="AM2025" s="30"/>
      <c r="AN2025" s="30"/>
      <c r="AO2025" s="30"/>
      <c r="AP2025" s="30"/>
      <c r="AQ2025" s="30"/>
      <c r="AR2025" s="30"/>
      <c r="AS2025" s="30"/>
      <c r="AT2025" s="30"/>
      <c r="AU2025" s="30"/>
      <c r="AV2025" s="30"/>
      <c r="AW2025" s="30"/>
      <c r="AX2025" s="30"/>
      <c r="AY2025" s="30"/>
      <c r="AZ2025" s="30"/>
      <c r="BA2025" s="30"/>
      <c r="BB2025" s="30"/>
      <c r="BC2025" s="30"/>
      <c r="BD2025" s="30"/>
      <c r="BE2025" s="30"/>
      <c r="BF2025" s="30"/>
      <c r="BG2025" s="30"/>
      <c r="BH2025" s="30"/>
      <c r="BI2025" s="30"/>
      <c r="BJ2025" s="30"/>
      <c r="BK2025" s="30"/>
      <c r="BL2025" s="30"/>
      <c r="BM2025" s="30"/>
      <c r="BN2025" s="30"/>
      <c r="BO2025" s="30"/>
      <c r="BP2025" s="30"/>
      <c r="BQ2025" s="30"/>
      <c r="BR2025" s="30"/>
      <c r="BS2025" s="30"/>
      <c r="BT2025" s="30"/>
      <c r="BU2025" s="30"/>
      <c r="BV2025" s="30"/>
      <c r="BW2025" s="30"/>
      <c r="BX2025" s="30"/>
      <c r="BY2025" s="30"/>
      <c r="BZ2025" s="30"/>
    </row>
    <row r="2026" spans="1:78" s="140" customFormat="1" ht="12.75" customHeight="1" x14ac:dyDescent="0.2">
      <c r="A2026" s="777"/>
      <c r="B2026" s="1248"/>
      <c r="C2026" s="164"/>
      <c r="D2026" s="1629" t="str">
        <f>Translations!$B$674</f>
        <v>Pakopos galioja nuo:</v>
      </c>
      <c r="E2026" s="1629"/>
      <c r="F2026" s="1630"/>
      <c r="G2026" s="1014"/>
      <c r="H2026" s="606" t="str">
        <f>Translations!$B$675</f>
        <v>iki:</v>
      </c>
      <c r="I2026" s="1014"/>
      <c r="J2026" s="1620" t="str">
        <f>Translations!$B$676</f>
        <v>Atliekų katalogo numeris (jeigu taikytina):</v>
      </c>
      <c r="K2026" s="1621"/>
      <c r="L2026" s="1621"/>
      <c r="M2026" s="1622"/>
      <c r="N2026" s="1232"/>
      <c r="O2026" s="1305"/>
      <c r="P2026" s="33"/>
      <c r="Q2026" s="33"/>
      <c r="R2026" s="33"/>
      <c r="S2026" s="1233"/>
      <c r="T2026" s="483"/>
      <c r="U2026" s="483"/>
      <c r="V2026" s="48" t="b">
        <f>IF(V2016="",FALSE,INDEX(CNTR_IsWaste,MATCH(V2016,MSParameters!$A$218:$A$376,0)))</f>
        <v>0</v>
      </c>
      <c r="W2026" s="1233" t="s">
        <v>1689</v>
      </c>
      <c r="X2026" s="30"/>
      <c r="Y2026" s="30"/>
      <c r="Z2026" s="30"/>
      <c r="AA2026" s="30"/>
      <c r="AB2026" s="30"/>
      <c r="AC2026" s="30"/>
      <c r="AD2026" s="30"/>
      <c r="AE2026" s="30"/>
      <c r="AF2026" s="30"/>
      <c r="AG2026" s="30"/>
      <c r="AH2026" s="30"/>
      <c r="AI2026" s="30"/>
      <c r="AJ2026" s="30"/>
      <c r="AK2026" s="30"/>
      <c r="AL2026" s="30"/>
      <c r="AM2026" s="30"/>
      <c r="AN2026" s="30"/>
      <c r="AO2026" s="30"/>
      <c r="AP2026" s="30"/>
      <c r="AQ2026" s="30"/>
      <c r="AR2026" s="30"/>
      <c r="AS2026" s="30"/>
      <c r="AT2026" s="30"/>
      <c r="AU2026" s="30"/>
      <c r="AV2026" s="30"/>
      <c r="AW2026" s="30"/>
      <c r="AX2026" s="30"/>
      <c r="AY2026" s="30"/>
      <c r="AZ2026" s="30"/>
      <c r="BA2026" s="30"/>
      <c r="BB2026" s="30"/>
      <c r="BC2026" s="30"/>
      <c r="BD2026" s="30"/>
      <c r="BE2026" s="30"/>
      <c r="BF2026" s="30"/>
      <c r="BG2026" s="30"/>
      <c r="BH2026" s="30"/>
      <c r="BI2026" s="30"/>
      <c r="BJ2026" s="30"/>
      <c r="BK2026" s="30"/>
      <c r="BL2026" s="30"/>
      <c r="BM2026" s="30"/>
      <c r="BN2026" s="30"/>
      <c r="BO2026" s="30"/>
      <c r="BP2026" s="30"/>
      <c r="BQ2026" s="30"/>
      <c r="BR2026" s="30"/>
      <c r="BS2026" s="30"/>
      <c r="BT2026" s="30"/>
      <c r="BU2026" s="30"/>
      <c r="BV2026" s="30"/>
      <c r="BW2026" s="30"/>
      <c r="BX2026" s="30"/>
      <c r="BY2026" s="30"/>
      <c r="BZ2026" s="32" t="b">
        <f>BZ2016</f>
        <v>1</v>
      </c>
    </row>
    <row r="2027" spans="1:78" s="140" customFormat="1" ht="5.0999999999999996" customHeight="1" x14ac:dyDescent="0.2">
      <c r="A2027" s="777"/>
      <c r="B2027" s="1248"/>
      <c r="C2027" s="164"/>
      <c r="D2027" s="606"/>
      <c r="E2027" s="486"/>
      <c r="F2027" s="486"/>
      <c r="G2027" s="486"/>
      <c r="H2027" s="486"/>
      <c r="I2027" s="486"/>
      <c r="J2027" s="486"/>
      <c r="K2027" s="486"/>
      <c r="L2027" s="486"/>
      <c r="M2027" s="486"/>
      <c r="N2027" s="486"/>
      <c r="O2027" s="1305"/>
      <c r="P2027" s="33"/>
      <c r="Q2027" s="33"/>
      <c r="R2027" s="33"/>
      <c r="S2027" s="172"/>
      <c r="T2027" s="30"/>
      <c r="U2027" s="30"/>
      <c r="V2027" s="30"/>
      <c r="W2027" s="30"/>
      <c r="X2027" s="30"/>
      <c r="Y2027" s="30"/>
      <c r="Z2027" s="30"/>
      <c r="AA2027" s="30"/>
      <c r="AB2027" s="30"/>
      <c r="AC2027" s="30"/>
      <c r="AD2027" s="30"/>
      <c r="AE2027" s="30"/>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30"/>
      <c r="BI2027" s="30"/>
      <c r="BJ2027" s="30"/>
      <c r="BK2027" s="30"/>
      <c r="BL2027" s="30"/>
      <c r="BM2027" s="30"/>
      <c r="BN2027" s="30"/>
      <c r="BO2027" s="30"/>
      <c r="BP2027" s="30"/>
      <c r="BQ2027" s="30"/>
      <c r="BR2027" s="30"/>
      <c r="BS2027" s="30"/>
      <c r="BT2027" s="30"/>
      <c r="BU2027" s="30"/>
      <c r="BV2027" s="30"/>
      <c r="BW2027" s="30"/>
      <c r="BX2027" s="30"/>
      <c r="BY2027" s="30"/>
      <c r="BZ2027" s="30"/>
    </row>
    <row r="2028" spans="1:78" s="140" customFormat="1" ht="12.75" customHeight="1" x14ac:dyDescent="0.2">
      <c r="A2028" s="777"/>
      <c r="B2028" s="1248"/>
      <c r="C2028" s="164"/>
      <c r="D2028" s="486"/>
      <c r="E2028" s="486"/>
      <c r="F2028" s="486"/>
      <c r="G2028" s="486"/>
      <c r="H2028" s="486"/>
      <c r="I2028" s="486"/>
      <c r="J2028" s="486"/>
      <c r="K2028" s="486"/>
      <c r="L2028" s="486"/>
      <c r="M2028" s="606" t="str">
        <f>Translations!$B$677</f>
        <v>Stebėsenos plane šiam sukėlikliui suteiktas identifikatorius:</v>
      </c>
      <c r="N2028" s="705"/>
      <c r="O2028" s="1305"/>
      <c r="P2028" s="33"/>
      <c r="Q2028" s="33"/>
      <c r="R2028" s="33"/>
      <c r="S2028" s="172"/>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c r="BZ2028" s="32" t="b">
        <f>BZ2026</f>
        <v>1</v>
      </c>
    </row>
    <row r="2029" spans="1:78" s="140" customFormat="1" ht="5.0999999999999996" customHeight="1" x14ac:dyDescent="0.2">
      <c r="A2029" s="784"/>
      <c r="B2029" s="1316"/>
      <c r="D2029" s="178"/>
      <c r="O2029" s="1317"/>
      <c r="P2029" s="488"/>
      <c r="Q2029" s="488"/>
      <c r="R2029" s="488"/>
      <c r="S2029" s="30"/>
      <c r="T2029" s="30"/>
      <c r="U2029" s="30"/>
      <c r="V2029" s="30"/>
      <c r="W2029" s="30"/>
      <c r="X2029" s="30"/>
      <c r="Y2029" s="30"/>
      <c r="Z2029" s="30"/>
      <c r="AA2029" s="30"/>
      <c r="AB2029" s="30"/>
      <c r="AC2029" s="30"/>
      <c r="AD2029" s="30"/>
      <c r="AE2029" s="30"/>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c r="BZ2029" s="30"/>
    </row>
    <row r="2030" spans="1:78" s="140" customFormat="1" x14ac:dyDescent="0.2">
      <c r="A2030" s="784"/>
      <c r="B2030" s="1316"/>
      <c r="D2030" s="1618" t="str">
        <f>Translations!$B$160</f>
        <v>Pastabos:</v>
      </c>
      <c r="E2030" s="1619"/>
      <c r="F2030" s="1605"/>
      <c r="G2030" s="1606"/>
      <c r="H2030" s="1606"/>
      <c r="I2030" s="1606"/>
      <c r="J2030" s="1606"/>
      <c r="K2030" s="1606"/>
      <c r="L2030" s="1606"/>
      <c r="M2030" s="1606"/>
      <c r="N2030" s="1607"/>
      <c r="O2030" s="1317"/>
      <c r="P2030" s="488"/>
      <c r="Q2030" s="488"/>
      <c r="R2030" s="488"/>
      <c r="S2030" s="30"/>
      <c r="T2030" s="30"/>
      <c r="U2030" s="30"/>
      <c r="V2030" s="30"/>
      <c r="W2030" s="30"/>
      <c r="X2030" s="30"/>
      <c r="Y2030" s="30"/>
      <c r="Z2030" s="30"/>
      <c r="AA2030" s="30"/>
      <c r="AB2030" s="30"/>
      <c r="AC2030" s="30"/>
      <c r="AD2030" s="30"/>
      <c r="AE2030" s="30"/>
      <c r="AF2030" s="30"/>
      <c r="AG2030" s="30"/>
      <c r="AH2030" s="30"/>
      <c r="AI2030" s="30"/>
      <c r="AJ2030" s="30"/>
      <c r="AK2030" s="30"/>
      <c r="AL2030" s="30"/>
      <c r="AM2030" s="30"/>
      <c r="AN2030" s="30"/>
      <c r="AO2030" s="30"/>
      <c r="AP2030" s="30"/>
      <c r="AQ2030" s="30"/>
      <c r="AR2030" s="30"/>
      <c r="AS2030" s="30"/>
      <c r="AT2030" s="30"/>
      <c r="AU2030" s="30"/>
      <c r="AV2030" s="30"/>
      <c r="AW2030" s="30"/>
      <c r="AX2030" s="30"/>
      <c r="AY2030" s="30"/>
      <c r="AZ2030" s="30"/>
      <c r="BA2030" s="30"/>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c r="BZ2030" s="32" t="b">
        <f>BZ2026</f>
        <v>1</v>
      </c>
    </row>
    <row r="2031" spans="1:78" s="28" customFormat="1" ht="12.75" customHeight="1" thickBot="1" x14ac:dyDescent="0.25">
      <c r="A2031" s="777"/>
      <c r="B2031" s="1312"/>
      <c r="C2031" s="490"/>
      <c r="D2031" s="491"/>
      <c r="E2031" s="492"/>
      <c r="F2031" s="490"/>
      <c r="G2031" s="493"/>
      <c r="H2031" s="493"/>
      <c r="I2031" s="493"/>
      <c r="J2031" s="493"/>
      <c r="K2031" s="493"/>
      <c r="L2031" s="493"/>
      <c r="M2031" s="493"/>
      <c r="N2031" s="493"/>
      <c r="O2031" s="1313"/>
      <c r="P2031" s="485"/>
      <c r="Q2031" s="485"/>
      <c r="R2031" s="485"/>
      <c r="S2031" s="58"/>
      <c r="T2031" s="58"/>
      <c r="U2031" s="489"/>
      <c r="V2031" s="58"/>
      <c r="W2031" s="58"/>
      <c r="X2031" s="489"/>
      <c r="Y2031" s="58"/>
      <c r="Z2031" s="58"/>
      <c r="AA2031" s="58"/>
      <c r="AB2031" s="58"/>
      <c r="AC2031" s="58"/>
      <c r="AD2031" s="58"/>
      <c r="AE2031" s="58"/>
      <c r="AF2031" s="58"/>
      <c r="AG2031" s="58"/>
      <c r="AH2031" s="58"/>
      <c r="AI2031" s="58"/>
      <c r="AJ2031" s="58"/>
      <c r="AK2031" s="58"/>
      <c r="AL2031" s="58"/>
      <c r="AM2031" s="58"/>
      <c r="AN2031" s="58"/>
      <c r="AO2031" s="58"/>
      <c r="AP2031" s="58"/>
      <c r="AQ2031" s="58"/>
      <c r="AR2031" s="58"/>
      <c r="AS2031" s="58"/>
      <c r="AT2031" s="58"/>
      <c r="AU2031" s="58"/>
      <c r="AV2031" s="58"/>
      <c r="AW2031" s="58"/>
      <c r="AX2031" s="58"/>
      <c r="AY2031" s="58"/>
      <c r="AZ2031" s="58"/>
      <c r="BA2031" s="58"/>
      <c r="BB2031" s="58"/>
      <c r="BC2031" s="58"/>
      <c r="BD2031" s="58"/>
      <c r="BE2031" s="58"/>
      <c r="BF2031" s="58"/>
      <c r="BG2031" s="58"/>
      <c r="BH2031" s="58"/>
      <c r="BI2031" s="30"/>
      <c r="BJ2031" s="30"/>
      <c r="BK2031" s="30"/>
      <c r="BL2031" s="58"/>
      <c r="BM2031" s="58"/>
      <c r="BN2031" s="58"/>
      <c r="BO2031" s="58"/>
      <c r="BP2031" s="58"/>
      <c r="BQ2031" s="58"/>
      <c r="BR2031" s="58"/>
      <c r="BS2031" s="58"/>
      <c r="BT2031" s="58"/>
      <c r="BU2031" s="58"/>
      <c r="BV2031" s="58"/>
      <c r="BW2031" s="58"/>
      <c r="BX2031" s="58"/>
      <c r="BY2031" s="58"/>
      <c r="BZ2031" s="58"/>
    </row>
    <row r="2032" spans="1:78" s="28" customFormat="1" ht="12.75" customHeight="1" thickBot="1" x14ac:dyDescent="0.25">
      <c r="A2032" s="782"/>
      <c r="B2032" s="1312"/>
      <c r="C2032" s="486"/>
      <c r="D2032" s="178"/>
      <c r="E2032" s="487"/>
      <c r="F2032" s="486"/>
      <c r="G2032" s="478"/>
      <c r="H2032" s="478"/>
      <c r="I2032" s="478"/>
      <c r="J2032" s="478"/>
      <c r="K2032" s="486"/>
      <c r="L2032" s="478"/>
      <c r="M2032" s="478"/>
      <c r="N2032" s="478"/>
      <c r="O2032" s="1313"/>
      <c r="P2032" s="485"/>
      <c r="Q2032" s="485"/>
      <c r="R2032" s="485"/>
      <c r="S2032" s="23"/>
      <c r="T2032" s="27" t="str">
        <f>IF(ISBLANK(E2033),"",MATCH(E2033,CNTR_SourceStreamNames,0))</f>
        <v/>
      </c>
      <c r="U2032" s="609" t="str">
        <f>IF(ISBLANK(E2033),"",INDEX(B_InstallationDescription!$D$71:$D$145,MATCH(E2033,CNTR_SourceStreamNames,0)))</f>
        <v/>
      </c>
      <c r="V2032" s="76"/>
      <c r="W2032" s="56"/>
      <c r="X2032" s="56"/>
      <c r="Y2032" s="56"/>
      <c r="Z2032" s="58"/>
      <c r="AA2032" s="58"/>
      <c r="AB2032" s="58"/>
      <c r="AC2032" s="58"/>
      <c r="AD2032" s="58"/>
      <c r="AE2032" s="58"/>
      <c r="AF2032" s="58"/>
      <c r="AG2032" s="58"/>
      <c r="AH2032" s="58"/>
      <c r="AI2032" s="58"/>
      <c r="AJ2032" s="58"/>
      <c r="AK2032" s="482"/>
      <c r="AL2032" s="58"/>
      <c r="AM2032" s="58"/>
      <c r="AN2032" s="58"/>
      <c r="AO2032" s="58"/>
      <c r="AP2032" s="58"/>
      <c r="AQ2032" s="58"/>
      <c r="AR2032" s="58"/>
      <c r="AS2032" s="58"/>
      <c r="AT2032" s="58"/>
      <c r="AU2032" s="58"/>
      <c r="AV2032" s="58"/>
      <c r="AW2032" s="58"/>
      <c r="AX2032" s="58"/>
      <c r="AY2032" s="58"/>
      <c r="AZ2032" s="58"/>
      <c r="BA2032" s="58"/>
      <c r="BB2032" s="58"/>
      <c r="BC2032" s="58"/>
      <c r="BD2032" s="58"/>
      <c r="BE2032" s="58"/>
      <c r="BF2032" s="58"/>
      <c r="BG2032" s="58"/>
      <c r="BH2032" s="56"/>
      <c r="BI2032" s="56"/>
      <c r="BJ2032" s="56"/>
      <c r="BK2032" s="56"/>
      <c r="BL2032" s="56"/>
      <c r="BM2032" s="56"/>
      <c r="BN2032" s="56"/>
      <c r="BO2032" s="56"/>
      <c r="BP2032" s="56"/>
      <c r="BQ2032" s="56"/>
      <c r="BR2032" s="56"/>
      <c r="BS2032" s="56"/>
      <c r="BT2032" s="56"/>
      <c r="BU2032" s="56"/>
      <c r="BV2032" s="56"/>
      <c r="BW2032" s="56"/>
      <c r="BX2032" s="56"/>
      <c r="BY2032" s="56"/>
      <c r="BZ2032" s="484" t="s">
        <v>259</v>
      </c>
    </row>
    <row r="2033" spans="1:78" s="140" customFormat="1" ht="15" customHeight="1" thickBot="1" x14ac:dyDescent="0.25">
      <c r="A2033" s="1302" t="str">
        <f>IF(E2033="","","PRINT")</f>
        <v/>
      </c>
      <c r="B2033" s="1248"/>
      <c r="C2033" s="608">
        <f>C2006+1</f>
        <v>74</v>
      </c>
      <c r="D2033" s="164"/>
      <c r="E2033" s="1610"/>
      <c r="F2033" s="1611"/>
      <c r="G2033" s="1611"/>
      <c r="H2033" s="1611"/>
      <c r="I2033" s="1611"/>
      <c r="J2033" s="1612"/>
      <c r="K2033" s="1623" t="str">
        <f>IF(E2034="","",INDEX(EUwideConstants!$F$353:$F$394,MATCH(E2034,EUConst_TierActivityListNames,0)))</f>
        <v/>
      </c>
      <c r="L2033" s="1624"/>
      <c r="M2033" s="494" t="str">
        <f>Translations!$B$665</f>
        <v>CO2, iškastinio kuro kilmės:</v>
      </c>
      <c r="N2033" s="1012" t="str">
        <f>IF(OR(K2033="",T2034=TRUE),"",INDEX(BC2047:BE2047,MATCH(K2033,BC2043:BE2043,0)))</f>
        <v/>
      </c>
      <c r="O2033" s="1314" t="s">
        <v>257</v>
      </c>
      <c r="P2033" s="1303" t="str">
        <f>IF(AND(E2033&lt;&gt;"",COUNTIF(P2034:$P$2089,"PRINT")=0),"PRINT","")</f>
        <v/>
      </c>
      <c r="Q2033" s="343" t="str">
        <f>EUconst_SumCO2 &amp; "_" &amp; K2033</f>
        <v>SUM_CO2_</v>
      </c>
      <c r="R2033" s="485"/>
      <c r="S2033" s="23"/>
      <c r="T2033" s="500" t="s">
        <v>387</v>
      </c>
      <c r="U2033" s="23"/>
      <c r="V2033" s="76"/>
      <c r="W2033" s="56"/>
      <c r="X2033" s="58"/>
      <c r="Y2033" s="58"/>
      <c r="Z2033" s="58"/>
      <c r="AA2033" s="58"/>
      <c r="AB2033" s="58"/>
      <c r="AC2033" s="58"/>
      <c r="AD2033" s="58"/>
      <c r="AE2033" s="58"/>
      <c r="AF2033" s="58"/>
      <c r="AG2033" s="58"/>
      <c r="AH2033" s="58"/>
      <c r="AI2033" s="333"/>
      <c r="AJ2033" s="333"/>
      <c r="AK2033" s="333"/>
      <c r="AL2033" s="333"/>
      <c r="AM2033" s="333"/>
      <c r="AN2033" s="333"/>
      <c r="AO2033" s="333"/>
      <c r="AP2033" s="333"/>
      <c r="AQ2033" s="333"/>
      <c r="AR2033" s="333"/>
      <c r="AS2033" s="333"/>
      <c r="AT2033" s="333"/>
      <c r="AU2033" s="333"/>
      <c r="AV2033" s="333"/>
      <c r="AW2033" s="333"/>
      <c r="AX2033" s="333"/>
      <c r="AY2033" s="333"/>
      <c r="AZ2033" s="333"/>
      <c r="BA2033" s="333"/>
      <c r="BB2033" s="333"/>
      <c r="BC2033" s="333"/>
      <c r="BD2033" s="333"/>
      <c r="BE2033" s="333"/>
      <c r="BF2033" s="333"/>
      <c r="BG2033" s="333"/>
      <c r="BH2033" s="834">
        <f>AR2043</f>
        <v>0</v>
      </c>
      <c r="BI2033" s="834" t="str">
        <f>AJ2043</f>
        <v/>
      </c>
      <c r="BJ2033" s="834">
        <f>AR2045</f>
        <v>0</v>
      </c>
      <c r="BK2033" s="834" t="str">
        <f>AJ2045</f>
        <v/>
      </c>
      <c r="BL2033" s="834">
        <f>AR2046</f>
        <v>0</v>
      </c>
      <c r="BM2033" s="834" t="str">
        <f>AJ2046</f>
        <v/>
      </c>
      <c r="BN2033" s="834">
        <f>AR2047</f>
        <v>1</v>
      </c>
      <c r="BO2033" s="834">
        <f>AR2048</f>
        <v>1</v>
      </c>
      <c r="BP2033" s="834">
        <f>AR2049</f>
        <v>0</v>
      </c>
      <c r="BQ2033" s="834" t="str">
        <f>AJ2049</f>
        <v/>
      </c>
      <c r="BR2033" s="834">
        <f>AR2050</f>
        <v>0</v>
      </c>
      <c r="BS2033" s="834">
        <f>AR2051</f>
        <v>0</v>
      </c>
      <c r="BT2033" s="834" t="str">
        <f>N2033</f>
        <v/>
      </c>
      <c r="BU2033" s="834" t="str">
        <f>N2034</f>
        <v/>
      </c>
      <c r="BV2033" s="834" t="str">
        <f>R2036</f>
        <v/>
      </c>
      <c r="BW2033" s="834" t="str">
        <f>R2042</f>
        <v/>
      </c>
      <c r="BX2033" s="834" t="str">
        <f>R2043</f>
        <v/>
      </c>
      <c r="BY2033" s="56"/>
      <c r="BZ2033" s="610" t="b">
        <f>CNTR_CalcRelevant=EUconst_NotRelevant</f>
        <v>0</v>
      </c>
    </row>
    <row r="2034" spans="1:78" s="140" customFormat="1" ht="15" customHeight="1" thickBot="1" x14ac:dyDescent="0.25">
      <c r="A2034" s="777"/>
      <c r="B2034" s="1248"/>
      <c r="C2034" s="164"/>
      <c r="D2034" s="164"/>
      <c r="E2034" s="1625" t="str">
        <f>IF(ISBLANK(E2033),"",IF(INDEX(B_InstallationDescription!$E$71:$E$145,MATCH(U2032,B_InstallationDescription!$D$71:$D$145,0))&gt;0,INDEX(B_InstallationDescription!$E$71:$E$145,MATCH(U2032,B_InstallationDescription!$D$71:$D$145,0)),""))</f>
        <v/>
      </c>
      <c r="F2034" s="1626"/>
      <c r="G2034" s="1626"/>
      <c r="H2034" s="1626"/>
      <c r="I2034" s="1626"/>
      <c r="J2034" s="1627"/>
      <c r="M2034" s="337" t="str">
        <f>Translations!$B$666</f>
        <v>CO2, biomasės kilmės.:</v>
      </c>
      <c r="N2034" s="1013" t="str">
        <f>IF(OR(K2033="",T2034=TRUE),"",INDEX(BC2046:BE2046,MATCH(K2033,BC2043:BE2043,0)))</f>
        <v/>
      </c>
      <c r="O2034" s="1315" t="s">
        <v>257</v>
      </c>
      <c r="P2034" s="485"/>
      <c r="Q2034" s="343" t="str">
        <f>EUconst_SumBioCO2 &amp; "_" &amp; K2033</f>
        <v>SUM_bioCO2_</v>
      </c>
      <c r="R2034" s="485"/>
      <c r="S2034" s="23"/>
      <c r="T2034" s="48" t="str">
        <f>IF(E2034="","",MATCH(E2034,EUConst_TierActivityListNames,0)&gt;40)</f>
        <v/>
      </c>
      <c r="U2034" s="23"/>
      <c r="V2034" s="76"/>
      <c r="W2034" s="56"/>
      <c r="X2034" s="58"/>
      <c r="Y2034" s="27" t="s">
        <v>91</v>
      </c>
      <c r="Z2034" s="30"/>
      <c r="AA2034" s="30"/>
      <c r="AB2034" s="30"/>
      <c r="AC2034" s="30"/>
      <c r="AD2034" s="30"/>
      <c r="AE2034" s="27" t="s">
        <v>297</v>
      </c>
      <c r="AF2034" s="58"/>
      <c r="AG2034" s="495"/>
      <c r="AH2034" s="30"/>
      <c r="AI2034" s="30"/>
      <c r="AJ2034" s="495"/>
      <c r="AK2034" s="495"/>
      <c r="AL2034" s="333"/>
      <c r="AM2034" s="27" t="s">
        <v>303</v>
      </c>
      <c r="AN2034" s="496"/>
      <c r="AO2034" s="496"/>
      <c r="AP2034" s="30"/>
      <c r="AQ2034" s="30"/>
      <c r="AR2034" s="30"/>
      <c r="AS2034" s="30"/>
      <c r="AT2034" s="30"/>
      <c r="AU2034" s="30"/>
      <c r="AV2034" s="27" t="s">
        <v>310</v>
      </c>
      <c r="AW2034" s="30"/>
      <c r="AX2034" s="483"/>
      <c r="AY2034" s="30"/>
      <c r="AZ2034" s="30"/>
      <c r="BA2034" s="30"/>
      <c r="BB2034" s="27" t="s">
        <v>217</v>
      </c>
      <c r="BC2034" s="30"/>
      <c r="BD2034" s="30"/>
      <c r="BE2034" s="30"/>
      <c r="BF2034" s="30"/>
      <c r="BG2034" s="27" t="s">
        <v>486</v>
      </c>
      <c r="BH2034" s="833" t="s">
        <v>552</v>
      </c>
      <c r="BI2034" s="833" t="s">
        <v>487</v>
      </c>
      <c r="BJ2034" s="833" t="s">
        <v>211</v>
      </c>
      <c r="BK2034" s="833" t="s">
        <v>488</v>
      </c>
      <c r="BL2034" s="833" t="s">
        <v>68</v>
      </c>
      <c r="BM2034" s="833" t="s">
        <v>489</v>
      </c>
      <c r="BN2034" s="833" t="s">
        <v>490</v>
      </c>
      <c r="BO2034" s="833" t="s">
        <v>491</v>
      </c>
      <c r="BP2034" s="833" t="s">
        <v>214</v>
      </c>
      <c r="BQ2034" s="833" t="s">
        <v>492</v>
      </c>
      <c r="BR2034" s="833" t="s">
        <v>493</v>
      </c>
      <c r="BS2034" s="833" t="s">
        <v>494</v>
      </c>
      <c r="BT2034" s="833" t="s">
        <v>287</v>
      </c>
      <c r="BU2034" s="833" t="s">
        <v>495</v>
      </c>
      <c r="BV2034" s="833" t="s">
        <v>498</v>
      </c>
      <c r="BW2034" s="833" t="s">
        <v>496</v>
      </c>
      <c r="BX2034" s="833" t="s">
        <v>497</v>
      </c>
      <c r="BY2034" s="30"/>
      <c r="BZ2034" s="30"/>
    </row>
    <row r="2035" spans="1:78" s="140" customFormat="1" ht="5.0999999999999996" customHeight="1" thickBot="1" x14ac:dyDescent="0.25">
      <c r="A2035" s="777"/>
      <c r="B2035" s="1248"/>
      <c r="C2035" s="164"/>
      <c r="D2035" s="164"/>
      <c r="E2035" s="164"/>
      <c r="F2035" s="164"/>
      <c r="G2035" s="164"/>
      <c r="M2035" s="141"/>
      <c r="N2035" s="141"/>
      <c r="O2035" s="1305"/>
      <c r="P2035" s="33"/>
      <c r="Q2035" s="33"/>
      <c r="R2035" s="33"/>
      <c r="S2035" s="23"/>
      <c r="T2035" s="23"/>
      <c r="U2035" s="23"/>
      <c r="V2035" s="76"/>
      <c r="W2035" s="30"/>
      <c r="X2035" s="30"/>
      <c r="Y2035" s="485"/>
      <c r="Z2035" s="30"/>
      <c r="AA2035" s="30"/>
      <c r="AB2035" s="30"/>
      <c r="AC2035" s="30"/>
      <c r="AD2035" s="30"/>
      <c r="AE2035" s="30"/>
      <c r="AF2035" s="58"/>
      <c r="AG2035" s="30"/>
      <c r="AH2035" s="30"/>
      <c r="AI2035" s="30"/>
      <c r="AJ2035" s="495"/>
      <c r="AK2035" s="495"/>
      <c r="AL2035" s="333"/>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c r="BZ2035" s="30"/>
    </row>
    <row r="2036" spans="1:78" s="140" customFormat="1" ht="12.75" customHeight="1" thickBot="1" x14ac:dyDescent="0.25">
      <c r="A2036" s="777"/>
      <c r="B2036" s="1248"/>
      <c r="C2036" s="164"/>
      <c r="D2036" s="164"/>
      <c r="E2036" s="1628" t="str">
        <f>IF(E2033="","",IF(T2034=TRUE,HYPERLINK("#JUMP_14",EUconst_MsgGoOnPFC),HYPERLINK("#JUMP_E_8",EUconst_FurtherGuidancePoint1)))</f>
        <v/>
      </c>
      <c r="F2036" s="1628"/>
      <c r="G2036" s="1628"/>
      <c r="H2036" s="1628"/>
      <c r="I2036" s="1628"/>
      <c r="J2036" s="1628"/>
      <c r="K2036" s="1628"/>
      <c r="L2036" s="1628"/>
      <c r="M2036" s="1628"/>
      <c r="N2036" s="141"/>
      <c r="O2036" s="1305"/>
      <c r="P2036" s="33"/>
      <c r="Q2036" s="343" t="str">
        <f>EUconst_SumNonSustBioCO2 &amp; "_" &amp; K2033</f>
        <v>SUM_bioNonSustCO2_</v>
      </c>
      <c r="R2036" s="698" t="str">
        <f>IF(OR(K2033="",T2034=TRUE),"",ROUND(INDEX(BC2045:BE2045,MATCH(K2033,BC2043:BE2043,0)),0))</f>
        <v/>
      </c>
      <c r="S2036" s="23"/>
      <c r="T2036" s="23"/>
      <c r="U2036" s="23"/>
      <c r="V2036" s="30"/>
      <c r="W2036" s="30"/>
      <c r="X2036" s="30"/>
      <c r="Y2036" s="58"/>
      <c r="Z2036" s="30"/>
      <c r="AA2036" s="30"/>
      <c r="AB2036" s="30"/>
      <c r="AC2036" s="30"/>
      <c r="AD2036" s="30"/>
      <c r="AE2036" s="30"/>
      <c r="AF2036" s="58"/>
      <c r="AG2036" s="30"/>
      <c r="AH2036" s="30"/>
      <c r="AI2036" s="30"/>
      <c r="AJ2036" s="495"/>
      <c r="AK2036" s="495"/>
      <c r="AL2036" s="333"/>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c r="BZ2036" s="30"/>
    </row>
    <row r="2037" spans="1:78" s="140" customFormat="1" ht="5.0999999999999996" customHeight="1" thickBot="1" x14ac:dyDescent="0.25">
      <c r="A2037" s="777"/>
      <c r="B2037" s="1248"/>
      <c r="C2037" s="164"/>
      <c r="D2037" s="164"/>
      <c r="E2037" s="164"/>
      <c r="F2037" s="164"/>
      <c r="G2037" s="164"/>
      <c r="M2037" s="141"/>
      <c r="N2037" s="141"/>
      <c r="O2037" s="1305"/>
      <c r="P2037" s="23"/>
      <c r="Q2037" s="23"/>
      <c r="R2037" s="23"/>
      <c r="S2037" s="23"/>
      <c r="T2037" s="23"/>
      <c r="U2037" s="23"/>
      <c r="V2037" s="30"/>
      <c r="W2037" s="30"/>
      <c r="X2037" s="30"/>
      <c r="Y2037" s="485"/>
      <c r="Z2037" s="30"/>
      <c r="AA2037" s="30"/>
      <c r="AB2037" s="30"/>
      <c r="AC2037" s="30"/>
      <c r="AD2037" s="30"/>
      <c r="AE2037" s="30"/>
      <c r="AF2037" s="58"/>
      <c r="AG2037" s="30"/>
      <c r="AH2037" s="30"/>
      <c r="AI2037" s="30"/>
      <c r="AJ2037" s="495"/>
      <c r="AK2037" s="495"/>
      <c r="AL2037" s="333"/>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row>
    <row r="2038" spans="1:78" s="140" customFormat="1" ht="12.75" customHeight="1" thickBot="1" x14ac:dyDescent="0.25">
      <c r="A2038" s="777"/>
      <c r="B2038" s="1248"/>
      <c r="C2038" s="783" t="s">
        <v>4</v>
      </c>
      <c r="D2038" s="503" t="str">
        <f>Translations!$B$622</f>
        <v>VD:</v>
      </c>
      <c r="E2038" s="1631" t="str">
        <f>Translations!$B$667</f>
        <v>Ar veiklos duomenys gaunami sudedant išmatuotus kiekius (t. y. ne atliekant nuolatinius matavimus)?</v>
      </c>
      <c r="F2038" s="1631"/>
      <c r="G2038" s="1631"/>
      <c r="H2038" s="1631"/>
      <c r="I2038" s="1631"/>
      <c r="J2038" s="1631"/>
      <c r="K2038" s="1631"/>
      <c r="L2038" s="1122"/>
      <c r="M2038" s="498"/>
      <c r="O2038" s="1305"/>
      <c r="P2038" s="23"/>
      <c r="Q2038" s="23"/>
      <c r="R2038" s="23"/>
      <c r="S2038" s="23"/>
      <c r="T2038" s="23"/>
      <c r="U2038" s="23"/>
      <c r="V2038" s="30"/>
      <c r="W2038" s="30"/>
      <c r="X2038" s="30"/>
      <c r="Y2038" s="485"/>
      <c r="Z2038" s="30"/>
      <c r="AA2038" s="30"/>
      <c r="AB2038" s="30"/>
      <c r="AC2038" s="1115" t="b">
        <f>AND(E2033&lt;&gt;"",T2034&lt;&gt;TRUE)</f>
        <v>0</v>
      </c>
      <c r="AD2038" s="30"/>
      <c r="AE2038" s="30"/>
      <c r="AF2038" s="58"/>
      <c r="AG2038" s="30"/>
      <c r="AH2038" s="30"/>
      <c r="AI2038" s="30"/>
      <c r="AJ2038" s="495"/>
      <c r="AK2038" s="495"/>
      <c r="AL2038" s="333"/>
      <c r="AM2038" s="30"/>
      <c r="AN2038" s="30"/>
      <c r="AO2038" s="30"/>
      <c r="AP2038" s="30"/>
      <c r="AQ2038" s="30"/>
      <c r="AR2038" s="30"/>
      <c r="AS2038" s="30"/>
      <c r="AT2038" s="1115" t="b">
        <f>MSPara_BatchReportingMandatory&lt;&gt;TRUE</f>
        <v>0</v>
      </c>
      <c r="AU2038" s="30"/>
      <c r="AV2038" s="30"/>
      <c r="AW2038" s="30"/>
      <c r="AX2038" s="30"/>
      <c r="AY2038" s="30"/>
      <c r="AZ2038" s="30"/>
      <c r="BA2038" s="30"/>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1115" t="b">
        <f>OR(CNTR_CalcRelevant=EUconst_NotRelevant,AND(COUNTA(CNTR_ListRelevantSections)&gt;0,OR(T2034=TRUE,E2033="")))</f>
        <v>1</v>
      </c>
    </row>
    <row r="2039" spans="1:78" s="140" customFormat="1" ht="5.0999999999999996" customHeight="1" thickBot="1" x14ac:dyDescent="0.25">
      <c r="A2039" s="777"/>
      <c r="B2039" s="1248"/>
      <c r="C2039" s="164"/>
      <c r="D2039" s="164"/>
      <c r="E2039" s="164"/>
      <c r="F2039" s="164"/>
      <c r="G2039" s="164"/>
      <c r="H2039" s="486"/>
      <c r="I2039" s="486"/>
      <c r="J2039" s="486"/>
      <c r="K2039" s="486"/>
      <c r="L2039" s="486"/>
      <c r="M2039" s="498"/>
      <c r="O2039" s="1305"/>
      <c r="P2039" s="23"/>
      <c r="Q2039" s="23"/>
      <c r="R2039" s="23"/>
      <c r="S2039" s="23"/>
      <c r="T2039" s="23"/>
      <c r="U2039" s="23"/>
      <c r="V2039" s="30"/>
      <c r="W2039" s="30"/>
      <c r="X2039" s="30"/>
      <c r="Y2039" s="485"/>
      <c r="Z2039" s="30"/>
      <c r="AA2039" s="30"/>
      <c r="AB2039" s="30"/>
      <c r="AC2039" s="483"/>
      <c r="AD2039" s="30"/>
      <c r="AE2039" s="30"/>
      <c r="AF2039" s="58"/>
      <c r="AG2039" s="30"/>
      <c r="AH2039" s="30"/>
      <c r="AI2039" s="30"/>
      <c r="AJ2039" s="495"/>
      <c r="AK2039" s="495"/>
      <c r="AL2039" s="333"/>
      <c r="AM2039" s="30"/>
      <c r="AN2039" s="30"/>
      <c r="AO2039" s="30"/>
      <c r="AP2039" s="30"/>
      <c r="AQ2039" s="30"/>
      <c r="AR2039" s="30"/>
      <c r="AS2039" s="30"/>
      <c r="AT2039" s="483"/>
      <c r="AU2039" s="30"/>
      <c r="AV2039" s="30"/>
      <c r="AW2039" s="30"/>
      <c r="AX2039" s="30"/>
      <c r="AY2039" s="30"/>
      <c r="AZ2039" s="30"/>
      <c r="BA2039" s="30"/>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483"/>
    </row>
    <row r="2040" spans="1:78" s="140" customFormat="1" ht="12.75" customHeight="1" thickBot="1" x14ac:dyDescent="0.25">
      <c r="A2040" s="777"/>
      <c r="B2040" s="1248"/>
      <c r="C2040" s="783" t="s">
        <v>5</v>
      </c>
      <c r="D2040" s="503" t="str">
        <f>Translations!$B$622</f>
        <v>VD:</v>
      </c>
      <c r="E2040" s="1105" t="str">
        <f>Translations!$B$668</f>
        <v>Pradinis kiekis:</v>
      </c>
      <c r="F2040" s="1123"/>
      <c r="G2040" s="1106" t="str">
        <f>Translations!$B$669</f>
        <v>Galutinis kiekis:</v>
      </c>
      <c r="H2040" s="1123"/>
      <c r="I2040" s="1106" t="str">
        <f>Translations!$B$670</f>
        <v>Įsigytas kiekis:</v>
      </c>
      <c r="J2040" s="1123"/>
      <c r="K2040" s="1106" t="str">
        <f>Translations!$B$671</f>
        <v>Perduotas kiekis:</v>
      </c>
      <c r="L2040" s="1123"/>
      <c r="M2040" s="1107" t="str">
        <f>IF(AND(L2038=TRUE,COUNT(F2040,H2040,J2040,L2040)&lt;4),EUconst_ERR_Incomplete,"")</f>
        <v/>
      </c>
      <c r="O2040" s="1305"/>
      <c r="P2040" s="23"/>
      <c r="Q2040" s="23"/>
      <c r="R2040" s="23"/>
      <c r="S2040" s="23"/>
      <c r="T2040" s="23"/>
      <c r="U2040" s="23"/>
      <c r="V2040" s="30"/>
      <c r="W2040" s="30"/>
      <c r="X2040" s="30"/>
      <c r="Y2040" s="485"/>
      <c r="Z2040" s="30"/>
      <c r="AA2040" s="30"/>
      <c r="AB2040" s="30"/>
      <c r="AC2040" s="1115" t="b">
        <f>AC2038</f>
        <v>0</v>
      </c>
      <c r="AD2040" s="30"/>
      <c r="AE2040" s="30"/>
      <c r="AF2040" s="58"/>
      <c r="AG2040" s="30"/>
      <c r="AH2040" s="30"/>
      <c r="AI2040" s="30"/>
      <c r="AJ2040" s="495"/>
      <c r="AK2040" s="495"/>
      <c r="AL2040" s="333"/>
      <c r="AM2040" s="30"/>
      <c r="AN2040" s="30"/>
      <c r="AO2040" s="30"/>
      <c r="AP2040" s="30"/>
      <c r="AQ2040" s="30"/>
      <c r="AR2040" s="30"/>
      <c r="AS2040" s="30"/>
      <c r="AT2040" s="1115" t="b">
        <f>AND(AT2038=TRUE,L2038="")</f>
        <v>0</v>
      </c>
      <c r="AU2040" s="30"/>
      <c r="AV2040" s="30"/>
      <c r="AW2040" s="30"/>
      <c r="AX2040" s="30"/>
      <c r="AY2040" s="30"/>
      <c r="AZ2040" s="30"/>
      <c r="BA2040" s="30"/>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1115" t="b">
        <f>OR(BZ2038,AND(NOT(ISBLANK(L2038)),L2038=FALSE))</f>
        <v>1</v>
      </c>
    </row>
    <row r="2041" spans="1:78" s="140" customFormat="1" ht="5.0999999999999996" customHeight="1" thickBot="1" x14ac:dyDescent="0.25">
      <c r="A2041" s="777"/>
      <c r="B2041" s="1248"/>
      <c r="C2041" s="164"/>
      <c r="D2041" s="164"/>
      <c r="E2041" s="164"/>
      <c r="F2041" s="164"/>
      <c r="G2041" s="164"/>
      <c r="M2041" s="141"/>
      <c r="N2041" s="141"/>
      <c r="O2041" s="1305"/>
      <c r="P2041" s="23"/>
      <c r="Q2041" s="23"/>
      <c r="R2041" s="23"/>
      <c r="S2041" s="23"/>
      <c r="T2041" s="23"/>
      <c r="U2041" s="23"/>
      <c r="V2041" s="30"/>
      <c r="W2041" s="30"/>
      <c r="X2041" s="30"/>
      <c r="Y2041" s="485"/>
      <c r="Z2041" s="30"/>
      <c r="AA2041" s="30"/>
      <c r="AB2041" s="30"/>
      <c r="AC2041" s="30"/>
      <c r="AD2041" s="30"/>
      <c r="AE2041" s="30"/>
      <c r="AF2041" s="58"/>
      <c r="AG2041" s="30"/>
      <c r="AH2041" s="30"/>
      <c r="AI2041" s="30"/>
      <c r="AJ2041" s="495"/>
      <c r="AK2041" s="495"/>
      <c r="AL2041" s="333"/>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row>
    <row r="2042" spans="1:78" s="140" customFormat="1" ht="12.75" customHeight="1" thickBot="1" x14ac:dyDescent="0.25">
      <c r="A2042" s="777"/>
      <c r="B2042" s="1248"/>
      <c r="C2042" s="164"/>
      <c r="D2042" s="164"/>
      <c r="E2042" s="164"/>
      <c r="F2042" s="497" t="str">
        <f>Translations!$B$333</f>
        <v>Pakopa</v>
      </c>
      <c r="G2042" s="1613" t="str">
        <f>Translations!$B$672</f>
        <v>pakopos aprašas</v>
      </c>
      <c r="H2042" s="1613"/>
      <c r="I2042" s="1608" t="str">
        <f>Translations!$B$158</f>
        <v>Vienetas</v>
      </c>
      <c r="J2042" s="1608"/>
      <c r="K2042" s="1608" t="str">
        <f>Translations!$B$673</f>
        <v>Vertė</v>
      </c>
      <c r="L2042" s="1608"/>
      <c r="M2042" s="498" t="str">
        <f>Translations!$B$610</f>
        <v>klaida</v>
      </c>
      <c r="O2042" s="1305"/>
      <c r="P2042" s="499"/>
      <c r="Q2042" s="343" t="str">
        <f>EUconst_SumEnergyIN &amp; "_" &amp; K2033</f>
        <v>SUM_EnergyIN_</v>
      </c>
      <c r="R2042" s="390" t="str">
        <f>IF(OR(K2033="",T2034)=TRUE,"",INDEX(BC2048:BE2048,MATCH(K2033,BC2043:BE2043,0)))</f>
        <v/>
      </c>
      <c r="S2042" s="30"/>
      <c r="T2042" s="480"/>
      <c r="U2042" s="30"/>
      <c r="V2042" s="500" t="s">
        <v>298</v>
      </c>
      <c r="W2042" s="30"/>
      <c r="X2042" s="30"/>
      <c r="Y2042" s="485" t="s">
        <v>560</v>
      </c>
      <c r="Z2042" s="485" t="s">
        <v>313</v>
      </c>
      <c r="AA2042" s="30"/>
      <c r="AB2042" s="30"/>
      <c r="AC2042" s="496" t="s">
        <v>304</v>
      </c>
      <c r="AD2042" s="30"/>
      <c r="AE2042" s="30"/>
      <c r="AF2042" s="483" t="s">
        <v>300</v>
      </c>
      <c r="AG2042" s="483" t="s">
        <v>301</v>
      </c>
      <c r="AH2042" s="485" t="s">
        <v>299</v>
      </c>
      <c r="AI2042" s="495" t="s">
        <v>302</v>
      </c>
      <c r="AJ2042" s="495" t="s">
        <v>561</v>
      </c>
      <c r="AK2042" s="501" t="s">
        <v>306</v>
      </c>
      <c r="AL2042" s="333"/>
      <c r="AM2042" s="30"/>
      <c r="AN2042" s="483" t="s">
        <v>300</v>
      </c>
      <c r="AO2042" s="483" t="s">
        <v>301</v>
      </c>
      <c r="AP2042" s="502" t="s">
        <v>305</v>
      </c>
      <c r="AQ2042" s="495" t="s">
        <v>563</v>
      </c>
      <c r="AR2042" s="495" t="s">
        <v>562</v>
      </c>
      <c r="AS2042" s="501" t="s">
        <v>599</v>
      </c>
      <c r="AT2042" s="501" t="s">
        <v>599</v>
      </c>
      <c r="AU2042" s="30"/>
      <c r="AV2042" s="483"/>
      <c r="AW2042" s="483"/>
      <c r="AX2042" s="483" t="s">
        <v>316</v>
      </c>
      <c r="AY2042" s="483"/>
      <c r="AZ2042" s="483"/>
      <c r="BA2042" s="483"/>
      <c r="BB2042" s="483"/>
      <c r="BC2042" s="483"/>
      <c r="BD2042" s="483"/>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484" t="s">
        <v>259</v>
      </c>
    </row>
    <row r="2043" spans="1:78" s="140" customFormat="1" ht="12.75" customHeight="1" thickBot="1" x14ac:dyDescent="0.25">
      <c r="A2043" s="777"/>
      <c r="B2043" s="1248"/>
      <c r="C2043" s="753" t="s">
        <v>194</v>
      </c>
      <c r="D2043" s="503" t="str">
        <f>Translations!$B$622</f>
        <v>VD:</v>
      </c>
      <c r="E2043" s="504"/>
      <c r="F2043" s="393"/>
      <c r="G2043" s="1603" t="str">
        <f>IF(OR(ISBLANK(F2043),F2043=EUconst_NoTier),"",IF(Z2043=0,EUconst_NA,IF(ISERROR(Z2043),"",Z2043)))</f>
        <v/>
      </c>
      <c r="H2043" s="1604"/>
      <c r="I2043" s="1108" t="str">
        <f>IF(J2043&lt;&gt;"","",AI2043)</f>
        <v/>
      </c>
      <c r="J2043" s="1109"/>
      <c r="K2043" s="1116" t="str">
        <f>IF(L2043="",AQ2043,"")</f>
        <v/>
      </c>
      <c r="L2043" s="1199"/>
      <c r="M2043" s="700" t="str">
        <f>IF(AND(E2034&lt;&gt;"",OR(F2043="",COUNT(K2043:L2043)=0),Y2043&lt;&gt;EUconst_NA,T2034&lt;&gt;TRUE),EUconst_ERR_Incomplete,IF(COUNTIF(AX2043:AZ2043,TRUE)&gt;0,EUconst_ERR_Inconsistent,""))</f>
        <v/>
      </c>
      <c r="O2043" s="1305"/>
      <c r="P2043" s="635"/>
      <c r="Q2043" s="343" t="str">
        <f>EUconst_SumBioEnergyIN &amp; "_" &amp; K2033</f>
        <v>SUM_BioEnergyIN_</v>
      </c>
      <c r="R2043" s="390" t="str">
        <f>IF(OR(K2033="",T2034)=TRUE,"",INDEX(BC2049:BE2049,MATCH(K2033,BC2043:BE2043,0)))</f>
        <v/>
      </c>
      <c r="S2043" s="30"/>
      <c r="T2043" s="505" t="str">
        <f>EUconst_CNTR_ActivityData&amp;E2034</f>
        <v>ActivityData_</v>
      </c>
      <c r="U2043" s="488"/>
      <c r="V2043" s="505" t="str">
        <f>IF(E2033="","",INDEX(B_InstallationDescription!$I$71:$I$145,MATCH(U2032,B_InstallationDescription!$D$71:$D$145,0)))</f>
        <v/>
      </c>
      <c r="W2043" s="495" t="s">
        <v>533</v>
      </c>
      <c r="X2043" s="488"/>
      <c r="Y2043" s="506" t="str">
        <f>IF(OR(T2034=TRUE,E2034=""),"",INDEX(EUwideConstants!$N:$N,MATCH(T2043,EUwideConstants!$Q:$Q,0)))</f>
        <v/>
      </c>
      <c r="Z2043" s="507" t="str">
        <f>IF(ISBLANK(F2043),"",IF(F2043=EUconst_NA,"",INDEX(EUwideConstants!$H:$M,MATCH(T2043,EUwideConstants!$Q:$Q,0),MATCH(F2043,CNTR_TierList,0))))</f>
        <v/>
      </c>
      <c r="AA2043" s="508" t="s">
        <v>299</v>
      </c>
      <c r="AB2043" s="495"/>
      <c r="AC2043" s="509" t="b">
        <f>AC2038</f>
        <v>0</v>
      </c>
      <c r="AD2043" s="30"/>
      <c r="AE2043" s="510" t="str">
        <f>EUconst_CNTR_ActivityData&amp;EUconst_Unit</f>
        <v>ActivityData_Vienetas</v>
      </c>
      <c r="AF2043" s="511" t="str">
        <f>IF(AC2043=TRUE, IF(COUNTIF(MSPara_SourceStreamCategory,V2043)=0,"",INDEX(MSPara_CalcFactorsMatrix,MATCH(V2043,MSPara_SourceStreamCategory,0),MATCH(AE2043&amp;"_"&amp;2,MSPara_CalcFactors,0))),"")</f>
        <v/>
      </c>
      <c r="AG2043" s="512" t="str">
        <f>IF(AC2043=TRUE, IF(COUNTIF(MSPara_SourceStreamCategory,V2043)=0,"",INDEX(MSPara_CalcFactorsMatrix,MATCH(V2043,MSPara_SourceStreamCategory,0),MATCH(AE2043&amp;"_"&amp;1,MSPara_CalcFactors,0))),"")</f>
        <v/>
      </c>
      <c r="AH2043" s="509" t="str">
        <f>IF(OR(AF2043="",AF2043=EUconst_NA),IF(OR(AG2043=EUconst_NA,AG2043=""),"",AG2043),AF2043)</f>
        <v/>
      </c>
      <c r="AI2043" s="506" t="str">
        <f>IF(AC2043=TRUE,IF(AH2043="",EUconst_t,AH2043),"")</f>
        <v/>
      </c>
      <c r="AJ2043" s="513" t="str">
        <f>IF(J2043="",AI2043,J2043)</f>
        <v/>
      </c>
      <c r="AK2043" s="514" t="b">
        <f>IF(K2033=EUconst_Fuel,J2043&lt;&gt;"",FALSE)</f>
        <v>0</v>
      </c>
      <c r="AL2043" s="333"/>
      <c r="AM2043" s="505" t="str">
        <f>EUconst_CNTR_ActivityData&amp;EUconst_Value</f>
        <v>ActivityData_Vertė</v>
      </c>
      <c r="AN2043" s="496"/>
      <c r="AO2043" s="496"/>
      <c r="AP2043" s="509" t="b">
        <f>AND(AND(AH2043&lt;&gt;"",AJ2043&lt;&gt;""),AJ2043=AH2043)</f>
        <v>0</v>
      </c>
      <c r="AQ2043" s="610" t="str">
        <f>IF(L2038=TRUE,SUM(F2040)-SUM(H2040)+SUM(J2040)-SUM(L2040),"")</f>
        <v/>
      </c>
      <c r="AR2043" s="509">
        <f>IF(Y2043=EUconst_NA,0,IF(COUNT(K2043:L2043)=0,0,IF(L2043="",K2043,L2043)))</f>
        <v>0</v>
      </c>
      <c r="AS2043" s="1115" t="b">
        <f>AND(AC2043=TRUE,OR(L2043&lt;&gt;"",AQ2043=""))</f>
        <v>0</v>
      </c>
      <c r="AT2043" s="1115" t="b">
        <f>AND(AC2043=TRUE,NOT(AS2043))</f>
        <v>0</v>
      </c>
      <c r="AU2043" s="30"/>
      <c r="AV2043" s="483" t="s">
        <v>309</v>
      </c>
      <c r="AW2043" s="483" t="s">
        <v>314</v>
      </c>
      <c r="AX2043" s="515"/>
      <c r="AY2043" s="30" t="s">
        <v>536</v>
      </c>
      <c r="AZ2043" s="30"/>
      <c r="BA2043" s="30"/>
      <c r="BB2043" s="495"/>
      <c r="BC2043" s="484" t="str">
        <f>EUconst_Fuel</f>
        <v>Degimas</v>
      </c>
      <c r="BD2043" s="484" t="str">
        <f>EUconst_ProcessCarbonate</f>
        <v>Proceso metu išsiskiriančios ŠESD</v>
      </c>
      <c r="BE2043" s="484" t="str">
        <f>EUconst_MassBalance</f>
        <v>Masės balansas</v>
      </c>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515" t="b">
        <f>BZ2038</f>
        <v>1</v>
      </c>
    </row>
    <row r="2044" spans="1:78" s="140" customFormat="1" ht="5.0999999999999996" customHeight="1" thickBot="1" x14ac:dyDescent="0.25">
      <c r="A2044" s="777"/>
      <c r="B2044" s="1248"/>
      <c r="C2044" s="783"/>
      <c r="D2044" s="298"/>
      <c r="F2044" s="141"/>
      <c r="G2044" s="141"/>
      <c r="H2044" s="141" t="s">
        <v>233</v>
      </c>
      <c r="I2044" s="516"/>
      <c r="J2044" s="516"/>
      <c r="K2044" s="141"/>
      <c r="L2044" s="141"/>
      <c r="M2044" s="701"/>
      <c r="O2044" s="1305"/>
      <c r="P2044" s="33"/>
      <c r="Q2044" s="33"/>
      <c r="R2044" s="33"/>
      <c r="S2044" s="30"/>
      <c r="T2044" s="153"/>
      <c r="U2044" s="488"/>
      <c r="V2044" s="30"/>
      <c r="W2044" s="30"/>
      <c r="X2044" s="488"/>
      <c r="Y2044" s="517"/>
      <c r="Z2044" s="30"/>
      <c r="AA2044" s="30"/>
      <c r="AB2044" s="30"/>
      <c r="AC2044" s="30"/>
      <c r="AD2044" s="30"/>
      <c r="AE2044" s="30"/>
      <c r="AF2044" s="30"/>
      <c r="AG2044" s="30"/>
      <c r="AH2044" s="30"/>
      <c r="AI2044" s="30"/>
      <c r="AJ2044" s="30"/>
      <c r="AK2044" s="30"/>
      <c r="AL2044" s="333"/>
      <c r="AM2044" s="30"/>
      <c r="AN2044" s="30"/>
      <c r="AO2044" s="30"/>
      <c r="AP2044" s="30"/>
      <c r="AQ2044" s="30"/>
      <c r="AR2044" s="30"/>
      <c r="AS2044" s="30"/>
      <c r="AT2044" s="30"/>
      <c r="AU2044" s="30"/>
      <c r="AV2044" s="30"/>
      <c r="AW2044" s="30"/>
      <c r="AX2044" s="30"/>
      <c r="AY2044" s="30"/>
      <c r="AZ2044" s="30"/>
      <c r="BA2044" s="30"/>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484"/>
    </row>
    <row r="2045" spans="1:78" s="140" customFormat="1" ht="12.75" customHeight="1" thickBot="1" x14ac:dyDescent="0.25">
      <c r="A2045" s="777"/>
      <c r="B2045" s="1248"/>
      <c r="C2045" s="783" t="s">
        <v>195</v>
      </c>
      <c r="D2045" s="503" t="str">
        <f>Translations!$B$634</f>
        <v>(prelim.) ITF:</v>
      </c>
      <c r="E2045" s="504"/>
      <c r="F2045" s="518"/>
      <c r="G2045" s="1603" t="str">
        <f t="shared" ref="G2045:G2051" si="511">IF(OR(ISBLANK(F2045),F2045=EUconst_NoTier),"",IF(Z2045=0,EUconst_NotApplicable,IF(ISERROR(Z2045),"",Z2045)))</f>
        <v/>
      </c>
      <c r="H2045" s="1609"/>
      <c r="I2045" s="1110" t="str">
        <f>IF(J2045&lt;&gt;"","",AI2045)</f>
        <v/>
      </c>
      <c r="J2045" s="1111"/>
      <c r="K2045" s="519" t="str">
        <f t="shared" ref="K2045:K2051" si="512">IF(L2045="",AQ2045,"")</f>
        <v/>
      </c>
      <c r="L2045" s="520"/>
      <c r="M2045" s="700" t="str">
        <f>IF(AND(E2034&lt;&gt;"",OR(F2045="",COUNT(K2045:L2045)=0),Y2045&lt;&gt;EUconst_NA,T2034&lt;&gt;TRUE),EUconst_ERR_Incomplete,IF(COUNTIF(AX2045:AZ2045,TRUE)&gt;0,EUconst_ERR_Inconsistent,""))</f>
        <v/>
      </c>
      <c r="N2045" s="486"/>
      <c r="O2045" s="1305"/>
      <c r="P2045" s="33"/>
      <c r="Q2045" s="33"/>
      <c r="R2045" s="33"/>
      <c r="S2045" s="30"/>
      <c r="T2045" s="521" t="str">
        <f>EUconst_CNTR_EF&amp;E2034</f>
        <v>EF_</v>
      </c>
      <c r="U2045" s="488"/>
      <c r="V2045" s="522" t="str">
        <f>V2043</f>
        <v/>
      </c>
      <c r="W2045" s="30"/>
      <c r="X2045" s="488"/>
      <c r="Y2045" s="523" t="str">
        <f>IF(OR(T2034=TRUE,E2034=""),"",IF(F2045=EUconst_NA,EUconst_NA,INDEX(EUwideConstants!$N:$N,MATCH(T2045,EUwideConstants!$Q:$Q,0))))</f>
        <v/>
      </c>
      <c r="Z2045" s="524" t="str">
        <f>IF(ISBLANK(F2045),"",IF(F2045=EUconst_NA,"",INDEX(EUwideConstants!$H:$M,MATCH(T2045,EUwideConstants!$Q:$Q,0),MATCH(F2045,CNTR_TierList,0))))</f>
        <v/>
      </c>
      <c r="AA2045" s="525" t="str">
        <f>IF(COUNTIF(EUconst_DefaultValues,Z2045)&gt;0,MATCH(Z2045,EUconst_DefaultValues,0),"")</f>
        <v/>
      </c>
      <c r="AB2045" s="30"/>
      <c r="AC2045" s="526" t="b">
        <f>AND(AC2043,Y2045&lt;&gt;EUconst_NA)</f>
        <v>0</v>
      </c>
      <c r="AD2045" s="30"/>
      <c r="AE2045" s="510" t="str">
        <f>EUconst_CNTR_EF&amp;EUconst_Unit</f>
        <v>EF_Vienetas</v>
      </c>
      <c r="AF2045" s="527" t="str">
        <f>IF(AC2045=TRUE, IF(COUNTIF(MSPara_SourceStreamCategory,V2045)=0,"",INDEX(MSPara_CalcFactorsMatrix,MATCH(V2045,MSPara_SourceStreamCategory,0),MATCH(AE2045&amp;"_"&amp;2,MSPara_CalcFactors,0))),"")</f>
        <v/>
      </c>
      <c r="AG2045" s="528" t="str">
        <f>IF(AC2045=TRUE, IF(COUNTIF(MSPara_SourceStreamCategory,V2045)=0,"",INDEX(MSPara_CalcFactorsMatrix,MATCH(V2045,MSPara_SourceStreamCategory,0),MATCH(AE2045&amp;"_"&amp;1,MSPara_CalcFactors,0))),"")</f>
        <v/>
      </c>
      <c r="AH2045" s="529" t="str">
        <f>IF(AA2045="","",INDEX(AF2045:AG2045,3-AA2045))</f>
        <v/>
      </c>
      <c r="AI2045" s="530" t="str">
        <f>IF(AC2045=TRUE,IF(OR(AH2045="",AH2045=EUconst_NA),IF(K2033=EUconst_Fuel,EUconst_tCO2pTJ,EUconst_tCO2pt),AH2045),"")</f>
        <v/>
      </c>
      <c r="AJ2045" s="526" t="str">
        <f>IF(J2045="",AI2045,J2045)</f>
        <v/>
      </c>
      <c r="AK2045" s="531" t="b">
        <f>IF(K2033=EUconst_Fuel,J2045&lt;&gt;"",FALSE)</f>
        <v>0</v>
      </c>
      <c r="AL2045" s="333"/>
      <c r="AM2045" s="510" t="str">
        <f>EUconst_CNTR_EF&amp;EUconst_Value</f>
        <v>EF_Vertė</v>
      </c>
      <c r="AN2045" s="532" t="str">
        <f>IF(AC2045=TRUE,IF(COUNTIF(MSPara_SourceStreamCategory,V2045)=0,"",INDEX(MSPara_CalcFactorsMatrix,MATCH(V2045,MSPara_SourceStreamCategory,0),MATCH(AM2045&amp;"_"&amp;2,MSPara_CalcFactors,0))),"")</f>
        <v/>
      </c>
      <c r="AO2045" s="533" t="str">
        <f>IF(AC2045=TRUE,IF(COUNTIF(MSPara_SourceStreamCategory,V2045)=0,"",INDEX(MSPara_CalcFactorsMatrix,MATCH(V2045,MSPara_SourceStreamCategory,0),MATCH(AM2045&amp;"_"&amp;1,MSPara_CalcFactors,0))),"")</f>
        <v/>
      </c>
      <c r="AP2045" s="526" t="b">
        <f>AND(AND(AH2045&lt;&gt;"",AJ2045&lt;&gt;""),AJ2045=AH2045)</f>
        <v>0</v>
      </c>
      <c r="AQ2045" s="534" t="str">
        <f>IF(AND(AA2045&lt;&gt;"",AP2045=TRUE),IF(OR(INDEX(AN2045:AO2045,3-AA2045)=EUconst_NA,INDEX(AN2045:AO2045,3-AA2045)=0),"",INDEX(AN2045:AO2045,3-AA2045)),"")</f>
        <v/>
      </c>
      <c r="AR2045" s="526">
        <f>IF(AC2045=TRUE,IF(COUNT(K2045:L2045)=0,0,IF(L2045="",K2045,L2045)),0)</f>
        <v>0</v>
      </c>
      <c r="AS2045" s="522" t="b">
        <f>AND(AC2045=TRUE,OR(AND(F2045&lt;&gt;"",NOT(ISNUMBER(AA2045))),L2045&lt;&gt;"",F2045="",AQ2045=""))</f>
        <v>0</v>
      </c>
      <c r="AT2045" s="522" t="b">
        <f t="shared" ref="AT2045:AT2051" si="513">AND(AC2045=TRUE,NOT(AS2045))</f>
        <v>0</v>
      </c>
      <c r="AU2045" s="30"/>
      <c r="AV2045" s="535" t="b">
        <f t="shared" ref="AV2045:AV2051" si="514">AND(ISNUMBER(AA2045),AQ2045="")</f>
        <v>0</v>
      </c>
      <c r="AW2045" s="536" t="b">
        <f t="shared" ref="AW2045:AW2051" si="515">AND(ISNUMBER(AA2045),AQ2045&lt;&gt;AR2045)</f>
        <v>0</v>
      </c>
      <c r="AX2045" s="537" t="b">
        <f>OR(AND(AJ2043=EUconst_kNm3,AJ2045=EUconst_tCO2pt),AND(AJ2043=EUconst_t,AJ2045=EUconst_tCO2pkNm3))</f>
        <v>0</v>
      </c>
      <c r="AY2045" s="522" t="b">
        <f t="shared" ref="AY2045:AY2051" si="516">AND(L2045&lt;&gt;"",Y2045=EUconst_NA)</f>
        <v>0</v>
      </c>
      <c r="AZ2045" s="30"/>
      <c r="BA2045" s="30"/>
      <c r="BB2045" s="538" t="s">
        <v>588</v>
      </c>
      <c r="BC2045" s="537" t="str">
        <f>IF(K2033=BC2043,AR2043*IF(AJ2045=EUconst_tCO2pTJ,(AR2046/1000),1)*AR2045*AR2047*AR2051,"")</f>
        <v/>
      </c>
      <c r="BD2045" s="515" t="str">
        <f>IF(K2033=BD2043,AR2043*AR2045*AR2048*AR2051,"")</f>
        <v/>
      </c>
      <c r="BE2045" s="514" t="str">
        <f>IF(K2033=BE2043,3.664*AR2043*AR2049*AR2051,"")</f>
        <v/>
      </c>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522" t="b">
        <f>OR(BZ2043,Y2045=EUconst_NA)</f>
        <v>1</v>
      </c>
    </row>
    <row r="2046" spans="1:78" s="140" customFormat="1" ht="12.75" customHeight="1" thickBot="1" x14ac:dyDescent="0.25">
      <c r="A2046" s="777"/>
      <c r="B2046" s="1248"/>
      <c r="C2046" s="783" t="s">
        <v>196</v>
      </c>
      <c r="D2046" s="503" t="str">
        <f>Translations!$B$636</f>
        <v>GŠV:</v>
      </c>
      <c r="E2046" s="504"/>
      <c r="F2046" s="539"/>
      <c r="G2046" s="1603" t="str">
        <f t="shared" si="511"/>
        <v/>
      </c>
      <c r="H2046" s="1604"/>
      <c r="I2046" s="1112" t="str">
        <f>AJ2046</f>
        <v/>
      </c>
      <c r="J2046" s="540"/>
      <c r="K2046" s="541" t="str">
        <f t="shared" si="512"/>
        <v/>
      </c>
      <c r="L2046" s="542"/>
      <c r="M2046" s="700" t="str">
        <f>IF(AND(E2034&lt;&gt;"",OR(F2046="",COUNT(K2046:L2046)=0),Y2046&lt;&gt;EUconst_NA,T2034&lt;&gt;TRUE),EUconst_ERR_Incomplete,IF(COUNTIF(AX2046:AZ2046,TRUE)&gt;0,EUconst_ERR_Inconsistent,""))</f>
        <v/>
      </c>
      <c r="O2046" s="1305"/>
      <c r="P2046" s="33"/>
      <c r="Q2046" s="33"/>
      <c r="R2046" s="33"/>
      <c r="S2046" s="30"/>
      <c r="T2046" s="543" t="str">
        <f>EUconst_CNTR_NCV&amp;E2034</f>
        <v>NCV_</v>
      </c>
      <c r="U2046" s="488"/>
      <c r="V2046" s="544" t="str">
        <f t="shared" ref="V2046:V2051" si="517">V2045</f>
        <v/>
      </c>
      <c r="W2046" s="30"/>
      <c r="X2046" s="488"/>
      <c r="Y2046" s="545" t="str">
        <f>IF(OR(T2034=TRUE,E2034=""),"",IF(F2046=EUconst_NA,EUconst_NA,INDEX(EUwideConstants!$N:$N,MATCH(T2046,EUwideConstants!$Q:$Q,0))))</f>
        <v/>
      </c>
      <c r="Z2046" s="546" t="str">
        <f>IF(ISBLANK(F2046),"",IF(F2046=EUconst_NA,"",INDEX(EUwideConstants!$H:$M,MATCH(T2046,EUwideConstants!$Q:$Q,0),MATCH(F2046,CNTR_TierList,0))))</f>
        <v/>
      </c>
      <c r="AA2046" s="547" t="str">
        <f>IF(COUNTIF(EUconst_DefaultValues,Z2046)&gt;0,MATCH(Z2046,EUconst_DefaultValues,0),"")</f>
        <v/>
      </c>
      <c r="AB2046" s="30"/>
      <c r="AC2046" s="548" t="b">
        <f>AND(AC2043,Y2046&lt;&gt;EUconst_NA)</f>
        <v>0</v>
      </c>
      <c r="AD2046" s="30"/>
      <c r="AE2046" s="549" t="str">
        <f>EUconst_CNTR_NCV&amp;EUconst_Unit</f>
        <v>NCV_Vienetas</v>
      </c>
      <c r="AF2046" s="550" t="str">
        <f>IF(AC2046=TRUE, IF(COUNTIF(MSPara_SourceStreamCategory,V2046)=0,"",INDEX(MSPara_CalcFactorsMatrix,MATCH(V2046,MSPara_SourceStreamCategory,0),MATCH(AE2046&amp;"_"&amp;2,MSPara_CalcFactors,0))),"")</f>
        <v/>
      </c>
      <c r="AG2046" s="551" t="str">
        <f>IF(AC2046=TRUE, IF(COUNTIF(MSPara_SourceStreamCategory,V2046)=0,"",INDEX(MSPara_CalcFactorsMatrix,MATCH(V2046,MSPara_SourceStreamCategory,0),MATCH(AE2046&amp;"_"&amp;1,MSPara_CalcFactors,0))),"")</f>
        <v/>
      </c>
      <c r="AH2046" s="552" t="str">
        <f>IF(AA2046="","",INDEX(AF2046:AG2046,3-AA2046))</f>
        <v/>
      </c>
      <c r="AI2046" s="553"/>
      <c r="AJ2046" s="548" t="str">
        <f>IF(AC2046=TRUE,IF(AJ2043="","",IF(AJ2043=EUconst_kNm3,EUconst_GJpkNm3,EUconst_GJpt)),"")</f>
        <v/>
      </c>
      <c r="AK2046" s="554"/>
      <c r="AL2046" s="333"/>
      <c r="AM2046" s="549" t="str">
        <f>EUconst_CNTR_NCV&amp;EUconst_Value</f>
        <v>NCV_Vertė</v>
      </c>
      <c r="AN2046" s="555" t="str">
        <f>IF(AC2046=TRUE,IF(COUNTIF(MSPara_SourceStreamCategory,V2046)=0,"",INDEX(MSPara_CalcFactorsMatrix,MATCH(V2046,MSPara_SourceStreamCategory,0),MATCH(AM2046&amp;"_"&amp;2,MSPara_CalcFactors,0))),"")</f>
        <v/>
      </c>
      <c r="AO2046" s="556" t="str">
        <f>IF(AC2046=TRUE,IF(COUNTIF(MSPara_SourceStreamCategory,V2046)=0,"",INDEX(MSPara_CalcFactorsMatrix,MATCH(V2046,MSPara_SourceStreamCategory,0),MATCH(AM2046&amp;"_"&amp;1,MSPara_CalcFactors,0))),"")</f>
        <v/>
      </c>
      <c r="AP2046" s="548" t="b">
        <f>AND(AND(AH2046&lt;&gt;"",AJ2046&lt;&gt;""),AJ2046=AH2046)</f>
        <v>0</v>
      </c>
      <c r="AQ2046" s="557" t="str">
        <f>IF(AND(AA2046&lt;&gt;"",AP2046=TRUE),IF(OR(INDEX(AN2046:AO2046,3-AA2046)=EUconst_NA,INDEX(AN2046:AO2046,3-AA2046)=0),"",INDEX(AN2046:AO2046,3-AA2046)),"")</f>
        <v/>
      </c>
      <c r="AR2046" s="548">
        <f>IF(AC2046=TRUE,IF(COUNT(K2046:L2046)=0,0,IF(L2046="",K2046,L2046)),0)</f>
        <v>0</v>
      </c>
      <c r="AS2046" s="544" t="b">
        <f>AND(AC2046=TRUE,OR(AND(F2046&lt;&gt;"",NOT(ISNUMBER(AA2046))),L2046&lt;&gt;"",F2046="",AQ2046=""))</f>
        <v>0</v>
      </c>
      <c r="AT2046" s="544" t="b">
        <f t="shared" si="513"/>
        <v>0</v>
      </c>
      <c r="AU2046" s="30"/>
      <c r="AV2046" s="558" t="b">
        <f t="shared" si="514"/>
        <v>0</v>
      </c>
      <c r="AW2046" s="559" t="b">
        <f t="shared" si="515"/>
        <v>0</v>
      </c>
      <c r="AX2046" s="30"/>
      <c r="AY2046" s="544" t="b">
        <f t="shared" si="516"/>
        <v>0</v>
      </c>
      <c r="AZ2046" s="30"/>
      <c r="BA2046" s="30"/>
      <c r="BB2046" s="538" t="s">
        <v>589</v>
      </c>
      <c r="BC2046" s="537" t="str">
        <f>IF(K2033=BC2043,AR2043*IF(AJ2045=EUconst_tCO2pTJ,(AR2046/1000),1)*AR2045*AR2047*AR2050,"")</f>
        <v/>
      </c>
      <c r="BD2046" s="515" t="str">
        <f>IF(K2033=BD2043,AR2043*AR2045*AR2048*AR2050,"")</f>
        <v/>
      </c>
      <c r="BE2046" s="514" t="str">
        <f>IF(K2033=BE2043,3.664*AR2043*AR2049*AR2050,"")</f>
        <v/>
      </c>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544" t="b">
        <f>OR(BZ2043,Y2046=EUconst_NA)</f>
        <v>1</v>
      </c>
    </row>
    <row r="2047" spans="1:78" s="140" customFormat="1" ht="12.75" customHeight="1" thickBot="1" x14ac:dyDescent="0.25">
      <c r="A2047" s="777"/>
      <c r="B2047" s="1248"/>
      <c r="C2047" s="783" t="s">
        <v>197</v>
      </c>
      <c r="D2047" s="503" t="str">
        <f>Translations!$B$638</f>
        <v>Oksidacijos koef.:</v>
      </c>
      <c r="E2047" s="504"/>
      <c r="F2047" s="539"/>
      <c r="G2047" s="1603" t="str">
        <f t="shared" si="511"/>
        <v/>
      </c>
      <c r="H2047" s="1604"/>
      <c r="I2047" s="1113" t="str">
        <f>IF(OR(AC2047=FALSE,Y2047=EUconst_NA),"","-")</f>
        <v/>
      </c>
      <c r="J2047" s="560"/>
      <c r="K2047" s="561" t="str">
        <f t="shared" si="512"/>
        <v/>
      </c>
      <c r="L2047" s="694"/>
      <c r="M2047" s="700" t="str">
        <f>IF(AND(E2034&lt;&gt;"",OR(F2047="",COUNT(K2047:L2047)=0),Y2047&lt;&gt;EUconst_NA,T2034&lt;&gt;TRUE),EUconst_ERR_Incomplete,IF(COUNTIF(AX2047:AZ2047,TRUE)&gt;0,EUconst_ERR_Inconsistent,""))</f>
        <v/>
      </c>
      <c r="O2047" s="1305"/>
      <c r="P2047" s="33"/>
      <c r="Q2047" s="33"/>
      <c r="R2047" s="33"/>
      <c r="S2047" s="30"/>
      <c r="T2047" s="543" t="str">
        <f>EUconst_CNTR_OxidationFactor&amp;E2034</f>
        <v>OxF_</v>
      </c>
      <c r="U2047" s="488"/>
      <c r="V2047" s="544" t="str">
        <f t="shared" si="517"/>
        <v/>
      </c>
      <c r="W2047" s="30"/>
      <c r="X2047" s="488"/>
      <c r="Y2047" s="545" t="str">
        <f>IF(OR(T2034=TRUE,E2034=""),"",INDEX(EUwideConstants!$N:$N,MATCH(T2047,EUwideConstants!$Q:$Q,0)))</f>
        <v/>
      </c>
      <c r="Z2047" s="546" t="str">
        <f>IF(ISBLANK(F2047),"",IF(F2047=EUconst_NA,"",INDEX(EUwideConstants!$H:$M,MATCH(T2047,EUwideConstants!$Q:$Q,0),MATCH(F2047,CNTR_TierList,0))))</f>
        <v/>
      </c>
      <c r="AA2047" s="525" t="str">
        <f>IF(F2047=1,1,"")</f>
        <v/>
      </c>
      <c r="AB2047" s="30"/>
      <c r="AC2047" s="548" t="b">
        <f>AND(AC2043,Y2047&lt;&gt;EUconst_NA)</f>
        <v>0</v>
      </c>
      <c r="AD2047" s="30"/>
      <c r="AE2047" s="563"/>
      <c r="AG2047" s="564"/>
      <c r="AH2047" s="553"/>
      <c r="AI2047" s="565"/>
      <c r="AJ2047" s="553"/>
      <c r="AK2047" s="566"/>
      <c r="AL2047" s="333"/>
      <c r="AM2047" s="549" t="str">
        <f>EUconst_CNTR_OxidationFactor&amp;EUconst_Value</f>
        <v>OxF_Vertė</v>
      </c>
      <c r="AN2047" s="567"/>
      <c r="AO2047" s="525">
        <v>1</v>
      </c>
      <c r="AP2047" s="553"/>
      <c r="AQ2047" s="568" t="str">
        <f>IF(AA2047="","",AO2047)</f>
        <v/>
      </c>
      <c r="AR2047" s="548">
        <f>IF(AC2047=TRUE,IF(COUNT(K2047:L2047)=0,0,IF(L2047="",K2047,L2047)),1)</f>
        <v>1</v>
      </c>
      <c r="AS2047" s="544" t="b">
        <f>AND(AC2047=TRUE,OR(ISNUMBER(L2047),NOT(ISNUMBER(AA2047))))</f>
        <v>0</v>
      </c>
      <c r="AT2047" s="544" t="b">
        <f t="shared" si="513"/>
        <v>0</v>
      </c>
      <c r="AU2047" s="30"/>
      <c r="AV2047" s="558" t="b">
        <f t="shared" si="514"/>
        <v>0</v>
      </c>
      <c r="AW2047" s="559" t="b">
        <f t="shared" si="515"/>
        <v>0</v>
      </c>
      <c r="AX2047" s="30"/>
      <c r="AY2047" s="585" t="b">
        <f t="shared" si="516"/>
        <v>0</v>
      </c>
      <c r="AZ2047" s="522" t="b">
        <f>AR2047&gt;100%</f>
        <v>0</v>
      </c>
      <c r="BA2047" s="30"/>
      <c r="BB2047" s="538" t="s">
        <v>287</v>
      </c>
      <c r="BC2047" s="537" t="str">
        <f>IF(K2033=BC2043,AR2043*IF(AJ2045=EUconst_tCO2pTJ,(AR2046/1000),1)*AR2045*AR2047*(1-AR2050),"")</f>
        <v/>
      </c>
      <c r="BD2047" s="515" t="str">
        <f>IF(K2033=BD2043,AR2043*AR2045*AR2048*(1-AR2050),"")</f>
        <v/>
      </c>
      <c r="BE2047" s="514" t="str">
        <f>IF(K2033=BE2043,3.664*AR2043*AR2049*(1-AR2050),"")</f>
        <v/>
      </c>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544" t="b">
        <f>OR(BZ2043,Y2047=EUconst_NA)</f>
        <v>1</v>
      </c>
    </row>
    <row r="2048" spans="1:78" s="140" customFormat="1" ht="12.75" customHeight="1" thickBot="1" x14ac:dyDescent="0.25">
      <c r="A2048" s="777"/>
      <c r="B2048" s="1248"/>
      <c r="C2048" s="783" t="s">
        <v>198</v>
      </c>
      <c r="D2048" s="503" t="str">
        <f>Translations!$B$639</f>
        <v>Konversijos koef.:</v>
      </c>
      <c r="E2048" s="504"/>
      <c r="F2048" s="539"/>
      <c r="G2048" s="1603" t="str">
        <f t="shared" si="511"/>
        <v/>
      </c>
      <c r="H2048" s="1604"/>
      <c r="I2048" s="1113" t="str">
        <f>IF(OR(AC2048=FALSE,Y2048=EUconst_NA),"","-")</f>
        <v/>
      </c>
      <c r="J2048" s="560"/>
      <c r="K2048" s="561" t="str">
        <f t="shared" si="512"/>
        <v/>
      </c>
      <c r="L2048" s="694"/>
      <c r="M2048" s="700" t="str">
        <f>IF(AND(E2034&lt;&gt;"",OR(F2048="",COUNT(K2048:L2048)=0),Y2048&lt;&gt;EUconst_NA,T2034&lt;&gt;TRUE),EUconst_ERR_Incomplete,IF(COUNTIF(AX2048:AZ2048,TRUE)&gt;0,EUconst_ERR_Inconsistent,""))</f>
        <v/>
      </c>
      <c r="O2048" s="1305"/>
      <c r="P2048" s="33"/>
      <c r="Q2048" s="33"/>
      <c r="R2048" s="33"/>
      <c r="S2048" s="30"/>
      <c r="T2048" s="543" t="str">
        <f>EUconst_CNTR_ConversionFactor&amp;E2034</f>
        <v>ConvF_</v>
      </c>
      <c r="U2048" s="488"/>
      <c r="V2048" s="544" t="str">
        <f t="shared" si="517"/>
        <v/>
      </c>
      <c r="W2048" s="30"/>
      <c r="X2048" s="488"/>
      <c r="Y2048" s="545" t="str">
        <f>IF(OR(T2034=TRUE,E2034=""),"",INDEX(EUwideConstants!$N:$N,MATCH(T2048,EUwideConstants!$Q:$Q,0)))</f>
        <v/>
      </c>
      <c r="Z2048" s="546" t="str">
        <f>IF(ISBLANK(F2048),"",IF(F2048=EUconst_NA,"",INDEX(EUwideConstants!$H:$M,MATCH(T2048,EUwideConstants!$Q:$Q,0),MATCH(F2048,CNTR_TierList,0))))</f>
        <v/>
      </c>
      <c r="AA2048" s="573" t="str">
        <f>IF(F2048=1,1,"")</f>
        <v/>
      </c>
      <c r="AB2048" s="30"/>
      <c r="AC2048" s="548" t="b">
        <f>AND(AC2043,Y2048&lt;&gt;EUconst_NA)</f>
        <v>0</v>
      </c>
      <c r="AD2048" s="30"/>
      <c r="AE2048" s="563"/>
      <c r="AG2048" s="564"/>
      <c r="AH2048" s="574"/>
      <c r="AI2048" s="565"/>
      <c r="AJ2048" s="574"/>
      <c r="AK2048" s="566"/>
      <c r="AL2048" s="333"/>
      <c r="AM2048" s="549" t="str">
        <f>EUconst_CNTR_ConversionFactor&amp;EUconst_Value</f>
        <v>ConvF_Vertė</v>
      </c>
      <c r="AN2048" s="575"/>
      <c r="AO2048" s="573">
        <v>1</v>
      </c>
      <c r="AP2048" s="574"/>
      <c r="AQ2048" s="576" t="str">
        <f>IF(AA2048="","",AO2048)</f>
        <v/>
      </c>
      <c r="AR2048" s="548">
        <f>IF(AC2048=TRUE,IF(COUNT(K2048:L2048)=0,0,IF(L2048="",K2048,L2048)),1)</f>
        <v>1</v>
      </c>
      <c r="AS2048" s="544" t="b">
        <f>AND(AC2048=TRUE,OR(ISNUMBER(L2048),NOT(ISNUMBER(AA2048))))</f>
        <v>0</v>
      </c>
      <c r="AT2048" s="544" t="b">
        <f t="shared" si="513"/>
        <v>0</v>
      </c>
      <c r="AU2048" s="30"/>
      <c r="AV2048" s="558" t="b">
        <f t="shared" si="514"/>
        <v>0</v>
      </c>
      <c r="AW2048" s="559" t="b">
        <f t="shared" si="515"/>
        <v>0</v>
      </c>
      <c r="AX2048" s="30"/>
      <c r="AY2048" s="585" t="b">
        <f t="shared" si="516"/>
        <v>0</v>
      </c>
      <c r="AZ2048" s="571" t="b">
        <f>AR2048&gt;100%</f>
        <v>0</v>
      </c>
      <c r="BA2048" s="30"/>
      <c r="BB2048" s="569" t="s">
        <v>481</v>
      </c>
      <c r="BC2048" s="570">
        <f>AR2043*AR2046/1000*(1-AR2050)</f>
        <v>0</v>
      </c>
      <c r="BD2048" s="571">
        <f>BC2048</f>
        <v>0</v>
      </c>
      <c r="BE2048" s="572">
        <f>BC2048</f>
        <v>0</v>
      </c>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544" t="b">
        <f>OR(BZ2043,Y2048=EUconst_NA)</f>
        <v>1</v>
      </c>
    </row>
    <row r="2049" spans="1:78" s="140" customFormat="1" ht="12.75" customHeight="1" thickBot="1" x14ac:dyDescent="0.25">
      <c r="A2049" s="777"/>
      <c r="B2049" s="1248"/>
      <c r="C2049" s="783" t="s">
        <v>324</v>
      </c>
      <c r="D2049" s="503" t="str">
        <f>Translations!$B$640</f>
        <v>Anglies kiekis (C):</v>
      </c>
      <c r="E2049" s="504"/>
      <c r="F2049" s="539"/>
      <c r="G2049" s="1603" t="str">
        <f t="shared" si="511"/>
        <v/>
      </c>
      <c r="H2049" s="1604"/>
      <c r="I2049" s="1113" t="str">
        <f>AJ2049</f>
        <v/>
      </c>
      <c r="J2049" s="577"/>
      <c r="K2049" s="578" t="str">
        <f t="shared" si="512"/>
        <v/>
      </c>
      <c r="L2049" s="579"/>
      <c r="M2049" s="700" t="str">
        <f>IF(AND(E2034&lt;&gt;"",OR(F2049="",COUNT(K2049:L2049)=0),Y2049&lt;&gt;EUconst_NA,T2034&lt;&gt;TRUE),EUconst_ERR_Incomplete,IF(COUNTIF(AX2049:AZ2049,TRUE)&gt;0,EUconst_ERR_Inconsistent,""))</f>
        <v/>
      </c>
      <c r="O2049" s="1305"/>
      <c r="P2049" s="33"/>
      <c r="Q2049" s="33"/>
      <c r="R2049" s="33"/>
      <c r="S2049" s="30"/>
      <c r="T2049" s="543" t="str">
        <f>EUconst_CNTR_CarbonContent&amp;E2034</f>
        <v>CarbC_</v>
      </c>
      <c r="U2049" s="488"/>
      <c r="V2049" s="544" t="str">
        <f t="shared" si="517"/>
        <v/>
      </c>
      <c r="W2049" s="30"/>
      <c r="X2049" s="488"/>
      <c r="Y2049" s="545" t="str">
        <f>IF(OR(T2034=TRUE,E2034=""),"",INDEX(EUwideConstants!$N:$N,MATCH(T2049,EUwideConstants!$Q:$Q,0)))</f>
        <v/>
      </c>
      <c r="Z2049" s="546" t="str">
        <f>IF(ISBLANK(F2049),"",IF(F2049=EUconst_NA,"",INDEX(EUwideConstants!$H:$M,MATCH(T2049,EUwideConstants!$Q:$Q,0),MATCH(F2049,CNTR_TierList,0))))</f>
        <v/>
      </c>
      <c r="AA2049" s="580" t="str">
        <f>IF(COUNTIF(EUconst_DefaultValues,Z2049)&gt;0,MATCH(Z2049,EUconst_DefaultValues,0),"")</f>
        <v/>
      </c>
      <c r="AB2049" s="30"/>
      <c r="AC2049" s="548" t="b">
        <f>AND(AC2043,Y2049&lt;&gt;EUconst_NA)</f>
        <v>0</v>
      </c>
      <c r="AD2049" s="30"/>
      <c r="AE2049" s="549" t="str">
        <f>EUconst_CNTR_CarbonContent&amp;EUconst_Unit</f>
        <v>CarbC_Vienetas</v>
      </c>
      <c r="AF2049" s="550" t="str">
        <f>IF(AC2049=TRUE, IF(COUNTIF(MSPara_SourceStreamCategory,V2049)=0,"",INDEX(MSPara_CalcFactorsMatrix,MATCH(V2049,MSPara_SourceStreamCategory,0),MATCH(AE2049&amp;"_"&amp;2,MSPara_CalcFactors,0))),"")</f>
        <v/>
      </c>
      <c r="AG2049" s="551" t="str">
        <f>IF(AC2049=TRUE, IF(COUNTIF(MSPara_SourceStreamCategory,V2049)=0,"",INDEX(MSPara_CalcFactorsMatrix,MATCH(V2049,MSPara_SourceStreamCategory,0),MATCH(AE2049&amp;"_"&amp;1,MSPara_CalcFactors,0))),"")</f>
        <v/>
      </c>
      <c r="AH2049" s="581" t="str">
        <f>IF(AA2049="","",INDEX(AF2049:AG2049,3-AA2049))</f>
        <v/>
      </c>
      <c r="AI2049" s="565"/>
      <c r="AJ2049" s="582" t="str">
        <f>IF(AC2049=TRUE,IF(AJ2043="","",IF(AJ2043=EUconst_kNm3,EUconst_tCpkNm3,EUconst_tCpt)),"")</f>
        <v/>
      </c>
      <c r="AK2049" s="566"/>
      <c r="AL2049" s="333"/>
      <c r="AM2049" s="549" t="str">
        <f>EUconst_CNTR_CarbonContent&amp;EUconst_Value</f>
        <v>CarbC_Vertė</v>
      </c>
      <c r="AN2049" s="555" t="str">
        <f>IF(AC2049=TRUE,IF(COUNTIF(MSPara_SourceStreamCategory,V2049)=0,"",INDEX(MSPara_CalcFactorsMatrix,MATCH(V2049,MSPara_SourceStreamCategory,0),MATCH(AM2049&amp;"_"&amp;2,MSPara_CalcFactors,0))),"")</f>
        <v/>
      </c>
      <c r="AO2049" s="583" t="str">
        <f>IF(AC2049=TRUE,IF(COUNTIF(MSPara_SourceStreamCategory,V2049)=0,"",INDEX(MSPara_CalcFactorsMatrix,MATCH(V2049,MSPara_SourceStreamCategory,0),MATCH(AM2049&amp;"_"&amp;1,MSPara_CalcFactors,0))),"")</f>
        <v/>
      </c>
      <c r="AP2049" s="548" t="b">
        <f>AND(AND(AH2049&lt;&gt;"",AJ2049&lt;&gt;""),AJ2049=AH2049)</f>
        <v>0</v>
      </c>
      <c r="AQ2049" s="584" t="str">
        <f>IF(AND(AA2049&lt;&gt;"",AP2049=TRUE),IF(OR(INDEX(AN2049:AO2049,3-AA2049)=EUconst_NA,INDEX(AN2049:AO2049,3-AA2049)=0),"",INDEX(AN2049:AO2049,3-AA2049)),"")</f>
        <v/>
      </c>
      <c r="AR2049" s="548">
        <f>IF(AC2049=TRUE,IF(COUNT(K2049:L2049)=0,0,IF(L2049="",K2049,L2049)),0)</f>
        <v>0</v>
      </c>
      <c r="AS2049" s="544" t="b">
        <f>AND(AC2049=TRUE,OR(AND(F2049&lt;&gt;"",NOT(ISNUMBER(AA2049))),L2049&lt;&gt;"",F2049="",AQ2049=""))</f>
        <v>0</v>
      </c>
      <c r="AT2049" s="544" t="b">
        <f t="shared" si="513"/>
        <v>0</v>
      </c>
      <c r="AU2049" s="30"/>
      <c r="AV2049" s="558" t="b">
        <f t="shared" si="514"/>
        <v>0</v>
      </c>
      <c r="AW2049" s="559" t="b">
        <f t="shared" si="515"/>
        <v>0</v>
      </c>
      <c r="AX2049" s="537" t="b">
        <f>OR(AND(AJ2043=EUconst_kNm3,AJ2049=EUconst_tCpt),AND(AJ2043=EUconst_t,AJ2049=EUconst_tCpkNm3))</f>
        <v>0</v>
      </c>
      <c r="AY2049" s="544" t="b">
        <f t="shared" si="516"/>
        <v>0</v>
      </c>
      <c r="AZ2049" s="30"/>
      <c r="BA2049" s="30"/>
      <c r="BB2049" s="569" t="s">
        <v>482</v>
      </c>
      <c r="BC2049" s="570">
        <f>AR2043*AR2046/1000*AR2050</f>
        <v>0</v>
      </c>
      <c r="BD2049" s="571">
        <f>BC2049</f>
        <v>0</v>
      </c>
      <c r="BE2049" s="572">
        <f>BC2049</f>
        <v>0</v>
      </c>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544" t="b">
        <f>OR(BZ2043,Y2049=EUconst_NA)</f>
        <v>1</v>
      </c>
    </row>
    <row r="2050" spans="1:78" s="140" customFormat="1" ht="12.75" customHeight="1" x14ac:dyDescent="0.2">
      <c r="A2050" s="777"/>
      <c r="B2050" s="1248"/>
      <c r="C2050" s="753" t="s">
        <v>325</v>
      </c>
      <c r="D2050" s="503" t="str">
        <f>Translations!$B$641</f>
        <v>Biomasės dalis (BioC):</v>
      </c>
      <c r="E2050" s="504"/>
      <c r="F2050" s="539"/>
      <c r="G2050" s="1603" t="str">
        <f t="shared" si="511"/>
        <v/>
      </c>
      <c r="H2050" s="1604"/>
      <c r="I2050" s="1113" t="str">
        <f>IF(OR(AC2050=FALSE,Y2050=EUconst_NA),"","-")</f>
        <v/>
      </c>
      <c r="J2050" s="560"/>
      <c r="K2050" s="561" t="str">
        <f t="shared" si="512"/>
        <v/>
      </c>
      <c r="L2050" s="694"/>
      <c r="M2050" s="700" t="str">
        <f>IF(AND(E2034&lt;&gt;"",OR(F2050="",COUNT(K2050:L2050)=0),Y2050&lt;&gt;EUconst_NA,T2034&lt;&gt;TRUE),EUconst_ERR_Incomplete,IF(COUNTIF(AX2050:AZ2050,TRUE)&gt;0,EUconst_ERR_Inconsistent,""))</f>
        <v/>
      </c>
      <c r="O2050" s="1305"/>
      <c r="P2050" s="635"/>
      <c r="Q2050" s="635"/>
      <c r="R2050" s="635"/>
      <c r="S2050" s="30"/>
      <c r="T2050" s="543" t="str">
        <f>EUconst_CNTR_BiomassContent&amp;E2034</f>
        <v>BioC_</v>
      </c>
      <c r="U2050" s="488"/>
      <c r="V2050" s="585" t="str">
        <f t="shared" si="517"/>
        <v/>
      </c>
      <c r="W2050" s="522" t="str">
        <f>IF(COUNTIF(MSPara_SourceStreamCategory,V2050)=0,"",INDEX(MSPara_IsFossil,MATCH(V2050,MSPara_SourceStreamCategory,0)))</f>
        <v/>
      </c>
      <c r="X2050" s="488"/>
      <c r="Y2050" s="545" t="str">
        <f>IF(OR(T2034=TRUE,E2034=""),"",IF(OR(W2050=TRUE,F2050=EUconst_NA),EUconst_NA,INDEX(EUwideConstants!$N:$N,MATCH(T2050,EUwideConstants!$Q:$Q,0))))</f>
        <v/>
      </c>
      <c r="Z2050" s="546" t="str">
        <f>IF(ISBLANK(F2050),"",IF(F2050=EUconst_NA,"",INDEX(EUwideConstants!$H:$M,MATCH(T2050,EUwideConstants!$Q:$Q,0),MATCH(F2050,CNTR_TierList,0))))</f>
        <v/>
      </c>
      <c r="AA2050" s="586" t="str">
        <f>IF(F2050=1,1,"")</f>
        <v/>
      </c>
      <c r="AB2050" s="30"/>
      <c r="AC2050" s="548" t="b">
        <f>AND(AC2043,Y2050&lt;&gt;EUconst_NA)</f>
        <v>0</v>
      </c>
      <c r="AD2050" s="30"/>
      <c r="AE2050" s="563"/>
      <c r="AG2050" s="564"/>
      <c r="AH2050" s="553"/>
      <c r="AI2050" s="565"/>
      <c r="AJ2050" s="553"/>
      <c r="AK2050" s="566"/>
      <c r="AL2050" s="333"/>
      <c r="AM2050" s="549" t="str">
        <f>EUconst_CNTR_BiomassContent&amp;EUconst_Value</f>
        <v>BioC_Vertė</v>
      </c>
      <c r="AO2050" s="587" t="str">
        <f>IF(AC2050=TRUE,IF(COUNTIF(MSPara_SourceStreamCategory,V2050)=0,"",INDEX(MSPara_CalcFactorsMatrix,MATCH(V2050,MSPara_SourceStreamCategory,0),MATCH(AM2050&amp;"_"&amp;2,MSPara_CalcFactors,0))),"")</f>
        <v/>
      </c>
      <c r="AP2050" s="553"/>
      <c r="AQ2050" s="568" t="str">
        <f>IF(OR(AA2050="",AO2050=EUconst_NA),"",AO2050)</f>
        <v/>
      </c>
      <c r="AR2050" s="548">
        <f>IF(AC2050=TRUE,IF(COUNT(K2050:L2050)=0,0,IF(L2050="",K2050,L2050)),0)</f>
        <v>0</v>
      </c>
      <c r="AS2050" s="544" t="b">
        <f>AND(AC2050=TRUE,OR(AND(F2050&lt;&gt;"",NOT(ISNUMBER(AA2050))),L2050&lt;&gt;"",F2050="",AQ2050=""))</f>
        <v>0</v>
      </c>
      <c r="AT2050" s="544" t="b">
        <f t="shared" si="513"/>
        <v>0</v>
      </c>
      <c r="AU2050" s="30"/>
      <c r="AV2050" s="558" t="b">
        <f t="shared" si="514"/>
        <v>0</v>
      </c>
      <c r="AW2050" s="559" t="b">
        <f t="shared" si="515"/>
        <v>0</v>
      </c>
      <c r="AX2050" s="30"/>
      <c r="AY2050" s="585" t="b">
        <f t="shared" si="516"/>
        <v>0</v>
      </c>
      <c r="AZ2050" s="522" t="b">
        <f>OR(AR2050&gt;100%,(AR2050+AR2051)&gt;100%)</f>
        <v>0</v>
      </c>
      <c r="BA2050" s="30"/>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544" t="b">
        <f>OR(BZ2043,Y2050=EUconst_NA)</f>
        <v>1</v>
      </c>
    </row>
    <row r="2051" spans="1:78" s="140" customFormat="1" ht="12.75" customHeight="1" thickBot="1" x14ac:dyDescent="0.25">
      <c r="A2051" s="777"/>
      <c r="B2051" s="1248"/>
      <c r="C2051" s="753" t="s">
        <v>448</v>
      </c>
      <c r="D2051" s="503" t="str">
        <f>Translations!$B$647</f>
        <v>Netvarios BioC dalis:</v>
      </c>
      <c r="E2051" s="504"/>
      <c r="F2051" s="588"/>
      <c r="G2051" s="1603" t="str">
        <f t="shared" si="511"/>
        <v/>
      </c>
      <c r="H2051" s="1604"/>
      <c r="I2051" s="1114" t="str">
        <f>IF(OR(AC2051=FALSE,Y2051=EUconst_NA),"","-")</f>
        <v/>
      </c>
      <c r="J2051" s="560"/>
      <c r="K2051" s="589" t="str">
        <f t="shared" si="512"/>
        <v/>
      </c>
      <c r="L2051" s="1100"/>
      <c r="M2051" s="700" t="str">
        <f>IF(AND(E2034&lt;&gt;"",OR(F2051="",COUNT(K2051:L2051)=0),Y2051&lt;&gt;EUconst_NA,T2034&lt;&gt;TRUE),EUconst_ERR_Incomplete,IF(COUNTIF(AX2051:AZ2051,TRUE)&gt;0,EUconst_ERR_Inconsistent,""))</f>
        <v/>
      </c>
      <c r="O2051" s="1305"/>
      <c r="P2051" s="635"/>
      <c r="Q2051" s="635"/>
      <c r="R2051" s="635"/>
      <c r="S2051" s="30"/>
      <c r="T2051" s="590" t="str">
        <f>EUconst_CNTR_BiomassContent&amp;E2034</f>
        <v>BioC_</v>
      </c>
      <c r="U2051" s="488"/>
      <c r="V2051" s="570" t="str">
        <f t="shared" si="517"/>
        <v/>
      </c>
      <c r="W2051" s="571" t="str">
        <f>IF(COUNTIF(MSPara_SourceStreamCategory,V2051)=0,"",INDEX(MSPara_IsFossil,MATCH(V2051,MSPara_SourceStreamCategory,0)))</f>
        <v/>
      </c>
      <c r="X2051" s="488"/>
      <c r="Y2051" s="591" t="str">
        <f>IF(OR(T2034=TRUE,E2034=""),"",IF(OR(W2051=TRUE,F2051=EUconst_NA),EUconst_NA,INDEX(EUwideConstants!$N:$N,MATCH(T2051,EUwideConstants!$Q:$Q,0))))</f>
        <v/>
      </c>
      <c r="Z2051" s="592" t="str">
        <f>IF(ISBLANK(F2051),"",IF(F2051=EUconst_NA,"",INDEX(EUwideConstants!$H:$M,MATCH(T2051,EUwideConstants!$Q:$Q,0),MATCH(F2051,CNTR_TierList,0))))</f>
        <v/>
      </c>
      <c r="AA2051" s="593" t="str">
        <f>IF(F2051=1,1,"")</f>
        <v/>
      </c>
      <c r="AB2051" s="30"/>
      <c r="AC2051" s="594" t="b">
        <f>AND(AC2043,Y2051&lt;&gt;EUconst_NA)</f>
        <v>0</v>
      </c>
      <c r="AD2051" s="30"/>
      <c r="AE2051" s="595"/>
      <c r="AF2051" s="596"/>
      <c r="AG2051" s="597"/>
      <c r="AH2051" s="598"/>
      <c r="AI2051" s="598"/>
      <c r="AJ2051" s="598"/>
      <c r="AK2051" s="599"/>
      <c r="AL2051" s="333"/>
      <c r="AM2051" s="600" t="str">
        <f>EUconst_CNTR_BiomassContent&amp;EUconst_Value</f>
        <v>BioC_Vertė</v>
      </c>
      <c r="AN2051" s="596"/>
      <c r="AO2051" s="601" t="str">
        <f>IF(AC2051=TRUE,IF(COUNTIF(MSPara_SourceStreamCategory,V2051)=0,"",INDEX(MSPara_CalcFactorsMatrix,MATCH(V2051,MSPara_SourceStreamCategory,0),MATCH(AM2051&amp;"_"&amp;2,MSPara_CalcFactors,0))),"")</f>
        <v/>
      </c>
      <c r="AP2051" s="598"/>
      <c r="AQ2051" s="602" t="str">
        <f>IF(OR(AA2051="",AO2051=EUconst_NA),"",AO2051)</f>
        <v/>
      </c>
      <c r="AR2051" s="594">
        <f>IF(AC2051=TRUE,IF(COUNT(K2051:L2051)=0,0,IF(L2051="",K2051,L2051)),0)</f>
        <v>0</v>
      </c>
      <c r="AS2051" s="603" t="b">
        <f>AND(AC2051=TRUE,OR(AND(F2051&lt;&gt;"",NOT(ISNUMBER(AA2051))),L2051&lt;&gt;"",F2051="",AQ2051=""))</f>
        <v>0</v>
      </c>
      <c r="AT2051" s="603" t="b">
        <f t="shared" si="513"/>
        <v>0</v>
      </c>
      <c r="AU2051" s="30"/>
      <c r="AV2051" s="604" t="b">
        <f t="shared" si="514"/>
        <v>0</v>
      </c>
      <c r="AW2051" s="605" t="b">
        <f t="shared" si="515"/>
        <v>0</v>
      </c>
      <c r="AX2051" s="30"/>
      <c r="AY2051" s="570" t="b">
        <f t="shared" si="516"/>
        <v>0</v>
      </c>
      <c r="AZ2051" s="571" t="b">
        <f>OR(AR2050&gt;100%,(AR2050+AR2051)&gt;100%)</f>
        <v>0</v>
      </c>
      <c r="BA2051" s="30"/>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571" t="b">
        <f>OR(BZ2043,Y2051=EUconst_NA)</f>
        <v>1</v>
      </c>
    </row>
    <row r="2052" spans="1:78" s="140" customFormat="1" ht="5.0999999999999996" customHeight="1" x14ac:dyDescent="0.2">
      <c r="A2052" s="777"/>
      <c r="B2052" s="1248"/>
      <c r="C2052" s="164"/>
      <c r="D2052" s="178"/>
      <c r="O2052" s="1305"/>
      <c r="P2052" s="33"/>
      <c r="Q2052" s="33"/>
      <c r="R2052" s="33"/>
      <c r="S2052" s="172"/>
      <c r="T2052" s="30"/>
      <c r="U2052" s="30"/>
      <c r="V2052" s="30"/>
      <c r="W2052" s="30"/>
      <c r="X2052" s="30"/>
      <c r="Y2052" s="30"/>
      <c r="Z2052" s="30"/>
      <c r="AA2052" s="30"/>
      <c r="AB2052" s="30"/>
      <c r="AC2052" s="30"/>
      <c r="AD2052" s="30"/>
      <c r="AE2052" s="30"/>
      <c r="AF2052" s="30"/>
      <c r="AG2052" s="30"/>
      <c r="AH2052" s="30"/>
      <c r="AI2052" s="30"/>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row>
    <row r="2053" spans="1:78" s="140" customFormat="1" ht="12.75" customHeight="1" x14ac:dyDescent="0.2">
      <c r="A2053" s="777"/>
      <c r="B2053" s="1248"/>
      <c r="C2053" s="164"/>
      <c r="D2053" s="1629" t="str">
        <f>Translations!$B$674</f>
        <v>Pakopos galioja nuo:</v>
      </c>
      <c r="E2053" s="1629"/>
      <c r="F2053" s="1630"/>
      <c r="G2053" s="1014"/>
      <c r="H2053" s="606" t="str">
        <f>Translations!$B$675</f>
        <v>iki:</v>
      </c>
      <c r="I2053" s="1014"/>
      <c r="J2053" s="1620" t="str">
        <f>Translations!$B$676</f>
        <v>Atliekų katalogo numeris (jeigu taikytina):</v>
      </c>
      <c r="K2053" s="1621"/>
      <c r="L2053" s="1621"/>
      <c r="M2053" s="1622"/>
      <c r="N2053" s="1232"/>
      <c r="O2053" s="1305"/>
      <c r="P2053" s="33"/>
      <c r="Q2053" s="33"/>
      <c r="R2053" s="33"/>
      <c r="S2053" s="1233"/>
      <c r="T2053" s="483"/>
      <c r="U2053" s="483"/>
      <c r="V2053" s="48" t="b">
        <f>IF(V2043="",FALSE,INDEX(CNTR_IsWaste,MATCH(V2043,MSParameters!$A$218:$A$376,0)))</f>
        <v>0</v>
      </c>
      <c r="W2053" s="1233" t="s">
        <v>1689</v>
      </c>
      <c r="X2053" s="30"/>
      <c r="Y2053" s="30"/>
      <c r="Z2053" s="30"/>
      <c r="AA2053" s="30"/>
      <c r="AB2053" s="30"/>
      <c r="AC2053" s="30"/>
      <c r="AD2053" s="30"/>
      <c r="AE2053" s="30"/>
      <c r="AF2053" s="30"/>
      <c r="AG2053" s="30"/>
      <c r="AH2053" s="30"/>
      <c r="AI2053" s="30"/>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2" t="b">
        <f>BZ2043</f>
        <v>1</v>
      </c>
    </row>
    <row r="2054" spans="1:78" s="140" customFormat="1" ht="5.0999999999999996" customHeight="1" x14ac:dyDescent="0.2">
      <c r="A2054" s="777"/>
      <c r="B2054" s="1248"/>
      <c r="C2054" s="164"/>
      <c r="D2054" s="606"/>
      <c r="E2054" s="486"/>
      <c r="F2054" s="486"/>
      <c r="G2054" s="486"/>
      <c r="H2054" s="486"/>
      <c r="I2054" s="486"/>
      <c r="J2054" s="486"/>
      <c r="K2054" s="486"/>
      <c r="L2054" s="486"/>
      <c r="M2054" s="486"/>
      <c r="N2054" s="486"/>
      <c r="O2054" s="1305"/>
      <c r="P2054" s="33"/>
      <c r="Q2054" s="33"/>
      <c r="R2054" s="33"/>
      <c r="S2054" s="172"/>
      <c r="T2054" s="30"/>
      <c r="U2054" s="30"/>
      <c r="V2054" s="30"/>
      <c r="W2054" s="30"/>
      <c r="X2054" s="30"/>
      <c r="Y2054" s="30"/>
      <c r="Z2054" s="30"/>
      <c r="AA2054" s="30"/>
      <c r="AB2054" s="30"/>
      <c r="AC2054" s="30"/>
      <c r="AD2054" s="30"/>
      <c r="AE2054" s="30"/>
      <c r="AF2054" s="30"/>
      <c r="AG2054" s="30"/>
      <c r="AH2054" s="30"/>
      <c r="AI2054" s="30"/>
      <c r="AJ2054" s="30"/>
      <c r="AK2054" s="30"/>
      <c r="AL2054" s="30"/>
      <c r="AM2054" s="30"/>
      <c r="AN2054" s="30"/>
      <c r="AO2054" s="30"/>
      <c r="AP2054" s="30"/>
      <c r="AQ2054" s="30"/>
      <c r="AR2054" s="30"/>
      <c r="AS2054" s="30"/>
      <c r="AT2054" s="30"/>
      <c r="AU2054" s="30"/>
      <c r="AV2054" s="30"/>
      <c r="AW2054" s="30"/>
      <c r="AX2054" s="30"/>
      <c r="AY2054" s="30"/>
      <c r="AZ2054" s="30"/>
      <c r="BA2054" s="30"/>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row>
    <row r="2055" spans="1:78" s="140" customFormat="1" ht="12.75" customHeight="1" x14ac:dyDescent="0.2">
      <c r="A2055" s="777"/>
      <c r="B2055" s="1248"/>
      <c r="C2055" s="164"/>
      <c r="D2055" s="486"/>
      <c r="E2055" s="486"/>
      <c r="F2055" s="486"/>
      <c r="G2055" s="486"/>
      <c r="H2055" s="486"/>
      <c r="I2055" s="486"/>
      <c r="J2055" s="486"/>
      <c r="K2055" s="486"/>
      <c r="L2055" s="486"/>
      <c r="M2055" s="606" t="str">
        <f>Translations!$B$677</f>
        <v>Stebėsenos plane šiam sukėlikliui suteiktas identifikatorius:</v>
      </c>
      <c r="N2055" s="705"/>
      <c r="O2055" s="1305"/>
      <c r="P2055" s="33"/>
      <c r="Q2055" s="33"/>
      <c r="R2055" s="33"/>
      <c r="S2055" s="172"/>
      <c r="T2055" s="30"/>
      <c r="U2055" s="30"/>
      <c r="V2055" s="30"/>
      <c r="W2055" s="30"/>
      <c r="X2055" s="30"/>
      <c r="Y2055" s="30"/>
      <c r="Z2055" s="30"/>
      <c r="AA2055" s="30"/>
      <c r="AB2055" s="30"/>
      <c r="AC2055" s="30"/>
      <c r="AD2055" s="30"/>
      <c r="AE2055" s="30"/>
      <c r="AF2055" s="30"/>
      <c r="AG2055" s="30"/>
      <c r="AH2055" s="30"/>
      <c r="AI2055" s="30"/>
      <c r="AJ2055" s="30"/>
      <c r="AK2055" s="30"/>
      <c r="AL2055" s="30"/>
      <c r="AM2055" s="30"/>
      <c r="AN2055" s="30"/>
      <c r="AO2055" s="30"/>
      <c r="AP2055" s="30"/>
      <c r="AQ2055" s="30"/>
      <c r="AR2055" s="30"/>
      <c r="AS2055" s="30"/>
      <c r="AT2055" s="30"/>
      <c r="AU2055" s="30"/>
      <c r="AV2055" s="30"/>
      <c r="AW2055" s="30"/>
      <c r="AX2055" s="30"/>
      <c r="AY2055" s="30"/>
      <c r="AZ2055" s="30"/>
      <c r="BA2055" s="30"/>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2" t="b">
        <f>BZ2053</f>
        <v>1</v>
      </c>
    </row>
    <row r="2056" spans="1:78" s="140" customFormat="1" ht="5.0999999999999996" customHeight="1" x14ac:dyDescent="0.2">
      <c r="A2056" s="784"/>
      <c r="B2056" s="1316"/>
      <c r="D2056" s="178"/>
      <c r="O2056" s="1317"/>
      <c r="P2056" s="488"/>
      <c r="Q2056" s="488"/>
      <c r="R2056" s="488"/>
      <c r="S2056" s="30"/>
      <c r="T2056" s="30"/>
      <c r="U2056" s="30"/>
      <c r="V2056" s="30"/>
      <c r="W2056" s="30"/>
      <c r="X2056" s="30"/>
      <c r="Y2056" s="30"/>
      <c r="Z2056" s="30"/>
      <c r="AA2056" s="30"/>
      <c r="AB2056" s="30"/>
      <c r="AC2056" s="30"/>
      <c r="AD2056" s="30"/>
      <c r="AE2056" s="30"/>
      <c r="AF2056" s="30"/>
      <c r="AG2056" s="30"/>
      <c r="AH2056" s="30"/>
      <c r="AI2056" s="30"/>
      <c r="AJ2056" s="30"/>
      <c r="AK2056" s="30"/>
      <c r="AL2056" s="30"/>
      <c r="AM2056" s="30"/>
      <c r="AN2056" s="30"/>
      <c r="AO2056" s="30"/>
      <c r="AP2056" s="30"/>
      <c r="AQ2056" s="30"/>
      <c r="AR2056" s="30"/>
      <c r="AS2056" s="30"/>
      <c r="AT2056" s="30"/>
      <c r="AU2056" s="30"/>
      <c r="AV2056" s="30"/>
      <c r="AW2056" s="30"/>
      <c r="AX2056" s="30"/>
      <c r="AY2056" s="30"/>
      <c r="AZ2056" s="30"/>
      <c r="BA2056" s="30"/>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row>
    <row r="2057" spans="1:78" s="140" customFormat="1" x14ac:dyDescent="0.2">
      <c r="A2057" s="784"/>
      <c r="B2057" s="1316"/>
      <c r="D2057" s="1618" t="str">
        <f>Translations!$B$160</f>
        <v>Pastabos:</v>
      </c>
      <c r="E2057" s="1619"/>
      <c r="F2057" s="1605"/>
      <c r="G2057" s="1606"/>
      <c r="H2057" s="1606"/>
      <c r="I2057" s="1606"/>
      <c r="J2057" s="1606"/>
      <c r="K2057" s="1606"/>
      <c r="L2057" s="1606"/>
      <c r="M2057" s="1606"/>
      <c r="N2057" s="1607"/>
      <c r="O2057" s="1317"/>
      <c r="P2057" s="488"/>
      <c r="Q2057" s="488"/>
      <c r="R2057" s="488"/>
      <c r="S2057" s="30"/>
      <c r="T2057" s="30"/>
      <c r="U2057" s="30"/>
      <c r="V2057" s="30"/>
      <c r="W2057" s="30"/>
      <c r="X2057" s="30"/>
      <c r="Y2057" s="30"/>
      <c r="Z2057" s="30"/>
      <c r="AA2057" s="30"/>
      <c r="AB2057" s="30"/>
      <c r="AC2057" s="30"/>
      <c r="AD2057" s="30"/>
      <c r="AE2057" s="30"/>
      <c r="AF2057" s="30"/>
      <c r="AG2057" s="30"/>
      <c r="AH2057" s="30"/>
      <c r="AI2057" s="30"/>
      <c r="AJ2057" s="30"/>
      <c r="AK2057" s="30"/>
      <c r="AL2057" s="30"/>
      <c r="AM2057" s="30"/>
      <c r="AN2057" s="30"/>
      <c r="AO2057" s="30"/>
      <c r="AP2057" s="30"/>
      <c r="AQ2057" s="30"/>
      <c r="AR2057" s="30"/>
      <c r="AS2057" s="30"/>
      <c r="AT2057" s="30"/>
      <c r="AU2057" s="30"/>
      <c r="AV2057" s="30"/>
      <c r="AW2057" s="30"/>
      <c r="AX2057" s="30"/>
      <c r="AY2057" s="30"/>
      <c r="AZ2057" s="30"/>
      <c r="BA2057" s="30"/>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2" t="b">
        <f>BZ2053</f>
        <v>1</v>
      </c>
    </row>
    <row r="2058" spans="1:78" s="28" customFormat="1" ht="12.75" customHeight="1" thickBot="1" x14ac:dyDescent="0.25">
      <c r="A2058" s="777"/>
      <c r="B2058" s="1312"/>
      <c r="C2058" s="490"/>
      <c r="D2058" s="491"/>
      <c r="E2058" s="492"/>
      <c r="F2058" s="490"/>
      <c r="G2058" s="493"/>
      <c r="H2058" s="493"/>
      <c r="I2058" s="493"/>
      <c r="J2058" s="493"/>
      <c r="K2058" s="493"/>
      <c r="L2058" s="493"/>
      <c r="M2058" s="493"/>
      <c r="N2058" s="493"/>
      <c r="O2058" s="1313"/>
      <c r="P2058" s="485"/>
      <c r="Q2058" s="485"/>
      <c r="R2058" s="485"/>
      <c r="S2058" s="58"/>
      <c r="T2058" s="58"/>
      <c r="U2058" s="489"/>
      <c r="V2058" s="58"/>
      <c r="W2058" s="58"/>
      <c r="X2058" s="489"/>
      <c r="Y2058" s="58"/>
      <c r="Z2058" s="58"/>
      <c r="AA2058" s="58"/>
      <c r="AB2058" s="58"/>
      <c r="AC2058" s="58"/>
      <c r="AD2058" s="58"/>
      <c r="AE2058" s="58"/>
      <c r="AF2058" s="58"/>
      <c r="AG2058" s="58"/>
      <c r="AH2058" s="58"/>
      <c r="AI2058" s="58"/>
      <c r="AJ2058" s="58"/>
      <c r="AK2058" s="58"/>
      <c r="AL2058" s="58"/>
      <c r="AM2058" s="58"/>
      <c r="AN2058" s="58"/>
      <c r="AO2058" s="58"/>
      <c r="AP2058" s="58"/>
      <c r="AQ2058" s="58"/>
      <c r="AR2058" s="58"/>
      <c r="AS2058" s="58"/>
      <c r="AT2058" s="58"/>
      <c r="AU2058" s="58"/>
      <c r="AV2058" s="58"/>
      <c r="AW2058" s="58"/>
      <c r="AX2058" s="58"/>
      <c r="AY2058" s="58"/>
      <c r="AZ2058" s="58"/>
      <c r="BA2058" s="58"/>
      <c r="BB2058" s="58"/>
      <c r="BC2058" s="58"/>
      <c r="BD2058" s="58"/>
      <c r="BE2058" s="58"/>
      <c r="BF2058" s="58"/>
      <c r="BG2058" s="58"/>
      <c r="BH2058" s="58"/>
      <c r="BI2058" s="30"/>
      <c r="BJ2058" s="30"/>
      <c r="BK2058" s="30"/>
      <c r="BL2058" s="58"/>
      <c r="BM2058" s="58"/>
      <c r="BN2058" s="58"/>
      <c r="BO2058" s="58"/>
      <c r="BP2058" s="58"/>
      <c r="BQ2058" s="58"/>
      <c r="BR2058" s="58"/>
      <c r="BS2058" s="58"/>
      <c r="BT2058" s="58"/>
      <c r="BU2058" s="58"/>
      <c r="BV2058" s="58"/>
      <c r="BW2058" s="58"/>
      <c r="BX2058" s="58"/>
      <c r="BY2058" s="58"/>
      <c r="BZ2058" s="58"/>
    </row>
    <row r="2059" spans="1:78" s="28" customFormat="1" ht="12.75" customHeight="1" thickBot="1" x14ac:dyDescent="0.25">
      <c r="A2059" s="782"/>
      <c r="B2059" s="1312"/>
      <c r="C2059" s="486"/>
      <c r="D2059" s="178"/>
      <c r="E2059" s="487"/>
      <c r="F2059" s="486"/>
      <c r="G2059" s="478"/>
      <c r="H2059" s="478"/>
      <c r="I2059" s="478"/>
      <c r="J2059" s="478"/>
      <c r="K2059" s="486"/>
      <c r="L2059" s="478"/>
      <c r="M2059" s="478"/>
      <c r="N2059" s="478"/>
      <c r="O2059" s="1313"/>
      <c r="P2059" s="485"/>
      <c r="Q2059" s="485"/>
      <c r="R2059" s="485"/>
      <c r="S2059" s="23"/>
      <c r="T2059" s="27" t="str">
        <f>IF(ISBLANK(E2060),"",MATCH(E2060,CNTR_SourceStreamNames,0))</f>
        <v/>
      </c>
      <c r="U2059" s="609" t="str">
        <f>IF(ISBLANK(E2060),"",INDEX(B_InstallationDescription!$D$71:$D$145,MATCH(E2060,CNTR_SourceStreamNames,0)))</f>
        <v/>
      </c>
      <c r="V2059" s="76"/>
      <c r="W2059" s="56"/>
      <c r="X2059" s="56"/>
      <c r="Y2059" s="56"/>
      <c r="Z2059" s="58"/>
      <c r="AA2059" s="58"/>
      <c r="AB2059" s="58"/>
      <c r="AC2059" s="58"/>
      <c r="AD2059" s="58"/>
      <c r="AE2059" s="58"/>
      <c r="AF2059" s="58"/>
      <c r="AG2059" s="58"/>
      <c r="AH2059" s="58"/>
      <c r="AI2059" s="58"/>
      <c r="AJ2059" s="58"/>
      <c r="AK2059" s="482"/>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6"/>
      <c r="BI2059" s="56"/>
      <c r="BJ2059" s="56"/>
      <c r="BK2059" s="56"/>
      <c r="BL2059" s="56"/>
      <c r="BM2059" s="56"/>
      <c r="BN2059" s="56"/>
      <c r="BO2059" s="56"/>
      <c r="BP2059" s="56"/>
      <c r="BQ2059" s="56"/>
      <c r="BR2059" s="56"/>
      <c r="BS2059" s="56"/>
      <c r="BT2059" s="56"/>
      <c r="BU2059" s="56"/>
      <c r="BV2059" s="56"/>
      <c r="BW2059" s="56"/>
      <c r="BX2059" s="56"/>
      <c r="BY2059" s="56"/>
      <c r="BZ2059" s="484" t="s">
        <v>259</v>
      </c>
    </row>
    <row r="2060" spans="1:78" s="140" customFormat="1" ht="15" customHeight="1" thickBot="1" x14ac:dyDescent="0.25">
      <c r="A2060" s="1302" t="str">
        <f>IF(E2060="","","PRINT")</f>
        <v/>
      </c>
      <c r="B2060" s="1248"/>
      <c r="C2060" s="608">
        <f>C2033+1</f>
        <v>75</v>
      </c>
      <c r="D2060" s="164"/>
      <c r="E2060" s="1610"/>
      <c r="F2060" s="1611"/>
      <c r="G2060" s="1611"/>
      <c r="H2060" s="1611"/>
      <c r="I2060" s="1611"/>
      <c r="J2060" s="1612"/>
      <c r="K2060" s="1623" t="str">
        <f>IF(E2061="","",INDEX(EUwideConstants!$F$353:$F$394,MATCH(E2061,EUConst_TierActivityListNames,0)))</f>
        <v/>
      </c>
      <c r="L2060" s="1624"/>
      <c r="M2060" s="494" t="str">
        <f>Translations!$B$665</f>
        <v>CO2, iškastinio kuro kilmės:</v>
      </c>
      <c r="N2060" s="1012" t="str">
        <f>IF(OR(K2060="",T2061=TRUE),"",INDEX(BC2074:BE2074,MATCH(K2060,BC2070:BE2070,0)))</f>
        <v/>
      </c>
      <c r="O2060" s="1314" t="s">
        <v>257</v>
      </c>
      <c r="P2060" s="1303" t="str">
        <f>IF(AND(E2060&lt;&gt;"",COUNTIF(P2061:$P$2089,"PRINT")=0),"PRINT","")</f>
        <v/>
      </c>
      <c r="Q2060" s="343" t="str">
        <f>EUconst_SumCO2 &amp; "_" &amp; K2060</f>
        <v>SUM_CO2_</v>
      </c>
      <c r="R2060" s="485"/>
      <c r="S2060" s="23"/>
      <c r="T2060" s="500" t="s">
        <v>387</v>
      </c>
      <c r="U2060" s="23"/>
      <c r="V2060" s="76"/>
      <c r="W2060" s="56"/>
      <c r="X2060" s="58"/>
      <c r="Y2060" s="58"/>
      <c r="Z2060" s="58"/>
      <c r="AA2060" s="58"/>
      <c r="AB2060" s="58"/>
      <c r="AC2060" s="58"/>
      <c r="AD2060" s="58"/>
      <c r="AE2060" s="58"/>
      <c r="AF2060" s="58"/>
      <c r="AG2060" s="58"/>
      <c r="AH2060" s="58"/>
      <c r="AI2060" s="333"/>
      <c r="AJ2060" s="333"/>
      <c r="AK2060" s="333"/>
      <c r="AL2060" s="333"/>
      <c r="AM2060" s="333"/>
      <c r="AN2060" s="333"/>
      <c r="AO2060" s="333"/>
      <c r="AP2060" s="333"/>
      <c r="AQ2060" s="333"/>
      <c r="AR2060" s="333"/>
      <c r="AS2060" s="333"/>
      <c r="AT2060" s="333"/>
      <c r="AU2060" s="333"/>
      <c r="AV2060" s="333"/>
      <c r="AW2060" s="333"/>
      <c r="AX2060" s="333"/>
      <c r="AY2060" s="333"/>
      <c r="AZ2060" s="333"/>
      <c r="BA2060" s="333"/>
      <c r="BB2060" s="333"/>
      <c r="BC2060" s="333"/>
      <c r="BD2060" s="333"/>
      <c r="BE2060" s="333"/>
      <c r="BF2060" s="333"/>
      <c r="BG2060" s="333"/>
      <c r="BH2060" s="834">
        <f>AR2070</f>
        <v>0</v>
      </c>
      <c r="BI2060" s="834" t="str">
        <f>AJ2070</f>
        <v/>
      </c>
      <c r="BJ2060" s="834">
        <f>AR2072</f>
        <v>0</v>
      </c>
      <c r="BK2060" s="834" t="str">
        <f>AJ2072</f>
        <v/>
      </c>
      <c r="BL2060" s="834">
        <f>AR2073</f>
        <v>0</v>
      </c>
      <c r="BM2060" s="834" t="str">
        <f>AJ2073</f>
        <v/>
      </c>
      <c r="BN2060" s="834">
        <f>AR2074</f>
        <v>1</v>
      </c>
      <c r="BO2060" s="834">
        <f>AR2075</f>
        <v>1</v>
      </c>
      <c r="BP2060" s="834">
        <f>AR2076</f>
        <v>0</v>
      </c>
      <c r="BQ2060" s="834" t="str">
        <f>AJ2076</f>
        <v/>
      </c>
      <c r="BR2060" s="834">
        <f>AR2077</f>
        <v>0</v>
      </c>
      <c r="BS2060" s="834">
        <f>AR2078</f>
        <v>0</v>
      </c>
      <c r="BT2060" s="834" t="str">
        <f>N2060</f>
        <v/>
      </c>
      <c r="BU2060" s="834" t="str">
        <f>N2061</f>
        <v/>
      </c>
      <c r="BV2060" s="834" t="str">
        <f>R2063</f>
        <v/>
      </c>
      <c r="BW2060" s="834" t="str">
        <f>R2069</f>
        <v/>
      </c>
      <c r="BX2060" s="834" t="str">
        <f>R2070</f>
        <v/>
      </c>
      <c r="BY2060" s="56"/>
      <c r="BZ2060" s="610" t="b">
        <f>CNTR_CalcRelevant=EUconst_NotRelevant</f>
        <v>0</v>
      </c>
    </row>
    <row r="2061" spans="1:78" s="140" customFormat="1" ht="15" customHeight="1" thickBot="1" x14ac:dyDescent="0.25">
      <c r="A2061" s="777"/>
      <c r="B2061" s="1248"/>
      <c r="C2061" s="164"/>
      <c r="D2061" s="164"/>
      <c r="E2061" s="1625" t="str">
        <f>IF(ISBLANK(E2060),"",IF(INDEX(B_InstallationDescription!$E$71:$E$145,MATCH(U2059,B_InstallationDescription!$D$71:$D$145,0))&gt;0,INDEX(B_InstallationDescription!$E$71:$E$145,MATCH(U2059,B_InstallationDescription!$D$71:$D$145,0)),""))</f>
        <v/>
      </c>
      <c r="F2061" s="1626"/>
      <c r="G2061" s="1626"/>
      <c r="H2061" s="1626"/>
      <c r="I2061" s="1626"/>
      <c r="J2061" s="1627"/>
      <c r="M2061" s="337" t="str">
        <f>Translations!$B$666</f>
        <v>CO2, biomasės kilmės.:</v>
      </c>
      <c r="N2061" s="1013" t="str">
        <f>IF(OR(K2060="",T2061=TRUE),"",INDEX(BC2073:BE2073,MATCH(K2060,BC2070:BE2070,0)))</f>
        <v/>
      </c>
      <c r="O2061" s="1315" t="s">
        <v>257</v>
      </c>
      <c r="P2061" s="485"/>
      <c r="Q2061" s="343" t="str">
        <f>EUconst_SumBioCO2 &amp; "_" &amp; K2060</f>
        <v>SUM_bioCO2_</v>
      </c>
      <c r="R2061" s="485"/>
      <c r="S2061" s="23"/>
      <c r="T2061" s="48" t="str">
        <f>IF(E2061="","",MATCH(E2061,EUConst_TierActivityListNames,0)&gt;40)</f>
        <v/>
      </c>
      <c r="U2061" s="23"/>
      <c r="V2061" s="76"/>
      <c r="W2061" s="56"/>
      <c r="X2061" s="58"/>
      <c r="Y2061" s="27" t="s">
        <v>91</v>
      </c>
      <c r="Z2061" s="30"/>
      <c r="AA2061" s="30"/>
      <c r="AB2061" s="30"/>
      <c r="AC2061" s="30"/>
      <c r="AD2061" s="30"/>
      <c r="AE2061" s="27" t="s">
        <v>297</v>
      </c>
      <c r="AF2061" s="58"/>
      <c r="AG2061" s="495"/>
      <c r="AH2061" s="30"/>
      <c r="AI2061" s="30"/>
      <c r="AJ2061" s="495"/>
      <c r="AK2061" s="495"/>
      <c r="AL2061" s="333"/>
      <c r="AM2061" s="27" t="s">
        <v>303</v>
      </c>
      <c r="AN2061" s="496"/>
      <c r="AO2061" s="496"/>
      <c r="AP2061" s="30"/>
      <c r="AQ2061" s="30"/>
      <c r="AR2061" s="30"/>
      <c r="AS2061" s="30"/>
      <c r="AT2061" s="30"/>
      <c r="AU2061" s="30"/>
      <c r="AV2061" s="27" t="s">
        <v>310</v>
      </c>
      <c r="AW2061" s="30"/>
      <c r="AX2061" s="483"/>
      <c r="AY2061" s="30"/>
      <c r="AZ2061" s="30"/>
      <c r="BA2061" s="30"/>
      <c r="BB2061" s="27" t="s">
        <v>217</v>
      </c>
      <c r="BC2061" s="30"/>
      <c r="BD2061" s="30"/>
      <c r="BE2061" s="30"/>
      <c r="BF2061" s="30"/>
      <c r="BG2061" s="27" t="s">
        <v>486</v>
      </c>
      <c r="BH2061" s="833" t="s">
        <v>552</v>
      </c>
      <c r="BI2061" s="833" t="s">
        <v>487</v>
      </c>
      <c r="BJ2061" s="833" t="s">
        <v>211</v>
      </c>
      <c r="BK2061" s="833" t="s">
        <v>488</v>
      </c>
      <c r="BL2061" s="833" t="s">
        <v>68</v>
      </c>
      <c r="BM2061" s="833" t="s">
        <v>489</v>
      </c>
      <c r="BN2061" s="833" t="s">
        <v>490</v>
      </c>
      <c r="BO2061" s="833" t="s">
        <v>491</v>
      </c>
      <c r="BP2061" s="833" t="s">
        <v>214</v>
      </c>
      <c r="BQ2061" s="833" t="s">
        <v>492</v>
      </c>
      <c r="BR2061" s="833" t="s">
        <v>493</v>
      </c>
      <c r="BS2061" s="833" t="s">
        <v>494</v>
      </c>
      <c r="BT2061" s="833" t="s">
        <v>287</v>
      </c>
      <c r="BU2061" s="833" t="s">
        <v>495</v>
      </c>
      <c r="BV2061" s="833" t="s">
        <v>498</v>
      </c>
      <c r="BW2061" s="833" t="s">
        <v>496</v>
      </c>
      <c r="BX2061" s="833" t="s">
        <v>497</v>
      </c>
      <c r="BY2061" s="30"/>
      <c r="BZ2061" s="30"/>
    </row>
    <row r="2062" spans="1:78" s="140" customFormat="1" ht="5.0999999999999996" customHeight="1" thickBot="1" x14ac:dyDescent="0.25">
      <c r="A2062" s="777"/>
      <c r="B2062" s="1248"/>
      <c r="C2062" s="164"/>
      <c r="D2062" s="164"/>
      <c r="E2062" s="164"/>
      <c r="F2062" s="164"/>
      <c r="G2062" s="164"/>
      <c r="M2062" s="141"/>
      <c r="N2062" s="141"/>
      <c r="O2062" s="1305"/>
      <c r="P2062" s="33"/>
      <c r="Q2062" s="33"/>
      <c r="R2062" s="33"/>
      <c r="S2062" s="23"/>
      <c r="T2062" s="23"/>
      <c r="U2062" s="23"/>
      <c r="V2062" s="76"/>
      <c r="W2062" s="30"/>
      <c r="X2062" s="30"/>
      <c r="Y2062" s="485"/>
      <c r="Z2062" s="30"/>
      <c r="AA2062" s="30"/>
      <c r="AB2062" s="30"/>
      <c r="AC2062" s="30"/>
      <c r="AD2062" s="30"/>
      <c r="AE2062" s="30"/>
      <c r="AF2062" s="58"/>
      <c r="AG2062" s="30"/>
      <c r="AH2062" s="30"/>
      <c r="AI2062" s="30"/>
      <c r="AJ2062" s="495"/>
      <c r="AK2062" s="495"/>
      <c r="AL2062" s="333"/>
      <c r="AM2062" s="30"/>
      <c r="AN2062" s="30"/>
      <c r="AO2062" s="30"/>
      <c r="AP2062" s="30"/>
      <c r="AQ2062" s="30"/>
      <c r="AR2062" s="30"/>
      <c r="AS2062" s="30"/>
      <c r="AT2062" s="30"/>
      <c r="AU2062" s="30"/>
      <c r="AV2062" s="30"/>
      <c r="AW2062" s="30"/>
      <c r="AX2062" s="30"/>
      <c r="AY2062" s="30"/>
      <c r="AZ2062" s="30"/>
      <c r="BA2062" s="30"/>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row>
    <row r="2063" spans="1:78" s="140" customFormat="1" ht="12.75" customHeight="1" thickBot="1" x14ac:dyDescent="0.25">
      <c r="A2063" s="777"/>
      <c r="B2063" s="1248"/>
      <c r="C2063" s="164"/>
      <c r="D2063" s="164"/>
      <c r="E2063" s="1628" t="str">
        <f>IF(E2060="","",IF(T2061=TRUE,HYPERLINK("#JUMP_14",EUconst_MsgGoOnPFC),HYPERLINK("#JUMP_E_8",EUconst_FurtherGuidancePoint1)))</f>
        <v/>
      </c>
      <c r="F2063" s="1628"/>
      <c r="G2063" s="1628"/>
      <c r="H2063" s="1628"/>
      <c r="I2063" s="1628"/>
      <c r="J2063" s="1628"/>
      <c r="K2063" s="1628"/>
      <c r="L2063" s="1628"/>
      <c r="M2063" s="1628"/>
      <c r="N2063" s="141"/>
      <c r="O2063" s="1305"/>
      <c r="P2063" s="33"/>
      <c r="Q2063" s="343" t="str">
        <f>EUconst_SumNonSustBioCO2 &amp; "_" &amp; K2060</f>
        <v>SUM_bioNonSustCO2_</v>
      </c>
      <c r="R2063" s="698" t="str">
        <f>IF(OR(K2060="",T2061=TRUE),"",ROUND(INDEX(BC2072:BE2072,MATCH(K2060,BC2070:BE2070,0)),0))</f>
        <v/>
      </c>
      <c r="S2063" s="23"/>
      <c r="T2063" s="23"/>
      <c r="U2063" s="23"/>
      <c r="V2063" s="30"/>
      <c r="W2063" s="30"/>
      <c r="X2063" s="30"/>
      <c r="Y2063" s="58"/>
      <c r="Z2063" s="30"/>
      <c r="AA2063" s="30"/>
      <c r="AB2063" s="30"/>
      <c r="AC2063" s="30"/>
      <c r="AD2063" s="30"/>
      <c r="AE2063" s="30"/>
      <c r="AF2063" s="58"/>
      <c r="AG2063" s="30"/>
      <c r="AH2063" s="30"/>
      <c r="AI2063" s="30"/>
      <c r="AJ2063" s="495"/>
      <c r="AK2063" s="495"/>
      <c r="AL2063" s="333"/>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row>
    <row r="2064" spans="1:78" s="140" customFormat="1" ht="5.0999999999999996" customHeight="1" thickBot="1" x14ac:dyDescent="0.25">
      <c r="A2064" s="777"/>
      <c r="B2064" s="1248"/>
      <c r="C2064" s="164"/>
      <c r="D2064" s="164"/>
      <c r="E2064" s="164"/>
      <c r="F2064" s="164"/>
      <c r="G2064" s="164"/>
      <c r="M2064" s="141"/>
      <c r="N2064" s="141"/>
      <c r="O2064" s="1305"/>
      <c r="P2064" s="23"/>
      <c r="Q2064" s="23"/>
      <c r="R2064" s="23"/>
      <c r="S2064" s="23"/>
      <c r="T2064" s="23"/>
      <c r="U2064" s="23"/>
      <c r="V2064" s="30"/>
      <c r="W2064" s="30"/>
      <c r="X2064" s="30"/>
      <c r="Y2064" s="485"/>
      <c r="Z2064" s="30"/>
      <c r="AA2064" s="30"/>
      <c r="AB2064" s="30"/>
      <c r="AC2064" s="30"/>
      <c r="AD2064" s="30"/>
      <c r="AE2064" s="30"/>
      <c r="AF2064" s="58"/>
      <c r="AG2064" s="30"/>
      <c r="AH2064" s="30"/>
      <c r="AI2064" s="30"/>
      <c r="AJ2064" s="495"/>
      <c r="AK2064" s="495"/>
      <c r="AL2064" s="333"/>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row>
    <row r="2065" spans="1:78" s="140" customFormat="1" ht="12.75" customHeight="1" thickBot="1" x14ac:dyDescent="0.25">
      <c r="A2065" s="777"/>
      <c r="B2065" s="1248"/>
      <c r="C2065" s="783" t="s">
        <v>4</v>
      </c>
      <c r="D2065" s="503" t="str">
        <f>Translations!$B$622</f>
        <v>VD:</v>
      </c>
      <c r="E2065" s="1631" t="str">
        <f>Translations!$B$667</f>
        <v>Ar veiklos duomenys gaunami sudedant išmatuotus kiekius (t. y. ne atliekant nuolatinius matavimus)?</v>
      </c>
      <c r="F2065" s="1631"/>
      <c r="G2065" s="1631"/>
      <c r="H2065" s="1631"/>
      <c r="I2065" s="1631"/>
      <c r="J2065" s="1631"/>
      <c r="K2065" s="1631"/>
      <c r="L2065" s="1122"/>
      <c r="M2065" s="498"/>
      <c r="O2065" s="1305"/>
      <c r="P2065" s="23"/>
      <c r="Q2065" s="23"/>
      <c r="R2065" s="23"/>
      <c r="S2065" s="23"/>
      <c r="T2065" s="23"/>
      <c r="U2065" s="23"/>
      <c r="V2065" s="30"/>
      <c r="W2065" s="30"/>
      <c r="X2065" s="30"/>
      <c r="Y2065" s="485"/>
      <c r="Z2065" s="30"/>
      <c r="AA2065" s="30"/>
      <c r="AB2065" s="30"/>
      <c r="AC2065" s="1115" t="b">
        <f>AND(E2060&lt;&gt;"",T2061&lt;&gt;TRUE)</f>
        <v>0</v>
      </c>
      <c r="AD2065" s="30"/>
      <c r="AE2065" s="30"/>
      <c r="AF2065" s="58"/>
      <c r="AG2065" s="30"/>
      <c r="AH2065" s="30"/>
      <c r="AI2065" s="30"/>
      <c r="AJ2065" s="495"/>
      <c r="AK2065" s="495"/>
      <c r="AL2065" s="333"/>
      <c r="AM2065" s="30"/>
      <c r="AN2065" s="30"/>
      <c r="AO2065" s="30"/>
      <c r="AP2065" s="30"/>
      <c r="AQ2065" s="30"/>
      <c r="AR2065" s="30"/>
      <c r="AS2065" s="30"/>
      <c r="AT2065" s="1115" t="b">
        <f>MSPara_BatchReportingMandatory&lt;&gt;TRUE</f>
        <v>0</v>
      </c>
      <c r="AU2065" s="30"/>
      <c r="AV2065" s="30"/>
      <c r="AW2065" s="30"/>
      <c r="AX2065" s="30"/>
      <c r="AY2065" s="30"/>
      <c r="AZ2065" s="30"/>
      <c r="BA2065" s="30"/>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1115" t="b">
        <f>OR(CNTR_CalcRelevant=EUconst_NotRelevant,AND(COUNTA(CNTR_ListRelevantSections)&gt;0,OR(T2061=TRUE,E2060="")))</f>
        <v>1</v>
      </c>
    </row>
    <row r="2066" spans="1:78" s="140" customFormat="1" ht="5.0999999999999996" customHeight="1" thickBot="1" x14ac:dyDescent="0.25">
      <c r="A2066" s="777"/>
      <c r="B2066" s="1248"/>
      <c r="C2066" s="164"/>
      <c r="D2066" s="164"/>
      <c r="E2066" s="164"/>
      <c r="F2066" s="164"/>
      <c r="G2066" s="164"/>
      <c r="H2066" s="486"/>
      <c r="I2066" s="486"/>
      <c r="J2066" s="486"/>
      <c r="K2066" s="486"/>
      <c r="L2066" s="486"/>
      <c r="M2066" s="498"/>
      <c r="O2066" s="1305"/>
      <c r="P2066" s="23"/>
      <c r="Q2066" s="23"/>
      <c r="R2066" s="23"/>
      <c r="S2066" s="23"/>
      <c r="T2066" s="23"/>
      <c r="U2066" s="23"/>
      <c r="V2066" s="30"/>
      <c r="W2066" s="30"/>
      <c r="X2066" s="30"/>
      <c r="Y2066" s="485"/>
      <c r="Z2066" s="30"/>
      <c r="AA2066" s="30"/>
      <c r="AB2066" s="30"/>
      <c r="AC2066" s="483"/>
      <c r="AD2066" s="30"/>
      <c r="AE2066" s="30"/>
      <c r="AF2066" s="58"/>
      <c r="AG2066" s="30"/>
      <c r="AH2066" s="30"/>
      <c r="AI2066" s="30"/>
      <c r="AJ2066" s="495"/>
      <c r="AK2066" s="495"/>
      <c r="AL2066" s="333"/>
      <c r="AM2066" s="30"/>
      <c r="AN2066" s="30"/>
      <c r="AO2066" s="30"/>
      <c r="AP2066" s="30"/>
      <c r="AQ2066" s="30"/>
      <c r="AR2066" s="30"/>
      <c r="AS2066" s="30"/>
      <c r="AT2066" s="483"/>
      <c r="AU2066" s="30"/>
      <c r="AV2066" s="30"/>
      <c r="AW2066" s="30"/>
      <c r="AX2066" s="30"/>
      <c r="AY2066" s="30"/>
      <c r="AZ2066" s="30"/>
      <c r="BA2066" s="30"/>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483"/>
    </row>
    <row r="2067" spans="1:78" s="140" customFormat="1" ht="12.75" customHeight="1" thickBot="1" x14ac:dyDescent="0.25">
      <c r="A2067" s="777"/>
      <c r="B2067" s="1248"/>
      <c r="C2067" s="783" t="s">
        <v>5</v>
      </c>
      <c r="D2067" s="503" t="str">
        <f>Translations!$B$622</f>
        <v>VD:</v>
      </c>
      <c r="E2067" s="1105" t="str">
        <f>Translations!$B$668</f>
        <v>Pradinis kiekis:</v>
      </c>
      <c r="F2067" s="1123"/>
      <c r="G2067" s="1106" t="str">
        <f>Translations!$B$669</f>
        <v>Galutinis kiekis:</v>
      </c>
      <c r="H2067" s="1123"/>
      <c r="I2067" s="1106" t="str">
        <f>Translations!$B$670</f>
        <v>Įsigytas kiekis:</v>
      </c>
      <c r="J2067" s="1123"/>
      <c r="K2067" s="1106" t="str">
        <f>Translations!$B$671</f>
        <v>Perduotas kiekis:</v>
      </c>
      <c r="L2067" s="1123"/>
      <c r="M2067" s="1107" t="str">
        <f>IF(AND(L2065=TRUE,COUNT(F2067,H2067,J2067,L2067)&lt;4),EUconst_ERR_Incomplete,"")</f>
        <v/>
      </c>
      <c r="O2067" s="1305"/>
      <c r="P2067" s="23"/>
      <c r="Q2067" s="23"/>
      <c r="R2067" s="23"/>
      <c r="S2067" s="23"/>
      <c r="T2067" s="23"/>
      <c r="U2067" s="23"/>
      <c r="V2067" s="30"/>
      <c r="W2067" s="30"/>
      <c r="X2067" s="30"/>
      <c r="Y2067" s="485"/>
      <c r="Z2067" s="30"/>
      <c r="AA2067" s="30"/>
      <c r="AB2067" s="30"/>
      <c r="AC2067" s="1115" t="b">
        <f>AC2065</f>
        <v>0</v>
      </c>
      <c r="AD2067" s="30"/>
      <c r="AE2067" s="30"/>
      <c r="AF2067" s="58"/>
      <c r="AG2067" s="30"/>
      <c r="AH2067" s="30"/>
      <c r="AI2067" s="30"/>
      <c r="AJ2067" s="495"/>
      <c r="AK2067" s="495"/>
      <c r="AL2067" s="333"/>
      <c r="AM2067" s="30"/>
      <c r="AN2067" s="30"/>
      <c r="AO2067" s="30"/>
      <c r="AP2067" s="30"/>
      <c r="AQ2067" s="30"/>
      <c r="AR2067" s="30"/>
      <c r="AS2067" s="30"/>
      <c r="AT2067" s="1115" t="b">
        <f>AND(AT2065=TRUE,L2065="")</f>
        <v>0</v>
      </c>
      <c r="AU2067" s="30"/>
      <c r="AV2067" s="30"/>
      <c r="AW2067" s="30"/>
      <c r="AX2067" s="30"/>
      <c r="AY2067" s="30"/>
      <c r="AZ2067" s="30"/>
      <c r="BA2067" s="30"/>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1115" t="b">
        <f>OR(BZ2065,AND(NOT(ISBLANK(L2065)),L2065=FALSE))</f>
        <v>1</v>
      </c>
    </row>
    <row r="2068" spans="1:78" s="140" customFormat="1" ht="5.0999999999999996" customHeight="1" thickBot="1" x14ac:dyDescent="0.25">
      <c r="A2068" s="777"/>
      <c r="B2068" s="1248"/>
      <c r="C2068" s="164"/>
      <c r="D2068" s="164"/>
      <c r="E2068" s="164"/>
      <c r="F2068" s="164"/>
      <c r="G2068" s="164"/>
      <c r="M2068" s="141"/>
      <c r="N2068" s="141"/>
      <c r="O2068" s="1305"/>
      <c r="P2068" s="23"/>
      <c r="Q2068" s="23"/>
      <c r="R2068" s="23"/>
      <c r="S2068" s="23"/>
      <c r="T2068" s="23"/>
      <c r="U2068" s="23"/>
      <c r="V2068" s="30"/>
      <c r="W2068" s="30"/>
      <c r="X2068" s="30"/>
      <c r="Y2068" s="485"/>
      <c r="Z2068" s="30"/>
      <c r="AA2068" s="30"/>
      <c r="AB2068" s="30"/>
      <c r="AC2068" s="30"/>
      <c r="AD2068" s="30"/>
      <c r="AE2068" s="30"/>
      <c r="AF2068" s="58"/>
      <c r="AG2068" s="30"/>
      <c r="AH2068" s="30"/>
      <c r="AI2068" s="30"/>
      <c r="AJ2068" s="495"/>
      <c r="AK2068" s="495"/>
      <c r="AL2068" s="333"/>
      <c r="AM2068" s="30"/>
      <c r="AN2068" s="30"/>
      <c r="AO2068" s="30"/>
      <c r="AP2068" s="30"/>
      <c r="AQ2068" s="30"/>
      <c r="AR2068" s="30"/>
      <c r="AS2068" s="30"/>
      <c r="AT2068" s="30"/>
      <c r="AU2068" s="30"/>
      <c r="AV2068" s="30"/>
      <c r="AW2068" s="30"/>
      <c r="AX2068" s="30"/>
      <c r="AY2068" s="30"/>
      <c r="AZ2068" s="30"/>
      <c r="BA2068" s="30"/>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row>
    <row r="2069" spans="1:78" s="140" customFormat="1" ht="12.75" customHeight="1" thickBot="1" x14ac:dyDescent="0.25">
      <c r="A2069" s="777"/>
      <c r="B2069" s="1248"/>
      <c r="C2069" s="164"/>
      <c r="D2069" s="164"/>
      <c r="E2069" s="164"/>
      <c r="F2069" s="497" t="str">
        <f>Translations!$B$333</f>
        <v>Pakopa</v>
      </c>
      <c r="G2069" s="1613" t="str">
        <f>Translations!$B$672</f>
        <v>pakopos aprašas</v>
      </c>
      <c r="H2069" s="1613"/>
      <c r="I2069" s="1608" t="str">
        <f>Translations!$B$158</f>
        <v>Vienetas</v>
      </c>
      <c r="J2069" s="1608"/>
      <c r="K2069" s="1608" t="str">
        <f>Translations!$B$673</f>
        <v>Vertė</v>
      </c>
      <c r="L2069" s="1608"/>
      <c r="M2069" s="498" t="str">
        <f>Translations!$B$610</f>
        <v>klaida</v>
      </c>
      <c r="O2069" s="1305"/>
      <c r="P2069" s="499"/>
      <c r="Q2069" s="343" t="str">
        <f>EUconst_SumEnergyIN &amp; "_" &amp; K2060</f>
        <v>SUM_EnergyIN_</v>
      </c>
      <c r="R2069" s="390" t="str">
        <f>IF(OR(K2060="",T2061)=TRUE,"",INDEX(BC2075:BE2075,MATCH(K2060,BC2070:BE2070,0)))</f>
        <v/>
      </c>
      <c r="S2069" s="30"/>
      <c r="T2069" s="480"/>
      <c r="U2069" s="30"/>
      <c r="V2069" s="500" t="s">
        <v>298</v>
      </c>
      <c r="W2069" s="30"/>
      <c r="X2069" s="30"/>
      <c r="Y2069" s="485" t="s">
        <v>560</v>
      </c>
      <c r="Z2069" s="485" t="s">
        <v>313</v>
      </c>
      <c r="AA2069" s="30"/>
      <c r="AB2069" s="30"/>
      <c r="AC2069" s="496" t="s">
        <v>304</v>
      </c>
      <c r="AD2069" s="30"/>
      <c r="AE2069" s="30"/>
      <c r="AF2069" s="483" t="s">
        <v>300</v>
      </c>
      <c r="AG2069" s="483" t="s">
        <v>301</v>
      </c>
      <c r="AH2069" s="485" t="s">
        <v>299</v>
      </c>
      <c r="AI2069" s="495" t="s">
        <v>302</v>
      </c>
      <c r="AJ2069" s="495" t="s">
        <v>561</v>
      </c>
      <c r="AK2069" s="501" t="s">
        <v>306</v>
      </c>
      <c r="AL2069" s="333"/>
      <c r="AM2069" s="30"/>
      <c r="AN2069" s="483" t="s">
        <v>300</v>
      </c>
      <c r="AO2069" s="483" t="s">
        <v>301</v>
      </c>
      <c r="AP2069" s="502" t="s">
        <v>305</v>
      </c>
      <c r="AQ2069" s="495" t="s">
        <v>563</v>
      </c>
      <c r="AR2069" s="495" t="s">
        <v>562</v>
      </c>
      <c r="AS2069" s="501" t="s">
        <v>599</v>
      </c>
      <c r="AT2069" s="501" t="s">
        <v>599</v>
      </c>
      <c r="AU2069" s="30"/>
      <c r="AV2069" s="483"/>
      <c r="AW2069" s="483"/>
      <c r="AX2069" s="483" t="s">
        <v>316</v>
      </c>
      <c r="AY2069" s="483"/>
      <c r="AZ2069" s="483"/>
      <c r="BA2069" s="483"/>
      <c r="BB2069" s="483"/>
      <c r="BC2069" s="483"/>
      <c r="BD2069" s="483"/>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484" t="s">
        <v>259</v>
      </c>
    </row>
    <row r="2070" spans="1:78" s="140" customFormat="1" ht="12.75" customHeight="1" thickBot="1" x14ac:dyDescent="0.25">
      <c r="A2070" s="777"/>
      <c r="B2070" s="1248"/>
      <c r="C2070" s="753" t="s">
        <v>194</v>
      </c>
      <c r="D2070" s="503" t="str">
        <f>Translations!$B$622</f>
        <v>VD:</v>
      </c>
      <c r="E2070" s="504"/>
      <c r="F2070" s="393"/>
      <c r="G2070" s="1603" t="str">
        <f>IF(OR(ISBLANK(F2070),F2070=EUconst_NoTier),"",IF(Z2070=0,EUconst_NA,IF(ISERROR(Z2070),"",Z2070)))</f>
        <v/>
      </c>
      <c r="H2070" s="1604"/>
      <c r="I2070" s="1108" t="str">
        <f>IF(J2070&lt;&gt;"","",AI2070)</f>
        <v/>
      </c>
      <c r="J2070" s="1109"/>
      <c r="K2070" s="1116" t="str">
        <f>IF(L2070="",AQ2070,"")</f>
        <v/>
      </c>
      <c r="L2070" s="1199"/>
      <c r="M2070" s="700" t="str">
        <f>IF(AND(E2061&lt;&gt;"",OR(F2070="",COUNT(K2070:L2070)=0),Y2070&lt;&gt;EUconst_NA,T2061&lt;&gt;TRUE),EUconst_ERR_Incomplete,IF(COUNTIF(AX2070:AZ2070,TRUE)&gt;0,EUconst_ERR_Inconsistent,""))</f>
        <v/>
      </c>
      <c r="O2070" s="1305"/>
      <c r="P2070" s="635"/>
      <c r="Q2070" s="343" t="str">
        <f>EUconst_SumBioEnergyIN &amp; "_" &amp; K2060</f>
        <v>SUM_BioEnergyIN_</v>
      </c>
      <c r="R2070" s="390" t="str">
        <f>IF(OR(K2060="",T2061)=TRUE,"",INDEX(BC2076:BE2076,MATCH(K2060,BC2070:BE2070,0)))</f>
        <v/>
      </c>
      <c r="S2070" s="30"/>
      <c r="T2070" s="505" t="str">
        <f>EUconst_CNTR_ActivityData&amp;E2061</f>
        <v>ActivityData_</v>
      </c>
      <c r="U2070" s="488"/>
      <c r="V2070" s="505" t="str">
        <f>IF(E2060="","",INDEX(B_InstallationDescription!$I$71:$I$145,MATCH(U2059,B_InstallationDescription!$D$71:$D$145,0)))</f>
        <v/>
      </c>
      <c r="W2070" s="495" t="s">
        <v>533</v>
      </c>
      <c r="X2070" s="488"/>
      <c r="Y2070" s="506" t="str">
        <f>IF(OR(T2061=TRUE,E2061=""),"",INDEX(EUwideConstants!$N:$N,MATCH(T2070,EUwideConstants!$Q:$Q,0)))</f>
        <v/>
      </c>
      <c r="Z2070" s="507" t="str">
        <f>IF(ISBLANK(F2070),"",IF(F2070=EUconst_NA,"",INDEX(EUwideConstants!$H:$M,MATCH(T2070,EUwideConstants!$Q:$Q,0),MATCH(F2070,CNTR_TierList,0))))</f>
        <v/>
      </c>
      <c r="AA2070" s="508" t="s">
        <v>299</v>
      </c>
      <c r="AB2070" s="495"/>
      <c r="AC2070" s="509" t="b">
        <f>AC2065</f>
        <v>0</v>
      </c>
      <c r="AD2070" s="30"/>
      <c r="AE2070" s="510" t="str">
        <f>EUconst_CNTR_ActivityData&amp;EUconst_Unit</f>
        <v>ActivityData_Vienetas</v>
      </c>
      <c r="AF2070" s="511" t="str">
        <f>IF(AC2070=TRUE, IF(COUNTIF(MSPara_SourceStreamCategory,V2070)=0,"",INDEX(MSPara_CalcFactorsMatrix,MATCH(V2070,MSPara_SourceStreamCategory,0),MATCH(AE2070&amp;"_"&amp;2,MSPara_CalcFactors,0))),"")</f>
        <v/>
      </c>
      <c r="AG2070" s="512" t="str">
        <f>IF(AC2070=TRUE, IF(COUNTIF(MSPara_SourceStreamCategory,V2070)=0,"",INDEX(MSPara_CalcFactorsMatrix,MATCH(V2070,MSPara_SourceStreamCategory,0),MATCH(AE2070&amp;"_"&amp;1,MSPara_CalcFactors,0))),"")</f>
        <v/>
      </c>
      <c r="AH2070" s="509" t="str">
        <f>IF(OR(AF2070="",AF2070=EUconst_NA),IF(OR(AG2070=EUconst_NA,AG2070=""),"",AG2070),AF2070)</f>
        <v/>
      </c>
      <c r="AI2070" s="506" t="str">
        <f>IF(AC2070=TRUE,IF(AH2070="",EUconst_t,AH2070),"")</f>
        <v/>
      </c>
      <c r="AJ2070" s="513" t="str">
        <f>IF(J2070="",AI2070,J2070)</f>
        <v/>
      </c>
      <c r="AK2070" s="514" t="b">
        <f>IF(K2060=EUconst_Fuel,J2070&lt;&gt;"",FALSE)</f>
        <v>0</v>
      </c>
      <c r="AL2070" s="333"/>
      <c r="AM2070" s="505" t="str">
        <f>EUconst_CNTR_ActivityData&amp;EUconst_Value</f>
        <v>ActivityData_Vertė</v>
      </c>
      <c r="AN2070" s="496"/>
      <c r="AO2070" s="496"/>
      <c r="AP2070" s="509" t="b">
        <f>AND(AND(AH2070&lt;&gt;"",AJ2070&lt;&gt;""),AJ2070=AH2070)</f>
        <v>0</v>
      </c>
      <c r="AQ2070" s="610" t="str">
        <f>IF(L2065=TRUE,SUM(F2067)-SUM(H2067)+SUM(J2067)-SUM(L2067),"")</f>
        <v/>
      </c>
      <c r="AR2070" s="509">
        <f>IF(Y2070=EUconst_NA,0,IF(COUNT(K2070:L2070)=0,0,IF(L2070="",K2070,L2070)))</f>
        <v>0</v>
      </c>
      <c r="AS2070" s="1115" t="b">
        <f>AND(AC2070=TRUE,OR(L2070&lt;&gt;"",AQ2070=""))</f>
        <v>0</v>
      </c>
      <c r="AT2070" s="1115" t="b">
        <f>AND(AC2070=TRUE,NOT(AS2070))</f>
        <v>0</v>
      </c>
      <c r="AU2070" s="30"/>
      <c r="AV2070" s="483" t="s">
        <v>309</v>
      </c>
      <c r="AW2070" s="483" t="s">
        <v>314</v>
      </c>
      <c r="AX2070" s="515"/>
      <c r="AY2070" s="30" t="s">
        <v>536</v>
      </c>
      <c r="AZ2070" s="30"/>
      <c r="BA2070" s="30"/>
      <c r="BB2070" s="495"/>
      <c r="BC2070" s="484" t="str">
        <f>EUconst_Fuel</f>
        <v>Degimas</v>
      </c>
      <c r="BD2070" s="484" t="str">
        <f>EUconst_ProcessCarbonate</f>
        <v>Proceso metu išsiskiriančios ŠESD</v>
      </c>
      <c r="BE2070" s="484" t="str">
        <f>EUconst_MassBalance</f>
        <v>Masės balansas</v>
      </c>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515" t="b">
        <f>BZ2065</f>
        <v>1</v>
      </c>
    </row>
    <row r="2071" spans="1:78" s="140" customFormat="1" ht="5.0999999999999996" customHeight="1" thickBot="1" x14ac:dyDescent="0.25">
      <c r="A2071" s="777"/>
      <c r="B2071" s="1248"/>
      <c r="C2071" s="783"/>
      <c r="D2071" s="298"/>
      <c r="F2071" s="141"/>
      <c r="G2071" s="141"/>
      <c r="H2071" s="141" t="s">
        <v>233</v>
      </c>
      <c r="I2071" s="516"/>
      <c r="J2071" s="516"/>
      <c r="K2071" s="141"/>
      <c r="L2071" s="141"/>
      <c r="M2071" s="701"/>
      <c r="O2071" s="1305"/>
      <c r="P2071" s="33"/>
      <c r="Q2071" s="33"/>
      <c r="R2071" s="33"/>
      <c r="S2071" s="30"/>
      <c r="T2071" s="153"/>
      <c r="U2071" s="488"/>
      <c r="V2071" s="30"/>
      <c r="W2071" s="30"/>
      <c r="X2071" s="488"/>
      <c r="Y2071" s="517"/>
      <c r="Z2071" s="30"/>
      <c r="AA2071" s="30"/>
      <c r="AB2071" s="30"/>
      <c r="AC2071" s="30"/>
      <c r="AD2071" s="30"/>
      <c r="AE2071" s="30"/>
      <c r="AF2071" s="30"/>
      <c r="AG2071" s="30"/>
      <c r="AH2071" s="30"/>
      <c r="AI2071" s="30"/>
      <c r="AJ2071" s="30"/>
      <c r="AK2071" s="30"/>
      <c r="AL2071" s="333"/>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484"/>
    </row>
    <row r="2072" spans="1:78" s="140" customFormat="1" ht="12.75" customHeight="1" thickBot="1" x14ac:dyDescent="0.25">
      <c r="A2072" s="777"/>
      <c r="B2072" s="1248"/>
      <c r="C2072" s="783" t="s">
        <v>195</v>
      </c>
      <c r="D2072" s="503" t="str">
        <f>Translations!$B$634</f>
        <v>(prelim.) ITF:</v>
      </c>
      <c r="E2072" s="504"/>
      <c r="F2072" s="518"/>
      <c r="G2072" s="1603" t="str">
        <f t="shared" ref="G2072:G2078" si="518">IF(OR(ISBLANK(F2072),F2072=EUconst_NoTier),"",IF(Z2072=0,EUconst_NotApplicable,IF(ISERROR(Z2072),"",Z2072)))</f>
        <v/>
      </c>
      <c r="H2072" s="1609"/>
      <c r="I2072" s="1110" t="str">
        <f>IF(J2072&lt;&gt;"","",AI2072)</f>
        <v/>
      </c>
      <c r="J2072" s="1111"/>
      <c r="K2072" s="519" t="str">
        <f t="shared" ref="K2072:K2078" si="519">IF(L2072="",AQ2072,"")</f>
        <v/>
      </c>
      <c r="L2072" s="520"/>
      <c r="M2072" s="700" t="str">
        <f>IF(AND(E2061&lt;&gt;"",OR(F2072="",COUNT(K2072:L2072)=0),Y2072&lt;&gt;EUconst_NA,T2061&lt;&gt;TRUE),EUconst_ERR_Incomplete,IF(COUNTIF(AX2072:AZ2072,TRUE)&gt;0,EUconst_ERR_Inconsistent,""))</f>
        <v/>
      </c>
      <c r="N2072" s="486"/>
      <c r="O2072" s="1305"/>
      <c r="P2072" s="33"/>
      <c r="Q2072" s="33"/>
      <c r="R2072" s="33"/>
      <c r="S2072" s="30"/>
      <c r="T2072" s="521" t="str">
        <f>EUconst_CNTR_EF&amp;E2061</f>
        <v>EF_</v>
      </c>
      <c r="U2072" s="488"/>
      <c r="V2072" s="522" t="str">
        <f>V2070</f>
        <v/>
      </c>
      <c r="W2072" s="30"/>
      <c r="X2072" s="488"/>
      <c r="Y2072" s="523" t="str">
        <f>IF(OR(T2061=TRUE,E2061=""),"",IF(F2072=EUconst_NA,EUconst_NA,INDEX(EUwideConstants!$N:$N,MATCH(T2072,EUwideConstants!$Q:$Q,0))))</f>
        <v/>
      </c>
      <c r="Z2072" s="524" t="str">
        <f>IF(ISBLANK(F2072),"",IF(F2072=EUconst_NA,"",INDEX(EUwideConstants!$H:$M,MATCH(T2072,EUwideConstants!$Q:$Q,0),MATCH(F2072,CNTR_TierList,0))))</f>
        <v/>
      </c>
      <c r="AA2072" s="525" t="str">
        <f>IF(COUNTIF(EUconst_DefaultValues,Z2072)&gt;0,MATCH(Z2072,EUconst_DefaultValues,0),"")</f>
        <v/>
      </c>
      <c r="AB2072" s="30"/>
      <c r="AC2072" s="526" t="b">
        <f>AND(AC2070,Y2072&lt;&gt;EUconst_NA)</f>
        <v>0</v>
      </c>
      <c r="AD2072" s="30"/>
      <c r="AE2072" s="510" t="str">
        <f>EUconst_CNTR_EF&amp;EUconst_Unit</f>
        <v>EF_Vienetas</v>
      </c>
      <c r="AF2072" s="527" t="str">
        <f>IF(AC2072=TRUE, IF(COUNTIF(MSPara_SourceStreamCategory,V2072)=0,"",INDEX(MSPara_CalcFactorsMatrix,MATCH(V2072,MSPara_SourceStreamCategory,0),MATCH(AE2072&amp;"_"&amp;2,MSPara_CalcFactors,0))),"")</f>
        <v/>
      </c>
      <c r="AG2072" s="528" t="str">
        <f>IF(AC2072=TRUE, IF(COUNTIF(MSPara_SourceStreamCategory,V2072)=0,"",INDEX(MSPara_CalcFactorsMatrix,MATCH(V2072,MSPara_SourceStreamCategory,0),MATCH(AE2072&amp;"_"&amp;1,MSPara_CalcFactors,0))),"")</f>
        <v/>
      </c>
      <c r="AH2072" s="529" t="str">
        <f>IF(AA2072="","",INDEX(AF2072:AG2072,3-AA2072))</f>
        <v/>
      </c>
      <c r="AI2072" s="530" t="str">
        <f>IF(AC2072=TRUE,IF(OR(AH2072="",AH2072=EUconst_NA),IF(K2060=EUconst_Fuel,EUconst_tCO2pTJ,EUconst_tCO2pt),AH2072),"")</f>
        <v/>
      </c>
      <c r="AJ2072" s="526" t="str">
        <f>IF(J2072="",AI2072,J2072)</f>
        <v/>
      </c>
      <c r="AK2072" s="531" t="b">
        <f>IF(K2060=EUconst_Fuel,J2072&lt;&gt;"",FALSE)</f>
        <v>0</v>
      </c>
      <c r="AL2072" s="333"/>
      <c r="AM2072" s="510" t="str">
        <f>EUconst_CNTR_EF&amp;EUconst_Value</f>
        <v>EF_Vertė</v>
      </c>
      <c r="AN2072" s="532" t="str">
        <f>IF(AC2072=TRUE,IF(COUNTIF(MSPara_SourceStreamCategory,V2072)=0,"",INDEX(MSPara_CalcFactorsMatrix,MATCH(V2072,MSPara_SourceStreamCategory,0),MATCH(AM2072&amp;"_"&amp;2,MSPara_CalcFactors,0))),"")</f>
        <v/>
      </c>
      <c r="AO2072" s="533" t="str">
        <f>IF(AC2072=TRUE,IF(COUNTIF(MSPara_SourceStreamCategory,V2072)=0,"",INDEX(MSPara_CalcFactorsMatrix,MATCH(V2072,MSPara_SourceStreamCategory,0),MATCH(AM2072&amp;"_"&amp;1,MSPara_CalcFactors,0))),"")</f>
        <v/>
      </c>
      <c r="AP2072" s="526" t="b">
        <f>AND(AND(AH2072&lt;&gt;"",AJ2072&lt;&gt;""),AJ2072=AH2072)</f>
        <v>0</v>
      </c>
      <c r="AQ2072" s="534" t="str">
        <f>IF(AND(AA2072&lt;&gt;"",AP2072=TRUE),IF(OR(INDEX(AN2072:AO2072,3-AA2072)=EUconst_NA,INDEX(AN2072:AO2072,3-AA2072)=0),"",INDEX(AN2072:AO2072,3-AA2072)),"")</f>
        <v/>
      </c>
      <c r="AR2072" s="526">
        <f>IF(AC2072=TRUE,IF(COUNT(K2072:L2072)=0,0,IF(L2072="",K2072,L2072)),0)</f>
        <v>0</v>
      </c>
      <c r="AS2072" s="522" t="b">
        <f>AND(AC2072=TRUE,OR(AND(F2072&lt;&gt;"",NOT(ISNUMBER(AA2072))),L2072&lt;&gt;"",F2072="",AQ2072=""))</f>
        <v>0</v>
      </c>
      <c r="AT2072" s="522" t="b">
        <f t="shared" ref="AT2072:AT2078" si="520">AND(AC2072=TRUE,NOT(AS2072))</f>
        <v>0</v>
      </c>
      <c r="AU2072" s="30"/>
      <c r="AV2072" s="535" t="b">
        <f t="shared" ref="AV2072:AV2078" si="521">AND(ISNUMBER(AA2072),AQ2072="")</f>
        <v>0</v>
      </c>
      <c r="AW2072" s="536" t="b">
        <f t="shared" ref="AW2072:AW2078" si="522">AND(ISNUMBER(AA2072),AQ2072&lt;&gt;AR2072)</f>
        <v>0</v>
      </c>
      <c r="AX2072" s="537" t="b">
        <f>OR(AND(AJ2070=EUconst_kNm3,AJ2072=EUconst_tCO2pt),AND(AJ2070=EUconst_t,AJ2072=EUconst_tCO2pkNm3))</f>
        <v>0</v>
      </c>
      <c r="AY2072" s="522" t="b">
        <f t="shared" ref="AY2072:AY2078" si="523">AND(L2072&lt;&gt;"",Y2072=EUconst_NA)</f>
        <v>0</v>
      </c>
      <c r="AZ2072" s="30"/>
      <c r="BA2072" s="30"/>
      <c r="BB2072" s="538" t="s">
        <v>588</v>
      </c>
      <c r="BC2072" s="537" t="str">
        <f>IF(K2060=BC2070,AR2070*IF(AJ2072=EUconst_tCO2pTJ,(AR2073/1000),1)*AR2072*AR2074*AR2078,"")</f>
        <v/>
      </c>
      <c r="BD2072" s="515" t="str">
        <f>IF(K2060=BD2070,AR2070*AR2072*AR2075*AR2078,"")</f>
        <v/>
      </c>
      <c r="BE2072" s="514" t="str">
        <f>IF(K2060=BE2070,3.664*AR2070*AR2076*AR2078,"")</f>
        <v/>
      </c>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522" t="b">
        <f>OR(BZ2070,Y2072=EUconst_NA)</f>
        <v>1</v>
      </c>
    </row>
    <row r="2073" spans="1:78" s="140" customFormat="1" ht="12.75" customHeight="1" thickBot="1" x14ac:dyDescent="0.25">
      <c r="A2073" s="777"/>
      <c r="B2073" s="1248"/>
      <c r="C2073" s="783" t="s">
        <v>196</v>
      </c>
      <c r="D2073" s="503" t="str">
        <f>Translations!$B$636</f>
        <v>GŠV:</v>
      </c>
      <c r="E2073" s="504"/>
      <c r="F2073" s="539"/>
      <c r="G2073" s="1603" t="str">
        <f t="shared" si="518"/>
        <v/>
      </c>
      <c r="H2073" s="1604"/>
      <c r="I2073" s="1112" t="str">
        <f>AJ2073</f>
        <v/>
      </c>
      <c r="J2073" s="540"/>
      <c r="K2073" s="541" t="str">
        <f t="shared" si="519"/>
        <v/>
      </c>
      <c r="L2073" s="542"/>
      <c r="M2073" s="700" t="str">
        <f>IF(AND(E2061&lt;&gt;"",OR(F2073="",COUNT(K2073:L2073)=0),Y2073&lt;&gt;EUconst_NA,T2061&lt;&gt;TRUE),EUconst_ERR_Incomplete,IF(COUNTIF(AX2073:AZ2073,TRUE)&gt;0,EUconst_ERR_Inconsistent,""))</f>
        <v/>
      </c>
      <c r="O2073" s="1305"/>
      <c r="P2073" s="33"/>
      <c r="Q2073" s="33"/>
      <c r="R2073" s="33"/>
      <c r="S2073" s="30"/>
      <c r="T2073" s="543" t="str">
        <f>EUconst_CNTR_NCV&amp;E2061</f>
        <v>NCV_</v>
      </c>
      <c r="U2073" s="488"/>
      <c r="V2073" s="544" t="str">
        <f t="shared" ref="V2073:V2078" si="524">V2072</f>
        <v/>
      </c>
      <c r="W2073" s="30"/>
      <c r="X2073" s="488"/>
      <c r="Y2073" s="545" t="str">
        <f>IF(OR(T2061=TRUE,E2061=""),"",IF(F2073=EUconst_NA,EUconst_NA,INDEX(EUwideConstants!$N:$N,MATCH(T2073,EUwideConstants!$Q:$Q,0))))</f>
        <v/>
      </c>
      <c r="Z2073" s="546" t="str">
        <f>IF(ISBLANK(F2073),"",IF(F2073=EUconst_NA,"",INDEX(EUwideConstants!$H:$M,MATCH(T2073,EUwideConstants!$Q:$Q,0),MATCH(F2073,CNTR_TierList,0))))</f>
        <v/>
      </c>
      <c r="AA2073" s="547" t="str">
        <f>IF(COUNTIF(EUconst_DefaultValues,Z2073)&gt;0,MATCH(Z2073,EUconst_DefaultValues,0),"")</f>
        <v/>
      </c>
      <c r="AB2073" s="30"/>
      <c r="AC2073" s="548" t="b">
        <f>AND(AC2070,Y2073&lt;&gt;EUconst_NA)</f>
        <v>0</v>
      </c>
      <c r="AD2073" s="30"/>
      <c r="AE2073" s="549" t="str">
        <f>EUconst_CNTR_NCV&amp;EUconst_Unit</f>
        <v>NCV_Vienetas</v>
      </c>
      <c r="AF2073" s="550" t="str">
        <f>IF(AC2073=TRUE, IF(COUNTIF(MSPara_SourceStreamCategory,V2073)=0,"",INDEX(MSPara_CalcFactorsMatrix,MATCH(V2073,MSPara_SourceStreamCategory,0),MATCH(AE2073&amp;"_"&amp;2,MSPara_CalcFactors,0))),"")</f>
        <v/>
      </c>
      <c r="AG2073" s="551" t="str">
        <f>IF(AC2073=TRUE, IF(COUNTIF(MSPara_SourceStreamCategory,V2073)=0,"",INDEX(MSPara_CalcFactorsMatrix,MATCH(V2073,MSPara_SourceStreamCategory,0),MATCH(AE2073&amp;"_"&amp;1,MSPara_CalcFactors,0))),"")</f>
        <v/>
      </c>
      <c r="AH2073" s="552" t="str">
        <f>IF(AA2073="","",INDEX(AF2073:AG2073,3-AA2073))</f>
        <v/>
      </c>
      <c r="AI2073" s="553"/>
      <c r="AJ2073" s="548" t="str">
        <f>IF(AC2073=TRUE,IF(AJ2070="","",IF(AJ2070=EUconst_kNm3,EUconst_GJpkNm3,EUconst_GJpt)),"")</f>
        <v/>
      </c>
      <c r="AK2073" s="554"/>
      <c r="AL2073" s="333"/>
      <c r="AM2073" s="549" t="str">
        <f>EUconst_CNTR_NCV&amp;EUconst_Value</f>
        <v>NCV_Vertė</v>
      </c>
      <c r="AN2073" s="555" t="str">
        <f>IF(AC2073=TRUE,IF(COUNTIF(MSPara_SourceStreamCategory,V2073)=0,"",INDEX(MSPara_CalcFactorsMatrix,MATCH(V2073,MSPara_SourceStreamCategory,0),MATCH(AM2073&amp;"_"&amp;2,MSPara_CalcFactors,0))),"")</f>
        <v/>
      </c>
      <c r="AO2073" s="556" t="str">
        <f>IF(AC2073=TRUE,IF(COUNTIF(MSPara_SourceStreamCategory,V2073)=0,"",INDEX(MSPara_CalcFactorsMatrix,MATCH(V2073,MSPara_SourceStreamCategory,0),MATCH(AM2073&amp;"_"&amp;1,MSPara_CalcFactors,0))),"")</f>
        <v/>
      </c>
      <c r="AP2073" s="548" t="b">
        <f>AND(AND(AH2073&lt;&gt;"",AJ2073&lt;&gt;""),AJ2073=AH2073)</f>
        <v>0</v>
      </c>
      <c r="AQ2073" s="557" t="str">
        <f>IF(AND(AA2073&lt;&gt;"",AP2073=TRUE),IF(OR(INDEX(AN2073:AO2073,3-AA2073)=EUconst_NA,INDEX(AN2073:AO2073,3-AA2073)=0),"",INDEX(AN2073:AO2073,3-AA2073)),"")</f>
        <v/>
      </c>
      <c r="AR2073" s="548">
        <f>IF(AC2073=TRUE,IF(COUNT(K2073:L2073)=0,0,IF(L2073="",K2073,L2073)),0)</f>
        <v>0</v>
      </c>
      <c r="AS2073" s="544" t="b">
        <f>AND(AC2073=TRUE,OR(AND(F2073&lt;&gt;"",NOT(ISNUMBER(AA2073))),L2073&lt;&gt;"",F2073="",AQ2073=""))</f>
        <v>0</v>
      </c>
      <c r="AT2073" s="544" t="b">
        <f t="shared" si="520"/>
        <v>0</v>
      </c>
      <c r="AU2073" s="30"/>
      <c r="AV2073" s="558" t="b">
        <f t="shared" si="521"/>
        <v>0</v>
      </c>
      <c r="AW2073" s="559" t="b">
        <f t="shared" si="522"/>
        <v>0</v>
      </c>
      <c r="AX2073" s="30"/>
      <c r="AY2073" s="544" t="b">
        <f t="shared" si="523"/>
        <v>0</v>
      </c>
      <c r="AZ2073" s="30"/>
      <c r="BA2073" s="30"/>
      <c r="BB2073" s="538" t="s">
        <v>589</v>
      </c>
      <c r="BC2073" s="537" t="str">
        <f>IF(K2060=BC2070,AR2070*IF(AJ2072=EUconst_tCO2pTJ,(AR2073/1000),1)*AR2072*AR2074*AR2077,"")</f>
        <v/>
      </c>
      <c r="BD2073" s="515" t="str">
        <f>IF(K2060=BD2070,AR2070*AR2072*AR2075*AR2077,"")</f>
        <v/>
      </c>
      <c r="BE2073" s="514" t="str">
        <f>IF(K2060=BE2070,3.664*AR2070*AR2076*AR2077,"")</f>
        <v/>
      </c>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544" t="b">
        <f>OR(BZ2070,Y2073=EUconst_NA)</f>
        <v>1</v>
      </c>
    </row>
    <row r="2074" spans="1:78" s="140" customFormat="1" ht="12.75" customHeight="1" thickBot="1" x14ac:dyDescent="0.25">
      <c r="A2074" s="777"/>
      <c r="B2074" s="1248"/>
      <c r="C2074" s="783" t="s">
        <v>197</v>
      </c>
      <c r="D2074" s="503" t="str">
        <f>Translations!$B$638</f>
        <v>Oksidacijos koef.:</v>
      </c>
      <c r="E2074" s="504"/>
      <c r="F2074" s="539"/>
      <c r="G2074" s="1603" t="str">
        <f t="shared" si="518"/>
        <v/>
      </c>
      <c r="H2074" s="1604"/>
      <c r="I2074" s="1113" t="str">
        <f>IF(OR(AC2074=FALSE,Y2074=EUconst_NA),"","-")</f>
        <v/>
      </c>
      <c r="J2074" s="560"/>
      <c r="K2074" s="561" t="str">
        <f t="shared" si="519"/>
        <v/>
      </c>
      <c r="L2074" s="694"/>
      <c r="M2074" s="700" t="str">
        <f>IF(AND(E2061&lt;&gt;"",OR(F2074="",COUNT(K2074:L2074)=0),Y2074&lt;&gt;EUconst_NA,T2061&lt;&gt;TRUE),EUconst_ERR_Incomplete,IF(COUNTIF(AX2074:AZ2074,TRUE)&gt;0,EUconst_ERR_Inconsistent,""))</f>
        <v/>
      </c>
      <c r="O2074" s="1305"/>
      <c r="P2074" s="33"/>
      <c r="Q2074" s="33"/>
      <c r="R2074" s="33"/>
      <c r="S2074" s="30"/>
      <c r="T2074" s="543" t="str">
        <f>EUconst_CNTR_OxidationFactor&amp;E2061</f>
        <v>OxF_</v>
      </c>
      <c r="U2074" s="488"/>
      <c r="V2074" s="544" t="str">
        <f t="shared" si="524"/>
        <v/>
      </c>
      <c r="W2074" s="30"/>
      <c r="X2074" s="488"/>
      <c r="Y2074" s="545" t="str">
        <f>IF(OR(T2061=TRUE,E2061=""),"",INDEX(EUwideConstants!$N:$N,MATCH(T2074,EUwideConstants!$Q:$Q,0)))</f>
        <v/>
      </c>
      <c r="Z2074" s="546" t="str">
        <f>IF(ISBLANK(F2074),"",IF(F2074=EUconst_NA,"",INDEX(EUwideConstants!$H:$M,MATCH(T2074,EUwideConstants!$Q:$Q,0),MATCH(F2074,CNTR_TierList,0))))</f>
        <v/>
      </c>
      <c r="AA2074" s="525" t="str">
        <f>IF(F2074=1,1,"")</f>
        <v/>
      </c>
      <c r="AB2074" s="30"/>
      <c r="AC2074" s="548" t="b">
        <f>AND(AC2070,Y2074&lt;&gt;EUconst_NA)</f>
        <v>0</v>
      </c>
      <c r="AD2074" s="30"/>
      <c r="AE2074" s="563"/>
      <c r="AG2074" s="564"/>
      <c r="AH2074" s="553"/>
      <c r="AI2074" s="565"/>
      <c r="AJ2074" s="553"/>
      <c r="AK2074" s="566"/>
      <c r="AL2074" s="333"/>
      <c r="AM2074" s="549" t="str">
        <f>EUconst_CNTR_OxidationFactor&amp;EUconst_Value</f>
        <v>OxF_Vertė</v>
      </c>
      <c r="AN2074" s="567"/>
      <c r="AO2074" s="525">
        <v>1</v>
      </c>
      <c r="AP2074" s="553"/>
      <c r="AQ2074" s="568" t="str">
        <f>IF(AA2074="","",AO2074)</f>
        <v/>
      </c>
      <c r="AR2074" s="548">
        <f>IF(AC2074=TRUE,IF(COUNT(K2074:L2074)=0,0,IF(L2074="",K2074,L2074)),1)</f>
        <v>1</v>
      </c>
      <c r="AS2074" s="544" t="b">
        <f>AND(AC2074=TRUE,OR(ISNUMBER(L2074),NOT(ISNUMBER(AA2074))))</f>
        <v>0</v>
      </c>
      <c r="AT2074" s="544" t="b">
        <f t="shared" si="520"/>
        <v>0</v>
      </c>
      <c r="AU2074" s="30"/>
      <c r="AV2074" s="558" t="b">
        <f t="shared" si="521"/>
        <v>0</v>
      </c>
      <c r="AW2074" s="559" t="b">
        <f t="shared" si="522"/>
        <v>0</v>
      </c>
      <c r="AX2074" s="30"/>
      <c r="AY2074" s="585" t="b">
        <f t="shared" si="523"/>
        <v>0</v>
      </c>
      <c r="AZ2074" s="522" t="b">
        <f>AR2074&gt;100%</f>
        <v>0</v>
      </c>
      <c r="BA2074" s="30"/>
      <c r="BB2074" s="538" t="s">
        <v>287</v>
      </c>
      <c r="BC2074" s="537" t="str">
        <f>IF(K2060=BC2070,AR2070*IF(AJ2072=EUconst_tCO2pTJ,(AR2073/1000),1)*AR2072*AR2074*(1-AR2077),"")</f>
        <v/>
      </c>
      <c r="BD2074" s="515" t="str">
        <f>IF(K2060=BD2070,AR2070*AR2072*AR2075*(1-AR2077),"")</f>
        <v/>
      </c>
      <c r="BE2074" s="514" t="str">
        <f>IF(K2060=BE2070,3.664*AR2070*AR2076*(1-AR2077),"")</f>
        <v/>
      </c>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544" t="b">
        <f>OR(BZ2070,Y2074=EUconst_NA)</f>
        <v>1</v>
      </c>
    </row>
    <row r="2075" spans="1:78" s="140" customFormat="1" ht="12.75" customHeight="1" thickBot="1" x14ac:dyDescent="0.25">
      <c r="A2075" s="777"/>
      <c r="B2075" s="1248"/>
      <c r="C2075" s="783" t="s">
        <v>198</v>
      </c>
      <c r="D2075" s="503" t="str">
        <f>Translations!$B$639</f>
        <v>Konversijos koef.:</v>
      </c>
      <c r="E2075" s="504"/>
      <c r="F2075" s="539"/>
      <c r="G2075" s="1603" t="str">
        <f t="shared" si="518"/>
        <v/>
      </c>
      <c r="H2075" s="1604"/>
      <c r="I2075" s="1113" t="str">
        <f>IF(OR(AC2075=FALSE,Y2075=EUconst_NA),"","-")</f>
        <v/>
      </c>
      <c r="J2075" s="560"/>
      <c r="K2075" s="561" t="str">
        <f t="shared" si="519"/>
        <v/>
      </c>
      <c r="L2075" s="694"/>
      <c r="M2075" s="700" t="str">
        <f>IF(AND(E2061&lt;&gt;"",OR(F2075="",COUNT(K2075:L2075)=0),Y2075&lt;&gt;EUconst_NA,T2061&lt;&gt;TRUE),EUconst_ERR_Incomplete,IF(COUNTIF(AX2075:AZ2075,TRUE)&gt;0,EUconst_ERR_Inconsistent,""))</f>
        <v/>
      </c>
      <c r="O2075" s="1305"/>
      <c r="P2075" s="33"/>
      <c r="Q2075" s="33"/>
      <c r="R2075" s="33"/>
      <c r="S2075" s="30"/>
      <c r="T2075" s="543" t="str">
        <f>EUconst_CNTR_ConversionFactor&amp;E2061</f>
        <v>ConvF_</v>
      </c>
      <c r="U2075" s="488"/>
      <c r="V2075" s="544" t="str">
        <f t="shared" si="524"/>
        <v/>
      </c>
      <c r="W2075" s="30"/>
      <c r="X2075" s="488"/>
      <c r="Y2075" s="545" t="str">
        <f>IF(OR(T2061=TRUE,E2061=""),"",INDEX(EUwideConstants!$N:$N,MATCH(T2075,EUwideConstants!$Q:$Q,0)))</f>
        <v/>
      </c>
      <c r="Z2075" s="546" t="str">
        <f>IF(ISBLANK(F2075),"",IF(F2075=EUconst_NA,"",INDEX(EUwideConstants!$H:$M,MATCH(T2075,EUwideConstants!$Q:$Q,0),MATCH(F2075,CNTR_TierList,0))))</f>
        <v/>
      </c>
      <c r="AA2075" s="573" t="str">
        <f>IF(F2075=1,1,"")</f>
        <v/>
      </c>
      <c r="AB2075" s="30"/>
      <c r="AC2075" s="548" t="b">
        <f>AND(AC2070,Y2075&lt;&gt;EUconst_NA)</f>
        <v>0</v>
      </c>
      <c r="AD2075" s="30"/>
      <c r="AE2075" s="563"/>
      <c r="AG2075" s="564"/>
      <c r="AH2075" s="574"/>
      <c r="AI2075" s="565"/>
      <c r="AJ2075" s="574"/>
      <c r="AK2075" s="566"/>
      <c r="AL2075" s="333"/>
      <c r="AM2075" s="549" t="str">
        <f>EUconst_CNTR_ConversionFactor&amp;EUconst_Value</f>
        <v>ConvF_Vertė</v>
      </c>
      <c r="AN2075" s="575"/>
      <c r="AO2075" s="573">
        <v>1</v>
      </c>
      <c r="AP2075" s="574"/>
      <c r="AQ2075" s="576" t="str">
        <f>IF(AA2075="","",AO2075)</f>
        <v/>
      </c>
      <c r="AR2075" s="548">
        <f>IF(AC2075=TRUE,IF(COUNT(K2075:L2075)=0,0,IF(L2075="",K2075,L2075)),1)</f>
        <v>1</v>
      </c>
      <c r="AS2075" s="544" t="b">
        <f>AND(AC2075=TRUE,OR(ISNUMBER(L2075),NOT(ISNUMBER(AA2075))))</f>
        <v>0</v>
      </c>
      <c r="AT2075" s="544" t="b">
        <f t="shared" si="520"/>
        <v>0</v>
      </c>
      <c r="AU2075" s="30"/>
      <c r="AV2075" s="558" t="b">
        <f t="shared" si="521"/>
        <v>0</v>
      </c>
      <c r="AW2075" s="559" t="b">
        <f t="shared" si="522"/>
        <v>0</v>
      </c>
      <c r="AX2075" s="30"/>
      <c r="AY2075" s="585" t="b">
        <f t="shared" si="523"/>
        <v>0</v>
      </c>
      <c r="AZ2075" s="571" t="b">
        <f>AR2075&gt;100%</f>
        <v>0</v>
      </c>
      <c r="BA2075" s="30"/>
      <c r="BB2075" s="569" t="s">
        <v>481</v>
      </c>
      <c r="BC2075" s="570">
        <f>AR2070*AR2073/1000*(1-AR2077)</f>
        <v>0</v>
      </c>
      <c r="BD2075" s="571">
        <f>BC2075</f>
        <v>0</v>
      </c>
      <c r="BE2075" s="572">
        <f>BC2075</f>
        <v>0</v>
      </c>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544" t="b">
        <f>OR(BZ2070,Y2075=EUconst_NA)</f>
        <v>1</v>
      </c>
    </row>
    <row r="2076" spans="1:78" s="140" customFormat="1" ht="12.75" customHeight="1" thickBot="1" x14ac:dyDescent="0.25">
      <c r="A2076" s="777"/>
      <c r="B2076" s="1248"/>
      <c r="C2076" s="783" t="s">
        <v>324</v>
      </c>
      <c r="D2076" s="503" t="str">
        <f>Translations!$B$640</f>
        <v>Anglies kiekis (C):</v>
      </c>
      <c r="E2076" s="504"/>
      <c r="F2076" s="539"/>
      <c r="G2076" s="1603" t="str">
        <f t="shared" si="518"/>
        <v/>
      </c>
      <c r="H2076" s="1604"/>
      <c r="I2076" s="1113" t="str">
        <f>AJ2076</f>
        <v/>
      </c>
      <c r="J2076" s="577"/>
      <c r="K2076" s="578" t="str">
        <f t="shared" si="519"/>
        <v/>
      </c>
      <c r="L2076" s="579"/>
      <c r="M2076" s="700" t="str">
        <f>IF(AND(E2061&lt;&gt;"",OR(F2076="",COUNT(K2076:L2076)=0),Y2076&lt;&gt;EUconst_NA,T2061&lt;&gt;TRUE),EUconst_ERR_Incomplete,IF(COUNTIF(AX2076:AZ2076,TRUE)&gt;0,EUconst_ERR_Inconsistent,""))</f>
        <v/>
      </c>
      <c r="O2076" s="1305"/>
      <c r="P2076" s="33"/>
      <c r="Q2076" s="33"/>
      <c r="R2076" s="33"/>
      <c r="S2076" s="30"/>
      <c r="T2076" s="543" t="str">
        <f>EUconst_CNTR_CarbonContent&amp;E2061</f>
        <v>CarbC_</v>
      </c>
      <c r="U2076" s="488"/>
      <c r="V2076" s="544" t="str">
        <f t="shared" si="524"/>
        <v/>
      </c>
      <c r="W2076" s="30"/>
      <c r="X2076" s="488"/>
      <c r="Y2076" s="545" t="str">
        <f>IF(OR(T2061=TRUE,E2061=""),"",INDEX(EUwideConstants!$N:$N,MATCH(T2076,EUwideConstants!$Q:$Q,0)))</f>
        <v/>
      </c>
      <c r="Z2076" s="546" t="str">
        <f>IF(ISBLANK(F2076),"",IF(F2076=EUconst_NA,"",INDEX(EUwideConstants!$H:$M,MATCH(T2076,EUwideConstants!$Q:$Q,0),MATCH(F2076,CNTR_TierList,0))))</f>
        <v/>
      </c>
      <c r="AA2076" s="580" t="str">
        <f>IF(COUNTIF(EUconst_DefaultValues,Z2076)&gt;0,MATCH(Z2076,EUconst_DefaultValues,0),"")</f>
        <v/>
      </c>
      <c r="AB2076" s="30"/>
      <c r="AC2076" s="548" t="b">
        <f>AND(AC2070,Y2076&lt;&gt;EUconst_NA)</f>
        <v>0</v>
      </c>
      <c r="AD2076" s="30"/>
      <c r="AE2076" s="549" t="str">
        <f>EUconst_CNTR_CarbonContent&amp;EUconst_Unit</f>
        <v>CarbC_Vienetas</v>
      </c>
      <c r="AF2076" s="550" t="str">
        <f>IF(AC2076=TRUE, IF(COUNTIF(MSPara_SourceStreamCategory,V2076)=0,"",INDEX(MSPara_CalcFactorsMatrix,MATCH(V2076,MSPara_SourceStreamCategory,0),MATCH(AE2076&amp;"_"&amp;2,MSPara_CalcFactors,0))),"")</f>
        <v/>
      </c>
      <c r="AG2076" s="551" t="str">
        <f>IF(AC2076=TRUE, IF(COUNTIF(MSPara_SourceStreamCategory,V2076)=0,"",INDEX(MSPara_CalcFactorsMatrix,MATCH(V2076,MSPara_SourceStreamCategory,0),MATCH(AE2076&amp;"_"&amp;1,MSPara_CalcFactors,0))),"")</f>
        <v/>
      </c>
      <c r="AH2076" s="581" t="str">
        <f>IF(AA2076="","",INDEX(AF2076:AG2076,3-AA2076))</f>
        <v/>
      </c>
      <c r="AI2076" s="565"/>
      <c r="AJ2076" s="582" t="str">
        <f>IF(AC2076=TRUE,IF(AJ2070="","",IF(AJ2070=EUconst_kNm3,EUconst_tCpkNm3,EUconst_tCpt)),"")</f>
        <v/>
      </c>
      <c r="AK2076" s="566"/>
      <c r="AL2076" s="333"/>
      <c r="AM2076" s="549" t="str">
        <f>EUconst_CNTR_CarbonContent&amp;EUconst_Value</f>
        <v>CarbC_Vertė</v>
      </c>
      <c r="AN2076" s="555" t="str">
        <f>IF(AC2076=TRUE,IF(COUNTIF(MSPara_SourceStreamCategory,V2076)=0,"",INDEX(MSPara_CalcFactorsMatrix,MATCH(V2076,MSPara_SourceStreamCategory,0),MATCH(AM2076&amp;"_"&amp;2,MSPara_CalcFactors,0))),"")</f>
        <v/>
      </c>
      <c r="AO2076" s="583" t="str">
        <f>IF(AC2076=TRUE,IF(COUNTIF(MSPara_SourceStreamCategory,V2076)=0,"",INDEX(MSPara_CalcFactorsMatrix,MATCH(V2076,MSPara_SourceStreamCategory,0),MATCH(AM2076&amp;"_"&amp;1,MSPara_CalcFactors,0))),"")</f>
        <v/>
      </c>
      <c r="AP2076" s="548" t="b">
        <f>AND(AND(AH2076&lt;&gt;"",AJ2076&lt;&gt;""),AJ2076=AH2076)</f>
        <v>0</v>
      </c>
      <c r="AQ2076" s="584" t="str">
        <f>IF(AND(AA2076&lt;&gt;"",AP2076=TRUE),IF(OR(INDEX(AN2076:AO2076,3-AA2076)=EUconst_NA,INDEX(AN2076:AO2076,3-AA2076)=0),"",INDEX(AN2076:AO2076,3-AA2076)),"")</f>
        <v/>
      </c>
      <c r="AR2076" s="548">
        <f>IF(AC2076=TRUE,IF(COUNT(K2076:L2076)=0,0,IF(L2076="",K2076,L2076)),0)</f>
        <v>0</v>
      </c>
      <c r="AS2076" s="544" t="b">
        <f>AND(AC2076=TRUE,OR(AND(F2076&lt;&gt;"",NOT(ISNUMBER(AA2076))),L2076&lt;&gt;"",F2076="",AQ2076=""))</f>
        <v>0</v>
      </c>
      <c r="AT2076" s="544" t="b">
        <f t="shared" si="520"/>
        <v>0</v>
      </c>
      <c r="AU2076" s="30"/>
      <c r="AV2076" s="558" t="b">
        <f t="shared" si="521"/>
        <v>0</v>
      </c>
      <c r="AW2076" s="559" t="b">
        <f t="shared" si="522"/>
        <v>0</v>
      </c>
      <c r="AX2076" s="537" t="b">
        <f>OR(AND(AJ2070=EUconst_kNm3,AJ2076=EUconst_tCpt),AND(AJ2070=EUconst_t,AJ2076=EUconst_tCpkNm3))</f>
        <v>0</v>
      </c>
      <c r="AY2076" s="544" t="b">
        <f t="shared" si="523"/>
        <v>0</v>
      </c>
      <c r="AZ2076" s="30"/>
      <c r="BA2076" s="30"/>
      <c r="BB2076" s="569" t="s">
        <v>482</v>
      </c>
      <c r="BC2076" s="570">
        <f>AR2070*AR2073/1000*AR2077</f>
        <v>0</v>
      </c>
      <c r="BD2076" s="571">
        <f>BC2076</f>
        <v>0</v>
      </c>
      <c r="BE2076" s="572">
        <f>BC2076</f>
        <v>0</v>
      </c>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544" t="b">
        <f>OR(BZ2070,Y2076=EUconst_NA)</f>
        <v>1</v>
      </c>
    </row>
    <row r="2077" spans="1:78" s="140" customFormat="1" ht="12.75" customHeight="1" x14ac:dyDescent="0.2">
      <c r="A2077" s="777"/>
      <c r="B2077" s="1248"/>
      <c r="C2077" s="753" t="s">
        <v>325</v>
      </c>
      <c r="D2077" s="503" t="str">
        <f>Translations!$B$641</f>
        <v>Biomasės dalis (BioC):</v>
      </c>
      <c r="E2077" s="504"/>
      <c r="F2077" s="539"/>
      <c r="G2077" s="1603" t="str">
        <f t="shared" si="518"/>
        <v/>
      </c>
      <c r="H2077" s="1604"/>
      <c r="I2077" s="1113" t="str">
        <f>IF(OR(AC2077=FALSE,Y2077=EUconst_NA),"","-")</f>
        <v/>
      </c>
      <c r="J2077" s="560"/>
      <c r="K2077" s="561" t="str">
        <f t="shared" si="519"/>
        <v/>
      </c>
      <c r="L2077" s="694"/>
      <c r="M2077" s="700" t="str">
        <f>IF(AND(E2061&lt;&gt;"",OR(F2077="",COUNT(K2077:L2077)=0),Y2077&lt;&gt;EUconst_NA,T2061&lt;&gt;TRUE),EUconst_ERR_Incomplete,IF(COUNTIF(AX2077:AZ2077,TRUE)&gt;0,EUconst_ERR_Inconsistent,""))</f>
        <v/>
      </c>
      <c r="O2077" s="1305"/>
      <c r="P2077" s="635"/>
      <c r="Q2077" s="635"/>
      <c r="R2077" s="635"/>
      <c r="S2077" s="30"/>
      <c r="T2077" s="543" t="str">
        <f>EUconst_CNTR_BiomassContent&amp;E2061</f>
        <v>BioC_</v>
      </c>
      <c r="U2077" s="488"/>
      <c r="V2077" s="585" t="str">
        <f t="shared" si="524"/>
        <v/>
      </c>
      <c r="W2077" s="522" t="str">
        <f>IF(COUNTIF(MSPara_SourceStreamCategory,V2077)=0,"",INDEX(MSPara_IsFossil,MATCH(V2077,MSPara_SourceStreamCategory,0)))</f>
        <v/>
      </c>
      <c r="X2077" s="488"/>
      <c r="Y2077" s="545" t="str">
        <f>IF(OR(T2061=TRUE,E2061=""),"",IF(OR(W2077=TRUE,F2077=EUconst_NA),EUconst_NA,INDEX(EUwideConstants!$N:$N,MATCH(T2077,EUwideConstants!$Q:$Q,0))))</f>
        <v/>
      </c>
      <c r="Z2077" s="546" t="str">
        <f>IF(ISBLANK(F2077),"",IF(F2077=EUconst_NA,"",INDEX(EUwideConstants!$H:$M,MATCH(T2077,EUwideConstants!$Q:$Q,0),MATCH(F2077,CNTR_TierList,0))))</f>
        <v/>
      </c>
      <c r="AA2077" s="586" t="str">
        <f>IF(F2077=1,1,"")</f>
        <v/>
      </c>
      <c r="AB2077" s="30"/>
      <c r="AC2077" s="548" t="b">
        <f>AND(AC2070,Y2077&lt;&gt;EUconst_NA)</f>
        <v>0</v>
      </c>
      <c r="AD2077" s="30"/>
      <c r="AE2077" s="563"/>
      <c r="AG2077" s="564"/>
      <c r="AH2077" s="553"/>
      <c r="AI2077" s="565"/>
      <c r="AJ2077" s="553"/>
      <c r="AK2077" s="566"/>
      <c r="AL2077" s="333"/>
      <c r="AM2077" s="549" t="str">
        <f>EUconst_CNTR_BiomassContent&amp;EUconst_Value</f>
        <v>BioC_Vertė</v>
      </c>
      <c r="AO2077" s="587" t="str">
        <f>IF(AC2077=TRUE,IF(COUNTIF(MSPara_SourceStreamCategory,V2077)=0,"",INDEX(MSPara_CalcFactorsMatrix,MATCH(V2077,MSPara_SourceStreamCategory,0),MATCH(AM2077&amp;"_"&amp;2,MSPara_CalcFactors,0))),"")</f>
        <v/>
      </c>
      <c r="AP2077" s="553"/>
      <c r="AQ2077" s="568" t="str">
        <f>IF(OR(AA2077="",AO2077=EUconst_NA),"",AO2077)</f>
        <v/>
      </c>
      <c r="AR2077" s="548">
        <f>IF(AC2077=TRUE,IF(COUNT(K2077:L2077)=0,0,IF(L2077="",K2077,L2077)),0)</f>
        <v>0</v>
      </c>
      <c r="AS2077" s="544" t="b">
        <f>AND(AC2077=TRUE,OR(AND(F2077&lt;&gt;"",NOT(ISNUMBER(AA2077))),L2077&lt;&gt;"",F2077="",AQ2077=""))</f>
        <v>0</v>
      </c>
      <c r="AT2077" s="544" t="b">
        <f t="shared" si="520"/>
        <v>0</v>
      </c>
      <c r="AU2077" s="30"/>
      <c r="AV2077" s="558" t="b">
        <f t="shared" si="521"/>
        <v>0</v>
      </c>
      <c r="AW2077" s="559" t="b">
        <f t="shared" si="522"/>
        <v>0</v>
      </c>
      <c r="AX2077" s="30"/>
      <c r="AY2077" s="585" t="b">
        <f t="shared" si="523"/>
        <v>0</v>
      </c>
      <c r="AZ2077" s="522" t="b">
        <f>OR(AR2077&gt;100%,(AR2077+AR2078)&gt;100%)</f>
        <v>0</v>
      </c>
      <c r="BA2077" s="30"/>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544" t="b">
        <f>OR(BZ2070,Y2077=EUconst_NA)</f>
        <v>1</v>
      </c>
    </row>
    <row r="2078" spans="1:78" s="140" customFormat="1" ht="12.75" customHeight="1" thickBot="1" x14ac:dyDescent="0.25">
      <c r="A2078" s="777"/>
      <c r="B2078" s="1248"/>
      <c r="C2078" s="753" t="s">
        <v>448</v>
      </c>
      <c r="D2078" s="503" t="str">
        <f>Translations!$B$647</f>
        <v>Netvarios BioC dalis:</v>
      </c>
      <c r="E2078" s="504"/>
      <c r="F2078" s="588"/>
      <c r="G2078" s="1603" t="str">
        <f t="shared" si="518"/>
        <v/>
      </c>
      <c r="H2078" s="1604"/>
      <c r="I2078" s="1114" t="str">
        <f>IF(OR(AC2078=FALSE,Y2078=EUconst_NA),"","-")</f>
        <v/>
      </c>
      <c r="J2078" s="560"/>
      <c r="K2078" s="589" t="str">
        <f t="shared" si="519"/>
        <v/>
      </c>
      <c r="L2078" s="1100"/>
      <c r="M2078" s="700" t="str">
        <f>IF(AND(E2061&lt;&gt;"",OR(F2078="",COUNT(K2078:L2078)=0),Y2078&lt;&gt;EUconst_NA,T2061&lt;&gt;TRUE),EUconst_ERR_Incomplete,IF(COUNTIF(AX2078:AZ2078,TRUE)&gt;0,EUconst_ERR_Inconsistent,""))</f>
        <v/>
      </c>
      <c r="O2078" s="1305"/>
      <c r="P2078" s="635"/>
      <c r="Q2078" s="635"/>
      <c r="R2078" s="635"/>
      <c r="S2078" s="30"/>
      <c r="T2078" s="590" t="str">
        <f>EUconst_CNTR_BiomassContent&amp;E2061</f>
        <v>BioC_</v>
      </c>
      <c r="U2078" s="488"/>
      <c r="V2078" s="570" t="str">
        <f t="shared" si="524"/>
        <v/>
      </c>
      <c r="W2078" s="571" t="str">
        <f>IF(COUNTIF(MSPara_SourceStreamCategory,V2078)=0,"",INDEX(MSPara_IsFossil,MATCH(V2078,MSPara_SourceStreamCategory,0)))</f>
        <v/>
      </c>
      <c r="X2078" s="488"/>
      <c r="Y2078" s="591" t="str">
        <f>IF(OR(T2061=TRUE,E2061=""),"",IF(OR(W2078=TRUE,F2078=EUconst_NA),EUconst_NA,INDEX(EUwideConstants!$N:$N,MATCH(T2078,EUwideConstants!$Q:$Q,0))))</f>
        <v/>
      </c>
      <c r="Z2078" s="592" t="str">
        <f>IF(ISBLANK(F2078),"",IF(F2078=EUconst_NA,"",INDEX(EUwideConstants!$H:$M,MATCH(T2078,EUwideConstants!$Q:$Q,0),MATCH(F2078,CNTR_TierList,0))))</f>
        <v/>
      </c>
      <c r="AA2078" s="593" t="str">
        <f>IF(F2078=1,1,"")</f>
        <v/>
      </c>
      <c r="AB2078" s="30"/>
      <c r="AC2078" s="594" t="b">
        <f>AND(AC2070,Y2078&lt;&gt;EUconst_NA)</f>
        <v>0</v>
      </c>
      <c r="AD2078" s="30"/>
      <c r="AE2078" s="595"/>
      <c r="AF2078" s="596"/>
      <c r="AG2078" s="597"/>
      <c r="AH2078" s="598"/>
      <c r="AI2078" s="598"/>
      <c r="AJ2078" s="598"/>
      <c r="AK2078" s="599"/>
      <c r="AL2078" s="333"/>
      <c r="AM2078" s="600" t="str">
        <f>EUconst_CNTR_BiomassContent&amp;EUconst_Value</f>
        <v>BioC_Vertė</v>
      </c>
      <c r="AN2078" s="596"/>
      <c r="AO2078" s="601" t="str">
        <f>IF(AC2078=TRUE,IF(COUNTIF(MSPara_SourceStreamCategory,V2078)=0,"",INDEX(MSPara_CalcFactorsMatrix,MATCH(V2078,MSPara_SourceStreamCategory,0),MATCH(AM2078&amp;"_"&amp;2,MSPara_CalcFactors,0))),"")</f>
        <v/>
      </c>
      <c r="AP2078" s="598"/>
      <c r="AQ2078" s="602" t="str">
        <f>IF(OR(AA2078="",AO2078=EUconst_NA),"",AO2078)</f>
        <v/>
      </c>
      <c r="AR2078" s="594">
        <f>IF(AC2078=TRUE,IF(COUNT(K2078:L2078)=0,0,IF(L2078="",K2078,L2078)),0)</f>
        <v>0</v>
      </c>
      <c r="AS2078" s="603" t="b">
        <f>AND(AC2078=TRUE,OR(AND(F2078&lt;&gt;"",NOT(ISNUMBER(AA2078))),L2078&lt;&gt;"",F2078="",AQ2078=""))</f>
        <v>0</v>
      </c>
      <c r="AT2078" s="603" t="b">
        <f t="shared" si="520"/>
        <v>0</v>
      </c>
      <c r="AU2078" s="30"/>
      <c r="AV2078" s="604" t="b">
        <f t="shared" si="521"/>
        <v>0</v>
      </c>
      <c r="AW2078" s="605" t="b">
        <f t="shared" si="522"/>
        <v>0</v>
      </c>
      <c r="AX2078" s="30"/>
      <c r="AY2078" s="570" t="b">
        <f t="shared" si="523"/>
        <v>0</v>
      </c>
      <c r="AZ2078" s="571" t="b">
        <f>OR(AR2077&gt;100%,(AR2077+AR2078)&gt;100%)</f>
        <v>0</v>
      </c>
      <c r="BA2078" s="30"/>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571" t="b">
        <f>OR(BZ2070,Y2078=EUconst_NA)</f>
        <v>1</v>
      </c>
    </row>
    <row r="2079" spans="1:78" s="140" customFormat="1" ht="5.0999999999999996" customHeight="1" x14ac:dyDescent="0.2">
      <c r="A2079" s="777"/>
      <c r="B2079" s="1248"/>
      <c r="C2079" s="164"/>
      <c r="D2079" s="178"/>
      <c r="O2079" s="1305"/>
      <c r="P2079" s="33"/>
      <c r="Q2079" s="33"/>
      <c r="R2079" s="33"/>
      <c r="S2079" s="172"/>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c r="AY2079" s="30"/>
      <c r="AZ2079" s="30"/>
      <c r="BA2079" s="30"/>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row>
    <row r="2080" spans="1:78" s="140" customFormat="1" ht="12.75" customHeight="1" x14ac:dyDescent="0.2">
      <c r="A2080" s="777"/>
      <c r="B2080" s="1248"/>
      <c r="C2080" s="164"/>
      <c r="D2080" s="1629" t="str">
        <f>Translations!$B$674</f>
        <v>Pakopos galioja nuo:</v>
      </c>
      <c r="E2080" s="1629"/>
      <c r="F2080" s="1630"/>
      <c r="G2080" s="1014"/>
      <c r="H2080" s="606" t="str">
        <f>Translations!$B$675</f>
        <v>iki:</v>
      </c>
      <c r="I2080" s="1014"/>
      <c r="J2080" s="1620" t="str">
        <f>Translations!$B$676</f>
        <v>Atliekų katalogo numeris (jeigu taikytina):</v>
      </c>
      <c r="K2080" s="1621"/>
      <c r="L2080" s="1621"/>
      <c r="M2080" s="1622"/>
      <c r="N2080" s="1232"/>
      <c r="O2080" s="1305"/>
      <c r="P2080" s="33"/>
      <c r="Q2080" s="33"/>
      <c r="R2080" s="33"/>
      <c r="S2080" s="1233"/>
      <c r="T2080" s="483"/>
      <c r="U2080" s="483"/>
      <c r="V2080" s="48" t="b">
        <f>IF(V2070="",FALSE,INDEX(CNTR_IsWaste,MATCH(V2070,MSParameters!$A$218:$A$376,0)))</f>
        <v>0</v>
      </c>
      <c r="W2080" s="1233" t="s">
        <v>1689</v>
      </c>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c r="AY2080" s="30"/>
      <c r="AZ2080" s="30"/>
      <c r="BA2080" s="30"/>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2" t="b">
        <f>BZ2070</f>
        <v>1</v>
      </c>
    </row>
    <row r="2081" spans="1:78" s="140" customFormat="1" ht="5.0999999999999996" customHeight="1" x14ac:dyDescent="0.2">
      <c r="A2081" s="777"/>
      <c r="B2081" s="1248"/>
      <c r="C2081" s="164"/>
      <c r="D2081" s="606"/>
      <c r="E2081" s="486"/>
      <c r="F2081" s="486"/>
      <c r="G2081" s="486"/>
      <c r="H2081" s="486"/>
      <c r="I2081" s="486"/>
      <c r="J2081" s="486"/>
      <c r="K2081" s="486"/>
      <c r="L2081" s="486"/>
      <c r="M2081" s="486"/>
      <c r="N2081" s="486"/>
      <c r="O2081" s="1305"/>
      <c r="P2081" s="33"/>
      <c r="Q2081" s="33"/>
      <c r="R2081" s="33"/>
      <c r="S2081" s="172"/>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c r="AY2081" s="30"/>
      <c r="AZ2081" s="30"/>
      <c r="BA2081" s="30"/>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row>
    <row r="2082" spans="1:78" s="140" customFormat="1" ht="12.75" customHeight="1" x14ac:dyDescent="0.2">
      <c r="A2082" s="777"/>
      <c r="B2082" s="1248"/>
      <c r="C2082" s="164"/>
      <c r="D2082" s="486"/>
      <c r="E2082" s="486"/>
      <c r="F2082" s="486"/>
      <c r="G2082" s="486"/>
      <c r="H2082" s="486"/>
      <c r="I2082" s="486"/>
      <c r="J2082" s="486"/>
      <c r="K2082" s="486"/>
      <c r="L2082" s="486"/>
      <c r="M2082" s="606" t="str">
        <f>Translations!$B$677</f>
        <v>Stebėsenos plane šiam sukėlikliui suteiktas identifikatorius:</v>
      </c>
      <c r="N2082" s="705"/>
      <c r="O2082" s="1305"/>
      <c r="P2082" s="33"/>
      <c r="Q2082" s="33"/>
      <c r="R2082" s="33"/>
      <c r="S2082" s="172"/>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2" t="b">
        <f>BZ2080</f>
        <v>1</v>
      </c>
    </row>
    <row r="2083" spans="1:78" s="140" customFormat="1" ht="5.0999999999999996" customHeight="1" x14ac:dyDescent="0.2">
      <c r="A2083" s="784"/>
      <c r="B2083" s="1316"/>
      <c r="D2083" s="178"/>
      <c r="O2083" s="1317"/>
      <c r="P2083" s="488"/>
      <c r="Q2083" s="488"/>
      <c r="R2083" s="488"/>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row>
    <row r="2084" spans="1:78" s="140" customFormat="1" x14ac:dyDescent="0.2">
      <c r="A2084" s="784"/>
      <c r="B2084" s="1316"/>
      <c r="D2084" s="1618" t="str">
        <f>Translations!$B$160</f>
        <v>Pastabos:</v>
      </c>
      <c r="E2084" s="1619"/>
      <c r="F2084" s="1605"/>
      <c r="G2084" s="1606"/>
      <c r="H2084" s="1606"/>
      <c r="I2084" s="1606"/>
      <c r="J2084" s="1606"/>
      <c r="K2084" s="1606"/>
      <c r="L2084" s="1606"/>
      <c r="M2084" s="1606"/>
      <c r="N2084" s="1607"/>
      <c r="O2084" s="1317"/>
      <c r="P2084" s="488"/>
      <c r="Q2084" s="488"/>
      <c r="R2084" s="488"/>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2" t="b">
        <f>BZ2080</f>
        <v>1</v>
      </c>
    </row>
    <row r="2085" spans="1:78" s="28" customFormat="1" ht="12.75" customHeight="1" thickBot="1" x14ac:dyDescent="0.25">
      <c r="A2085" s="777"/>
      <c r="B2085" s="1312"/>
      <c r="C2085" s="490"/>
      <c r="D2085" s="491"/>
      <c r="E2085" s="492"/>
      <c r="F2085" s="490"/>
      <c r="G2085" s="493"/>
      <c r="H2085" s="493"/>
      <c r="I2085" s="493"/>
      <c r="J2085" s="493"/>
      <c r="K2085" s="493"/>
      <c r="L2085" s="493"/>
      <c r="M2085" s="493"/>
      <c r="N2085" s="493"/>
      <c r="O2085" s="1313"/>
      <c r="P2085" s="485"/>
      <c r="Q2085" s="485"/>
      <c r="R2085" s="485"/>
      <c r="S2085" s="58"/>
      <c r="T2085" s="58"/>
      <c r="U2085" s="489"/>
      <c r="V2085" s="58"/>
      <c r="W2085" s="58"/>
      <c r="X2085" s="489"/>
      <c r="Y2085" s="58"/>
      <c r="Z2085" s="58"/>
      <c r="AA2085" s="58"/>
      <c r="AB2085" s="58"/>
      <c r="AC2085" s="58"/>
      <c r="AD2085" s="58"/>
      <c r="AE2085" s="58"/>
      <c r="AF2085" s="58"/>
      <c r="AG2085" s="58"/>
      <c r="AH2085" s="58"/>
      <c r="AI2085" s="58"/>
      <c r="AJ2085" s="58"/>
      <c r="AK2085" s="58"/>
      <c r="AL2085" s="58"/>
      <c r="AM2085" s="58"/>
      <c r="AN2085" s="58"/>
      <c r="AO2085" s="58"/>
      <c r="AP2085" s="58"/>
      <c r="AQ2085" s="58"/>
      <c r="AR2085" s="58"/>
      <c r="AS2085" s="58"/>
      <c r="AT2085" s="58"/>
      <c r="AU2085" s="58"/>
      <c r="AV2085" s="58"/>
      <c r="AW2085" s="58"/>
      <c r="AX2085" s="58"/>
      <c r="AY2085" s="58"/>
      <c r="AZ2085" s="58"/>
      <c r="BA2085" s="58"/>
      <c r="BB2085" s="58"/>
      <c r="BC2085" s="58"/>
      <c r="BD2085" s="58"/>
      <c r="BE2085" s="58"/>
      <c r="BF2085" s="58"/>
      <c r="BG2085" s="58"/>
      <c r="BH2085" s="58"/>
      <c r="BI2085" s="30"/>
      <c r="BJ2085" s="30"/>
      <c r="BK2085" s="30"/>
      <c r="BL2085" s="58"/>
      <c r="BM2085" s="58"/>
      <c r="BN2085" s="58"/>
      <c r="BO2085" s="58"/>
      <c r="BP2085" s="58"/>
      <c r="BQ2085" s="58"/>
      <c r="BR2085" s="58"/>
      <c r="BS2085" s="58"/>
      <c r="BT2085" s="58"/>
      <c r="BU2085" s="58"/>
      <c r="BV2085" s="58"/>
      <c r="BW2085" s="58"/>
      <c r="BX2085" s="58"/>
      <c r="BY2085" s="58"/>
      <c r="BZ2085" s="58"/>
    </row>
    <row r="2086" spans="1:78" x14ac:dyDescent="0.2">
      <c r="A2086" s="776"/>
      <c r="B2086" s="1254"/>
      <c r="C2086" s="718"/>
      <c r="D2086" s="40"/>
      <c r="E2086" s="719"/>
      <c r="F2086" s="42"/>
      <c r="G2086" s="41"/>
      <c r="H2086" s="41"/>
      <c r="I2086" s="41"/>
      <c r="J2086" s="41"/>
      <c r="K2086" s="41"/>
      <c r="L2086" s="41"/>
      <c r="M2086" s="41"/>
      <c r="N2086" s="41"/>
      <c r="O2086" s="1255"/>
      <c r="P2086" s="383"/>
      <c r="Q2086" s="383"/>
      <c r="R2086" s="383"/>
      <c r="S2086" s="56"/>
      <c r="T2086" s="56"/>
      <c r="U2086" s="73"/>
      <c r="V2086" s="56"/>
      <c r="W2086" s="56"/>
      <c r="X2086" s="73"/>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row>
    <row r="2087" spans="1:78" s="7" customFormat="1" ht="15" customHeight="1" x14ac:dyDescent="0.2">
      <c r="A2087" s="746"/>
      <c r="B2087" s="1254"/>
      <c r="C2087" s="486"/>
      <c r="E2087" s="148"/>
      <c r="F2087" s="1634" t="str">
        <f>EUconst_MsgNextSheet</f>
        <v xml:space="preserve">&lt;&lt;&lt; Į kitą lapą pereisite paspaudę čia &gt;&gt;&gt; </v>
      </c>
      <c r="G2087" s="1635"/>
      <c r="H2087" s="1635"/>
      <c r="I2087" s="1635"/>
      <c r="J2087" s="1635"/>
      <c r="K2087" s="1635"/>
      <c r="L2087" s="1636"/>
      <c r="M2087" s="148"/>
      <c r="N2087" s="148"/>
      <c r="O2087" s="1255"/>
      <c r="P2087" s="2"/>
      <c r="Q2087" s="2"/>
      <c r="R2087" s="2"/>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c r="BK2087" s="56"/>
      <c r="BL2087" s="56"/>
      <c r="BM2087" s="56"/>
      <c r="BN2087" s="56"/>
      <c r="BO2087" s="56"/>
      <c r="BP2087" s="56"/>
      <c r="BQ2087" s="56"/>
      <c r="BR2087" s="56"/>
      <c r="BS2087" s="56"/>
      <c r="BT2087" s="56"/>
      <c r="BU2087" s="56"/>
      <c r="BV2087" s="56"/>
      <c r="BW2087" s="56"/>
      <c r="BX2087" s="56"/>
      <c r="BY2087" s="56"/>
      <c r="BZ2087" s="56"/>
    </row>
    <row r="2088" spans="1:78" ht="13.5" thickBot="1" x14ac:dyDescent="0.25">
      <c r="A2088" s="785"/>
      <c r="B2088" s="1265"/>
      <c r="C2088" s="1318"/>
      <c r="D2088" s="1319"/>
      <c r="E2088" s="1320"/>
      <c r="F2088" s="1321"/>
      <c r="G2088" s="1269"/>
      <c r="H2088" s="1269"/>
      <c r="I2088" s="1269"/>
      <c r="J2088" s="1269"/>
      <c r="K2088" s="1269"/>
      <c r="L2088" s="1269"/>
      <c r="M2088" s="1269"/>
      <c r="N2088" s="1269"/>
      <c r="O2088" s="1270"/>
      <c r="P2088" s="383"/>
      <c r="Q2088" s="383"/>
      <c r="R2088" s="383"/>
      <c r="S2088" s="56"/>
      <c r="T2088" s="56"/>
      <c r="U2088" s="73"/>
      <c r="V2088" s="56"/>
      <c r="W2088" s="56"/>
      <c r="X2088" s="73"/>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c r="BK2088" s="56"/>
      <c r="BL2088" s="56"/>
      <c r="BM2088" s="56"/>
      <c r="BN2088" s="56"/>
      <c r="BO2088" s="56"/>
      <c r="BP2088" s="56"/>
      <c r="BQ2088" s="56"/>
      <c r="BR2088" s="56"/>
      <c r="BS2088" s="56"/>
      <c r="BT2088" s="56"/>
      <c r="BU2088" s="56"/>
      <c r="BV2088" s="56"/>
      <c r="BW2088" s="56"/>
      <c r="BX2088" s="56"/>
      <c r="BY2088" s="56"/>
      <c r="BZ2088" s="56"/>
    </row>
    <row r="2089" spans="1:78" ht="12.75" hidden="1" customHeight="1" x14ac:dyDescent="0.2">
      <c r="A2089" s="55" t="s">
        <v>85</v>
      </c>
      <c r="B2089" s="55" t="s">
        <v>72</v>
      </c>
      <c r="C2089" s="482" t="s">
        <v>72</v>
      </c>
      <c r="D2089" s="55" t="s">
        <v>72</v>
      </c>
      <c r="E2089" s="482" t="s">
        <v>72</v>
      </c>
      <c r="F2089" s="55" t="s">
        <v>72</v>
      </c>
      <c r="G2089" s="55" t="s">
        <v>72</v>
      </c>
      <c r="H2089" s="55" t="s">
        <v>72</v>
      </c>
      <c r="I2089" s="55" t="s">
        <v>72</v>
      </c>
      <c r="J2089" s="55" t="s">
        <v>72</v>
      </c>
      <c r="K2089" s="55" t="s">
        <v>72</v>
      </c>
      <c r="L2089" s="55" t="s">
        <v>72</v>
      </c>
      <c r="M2089" s="55" t="s">
        <v>72</v>
      </c>
      <c r="N2089" s="55" t="s">
        <v>72</v>
      </c>
      <c r="O2089" s="71" t="s">
        <v>72</v>
      </c>
      <c r="P2089" s="71"/>
      <c r="Q2089" s="71"/>
      <c r="R2089" s="71"/>
      <c r="S2089" s="55" t="s">
        <v>72</v>
      </c>
      <c r="T2089" s="55" t="s">
        <v>72</v>
      </c>
      <c r="U2089" s="55" t="s">
        <v>72</v>
      </c>
      <c r="V2089" s="55"/>
      <c r="W2089" s="55"/>
      <c r="X2089" s="55"/>
      <c r="Y2089" s="55" t="s">
        <v>72</v>
      </c>
      <c r="Z2089" s="55" t="s">
        <v>72</v>
      </c>
      <c r="AA2089" s="55"/>
      <c r="AB2089" s="55"/>
      <c r="AC2089" s="55"/>
      <c r="AD2089" s="55"/>
      <c r="AE2089" s="55"/>
      <c r="AF2089" s="55"/>
      <c r="AG2089" s="55"/>
      <c r="AH2089" s="55"/>
      <c r="AI2089" s="55" t="s">
        <v>72</v>
      </c>
      <c r="AJ2089" s="55"/>
      <c r="AK2089" s="55"/>
      <c r="AL2089" s="55"/>
      <c r="AM2089" s="55"/>
      <c r="AN2089" s="55"/>
      <c r="AO2089" s="55"/>
      <c r="AP2089" s="55"/>
      <c r="AQ2089" s="55"/>
      <c r="AR2089" s="55"/>
      <c r="AS2089" s="55"/>
      <c r="AT2089" s="55"/>
      <c r="AU2089" s="55"/>
      <c r="AV2089" s="55"/>
      <c r="AW2089" s="55"/>
      <c r="AX2089" s="55"/>
      <c r="AY2089" s="55"/>
      <c r="AZ2089" s="55"/>
      <c r="BA2089" s="55"/>
      <c r="BB2089" s="55"/>
      <c r="BC2089" s="55"/>
      <c r="BD2089" s="55"/>
      <c r="BE2089" s="55"/>
      <c r="BF2089" s="55"/>
      <c r="BG2089" s="55"/>
      <c r="BH2089" s="55"/>
      <c r="BI2089" s="55"/>
      <c r="BJ2089" s="55"/>
      <c r="BK2089" s="55"/>
      <c r="BL2089" s="55"/>
      <c r="BM2089" s="55"/>
      <c r="BN2089" s="55"/>
      <c r="BO2089" s="55"/>
      <c r="BP2089" s="55"/>
      <c r="BQ2089" s="55"/>
      <c r="BR2089" s="55"/>
      <c r="BS2089" s="55"/>
      <c r="BT2089" s="55"/>
      <c r="BU2089" s="55"/>
      <c r="BV2089" s="55"/>
      <c r="BW2089" s="55"/>
      <c r="BX2089" s="55"/>
      <c r="BY2089" s="55"/>
      <c r="BZ2089" s="55" t="s">
        <v>72</v>
      </c>
    </row>
    <row r="2090" spans="1:78" ht="13.5" hidden="1" thickBot="1" x14ac:dyDescent="0.25">
      <c r="A2090" s="47" t="s">
        <v>85</v>
      </c>
    </row>
    <row r="2091" spans="1:78" ht="12.75" hidden="1" customHeight="1" thickBot="1" x14ac:dyDescent="0.25">
      <c r="A2091" s="47" t="s">
        <v>85</v>
      </c>
      <c r="B2091" s="243"/>
      <c r="C2091" s="244"/>
      <c r="D2091" s="243"/>
      <c r="E2091" s="244"/>
      <c r="F2091" s="911"/>
      <c r="G2091" s="912"/>
      <c r="H2091" s="912"/>
      <c r="I2091" s="912" t="s">
        <v>74</v>
      </c>
      <c r="J2091" s="912"/>
      <c r="K2091" s="912"/>
      <c r="L2091" s="912"/>
      <c r="M2091" s="913" t="s">
        <v>431</v>
      </c>
      <c r="N2091" s="243"/>
      <c r="O2091" s="260"/>
      <c r="P2091" s="45"/>
      <c r="Q2091" s="45"/>
      <c r="R2091" s="45"/>
      <c r="S2091" s="45"/>
      <c r="T2091" s="45"/>
      <c r="U2091" s="45"/>
      <c r="V2091" s="45"/>
      <c r="W2091" s="45"/>
      <c r="X2091" s="45"/>
      <c r="Y2091" s="45"/>
      <c r="Z2091" s="45"/>
      <c r="AA2091" s="45"/>
      <c r="AB2091" s="45"/>
      <c r="AC2091" s="45"/>
      <c r="AD2091" s="45"/>
    </row>
    <row r="2092" spans="1:78" s="196" customFormat="1" hidden="1" x14ac:dyDescent="0.2">
      <c r="A2092" s="2" t="s">
        <v>85</v>
      </c>
      <c r="C2092" s="715"/>
      <c r="E2092" s="715"/>
      <c r="F2092" s="914">
        <v>1</v>
      </c>
      <c r="G2092" s="915" t="str">
        <f>INDEX(CNTR_SourceStreamNames,F2092)</f>
        <v>F1. Dujinis – Gamtinės dujos; CO2</v>
      </c>
      <c r="H2092" s="915">
        <f>IF(G2092=EUconst_NA,"",MAX($H$2091:H2091)+1)</f>
        <v>1</v>
      </c>
      <c r="I2092" s="916" t="str">
        <f t="shared" ref="I2092:I2123" si="525">IF(COUNTIF($H$2092:$H$2166,F2092)=0,"",INDEX($G$2092:$G$2166,MATCH(F2092,$H$2092:$H$2166,0)))</f>
        <v>F1. Dujinis – Gamtinės dujos; CO2</v>
      </c>
      <c r="J2092" s="915"/>
      <c r="K2092" s="915"/>
      <c r="L2092" s="915"/>
      <c r="M2092" s="627" t="str">
        <f>IF(COUNT(H2092:H2166)=0,"","$I$"&amp;ROW(I2092)&amp;":$I$"&amp; ROW(I2092)-1+MAX(1,H2092:H2166))</f>
        <v>$I$2092:$I$2094</v>
      </c>
      <c r="P2092" s="197"/>
      <c r="Q2092" s="197"/>
      <c r="R2092" s="197"/>
      <c r="S2092" s="197"/>
      <c r="T2092" s="197"/>
      <c r="U2092" s="197"/>
      <c r="V2092" s="197"/>
      <c r="W2092" s="197"/>
      <c r="X2092" s="197"/>
      <c r="Y2092" s="197"/>
      <c r="Z2092" s="197"/>
      <c r="AA2092" s="197"/>
      <c r="AB2092" s="197"/>
      <c r="AC2092" s="197"/>
      <c r="AD2092" s="197"/>
    </row>
    <row r="2093" spans="1:78" s="196" customFormat="1" hidden="1" x14ac:dyDescent="0.2">
      <c r="A2093" s="2" t="s">
        <v>85</v>
      </c>
      <c r="C2093" s="715"/>
      <c r="E2093" s="715"/>
      <c r="F2093" s="616">
        <v>2</v>
      </c>
      <c r="G2093" s="611" t="str">
        <f t="shared" ref="G2093:G2121" si="526">INDEX(CNTR_SourceStreamNames,F2093)</f>
        <v>F2. Dujinis – Gamtinės dujos; CO2</v>
      </c>
      <c r="H2093" s="611">
        <f>IF(G2093=EUconst_NA,"",MAX($H$2091:H2092)+1)</f>
        <v>2</v>
      </c>
      <c r="I2093" s="622" t="str">
        <f t="shared" si="525"/>
        <v>F2. Dujinis – Gamtinės dujos; CO2</v>
      </c>
      <c r="J2093" s="611"/>
      <c r="K2093" s="611"/>
      <c r="L2093" s="611"/>
      <c r="M2093" s="617"/>
      <c r="P2093" s="197"/>
      <c r="Q2093" s="197"/>
      <c r="R2093" s="197"/>
      <c r="S2093" s="197"/>
      <c r="T2093" s="197"/>
      <c r="U2093" s="197"/>
      <c r="V2093" s="197"/>
      <c r="W2093" s="197"/>
      <c r="X2093" s="197"/>
      <c r="Y2093" s="197"/>
      <c r="Z2093" s="197"/>
      <c r="AA2093" s="197"/>
      <c r="AB2093" s="197"/>
      <c r="AC2093" s="197"/>
      <c r="AD2093" s="197"/>
    </row>
    <row r="2094" spans="1:78" s="196" customFormat="1" hidden="1" x14ac:dyDescent="0.2">
      <c r="A2094" s="2" t="s">
        <v>85</v>
      </c>
      <c r="C2094" s="715"/>
      <c r="E2094" s="715"/>
      <c r="F2094" s="616">
        <v>3</v>
      </c>
      <c r="G2094" s="611" t="str">
        <f t="shared" si="526"/>
        <v>F3. Dujinis – Gamtinės dujos; CO2</v>
      </c>
      <c r="H2094" s="611">
        <f>IF(G2094=EUconst_NA,"",MAX($H$2091:H2093)+1)</f>
        <v>3</v>
      </c>
      <c r="I2094" s="622" t="str">
        <f t="shared" si="525"/>
        <v>F3. Dujinis – Gamtinės dujos; CO2</v>
      </c>
      <c r="J2094" s="611"/>
      <c r="K2094" s="611"/>
      <c r="L2094" s="611"/>
      <c r="M2094" s="617"/>
      <c r="N2094" s="7"/>
      <c r="P2094" s="197"/>
      <c r="Q2094" s="197"/>
      <c r="R2094" s="197"/>
      <c r="S2094" s="197"/>
      <c r="T2094" s="197"/>
      <c r="U2094" s="197"/>
      <c r="V2094" s="197"/>
      <c r="W2094" s="197"/>
      <c r="X2094" s="197"/>
      <c r="Y2094" s="197"/>
      <c r="Z2094" s="197"/>
      <c r="AA2094" s="197"/>
      <c r="AB2094" s="197"/>
      <c r="AC2094" s="197"/>
      <c r="AD2094" s="197"/>
    </row>
    <row r="2095" spans="1:78" s="196" customFormat="1" hidden="1" x14ac:dyDescent="0.2">
      <c r="A2095" s="2" t="s">
        <v>85</v>
      </c>
      <c r="C2095" s="715"/>
      <c r="E2095" s="715"/>
      <c r="F2095" s="616">
        <v>4</v>
      </c>
      <c r="G2095" s="611" t="str">
        <f t="shared" si="526"/>
        <v>netaik.</v>
      </c>
      <c r="H2095" s="611" t="str">
        <f>IF(G2095=EUconst_NA,"",MAX($H$2091:H2094)+1)</f>
        <v/>
      </c>
      <c r="I2095" s="622" t="str">
        <f t="shared" si="525"/>
        <v/>
      </c>
      <c r="J2095" s="611"/>
      <c r="K2095" s="611"/>
      <c r="L2095" s="611"/>
      <c r="M2095" s="617"/>
      <c r="P2095" s="197"/>
      <c r="Q2095" s="197"/>
      <c r="R2095" s="197"/>
      <c r="S2095" s="197"/>
      <c r="T2095" s="197"/>
      <c r="U2095" s="197"/>
      <c r="V2095" s="197"/>
      <c r="W2095" s="197"/>
      <c r="X2095" s="197"/>
      <c r="Y2095" s="197"/>
      <c r="Z2095" s="197"/>
      <c r="AA2095" s="197"/>
      <c r="AB2095" s="197"/>
      <c r="AC2095" s="197"/>
      <c r="AD2095" s="197"/>
    </row>
    <row r="2096" spans="1:78" s="196" customFormat="1" hidden="1" x14ac:dyDescent="0.2">
      <c r="A2096" s="2" t="s">
        <v>85</v>
      </c>
      <c r="C2096" s="715"/>
      <c r="E2096" s="715"/>
      <c r="F2096" s="616">
        <v>5</v>
      </c>
      <c r="G2096" s="611" t="str">
        <f t="shared" si="526"/>
        <v>netaik.</v>
      </c>
      <c r="H2096" s="611" t="str">
        <f>IF(G2096=EUconst_NA,"",MAX($H$2091:H2095)+1)</f>
        <v/>
      </c>
      <c r="I2096" s="622" t="str">
        <f t="shared" si="525"/>
        <v/>
      </c>
      <c r="J2096" s="611"/>
      <c r="K2096" s="611"/>
      <c r="L2096" s="611"/>
      <c r="M2096" s="617"/>
      <c r="P2096" s="197"/>
      <c r="Q2096" s="197"/>
      <c r="R2096" s="197"/>
      <c r="S2096" s="197"/>
      <c r="T2096" s="197"/>
      <c r="U2096" s="197"/>
      <c r="V2096" s="197"/>
      <c r="W2096" s="197"/>
      <c r="X2096" s="197"/>
      <c r="Y2096" s="197"/>
      <c r="Z2096" s="197"/>
      <c r="AA2096" s="197"/>
      <c r="AB2096" s="197"/>
      <c r="AC2096" s="197"/>
      <c r="AD2096" s="197"/>
    </row>
    <row r="2097" spans="1:30" s="196" customFormat="1" hidden="1" x14ac:dyDescent="0.2">
      <c r="A2097" s="2" t="s">
        <v>85</v>
      </c>
      <c r="C2097" s="715"/>
      <c r="E2097" s="715"/>
      <c r="F2097" s="616">
        <v>6</v>
      </c>
      <c r="G2097" s="611" t="str">
        <f t="shared" si="526"/>
        <v>netaik.</v>
      </c>
      <c r="H2097" s="611" t="str">
        <f>IF(G2097=EUconst_NA,"",MAX($H$2091:H2096)+1)</f>
        <v/>
      </c>
      <c r="I2097" s="622" t="str">
        <f t="shared" si="525"/>
        <v/>
      </c>
      <c r="J2097" s="611"/>
      <c r="K2097" s="611"/>
      <c r="L2097" s="611"/>
      <c r="M2097" s="617"/>
      <c r="P2097" s="197"/>
      <c r="Q2097" s="197"/>
      <c r="R2097" s="197"/>
      <c r="S2097" s="197"/>
      <c r="T2097" s="197"/>
      <c r="U2097" s="197"/>
      <c r="V2097" s="197"/>
      <c r="W2097" s="197"/>
      <c r="X2097" s="197"/>
      <c r="Y2097" s="197"/>
      <c r="Z2097" s="197"/>
      <c r="AA2097" s="197"/>
      <c r="AB2097" s="197"/>
      <c r="AC2097" s="197"/>
      <c r="AD2097" s="197"/>
    </row>
    <row r="2098" spans="1:30" s="196" customFormat="1" hidden="1" x14ac:dyDescent="0.2">
      <c r="A2098" s="2" t="s">
        <v>85</v>
      </c>
      <c r="C2098" s="715"/>
      <c r="E2098" s="715"/>
      <c r="F2098" s="616">
        <v>7</v>
      </c>
      <c r="G2098" s="611" t="str">
        <f t="shared" si="526"/>
        <v>netaik.</v>
      </c>
      <c r="H2098" s="611" t="str">
        <f>IF(G2098=EUconst_NA,"",MAX($H$2091:H2097)+1)</f>
        <v/>
      </c>
      <c r="I2098" s="622" t="str">
        <f t="shared" si="525"/>
        <v/>
      </c>
      <c r="J2098" s="611"/>
      <c r="K2098" s="611"/>
      <c r="L2098" s="611"/>
      <c r="M2098" s="617"/>
      <c r="P2098" s="197"/>
      <c r="Q2098" s="197"/>
      <c r="R2098" s="197"/>
      <c r="S2098" s="197"/>
      <c r="T2098" s="197"/>
      <c r="U2098" s="197"/>
      <c r="V2098" s="197"/>
      <c r="W2098" s="197"/>
      <c r="X2098" s="197"/>
      <c r="Y2098" s="197"/>
      <c r="Z2098" s="197"/>
      <c r="AA2098" s="197"/>
      <c r="AB2098" s="197"/>
      <c r="AC2098" s="197"/>
      <c r="AD2098" s="197"/>
    </row>
    <row r="2099" spans="1:30" s="196" customFormat="1" hidden="1" x14ac:dyDescent="0.2">
      <c r="A2099" s="2" t="s">
        <v>85</v>
      </c>
      <c r="C2099" s="715"/>
      <c r="E2099" s="715"/>
      <c r="F2099" s="616">
        <v>8</v>
      </c>
      <c r="G2099" s="611" t="str">
        <f t="shared" si="526"/>
        <v>netaik.</v>
      </c>
      <c r="H2099" s="611" t="str">
        <f>IF(G2099=EUconst_NA,"",MAX($H$2091:H2098)+1)</f>
        <v/>
      </c>
      <c r="I2099" s="622" t="str">
        <f t="shared" si="525"/>
        <v/>
      </c>
      <c r="J2099" s="611"/>
      <c r="K2099" s="611"/>
      <c r="L2099" s="611"/>
      <c r="M2099" s="617"/>
      <c r="P2099" s="197"/>
      <c r="Q2099" s="197"/>
      <c r="R2099" s="197"/>
      <c r="S2099" s="197"/>
      <c r="T2099" s="197"/>
      <c r="U2099" s="197"/>
      <c r="V2099" s="197"/>
      <c r="W2099" s="197"/>
      <c r="X2099" s="197"/>
      <c r="Y2099" s="197"/>
      <c r="Z2099" s="197"/>
      <c r="AA2099" s="197"/>
      <c r="AB2099" s="197"/>
      <c r="AC2099" s="197"/>
      <c r="AD2099" s="197"/>
    </row>
    <row r="2100" spans="1:30" s="196" customFormat="1" hidden="1" x14ac:dyDescent="0.2">
      <c r="A2100" s="2" t="s">
        <v>85</v>
      </c>
      <c r="C2100" s="715"/>
      <c r="E2100" s="715"/>
      <c r="F2100" s="616">
        <v>9</v>
      </c>
      <c r="G2100" s="611" t="str">
        <f t="shared" si="526"/>
        <v>netaik.</v>
      </c>
      <c r="H2100" s="611" t="str">
        <f>IF(G2100=EUconst_NA,"",MAX($H$2091:H2099)+1)</f>
        <v/>
      </c>
      <c r="I2100" s="622" t="str">
        <f t="shared" si="525"/>
        <v/>
      </c>
      <c r="J2100" s="611"/>
      <c r="K2100" s="611"/>
      <c r="L2100" s="611"/>
      <c r="M2100" s="617"/>
      <c r="P2100" s="197"/>
      <c r="Q2100" s="197"/>
      <c r="R2100" s="197"/>
      <c r="S2100" s="197"/>
      <c r="T2100" s="197"/>
      <c r="U2100" s="197"/>
      <c r="V2100" s="197"/>
      <c r="W2100" s="197"/>
      <c r="X2100" s="197"/>
      <c r="Y2100" s="197"/>
      <c r="Z2100" s="197"/>
      <c r="AA2100" s="197"/>
      <c r="AB2100" s="197"/>
      <c r="AC2100" s="197"/>
      <c r="AD2100" s="197"/>
    </row>
    <row r="2101" spans="1:30" s="196" customFormat="1" hidden="1" x14ac:dyDescent="0.2">
      <c r="A2101" s="2" t="s">
        <v>85</v>
      </c>
      <c r="C2101" s="715"/>
      <c r="E2101" s="715"/>
      <c r="F2101" s="616">
        <v>10</v>
      </c>
      <c r="G2101" s="611" t="str">
        <f t="shared" si="526"/>
        <v>netaik.</v>
      </c>
      <c r="H2101" s="611" t="str">
        <f>IF(G2101=EUconst_NA,"",MAX($H$2091:H2100)+1)</f>
        <v/>
      </c>
      <c r="I2101" s="622" t="str">
        <f t="shared" si="525"/>
        <v/>
      </c>
      <c r="J2101" s="611"/>
      <c r="K2101" s="611"/>
      <c r="L2101" s="611"/>
      <c r="M2101" s="617"/>
      <c r="P2101" s="197"/>
      <c r="Q2101" s="197"/>
      <c r="R2101" s="197"/>
      <c r="S2101" s="197"/>
      <c r="T2101" s="197"/>
      <c r="U2101" s="197"/>
      <c r="V2101" s="197"/>
      <c r="W2101" s="197"/>
      <c r="X2101" s="197"/>
      <c r="Y2101" s="197"/>
      <c r="Z2101" s="197"/>
      <c r="AA2101" s="197"/>
      <c r="AB2101" s="197"/>
      <c r="AC2101" s="197"/>
      <c r="AD2101" s="197"/>
    </row>
    <row r="2102" spans="1:30" s="196" customFormat="1" hidden="1" x14ac:dyDescent="0.2">
      <c r="A2102" s="2" t="s">
        <v>85</v>
      </c>
      <c r="C2102" s="715"/>
      <c r="E2102" s="715"/>
      <c r="F2102" s="616">
        <v>11</v>
      </c>
      <c r="G2102" s="611" t="str">
        <f t="shared" si="526"/>
        <v>netaik.</v>
      </c>
      <c r="H2102" s="611" t="str">
        <f>IF(G2102=EUconst_NA,"",MAX($H$2091:H2101)+1)</f>
        <v/>
      </c>
      <c r="I2102" s="622" t="str">
        <f t="shared" si="525"/>
        <v/>
      </c>
      <c r="J2102" s="611"/>
      <c r="K2102" s="611"/>
      <c r="L2102" s="611"/>
      <c r="M2102" s="617"/>
      <c r="P2102" s="197"/>
      <c r="Q2102" s="197"/>
      <c r="R2102" s="197"/>
      <c r="S2102" s="197"/>
      <c r="T2102" s="197"/>
      <c r="U2102" s="197"/>
      <c r="V2102" s="197"/>
      <c r="W2102" s="197"/>
      <c r="X2102" s="197"/>
      <c r="Y2102" s="197"/>
      <c r="Z2102" s="197"/>
      <c r="AA2102" s="197"/>
      <c r="AB2102" s="197"/>
      <c r="AC2102" s="197"/>
      <c r="AD2102" s="197"/>
    </row>
    <row r="2103" spans="1:30" s="196" customFormat="1" hidden="1" x14ac:dyDescent="0.2">
      <c r="A2103" s="2" t="s">
        <v>85</v>
      </c>
      <c r="C2103" s="715"/>
      <c r="E2103" s="715"/>
      <c r="F2103" s="616">
        <v>12</v>
      </c>
      <c r="G2103" s="611" t="str">
        <f t="shared" si="526"/>
        <v>netaik.</v>
      </c>
      <c r="H2103" s="611" t="str">
        <f>IF(G2103=EUconst_NA,"",MAX($H$2091:H2102)+1)</f>
        <v/>
      </c>
      <c r="I2103" s="622" t="str">
        <f t="shared" si="525"/>
        <v/>
      </c>
      <c r="J2103" s="611"/>
      <c r="K2103" s="611"/>
      <c r="L2103" s="611"/>
      <c r="M2103" s="617"/>
      <c r="P2103" s="197"/>
      <c r="Q2103" s="197"/>
      <c r="R2103" s="197"/>
      <c r="S2103" s="197"/>
      <c r="T2103" s="197"/>
      <c r="U2103" s="197"/>
      <c r="V2103" s="197"/>
      <c r="W2103" s="197"/>
      <c r="X2103" s="197"/>
      <c r="Y2103" s="197"/>
      <c r="Z2103" s="197"/>
      <c r="AA2103" s="197"/>
      <c r="AB2103" s="197"/>
      <c r="AC2103" s="197"/>
      <c r="AD2103" s="197"/>
    </row>
    <row r="2104" spans="1:30" s="196" customFormat="1" hidden="1" x14ac:dyDescent="0.2">
      <c r="A2104" s="2" t="s">
        <v>85</v>
      </c>
      <c r="C2104" s="715"/>
      <c r="E2104" s="715"/>
      <c r="F2104" s="616">
        <v>13</v>
      </c>
      <c r="G2104" s="611" t="str">
        <f t="shared" si="526"/>
        <v>netaik.</v>
      </c>
      <c r="H2104" s="611" t="str">
        <f>IF(G2104=EUconst_NA,"",MAX($H$2091:H2103)+1)</f>
        <v/>
      </c>
      <c r="I2104" s="622" t="str">
        <f t="shared" si="525"/>
        <v/>
      </c>
      <c r="J2104" s="611"/>
      <c r="K2104" s="611"/>
      <c r="L2104" s="611"/>
      <c r="M2104" s="617"/>
      <c r="P2104" s="197"/>
      <c r="Q2104" s="197"/>
      <c r="R2104" s="197"/>
      <c r="S2104" s="197"/>
      <c r="T2104" s="197"/>
      <c r="U2104" s="197"/>
      <c r="V2104" s="197"/>
      <c r="W2104" s="197"/>
      <c r="X2104" s="197"/>
      <c r="Y2104" s="197"/>
      <c r="Z2104" s="197"/>
      <c r="AA2104" s="197"/>
      <c r="AB2104" s="197"/>
      <c r="AC2104" s="197"/>
      <c r="AD2104" s="197"/>
    </row>
    <row r="2105" spans="1:30" s="196" customFormat="1" hidden="1" x14ac:dyDescent="0.2">
      <c r="A2105" s="2" t="s">
        <v>85</v>
      </c>
      <c r="C2105" s="715"/>
      <c r="E2105" s="715"/>
      <c r="F2105" s="616">
        <v>14</v>
      </c>
      <c r="G2105" s="611" t="str">
        <f t="shared" si="526"/>
        <v>netaik.</v>
      </c>
      <c r="H2105" s="611" t="str">
        <f>IF(G2105=EUconst_NA,"",MAX($H$2091:H2104)+1)</f>
        <v/>
      </c>
      <c r="I2105" s="622" t="str">
        <f t="shared" si="525"/>
        <v/>
      </c>
      <c r="J2105" s="611"/>
      <c r="K2105" s="611"/>
      <c r="L2105" s="611"/>
      <c r="M2105" s="617"/>
      <c r="P2105" s="197"/>
      <c r="Q2105" s="197"/>
      <c r="R2105" s="197"/>
      <c r="S2105" s="197"/>
      <c r="T2105" s="197"/>
      <c r="U2105" s="197"/>
      <c r="V2105" s="197"/>
      <c r="W2105" s="197"/>
      <c r="X2105" s="197"/>
      <c r="Y2105" s="197"/>
      <c r="Z2105" s="197"/>
      <c r="AA2105" s="197"/>
      <c r="AB2105" s="197"/>
      <c r="AC2105" s="197"/>
      <c r="AD2105" s="197"/>
    </row>
    <row r="2106" spans="1:30" s="196" customFormat="1" hidden="1" x14ac:dyDescent="0.2">
      <c r="A2106" s="2" t="s">
        <v>85</v>
      </c>
      <c r="C2106" s="715"/>
      <c r="E2106" s="715"/>
      <c r="F2106" s="616">
        <v>15</v>
      </c>
      <c r="G2106" s="611" t="str">
        <f t="shared" si="526"/>
        <v>netaik.</v>
      </c>
      <c r="H2106" s="611" t="str">
        <f>IF(G2106=EUconst_NA,"",MAX($H$2091:H2105)+1)</f>
        <v/>
      </c>
      <c r="I2106" s="622" t="str">
        <f t="shared" si="525"/>
        <v/>
      </c>
      <c r="J2106" s="611"/>
      <c r="K2106" s="611"/>
      <c r="L2106" s="611"/>
      <c r="M2106" s="617"/>
      <c r="P2106" s="197"/>
      <c r="Q2106" s="197"/>
      <c r="R2106" s="197"/>
      <c r="S2106" s="197"/>
      <c r="T2106" s="197"/>
      <c r="U2106" s="197"/>
      <c r="V2106" s="197"/>
      <c r="W2106" s="197"/>
      <c r="X2106" s="197"/>
      <c r="Y2106" s="197"/>
      <c r="Z2106" s="197"/>
      <c r="AA2106" s="197"/>
      <c r="AB2106" s="197"/>
      <c r="AC2106" s="197"/>
      <c r="AD2106" s="197"/>
    </row>
    <row r="2107" spans="1:30" s="196" customFormat="1" hidden="1" x14ac:dyDescent="0.2">
      <c r="A2107" s="2" t="s">
        <v>85</v>
      </c>
      <c r="C2107" s="715"/>
      <c r="E2107" s="715"/>
      <c r="F2107" s="616">
        <v>16</v>
      </c>
      <c r="G2107" s="611" t="str">
        <f t="shared" si="526"/>
        <v>netaik.</v>
      </c>
      <c r="H2107" s="611" t="str">
        <f>IF(G2107=EUconst_NA,"",MAX($H$2091:H2106)+1)</f>
        <v/>
      </c>
      <c r="I2107" s="622" t="str">
        <f t="shared" si="525"/>
        <v/>
      </c>
      <c r="J2107" s="611"/>
      <c r="K2107" s="611"/>
      <c r="L2107" s="611"/>
      <c r="M2107" s="617"/>
      <c r="P2107" s="197"/>
      <c r="Q2107" s="197"/>
      <c r="R2107" s="197"/>
      <c r="S2107" s="197"/>
      <c r="T2107" s="197"/>
      <c r="U2107" s="197"/>
      <c r="V2107" s="197"/>
      <c r="W2107" s="197"/>
      <c r="X2107" s="197"/>
      <c r="Y2107" s="197"/>
      <c r="Z2107" s="197"/>
      <c r="AA2107" s="197"/>
      <c r="AB2107" s="197"/>
      <c r="AC2107" s="197"/>
      <c r="AD2107" s="197"/>
    </row>
    <row r="2108" spans="1:30" s="196" customFormat="1" hidden="1" x14ac:dyDescent="0.2">
      <c r="A2108" s="2" t="s">
        <v>85</v>
      </c>
      <c r="C2108" s="715"/>
      <c r="E2108" s="715"/>
      <c r="F2108" s="616">
        <v>17</v>
      </c>
      <c r="G2108" s="611" t="str">
        <f t="shared" si="526"/>
        <v>netaik.</v>
      </c>
      <c r="H2108" s="611" t="str">
        <f>IF(G2108=EUconst_NA,"",MAX($H$2091:H2107)+1)</f>
        <v/>
      </c>
      <c r="I2108" s="622" t="str">
        <f t="shared" si="525"/>
        <v/>
      </c>
      <c r="J2108" s="611"/>
      <c r="K2108" s="611"/>
      <c r="L2108" s="611"/>
      <c r="M2108" s="617"/>
      <c r="P2108" s="197"/>
      <c r="Q2108" s="197"/>
      <c r="R2108" s="197"/>
      <c r="S2108" s="197"/>
      <c r="T2108" s="197"/>
      <c r="U2108" s="197"/>
      <c r="V2108" s="197"/>
      <c r="W2108" s="197"/>
      <c r="X2108" s="197"/>
      <c r="Y2108" s="197"/>
      <c r="Z2108" s="197"/>
      <c r="AA2108" s="197"/>
      <c r="AB2108" s="197"/>
      <c r="AC2108" s="197"/>
      <c r="AD2108" s="197"/>
    </row>
    <row r="2109" spans="1:30" s="196" customFormat="1" hidden="1" x14ac:dyDescent="0.2">
      <c r="A2109" s="2" t="s">
        <v>85</v>
      </c>
      <c r="C2109" s="715"/>
      <c r="E2109" s="715"/>
      <c r="F2109" s="616">
        <v>18</v>
      </c>
      <c r="G2109" s="611" t="str">
        <f t="shared" si="526"/>
        <v>netaik.</v>
      </c>
      <c r="H2109" s="611" t="str">
        <f>IF(G2109=EUconst_NA,"",MAX($H$2091:H2108)+1)</f>
        <v/>
      </c>
      <c r="I2109" s="622" t="str">
        <f t="shared" si="525"/>
        <v/>
      </c>
      <c r="J2109" s="611"/>
      <c r="K2109" s="611"/>
      <c r="L2109" s="611"/>
      <c r="M2109" s="617"/>
      <c r="P2109" s="197"/>
      <c r="Q2109" s="197"/>
      <c r="R2109" s="197"/>
      <c r="S2109" s="197"/>
      <c r="T2109" s="197"/>
      <c r="U2109" s="197"/>
      <c r="V2109" s="197"/>
      <c r="W2109" s="197"/>
      <c r="X2109" s="197"/>
      <c r="Y2109" s="197"/>
      <c r="Z2109" s="197"/>
      <c r="AA2109" s="197"/>
      <c r="AB2109" s="197"/>
      <c r="AC2109" s="197"/>
      <c r="AD2109" s="197"/>
    </row>
    <row r="2110" spans="1:30" s="196" customFormat="1" hidden="1" x14ac:dyDescent="0.2">
      <c r="A2110" s="2" t="s">
        <v>85</v>
      </c>
      <c r="C2110" s="715"/>
      <c r="E2110" s="715"/>
      <c r="F2110" s="616">
        <v>19</v>
      </c>
      <c r="G2110" s="611" t="str">
        <f t="shared" si="526"/>
        <v>netaik.</v>
      </c>
      <c r="H2110" s="611" t="str">
        <f>IF(G2110=EUconst_NA,"",MAX($H$2091:H2109)+1)</f>
        <v/>
      </c>
      <c r="I2110" s="622" t="str">
        <f t="shared" si="525"/>
        <v/>
      </c>
      <c r="J2110" s="611"/>
      <c r="K2110" s="611"/>
      <c r="L2110" s="611"/>
      <c r="M2110" s="617"/>
      <c r="P2110" s="197"/>
      <c r="Q2110" s="197"/>
      <c r="R2110" s="197"/>
      <c r="S2110" s="197"/>
      <c r="T2110" s="197"/>
      <c r="U2110" s="197"/>
      <c r="V2110" s="197"/>
      <c r="W2110" s="197"/>
      <c r="X2110" s="197"/>
      <c r="Y2110" s="197"/>
      <c r="Z2110" s="197"/>
      <c r="AA2110" s="197"/>
      <c r="AB2110" s="197"/>
      <c r="AC2110" s="197"/>
      <c r="AD2110" s="197"/>
    </row>
    <row r="2111" spans="1:30" s="196" customFormat="1" hidden="1" x14ac:dyDescent="0.2">
      <c r="A2111" s="2" t="s">
        <v>85</v>
      </c>
      <c r="C2111" s="715"/>
      <c r="E2111" s="715"/>
      <c r="F2111" s="616">
        <v>20</v>
      </c>
      <c r="G2111" s="611" t="str">
        <f t="shared" si="526"/>
        <v>netaik.</v>
      </c>
      <c r="H2111" s="611" t="str">
        <f>IF(G2111=EUconst_NA,"",MAX($H$2091:H2110)+1)</f>
        <v/>
      </c>
      <c r="I2111" s="622" t="str">
        <f t="shared" si="525"/>
        <v/>
      </c>
      <c r="J2111" s="611"/>
      <c r="K2111" s="611"/>
      <c r="L2111" s="611"/>
      <c r="M2111" s="617"/>
      <c r="P2111" s="197"/>
      <c r="Q2111" s="197"/>
      <c r="R2111" s="197"/>
      <c r="S2111" s="197"/>
      <c r="T2111" s="197"/>
      <c r="U2111" s="197"/>
      <c r="V2111" s="197"/>
      <c r="W2111" s="197"/>
      <c r="X2111" s="197"/>
      <c r="Y2111" s="197"/>
      <c r="Z2111" s="197"/>
      <c r="AA2111" s="197"/>
      <c r="AB2111" s="197"/>
      <c r="AC2111" s="197"/>
      <c r="AD2111" s="197"/>
    </row>
    <row r="2112" spans="1:30" s="196" customFormat="1" hidden="1" x14ac:dyDescent="0.2">
      <c r="A2112" s="2" t="s">
        <v>85</v>
      </c>
      <c r="C2112" s="715"/>
      <c r="E2112" s="715"/>
      <c r="F2112" s="616">
        <v>21</v>
      </c>
      <c r="G2112" s="611" t="str">
        <f t="shared" si="526"/>
        <v>netaik.</v>
      </c>
      <c r="H2112" s="611" t="str">
        <f>IF(G2112=EUconst_NA,"",MAX($H$2091:H2111)+1)</f>
        <v/>
      </c>
      <c r="I2112" s="622" t="str">
        <f t="shared" si="525"/>
        <v/>
      </c>
      <c r="J2112" s="611"/>
      <c r="K2112" s="611"/>
      <c r="L2112" s="611"/>
      <c r="M2112" s="617"/>
      <c r="P2112" s="197"/>
      <c r="Q2112" s="197"/>
      <c r="R2112" s="197"/>
      <c r="S2112" s="197"/>
      <c r="T2112" s="197"/>
      <c r="U2112" s="197"/>
      <c r="V2112" s="197"/>
      <c r="W2112" s="197"/>
      <c r="X2112" s="197"/>
      <c r="Y2112" s="197"/>
      <c r="Z2112" s="197"/>
      <c r="AA2112" s="197"/>
      <c r="AB2112" s="197"/>
      <c r="AC2112" s="197"/>
      <c r="AD2112" s="197"/>
    </row>
    <row r="2113" spans="1:30" s="196" customFormat="1" hidden="1" x14ac:dyDescent="0.2">
      <c r="A2113" s="2" t="s">
        <v>85</v>
      </c>
      <c r="C2113" s="715"/>
      <c r="E2113" s="715"/>
      <c r="F2113" s="616">
        <v>22</v>
      </c>
      <c r="G2113" s="611" t="str">
        <f t="shared" si="526"/>
        <v>netaik.</v>
      </c>
      <c r="H2113" s="611" t="str">
        <f>IF(G2113=EUconst_NA,"",MAX($H$2091:H2112)+1)</f>
        <v/>
      </c>
      <c r="I2113" s="622" t="str">
        <f t="shared" si="525"/>
        <v/>
      </c>
      <c r="J2113" s="611"/>
      <c r="K2113" s="611"/>
      <c r="L2113" s="611"/>
      <c r="M2113" s="617"/>
      <c r="P2113" s="197"/>
      <c r="Q2113" s="197"/>
      <c r="R2113" s="197"/>
      <c r="S2113" s="197"/>
      <c r="T2113" s="197"/>
      <c r="U2113" s="197"/>
      <c r="V2113" s="197"/>
      <c r="W2113" s="197"/>
      <c r="X2113" s="197"/>
      <c r="Y2113" s="197"/>
      <c r="Z2113" s="197"/>
      <c r="AA2113" s="197"/>
      <c r="AB2113" s="197"/>
      <c r="AC2113" s="197"/>
      <c r="AD2113" s="197"/>
    </row>
    <row r="2114" spans="1:30" s="196" customFormat="1" hidden="1" x14ac:dyDescent="0.2">
      <c r="A2114" s="2" t="s">
        <v>85</v>
      </c>
      <c r="C2114" s="715"/>
      <c r="E2114" s="715"/>
      <c r="F2114" s="616">
        <v>23</v>
      </c>
      <c r="G2114" s="611" t="str">
        <f t="shared" si="526"/>
        <v>netaik.</v>
      </c>
      <c r="H2114" s="611" t="str">
        <f>IF(G2114=EUconst_NA,"",MAX($H$2091:H2113)+1)</f>
        <v/>
      </c>
      <c r="I2114" s="622" t="str">
        <f t="shared" si="525"/>
        <v/>
      </c>
      <c r="J2114" s="611"/>
      <c r="K2114" s="611"/>
      <c r="L2114" s="611"/>
      <c r="M2114" s="617"/>
      <c r="P2114" s="197"/>
      <c r="Q2114" s="197"/>
      <c r="R2114" s="197"/>
      <c r="S2114" s="197"/>
      <c r="T2114" s="197"/>
      <c r="U2114" s="197"/>
      <c r="V2114" s="197"/>
      <c r="W2114" s="197"/>
      <c r="X2114" s="197"/>
      <c r="Y2114" s="197"/>
      <c r="Z2114" s="197"/>
      <c r="AA2114" s="197"/>
      <c r="AB2114" s="197"/>
      <c r="AC2114" s="197"/>
      <c r="AD2114" s="197"/>
    </row>
    <row r="2115" spans="1:30" s="196" customFormat="1" hidden="1" x14ac:dyDescent="0.2">
      <c r="A2115" s="2" t="s">
        <v>85</v>
      </c>
      <c r="C2115" s="715"/>
      <c r="E2115" s="715"/>
      <c r="F2115" s="616">
        <v>24</v>
      </c>
      <c r="G2115" s="611" t="str">
        <f t="shared" si="526"/>
        <v>netaik.</v>
      </c>
      <c r="H2115" s="611" t="str">
        <f>IF(G2115=EUconst_NA,"",MAX($H$2091:H2114)+1)</f>
        <v/>
      </c>
      <c r="I2115" s="622" t="str">
        <f t="shared" si="525"/>
        <v/>
      </c>
      <c r="J2115" s="611"/>
      <c r="K2115" s="611"/>
      <c r="L2115" s="611"/>
      <c r="M2115" s="617"/>
      <c r="P2115" s="197"/>
      <c r="Q2115" s="197"/>
      <c r="R2115" s="197"/>
      <c r="S2115" s="197"/>
      <c r="T2115" s="197"/>
      <c r="U2115" s="197"/>
      <c r="V2115" s="197"/>
      <c r="W2115" s="197"/>
      <c r="X2115" s="197"/>
      <c r="Y2115" s="197"/>
      <c r="Z2115" s="197"/>
      <c r="AA2115" s="197"/>
      <c r="AB2115" s="197"/>
      <c r="AC2115" s="197"/>
      <c r="AD2115" s="197"/>
    </row>
    <row r="2116" spans="1:30" s="196" customFormat="1" hidden="1" x14ac:dyDescent="0.2">
      <c r="A2116" s="2" t="s">
        <v>85</v>
      </c>
      <c r="C2116" s="715"/>
      <c r="E2116" s="715"/>
      <c r="F2116" s="616">
        <v>25</v>
      </c>
      <c r="G2116" s="611" t="str">
        <f t="shared" si="526"/>
        <v>netaik.</v>
      </c>
      <c r="H2116" s="611" t="str">
        <f>IF(G2116=EUconst_NA,"",MAX($H$2091:H2115)+1)</f>
        <v/>
      </c>
      <c r="I2116" s="622" t="str">
        <f t="shared" si="525"/>
        <v/>
      </c>
      <c r="J2116" s="611"/>
      <c r="K2116" s="611"/>
      <c r="L2116" s="611"/>
      <c r="M2116" s="617"/>
      <c r="P2116" s="197"/>
      <c r="Q2116" s="197"/>
      <c r="R2116" s="197"/>
      <c r="S2116" s="197"/>
      <c r="T2116" s="197"/>
      <c r="U2116" s="197"/>
      <c r="V2116" s="197"/>
      <c r="W2116" s="197"/>
      <c r="X2116" s="197"/>
      <c r="Y2116" s="197"/>
      <c r="Z2116" s="197"/>
      <c r="AA2116" s="197"/>
      <c r="AB2116" s="197"/>
      <c r="AC2116" s="197"/>
      <c r="AD2116" s="197"/>
    </row>
    <row r="2117" spans="1:30" s="196" customFormat="1" hidden="1" x14ac:dyDescent="0.2">
      <c r="A2117" s="2" t="s">
        <v>85</v>
      </c>
      <c r="C2117" s="715"/>
      <c r="E2117" s="715"/>
      <c r="F2117" s="616">
        <v>26</v>
      </c>
      <c r="G2117" s="611" t="str">
        <f t="shared" si="526"/>
        <v>netaik.</v>
      </c>
      <c r="H2117" s="611" t="str">
        <f>IF(G2117=EUconst_NA,"",MAX($H$2091:H2116)+1)</f>
        <v/>
      </c>
      <c r="I2117" s="622" t="str">
        <f t="shared" si="525"/>
        <v/>
      </c>
      <c r="J2117" s="611"/>
      <c r="K2117" s="611"/>
      <c r="L2117" s="611"/>
      <c r="M2117" s="617"/>
      <c r="P2117" s="197"/>
      <c r="Q2117" s="197"/>
      <c r="R2117" s="197"/>
      <c r="S2117" s="197"/>
      <c r="T2117" s="197"/>
      <c r="U2117" s="197"/>
      <c r="V2117" s="197"/>
      <c r="W2117" s="197"/>
      <c r="X2117" s="197"/>
      <c r="Y2117" s="197"/>
      <c r="Z2117" s="197"/>
      <c r="AA2117" s="197"/>
      <c r="AB2117" s="197"/>
      <c r="AC2117" s="197"/>
      <c r="AD2117" s="197"/>
    </row>
    <row r="2118" spans="1:30" s="196" customFormat="1" hidden="1" x14ac:dyDescent="0.2">
      <c r="A2118" s="2" t="s">
        <v>85</v>
      </c>
      <c r="C2118" s="715"/>
      <c r="E2118" s="715"/>
      <c r="F2118" s="616">
        <v>27</v>
      </c>
      <c r="G2118" s="611" t="str">
        <f t="shared" si="526"/>
        <v>netaik.</v>
      </c>
      <c r="H2118" s="611" t="str">
        <f>IF(G2118=EUconst_NA,"",MAX($H$2091:H2117)+1)</f>
        <v/>
      </c>
      <c r="I2118" s="622" t="str">
        <f t="shared" si="525"/>
        <v/>
      </c>
      <c r="J2118" s="611"/>
      <c r="K2118" s="611"/>
      <c r="L2118" s="611"/>
      <c r="M2118" s="617"/>
      <c r="P2118" s="197"/>
      <c r="Q2118" s="197"/>
      <c r="R2118" s="197"/>
      <c r="S2118" s="197"/>
      <c r="T2118" s="197"/>
      <c r="U2118" s="197"/>
      <c r="V2118" s="197"/>
      <c r="W2118" s="197"/>
      <c r="X2118" s="197"/>
      <c r="Y2118" s="197"/>
      <c r="Z2118" s="197"/>
      <c r="AA2118" s="197"/>
      <c r="AB2118" s="197"/>
      <c r="AC2118" s="197"/>
      <c r="AD2118" s="197"/>
    </row>
    <row r="2119" spans="1:30" s="196" customFormat="1" hidden="1" x14ac:dyDescent="0.2">
      <c r="A2119" s="2" t="s">
        <v>85</v>
      </c>
      <c r="C2119" s="715"/>
      <c r="E2119" s="715"/>
      <c r="F2119" s="616">
        <v>28</v>
      </c>
      <c r="G2119" s="611" t="str">
        <f t="shared" si="526"/>
        <v>netaik.</v>
      </c>
      <c r="H2119" s="611" t="str">
        <f>IF(G2119=EUconst_NA,"",MAX($H$2091:H2118)+1)</f>
        <v/>
      </c>
      <c r="I2119" s="622" t="str">
        <f t="shared" si="525"/>
        <v/>
      </c>
      <c r="J2119" s="611"/>
      <c r="K2119" s="611"/>
      <c r="L2119" s="611"/>
      <c r="M2119" s="617"/>
      <c r="P2119" s="197"/>
      <c r="Q2119" s="197"/>
      <c r="R2119" s="197"/>
      <c r="S2119" s="197"/>
      <c r="T2119" s="197"/>
      <c r="U2119" s="197"/>
      <c r="V2119" s="197"/>
      <c r="W2119" s="197"/>
      <c r="X2119" s="197"/>
      <c r="Y2119" s="197"/>
      <c r="Z2119" s="197"/>
      <c r="AA2119" s="197"/>
      <c r="AB2119" s="197"/>
      <c r="AC2119" s="197"/>
      <c r="AD2119" s="197"/>
    </row>
    <row r="2120" spans="1:30" s="196" customFormat="1" hidden="1" x14ac:dyDescent="0.2">
      <c r="A2120" s="2" t="s">
        <v>85</v>
      </c>
      <c r="C2120" s="715"/>
      <c r="E2120" s="715"/>
      <c r="F2120" s="616">
        <v>29</v>
      </c>
      <c r="G2120" s="611" t="str">
        <f t="shared" si="526"/>
        <v>netaik.</v>
      </c>
      <c r="H2120" s="611" t="str">
        <f>IF(G2120=EUconst_NA,"",MAX($H$2091:H2119)+1)</f>
        <v/>
      </c>
      <c r="I2120" s="622" t="str">
        <f t="shared" si="525"/>
        <v/>
      </c>
      <c r="J2120" s="611"/>
      <c r="K2120" s="611"/>
      <c r="L2120" s="611"/>
      <c r="M2120" s="617"/>
      <c r="P2120" s="197"/>
      <c r="Q2120" s="197"/>
      <c r="R2120" s="197"/>
      <c r="S2120" s="197"/>
      <c r="T2120" s="197"/>
      <c r="U2120" s="197"/>
      <c r="V2120" s="197"/>
      <c r="W2120" s="197"/>
      <c r="X2120" s="197"/>
      <c r="Y2120" s="197"/>
      <c r="Z2120" s="197"/>
      <c r="AA2120" s="197"/>
      <c r="AB2120" s="197"/>
      <c r="AC2120" s="197"/>
      <c r="AD2120" s="197"/>
    </row>
    <row r="2121" spans="1:30" s="196" customFormat="1" hidden="1" x14ac:dyDescent="0.2">
      <c r="A2121" s="2" t="s">
        <v>85</v>
      </c>
      <c r="C2121" s="715"/>
      <c r="E2121" s="715"/>
      <c r="F2121" s="616">
        <v>30</v>
      </c>
      <c r="G2121" s="611" t="str">
        <f t="shared" si="526"/>
        <v>netaik.</v>
      </c>
      <c r="H2121" s="611" t="str">
        <f>IF(G2121=EUconst_NA,"",MAX($H$2091:H2120)+1)</f>
        <v/>
      </c>
      <c r="I2121" s="622" t="str">
        <f t="shared" si="525"/>
        <v/>
      </c>
      <c r="J2121" s="611"/>
      <c r="K2121" s="611"/>
      <c r="L2121" s="611"/>
      <c r="M2121" s="617"/>
      <c r="P2121" s="197"/>
      <c r="Q2121" s="197"/>
      <c r="R2121" s="197"/>
      <c r="S2121" s="197"/>
      <c r="T2121" s="197"/>
      <c r="U2121" s="197"/>
      <c r="V2121" s="197"/>
      <c r="W2121" s="197"/>
      <c r="X2121" s="197"/>
      <c r="Y2121" s="197"/>
      <c r="Z2121" s="197"/>
      <c r="AA2121" s="197"/>
      <c r="AB2121" s="197"/>
      <c r="AC2121" s="197"/>
      <c r="AD2121" s="197"/>
    </row>
    <row r="2122" spans="1:30" s="196" customFormat="1" hidden="1" x14ac:dyDescent="0.2">
      <c r="A2122" s="2" t="s">
        <v>85</v>
      </c>
      <c r="C2122" s="715"/>
      <c r="E2122" s="715"/>
      <c r="F2122" s="616">
        <v>31</v>
      </c>
      <c r="G2122" s="611" t="str">
        <f t="shared" ref="G2122:G2166" si="527">INDEX(CNTR_SourceStreamNames,F2122)</f>
        <v>netaik.</v>
      </c>
      <c r="H2122" s="611" t="str">
        <f>IF(G2122=EUconst_NA,"",MAX($H$2091:H2121)+1)</f>
        <v/>
      </c>
      <c r="I2122" s="622" t="str">
        <f t="shared" si="525"/>
        <v/>
      </c>
      <c r="J2122" s="611"/>
      <c r="K2122" s="611"/>
      <c r="L2122" s="611"/>
      <c r="M2122" s="617"/>
      <c r="P2122" s="197"/>
      <c r="Q2122" s="197"/>
      <c r="R2122" s="197"/>
      <c r="S2122" s="197"/>
      <c r="T2122" s="197"/>
      <c r="U2122" s="197"/>
      <c r="V2122" s="197"/>
      <c r="W2122" s="197"/>
      <c r="X2122" s="197"/>
      <c r="Y2122" s="197"/>
      <c r="Z2122" s="197"/>
      <c r="AA2122" s="197"/>
      <c r="AB2122" s="197"/>
      <c r="AC2122" s="197"/>
      <c r="AD2122" s="197"/>
    </row>
    <row r="2123" spans="1:30" s="196" customFormat="1" hidden="1" x14ac:dyDescent="0.2">
      <c r="A2123" s="2" t="s">
        <v>85</v>
      </c>
      <c r="C2123" s="715"/>
      <c r="E2123" s="715"/>
      <c r="F2123" s="616">
        <v>32</v>
      </c>
      <c r="G2123" s="611" t="str">
        <f t="shared" si="527"/>
        <v>netaik.</v>
      </c>
      <c r="H2123" s="611" t="str">
        <f>IF(G2123=EUconst_NA,"",MAX($H$2091:H2122)+1)</f>
        <v/>
      </c>
      <c r="I2123" s="622" t="str">
        <f t="shared" si="525"/>
        <v/>
      </c>
      <c r="J2123" s="611"/>
      <c r="K2123" s="611"/>
      <c r="L2123" s="611"/>
      <c r="M2123" s="617"/>
      <c r="P2123" s="197"/>
      <c r="Q2123" s="197"/>
      <c r="R2123" s="197"/>
      <c r="S2123" s="197"/>
      <c r="T2123" s="197"/>
      <c r="U2123" s="197"/>
      <c r="V2123" s="197"/>
      <c r="W2123" s="197"/>
      <c r="X2123" s="197"/>
      <c r="Y2123" s="197"/>
      <c r="Z2123" s="197"/>
      <c r="AA2123" s="197"/>
      <c r="AB2123" s="197"/>
      <c r="AC2123" s="197"/>
      <c r="AD2123" s="197"/>
    </row>
    <row r="2124" spans="1:30" s="196" customFormat="1" hidden="1" x14ac:dyDescent="0.2">
      <c r="A2124" s="2" t="s">
        <v>85</v>
      </c>
      <c r="C2124" s="715"/>
      <c r="E2124" s="715"/>
      <c r="F2124" s="616">
        <v>33</v>
      </c>
      <c r="G2124" s="611" t="str">
        <f t="shared" si="527"/>
        <v>netaik.</v>
      </c>
      <c r="H2124" s="611" t="str">
        <f>IF(G2124=EUconst_NA,"",MAX($H$2091:H2123)+1)</f>
        <v/>
      </c>
      <c r="I2124" s="622" t="str">
        <f t="shared" ref="I2124:I2155" si="528">IF(COUNTIF($H$2092:$H$2166,F2124)=0,"",INDEX($G$2092:$G$2166,MATCH(F2124,$H$2092:$H$2166,0)))</f>
        <v/>
      </c>
      <c r="J2124" s="611"/>
      <c r="K2124" s="611"/>
      <c r="L2124" s="611"/>
      <c r="M2124" s="617"/>
      <c r="P2124" s="197"/>
      <c r="Q2124" s="197"/>
      <c r="R2124" s="197"/>
      <c r="S2124" s="197"/>
      <c r="T2124" s="197"/>
      <c r="U2124" s="197"/>
      <c r="V2124" s="197"/>
      <c r="W2124" s="197"/>
      <c r="X2124" s="197"/>
      <c r="Y2124" s="197"/>
      <c r="Z2124" s="197"/>
      <c r="AA2124" s="197"/>
      <c r="AB2124" s="197"/>
      <c r="AC2124" s="197"/>
      <c r="AD2124" s="197"/>
    </row>
    <row r="2125" spans="1:30" s="196" customFormat="1" hidden="1" x14ac:dyDescent="0.2">
      <c r="A2125" s="2" t="s">
        <v>85</v>
      </c>
      <c r="C2125" s="715"/>
      <c r="E2125" s="715"/>
      <c r="F2125" s="616">
        <v>34</v>
      </c>
      <c r="G2125" s="611" t="str">
        <f t="shared" si="527"/>
        <v>netaik.</v>
      </c>
      <c r="H2125" s="611" t="str">
        <f>IF(G2125=EUconst_NA,"",MAX($H$2091:H2124)+1)</f>
        <v/>
      </c>
      <c r="I2125" s="622" t="str">
        <f t="shared" si="528"/>
        <v/>
      </c>
      <c r="J2125" s="611"/>
      <c r="K2125" s="611"/>
      <c r="L2125" s="611"/>
      <c r="M2125" s="617"/>
      <c r="P2125" s="197"/>
      <c r="Q2125" s="197"/>
      <c r="R2125" s="197"/>
      <c r="S2125" s="197"/>
      <c r="T2125" s="197"/>
      <c r="U2125" s="197"/>
      <c r="V2125" s="197"/>
      <c r="W2125" s="197"/>
      <c r="X2125" s="197"/>
      <c r="Y2125" s="197"/>
      <c r="Z2125" s="197"/>
      <c r="AA2125" s="197"/>
      <c r="AB2125" s="197"/>
      <c r="AC2125" s="197"/>
      <c r="AD2125" s="197"/>
    </row>
    <row r="2126" spans="1:30" s="196" customFormat="1" hidden="1" x14ac:dyDescent="0.2">
      <c r="A2126" s="2" t="s">
        <v>85</v>
      </c>
      <c r="C2126" s="715"/>
      <c r="E2126" s="715"/>
      <c r="F2126" s="616">
        <v>35</v>
      </c>
      <c r="G2126" s="611" t="str">
        <f t="shared" si="527"/>
        <v>netaik.</v>
      </c>
      <c r="H2126" s="611" t="str">
        <f>IF(G2126=EUconst_NA,"",MAX($H$2091:H2125)+1)</f>
        <v/>
      </c>
      <c r="I2126" s="622" t="str">
        <f t="shared" si="528"/>
        <v/>
      </c>
      <c r="J2126" s="611"/>
      <c r="K2126" s="611"/>
      <c r="L2126" s="611"/>
      <c r="M2126" s="617"/>
      <c r="P2126" s="197"/>
      <c r="Q2126" s="197"/>
      <c r="R2126" s="197"/>
      <c r="S2126" s="197"/>
      <c r="T2126" s="197"/>
      <c r="U2126" s="197"/>
      <c r="V2126" s="197"/>
      <c r="W2126" s="197"/>
      <c r="X2126" s="197"/>
      <c r="Y2126" s="197"/>
      <c r="Z2126" s="197"/>
      <c r="AA2126" s="197"/>
      <c r="AB2126" s="197"/>
      <c r="AC2126" s="197"/>
      <c r="AD2126" s="197"/>
    </row>
    <row r="2127" spans="1:30" s="196" customFormat="1" hidden="1" x14ac:dyDescent="0.2">
      <c r="A2127" s="2" t="s">
        <v>85</v>
      </c>
      <c r="C2127" s="715"/>
      <c r="E2127" s="715"/>
      <c r="F2127" s="616">
        <v>36</v>
      </c>
      <c r="G2127" s="611" t="str">
        <f t="shared" si="527"/>
        <v>netaik.</v>
      </c>
      <c r="H2127" s="611" t="str">
        <f>IF(G2127=EUconst_NA,"",MAX($H$2091:H2126)+1)</f>
        <v/>
      </c>
      <c r="I2127" s="622" t="str">
        <f t="shared" si="528"/>
        <v/>
      </c>
      <c r="J2127" s="611"/>
      <c r="K2127" s="611"/>
      <c r="L2127" s="611"/>
      <c r="M2127" s="617"/>
      <c r="P2127" s="197"/>
      <c r="Q2127" s="197"/>
      <c r="R2127" s="197"/>
      <c r="S2127" s="197"/>
      <c r="T2127" s="197"/>
      <c r="U2127" s="197"/>
      <c r="V2127" s="197"/>
      <c r="W2127" s="197"/>
      <c r="X2127" s="197"/>
      <c r="Y2127" s="197"/>
      <c r="Z2127" s="197"/>
      <c r="AA2127" s="197"/>
      <c r="AB2127" s="197"/>
      <c r="AC2127" s="197"/>
      <c r="AD2127" s="197"/>
    </row>
    <row r="2128" spans="1:30" s="196" customFormat="1" hidden="1" x14ac:dyDescent="0.2">
      <c r="A2128" s="2" t="s">
        <v>85</v>
      </c>
      <c r="C2128" s="715"/>
      <c r="E2128" s="715"/>
      <c r="F2128" s="616">
        <v>37</v>
      </c>
      <c r="G2128" s="611" t="str">
        <f t="shared" si="527"/>
        <v>netaik.</v>
      </c>
      <c r="H2128" s="611" t="str">
        <f>IF(G2128=EUconst_NA,"",MAX($H$2091:H2127)+1)</f>
        <v/>
      </c>
      <c r="I2128" s="622" t="str">
        <f t="shared" si="528"/>
        <v/>
      </c>
      <c r="J2128" s="611"/>
      <c r="K2128" s="611"/>
      <c r="L2128" s="611"/>
      <c r="M2128" s="617"/>
      <c r="P2128" s="197"/>
      <c r="Q2128" s="197"/>
      <c r="R2128" s="197"/>
      <c r="S2128" s="197"/>
      <c r="T2128" s="197"/>
      <c r="U2128" s="197"/>
      <c r="V2128" s="197"/>
      <c r="W2128" s="197"/>
      <c r="X2128" s="197"/>
      <c r="Y2128" s="197"/>
      <c r="Z2128" s="197"/>
      <c r="AA2128" s="197"/>
      <c r="AB2128" s="197"/>
      <c r="AC2128" s="197"/>
      <c r="AD2128" s="197"/>
    </row>
    <row r="2129" spans="1:30" s="196" customFormat="1" hidden="1" x14ac:dyDescent="0.2">
      <c r="A2129" s="2" t="s">
        <v>85</v>
      </c>
      <c r="C2129" s="715"/>
      <c r="E2129" s="715"/>
      <c r="F2129" s="616">
        <v>38</v>
      </c>
      <c r="G2129" s="611" t="str">
        <f t="shared" si="527"/>
        <v>netaik.</v>
      </c>
      <c r="H2129" s="611" t="str">
        <f>IF(G2129=EUconst_NA,"",MAX($H$2091:H2128)+1)</f>
        <v/>
      </c>
      <c r="I2129" s="622" t="str">
        <f t="shared" si="528"/>
        <v/>
      </c>
      <c r="J2129" s="611"/>
      <c r="K2129" s="611"/>
      <c r="L2129" s="611"/>
      <c r="M2129" s="617"/>
      <c r="P2129" s="197"/>
      <c r="Q2129" s="197"/>
      <c r="R2129" s="197"/>
      <c r="S2129" s="197"/>
      <c r="T2129" s="197"/>
      <c r="U2129" s="197"/>
      <c r="V2129" s="197"/>
      <c r="W2129" s="197"/>
      <c r="X2129" s="197"/>
      <c r="Y2129" s="197"/>
      <c r="Z2129" s="197"/>
      <c r="AA2129" s="197"/>
      <c r="AB2129" s="197"/>
      <c r="AC2129" s="197"/>
      <c r="AD2129" s="197"/>
    </row>
    <row r="2130" spans="1:30" s="196" customFormat="1" hidden="1" x14ac:dyDescent="0.2">
      <c r="A2130" s="2" t="s">
        <v>85</v>
      </c>
      <c r="C2130" s="715"/>
      <c r="E2130" s="715"/>
      <c r="F2130" s="616">
        <v>39</v>
      </c>
      <c r="G2130" s="611" t="str">
        <f t="shared" si="527"/>
        <v>netaik.</v>
      </c>
      <c r="H2130" s="611" t="str">
        <f>IF(G2130=EUconst_NA,"",MAX($H$2091:H2129)+1)</f>
        <v/>
      </c>
      <c r="I2130" s="622" t="str">
        <f t="shared" si="528"/>
        <v/>
      </c>
      <c r="J2130" s="611"/>
      <c r="K2130" s="611"/>
      <c r="L2130" s="611"/>
      <c r="M2130" s="617"/>
      <c r="P2130" s="197"/>
      <c r="Q2130" s="197"/>
      <c r="R2130" s="197"/>
      <c r="S2130" s="197"/>
      <c r="T2130" s="197"/>
      <c r="U2130" s="197"/>
      <c r="V2130" s="197"/>
      <c r="W2130" s="197"/>
      <c r="X2130" s="197"/>
      <c r="Y2130" s="197"/>
      <c r="Z2130" s="197"/>
      <c r="AA2130" s="197"/>
      <c r="AB2130" s="197"/>
      <c r="AC2130" s="197"/>
      <c r="AD2130" s="197"/>
    </row>
    <row r="2131" spans="1:30" s="196" customFormat="1" hidden="1" x14ac:dyDescent="0.2">
      <c r="A2131" s="2" t="s">
        <v>85</v>
      </c>
      <c r="C2131" s="715"/>
      <c r="E2131" s="715"/>
      <c r="F2131" s="616">
        <v>40</v>
      </c>
      <c r="G2131" s="611" t="str">
        <f t="shared" si="527"/>
        <v>netaik.</v>
      </c>
      <c r="H2131" s="611" t="str">
        <f>IF(G2131=EUconst_NA,"",MAX($H$2091:H2130)+1)</f>
        <v/>
      </c>
      <c r="I2131" s="622" t="str">
        <f t="shared" si="528"/>
        <v/>
      </c>
      <c r="J2131" s="611"/>
      <c r="K2131" s="611"/>
      <c r="L2131" s="611"/>
      <c r="M2131" s="617"/>
      <c r="P2131" s="197"/>
      <c r="Q2131" s="197"/>
      <c r="R2131" s="197"/>
      <c r="S2131" s="197"/>
      <c r="T2131" s="197"/>
      <c r="U2131" s="197"/>
      <c r="V2131" s="197"/>
      <c r="W2131" s="197"/>
      <c r="X2131" s="197"/>
      <c r="Y2131" s="197"/>
      <c r="Z2131" s="197"/>
      <c r="AA2131" s="197"/>
      <c r="AB2131" s="197"/>
      <c r="AC2131" s="197"/>
      <c r="AD2131" s="197"/>
    </row>
    <row r="2132" spans="1:30" s="196" customFormat="1" hidden="1" x14ac:dyDescent="0.2">
      <c r="A2132" s="2" t="s">
        <v>85</v>
      </c>
      <c r="C2132" s="715"/>
      <c r="E2132" s="715"/>
      <c r="F2132" s="616">
        <v>41</v>
      </c>
      <c r="G2132" s="611" t="str">
        <f t="shared" si="527"/>
        <v>netaik.</v>
      </c>
      <c r="H2132" s="611" t="str">
        <f>IF(G2132=EUconst_NA,"",MAX($H$2091:H2131)+1)</f>
        <v/>
      </c>
      <c r="I2132" s="622" t="str">
        <f t="shared" si="528"/>
        <v/>
      </c>
      <c r="J2132" s="611"/>
      <c r="K2132" s="611"/>
      <c r="L2132" s="611"/>
      <c r="M2132" s="617"/>
      <c r="P2132" s="197"/>
      <c r="Q2132" s="197"/>
      <c r="R2132" s="197"/>
      <c r="S2132" s="197"/>
      <c r="T2132" s="197"/>
      <c r="U2132" s="197"/>
      <c r="V2132" s="197"/>
      <c r="W2132" s="197"/>
      <c r="X2132" s="197"/>
      <c r="Y2132" s="197"/>
      <c r="Z2132" s="197"/>
      <c r="AA2132" s="197"/>
      <c r="AB2132" s="197"/>
      <c r="AC2132" s="197"/>
      <c r="AD2132" s="197"/>
    </row>
    <row r="2133" spans="1:30" s="196" customFormat="1" hidden="1" x14ac:dyDescent="0.2">
      <c r="A2133" s="2" t="s">
        <v>85</v>
      </c>
      <c r="C2133" s="715"/>
      <c r="E2133" s="715"/>
      <c r="F2133" s="616">
        <v>42</v>
      </c>
      <c r="G2133" s="611" t="str">
        <f t="shared" si="527"/>
        <v>netaik.</v>
      </c>
      <c r="H2133" s="611" t="str">
        <f>IF(G2133=EUconst_NA,"",MAX($H$2091:H2132)+1)</f>
        <v/>
      </c>
      <c r="I2133" s="622" t="str">
        <f t="shared" si="528"/>
        <v/>
      </c>
      <c r="J2133" s="611"/>
      <c r="K2133" s="611"/>
      <c r="L2133" s="611"/>
      <c r="M2133" s="617"/>
      <c r="P2133" s="197"/>
      <c r="Q2133" s="197"/>
      <c r="R2133" s="197"/>
      <c r="S2133" s="197"/>
      <c r="T2133" s="197"/>
      <c r="U2133" s="197"/>
      <c r="V2133" s="197"/>
      <c r="W2133" s="197"/>
      <c r="X2133" s="197"/>
      <c r="Y2133" s="197"/>
      <c r="Z2133" s="197"/>
      <c r="AA2133" s="197"/>
      <c r="AB2133" s="197"/>
      <c r="AC2133" s="197"/>
      <c r="AD2133" s="197"/>
    </row>
    <row r="2134" spans="1:30" s="196" customFormat="1" hidden="1" x14ac:dyDescent="0.2">
      <c r="A2134" s="2" t="s">
        <v>85</v>
      </c>
      <c r="C2134" s="715"/>
      <c r="E2134" s="715"/>
      <c r="F2134" s="616">
        <v>43</v>
      </c>
      <c r="G2134" s="611" t="str">
        <f t="shared" si="527"/>
        <v>netaik.</v>
      </c>
      <c r="H2134" s="611" t="str">
        <f>IF(G2134=EUconst_NA,"",MAX($H$2091:H2133)+1)</f>
        <v/>
      </c>
      <c r="I2134" s="622" t="str">
        <f t="shared" si="528"/>
        <v/>
      </c>
      <c r="J2134" s="611"/>
      <c r="K2134" s="611"/>
      <c r="L2134" s="611"/>
      <c r="M2134" s="617"/>
      <c r="P2134" s="197"/>
      <c r="Q2134" s="197"/>
      <c r="R2134" s="197"/>
      <c r="S2134" s="197"/>
      <c r="T2134" s="197"/>
      <c r="U2134" s="197"/>
      <c r="V2134" s="197"/>
      <c r="W2134" s="197"/>
      <c r="X2134" s="197"/>
      <c r="Y2134" s="197"/>
      <c r="Z2134" s="197"/>
      <c r="AA2134" s="197"/>
      <c r="AB2134" s="197"/>
      <c r="AC2134" s="197"/>
      <c r="AD2134" s="197"/>
    </row>
    <row r="2135" spans="1:30" s="196" customFormat="1" hidden="1" x14ac:dyDescent="0.2">
      <c r="A2135" s="2" t="s">
        <v>85</v>
      </c>
      <c r="C2135" s="715"/>
      <c r="E2135" s="715"/>
      <c r="F2135" s="616">
        <v>44</v>
      </c>
      <c r="G2135" s="611" t="str">
        <f t="shared" si="527"/>
        <v>netaik.</v>
      </c>
      <c r="H2135" s="611" t="str">
        <f>IF(G2135=EUconst_NA,"",MAX($H$2091:H2134)+1)</f>
        <v/>
      </c>
      <c r="I2135" s="622" t="str">
        <f t="shared" si="528"/>
        <v/>
      </c>
      <c r="J2135" s="611"/>
      <c r="K2135" s="611"/>
      <c r="L2135" s="611"/>
      <c r="M2135" s="617"/>
      <c r="P2135" s="197"/>
      <c r="Q2135" s="197"/>
      <c r="R2135" s="197"/>
      <c r="S2135" s="197"/>
      <c r="T2135" s="197"/>
      <c r="U2135" s="197"/>
      <c r="V2135" s="197"/>
      <c r="W2135" s="197"/>
      <c r="X2135" s="197"/>
      <c r="Y2135" s="197"/>
      <c r="Z2135" s="197"/>
      <c r="AA2135" s="197"/>
      <c r="AB2135" s="197"/>
      <c r="AC2135" s="197"/>
      <c r="AD2135" s="197"/>
    </row>
    <row r="2136" spans="1:30" s="196" customFormat="1" hidden="1" x14ac:dyDescent="0.2">
      <c r="A2136" s="2" t="s">
        <v>85</v>
      </c>
      <c r="C2136" s="715"/>
      <c r="E2136" s="715"/>
      <c r="F2136" s="616">
        <v>45</v>
      </c>
      <c r="G2136" s="611" t="str">
        <f t="shared" si="527"/>
        <v>netaik.</v>
      </c>
      <c r="H2136" s="611" t="str">
        <f>IF(G2136=EUconst_NA,"",MAX($H$2091:H2135)+1)</f>
        <v/>
      </c>
      <c r="I2136" s="622" t="str">
        <f t="shared" si="528"/>
        <v/>
      </c>
      <c r="J2136" s="611"/>
      <c r="K2136" s="611"/>
      <c r="L2136" s="611"/>
      <c r="M2136" s="617"/>
      <c r="P2136" s="197"/>
      <c r="Q2136" s="197"/>
      <c r="R2136" s="197"/>
      <c r="S2136" s="197"/>
      <c r="T2136" s="197"/>
      <c r="U2136" s="197"/>
      <c r="V2136" s="197"/>
      <c r="W2136" s="197"/>
      <c r="X2136" s="197"/>
      <c r="Y2136" s="197"/>
      <c r="Z2136" s="197"/>
      <c r="AA2136" s="197"/>
      <c r="AB2136" s="197"/>
      <c r="AC2136" s="197"/>
      <c r="AD2136" s="197"/>
    </row>
    <row r="2137" spans="1:30" s="196" customFormat="1" hidden="1" x14ac:dyDescent="0.2">
      <c r="A2137" s="2" t="s">
        <v>85</v>
      </c>
      <c r="C2137" s="715"/>
      <c r="E2137" s="715"/>
      <c r="F2137" s="616">
        <v>46</v>
      </c>
      <c r="G2137" s="611" t="str">
        <f t="shared" si="527"/>
        <v>netaik.</v>
      </c>
      <c r="H2137" s="611" t="str">
        <f>IF(G2137=EUconst_NA,"",MAX($H$2091:H2136)+1)</f>
        <v/>
      </c>
      <c r="I2137" s="622" t="str">
        <f t="shared" si="528"/>
        <v/>
      </c>
      <c r="J2137" s="611"/>
      <c r="K2137" s="611"/>
      <c r="L2137" s="611"/>
      <c r="M2137" s="617"/>
      <c r="P2137" s="197"/>
      <c r="Q2137" s="197"/>
      <c r="R2137" s="197"/>
      <c r="S2137" s="197"/>
      <c r="T2137" s="197"/>
      <c r="U2137" s="197"/>
      <c r="V2137" s="197"/>
      <c r="W2137" s="197"/>
      <c r="X2137" s="197"/>
      <c r="Y2137" s="197"/>
      <c r="Z2137" s="197"/>
      <c r="AA2137" s="197"/>
      <c r="AB2137" s="197"/>
      <c r="AC2137" s="197"/>
      <c r="AD2137" s="197"/>
    </row>
    <row r="2138" spans="1:30" s="196" customFormat="1" hidden="1" x14ac:dyDescent="0.2">
      <c r="A2138" s="2" t="s">
        <v>85</v>
      </c>
      <c r="C2138" s="715"/>
      <c r="E2138" s="715"/>
      <c r="F2138" s="616">
        <v>47</v>
      </c>
      <c r="G2138" s="611" t="str">
        <f t="shared" si="527"/>
        <v>netaik.</v>
      </c>
      <c r="H2138" s="611" t="str">
        <f>IF(G2138=EUconst_NA,"",MAX($H$2091:H2137)+1)</f>
        <v/>
      </c>
      <c r="I2138" s="622" t="str">
        <f t="shared" si="528"/>
        <v/>
      </c>
      <c r="J2138" s="611"/>
      <c r="K2138" s="611"/>
      <c r="L2138" s="611"/>
      <c r="M2138" s="617"/>
      <c r="P2138" s="197"/>
      <c r="Q2138" s="197"/>
      <c r="R2138" s="197"/>
      <c r="S2138" s="197"/>
      <c r="T2138" s="197"/>
      <c r="U2138" s="197"/>
      <c r="V2138" s="197"/>
      <c r="W2138" s="197"/>
      <c r="X2138" s="197"/>
      <c r="Y2138" s="197"/>
      <c r="Z2138" s="197"/>
      <c r="AA2138" s="197"/>
      <c r="AB2138" s="197"/>
      <c r="AC2138" s="197"/>
      <c r="AD2138" s="197"/>
    </row>
    <row r="2139" spans="1:30" s="196" customFormat="1" hidden="1" x14ac:dyDescent="0.2">
      <c r="A2139" s="2" t="s">
        <v>85</v>
      </c>
      <c r="C2139" s="715"/>
      <c r="E2139" s="715"/>
      <c r="F2139" s="616">
        <v>48</v>
      </c>
      <c r="G2139" s="611" t="str">
        <f t="shared" si="527"/>
        <v>netaik.</v>
      </c>
      <c r="H2139" s="611" t="str">
        <f>IF(G2139=EUconst_NA,"",MAX($H$2091:H2138)+1)</f>
        <v/>
      </c>
      <c r="I2139" s="622" t="str">
        <f t="shared" si="528"/>
        <v/>
      </c>
      <c r="J2139" s="611"/>
      <c r="K2139" s="611"/>
      <c r="L2139" s="611"/>
      <c r="M2139" s="617"/>
      <c r="P2139" s="197"/>
      <c r="Q2139" s="197"/>
      <c r="R2139" s="197"/>
      <c r="S2139" s="197"/>
      <c r="T2139" s="197"/>
      <c r="U2139" s="197"/>
      <c r="V2139" s="197"/>
      <c r="W2139" s="197"/>
      <c r="X2139" s="197"/>
      <c r="Y2139" s="197"/>
      <c r="Z2139" s="197"/>
      <c r="AA2139" s="197"/>
      <c r="AB2139" s="197"/>
      <c r="AC2139" s="197"/>
      <c r="AD2139" s="197"/>
    </row>
    <row r="2140" spans="1:30" s="196" customFormat="1" hidden="1" x14ac:dyDescent="0.2">
      <c r="A2140" s="2" t="s">
        <v>85</v>
      </c>
      <c r="C2140" s="715"/>
      <c r="E2140" s="715"/>
      <c r="F2140" s="616">
        <v>49</v>
      </c>
      <c r="G2140" s="611" t="str">
        <f t="shared" si="527"/>
        <v>netaik.</v>
      </c>
      <c r="H2140" s="611" t="str">
        <f>IF(G2140=EUconst_NA,"",MAX($H$2091:H2139)+1)</f>
        <v/>
      </c>
      <c r="I2140" s="622" t="str">
        <f t="shared" si="528"/>
        <v/>
      </c>
      <c r="J2140" s="611"/>
      <c r="K2140" s="611"/>
      <c r="L2140" s="611"/>
      <c r="M2140" s="617"/>
      <c r="P2140" s="197"/>
      <c r="Q2140" s="197"/>
      <c r="R2140" s="197"/>
      <c r="S2140" s="197"/>
      <c r="T2140" s="197"/>
      <c r="U2140" s="197"/>
      <c r="V2140" s="197"/>
      <c r="W2140" s="197"/>
      <c r="X2140" s="197"/>
      <c r="Y2140" s="197"/>
      <c r="Z2140" s="197"/>
      <c r="AA2140" s="197"/>
      <c r="AB2140" s="197"/>
      <c r="AC2140" s="197"/>
      <c r="AD2140" s="197"/>
    </row>
    <row r="2141" spans="1:30" s="196" customFormat="1" hidden="1" x14ac:dyDescent="0.2">
      <c r="A2141" s="2" t="s">
        <v>85</v>
      </c>
      <c r="C2141" s="715"/>
      <c r="E2141" s="715"/>
      <c r="F2141" s="616">
        <v>50</v>
      </c>
      <c r="G2141" s="611" t="str">
        <f t="shared" si="527"/>
        <v>netaik.</v>
      </c>
      <c r="H2141" s="611" t="str">
        <f>IF(G2141=EUconst_NA,"",MAX($H$2091:H2140)+1)</f>
        <v/>
      </c>
      <c r="I2141" s="622" t="str">
        <f t="shared" si="528"/>
        <v/>
      </c>
      <c r="J2141" s="611"/>
      <c r="K2141" s="611"/>
      <c r="L2141" s="611"/>
      <c r="M2141" s="617"/>
      <c r="P2141" s="197"/>
      <c r="Q2141" s="197"/>
      <c r="R2141" s="197"/>
      <c r="S2141" s="197"/>
      <c r="T2141" s="197"/>
      <c r="U2141" s="197"/>
      <c r="V2141" s="197"/>
      <c r="W2141" s="197"/>
      <c r="X2141" s="197"/>
      <c r="Y2141" s="197"/>
      <c r="Z2141" s="197"/>
      <c r="AA2141" s="197"/>
      <c r="AB2141" s="197"/>
      <c r="AC2141" s="197"/>
      <c r="AD2141" s="197"/>
    </row>
    <row r="2142" spans="1:30" s="196" customFormat="1" hidden="1" x14ac:dyDescent="0.2">
      <c r="A2142" s="2" t="s">
        <v>85</v>
      </c>
      <c r="C2142" s="715"/>
      <c r="E2142" s="715"/>
      <c r="F2142" s="616">
        <v>51</v>
      </c>
      <c r="G2142" s="611" t="str">
        <f t="shared" si="527"/>
        <v>netaik.</v>
      </c>
      <c r="H2142" s="611" t="str">
        <f>IF(G2142=EUconst_NA,"",MAX($H$2091:H2141)+1)</f>
        <v/>
      </c>
      <c r="I2142" s="622" t="str">
        <f t="shared" si="528"/>
        <v/>
      </c>
      <c r="J2142" s="611"/>
      <c r="K2142" s="611"/>
      <c r="L2142" s="611"/>
      <c r="M2142" s="617"/>
      <c r="P2142" s="197"/>
      <c r="Q2142" s="197"/>
      <c r="R2142" s="197"/>
      <c r="S2142" s="197"/>
      <c r="T2142" s="197"/>
      <c r="U2142" s="197"/>
      <c r="V2142" s="197"/>
      <c r="W2142" s="197"/>
      <c r="X2142" s="197"/>
      <c r="Y2142" s="197"/>
      <c r="Z2142" s="197"/>
      <c r="AA2142" s="197"/>
      <c r="AB2142" s="197"/>
      <c r="AC2142" s="197"/>
      <c r="AD2142" s="197"/>
    </row>
    <row r="2143" spans="1:30" s="196" customFormat="1" hidden="1" x14ac:dyDescent="0.2">
      <c r="A2143" s="2" t="s">
        <v>85</v>
      </c>
      <c r="C2143" s="715"/>
      <c r="E2143" s="715"/>
      <c r="F2143" s="616">
        <v>52</v>
      </c>
      <c r="G2143" s="611" t="str">
        <f t="shared" si="527"/>
        <v>netaik.</v>
      </c>
      <c r="H2143" s="611" t="str">
        <f>IF(G2143=EUconst_NA,"",MAX($H$2091:H2142)+1)</f>
        <v/>
      </c>
      <c r="I2143" s="622" t="str">
        <f t="shared" si="528"/>
        <v/>
      </c>
      <c r="J2143" s="611"/>
      <c r="K2143" s="611"/>
      <c r="L2143" s="611"/>
      <c r="M2143" s="617"/>
      <c r="P2143" s="197"/>
      <c r="Q2143" s="197"/>
      <c r="R2143" s="197"/>
      <c r="S2143" s="197"/>
      <c r="T2143" s="197"/>
      <c r="U2143" s="197"/>
      <c r="V2143" s="197"/>
      <c r="W2143" s="197"/>
      <c r="X2143" s="197"/>
      <c r="Y2143" s="197"/>
      <c r="Z2143" s="197"/>
      <c r="AA2143" s="197"/>
      <c r="AB2143" s="197"/>
      <c r="AC2143" s="197"/>
      <c r="AD2143" s="197"/>
    </row>
    <row r="2144" spans="1:30" s="196" customFormat="1" hidden="1" x14ac:dyDescent="0.2">
      <c r="A2144" s="2" t="s">
        <v>85</v>
      </c>
      <c r="C2144" s="715"/>
      <c r="E2144" s="715"/>
      <c r="F2144" s="616">
        <v>53</v>
      </c>
      <c r="G2144" s="611" t="str">
        <f t="shared" si="527"/>
        <v>netaik.</v>
      </c>
      <c r="H2144" s="611" t="str">
        <f>IF(G2144=EUconst_NA,"",MAX($H$2091:H2143)+1)</f>
        <v/>
      </c>
      <c r="I2144" s="622" t="str">
        <f t="shared" si="528"/>
        <v/>
      </c>
      <c r="J2144" s="611"/>
      <c r="K2144" s="611"/>
      <c r="L2144" s="611"/>
      <c r="M2144" s="617"/>
      <c r="P2144" s="197"/>
      <c r="Q2144" s="197"/>
      <c r="R2144" s="197"/>
      <c r="S2144" s="197"/>
      <c r="T2144" s="197"/>
      <c r="U2144" s="197"/>
      <c r="V2144" s="197"/>
      <c r="W2144" s="197"/>
      <c r="X2144" s="197"/>
      <c r="Y2144" s="197"/>
      <c r="Z2144" s="197"/>
      <c r="AA2144" s="197"/>
      <c r="AB2144" s="197"/>
      <c r="AC2144" s="197"/>
      <c r="AD2144" s="197"/>
    </row>
    <row r="2145" spans="1:30" s="196" customFormat="1" hidden="1" x14ac:dyDescent="0.2">
      <c r="A2145" s="2" t="s">
        <v>85</v>
      </c>
      <c r="C2145" s="715"/>
      <c r="E2145" s="715"/>
      <c r="F2145" s="616">
        <v>54</v>
      </c>
      <c r="G2145" s="611" t="str">
        <f t="shared" si="527"/>
        <v>netaik.</v>
      </c>
      <c r="H2145" s="611" t="str">
        <f>IF(G2145=EUconst_NA,"",MAX($H$2091:H2144)+1)</f>
        <v/>
      </c>
      <c r="I2145" s="622" t="str">
        <f t="shared" si="528"/>
        <v/>
      </c>
      <c r="J2145" s="611"/>
      <c r="K2145" s="611"/>
      <c r="L2145" s="611"/>
      <c r="M2145" s="617"/>
      <c r="P2145" s="197"/>
      <c r="Q2145" s="197"/>
      <c r="R2145" s="197"/>
      <c r="S2145" s="197"/>
      <c r="T2145" s="197"/>
      <c r="U2145" s="197"/>
      <c r="V2145" s="197"/>
      <c r="W2145" s="197"/>
      <c r="X2145" s="197"/>
      <c r="Y2145" s="197"/>
      <c r="Z2145" s="197"/>
      <c r="AA2145" s="197"/>
      <c r="AB2145" s="197"/>
      <c r="AC2145" s="197"/>
      <c r="AD2145" s="197"/>
    </row>
    <row r="2146" spans="1:30" s="196" customFormat="1" hidden="1" x14ac:dyDescent="0.2">
      <c r="A2146" s="2" t="s">
        <v>85</v>
      </c>
      <c r="C2146" s="715"/>
      <c r="E2146" s="715"/>
      <c r="F2146" s="616">
        <v>55</v>
      </c>
      <c r="G2146" s="611" t="str">
        <f t="shared" si="527"/>
        <v>netaik.</v>
      </c>
      <c r="H2146" s="611" t="str">
        <f>IF(G2146=EUconst_NA,"",MAX($H$2091:H2145)+1)</f>
        <v/>
      </c>
      <c r="I2146" s="622" t="str">
        <f t="shared" si="528"/>
        <v/>
      </c>
      <c r="J2146" s="611"/>
      <c r="K2146" s="611"/>
      <c r="L2146" s="611"/>
      <c r="M2146" s="617"/>
      <c r="P2146" s="197"/>
      <c r="Q2146" s="197"/>
      <c r="R2146" s="197"/>
      <c r="S2146" s="197"/>
      <c r="T2146" s="197"/>
      <c r="U2146" s="197"/>
      <c r="V2146" s="197"/>
      <c r="W2146" s="197"/>
      <c r="X2146" s="197"/>
      <c r="Y2146" s="197"/>
      <c r="Z2146" s="197"/>
      <c r="AA2146" s="197"/>
      <c r="AB2146" s="197"/>
      <c r="AC2146" s="197"/>
      <c r="AD2146" s="197"/>
    </row>
    <row r="2147" spans="1:30" s="196" customFormat="1" hidden="1" x14ac:dyDescent="0.2">
      <c r="A2147" s="2" t="s">
        <v>85</v>
      </c>
      <c r="C2147" s="715"/>
      <c r="E2147" s="715"/>
      <c r="F2147" s="616">
        <v>56</v>
      </c>
      <c r="G2147" s="611" t="str">
        <f t="shared" si="527"/>
        <v>netaik.</v>
      </c>
      <c r="H2147" s="611" t="str">
        <f>IF(G2147=EUconst_NA,"",MAX($H$2091:H2146)+1)</f>
        <v/>
      </c>
      <c r="I2147" s="622" t="str">
        <f t="shared" si="528"/>
        <v/>
      </c>
      <c r="J2147" s="611"/>
      <c r="K2147" s="611"/>
      <c r="L2147" s="611"/>
      <c r="M2147" s="617"/>
      <c r="P2147" s="197"/>
      <c r="Q2147" s="197"/>
      <c r="R2147" s="197"/>
      <c r="S2147" s="197"/>
      <c r="T2147" s="197"/>
      <c r="U2147" s="197"/>
      <c r="V2147" s="197"/>
      <c r="W2147" s="197"/>
      <c r="X2147" s="197"/>
      <c r="Y2147" s="197"/>
      <c r="Z2147" s="197"/>
      <c r="AA2147" s="197"/>
      <c r="AB2147" s="197"/>
      <c r="AC2147" s="197"/>
      <c r="AD2147" s="197"/>
    </row>
    <row r="2148" spans="1:30" s="196" customFormat="1" hidden="1" x14ac:dyDescent="0.2">
      <c r="A2148" s="2" t="s">
        <v>85</v>
      </c>
      <c r="C2148" s="715"/>
      <c r="E2148" s="715"/>
      <c r="F2148" s="616">
        <v>57</v>
      </c>
      <c r="G2148" s="611" t="str">
        <f t="shared" si="527"/>
        <v>netaik.</v>
      </c>
      <c r="H2148" s="611" t="str">
        <f>IF(G2148=EUconst_NA,"",MAX($H$2091:H2147)+1)</f>
        <v/>
      </c>
      <c r="I2148" s="622" t="str">
        <f t="shared" si="528"/>
        <v/>
      </c>
      <c r="J2148" s="611"/>
      <c r="K2148" s="611"/>
      <c r="L2148" s="611"/>
      <c r="M2148" s="617"/>
      <c r="P2148" s="197"/>
      <c r="Q2148" s="197"/>
      <c r="R2148" s="197"/>
      <c r="S2148" s="197"/>
      <c r="T2148" s="197"/>
      <c r="U2148" s="197"/>
      <c r="V2148" s="197"/>
      <c r="W2148" s="197"/>
      <c r="X2148" s="197"/>
      <c r="Y2148" s="197"/>
      <c r="Z2148" s="197"/>
      <c r="AA2148" s="197"/>
      <c r="AB2148" s="197"/>
      <c r="AC2148" s="197"/>
      <c r="AD2148" s="197"/>
    </row>
    <row r="2149" spans="1:30" s="196" customFormat="1" hidden="1" x14ac:dyDescent="0.2">
      <c r="A2149" s="2" t="s">
        <v>85</v>
      </c>
      <c r="C2149" s="715"/>
      <c r="E2149" s="715"/>
      <c r="F2149" s="616">
        <v>58</v>
      </c>
      <c r="G2149" s="611" t="str">
        <f t="shared" si="527"/>
        <v>netaik.</v>
      </c>
      <c r="H2149" s="611" t="str">
        <f>IF(G2149=EUconst_NA,"",MAX($H$2091:H2148)+1)</f>
        <v/>
      </c>
      <c r="I2149" s="622" t="str">
        <f t="shared" si="528"/>
        <v/>
      </c>
      <c r="J2149" s="611"/>
      <c r="K2149" s="611"/>
      <c r="L2149" s="611"/>
      <c r="M2149" s="617"/>
      <c r="P2149" s="197"/>
      <c r="Q2149" s="197"/>
      <c r="R2149" s="197"/>
      <c r="S2149" s="197"/>
      <c r="T2149" s="197"/>
      <c r="U2149" s="197"/>
      <c r="V2149" s="197"/>
      <c r="W2149" s="197"/>
      <c r="X2149" s="197"/>
      <c r="Y2149" s="197"/>
      <c r="Z2149" s="197"/>
      <c r="AA2149" s="197"/>
      <c r="AB2149" s="197"/>
      <c r="AC2149" s="197"/>
      <c r="AD2149" s="197"/>
    </row>
    <row r="2150" spans="1:30" s="196" customFormat="1" hidden="1" x14ac:dyDescent="0.2">
      <c r="A2150" s="2" t="s">
        <v>85</v>
      </c>
      <c r="C2150" s="715"/>
      <c r="E2150" s="715"/>
      <c r="F2150" s="616">
        <v>59</v>
      </c>
      <c r="G2150" s="611" t="str">
        <f t="shared" si="527"/>
        <v>netaik.</v>
      </c>
      <c r="H2150" s="611" t="str">
        <f>IF(G2150=EUconst_NA,"",MAX($H$2091:H2149)+1)</f>
        <v/>
      </c>
      <c r="I2150" s="622" t="str">
        <f t="shared" si="528"/>
        <v/>
      </c>
      <c r="J2150" s="611"/>
      <c r="K2150" s="611"/>
      <c r="L2150" s="611"/>
      <c r="M2150" s="617"/>
      <c r="P2150" s="197"/>
      <c r="Q2150" s="197"/>
      <c r="R2150" s="197"/>
      <c r="S2150" s="197"/>
      <c r="T2150" s="197"/>
      <c r="U2150" s="197"/>
      <c r="V2150" s="197"/>
      <c r="W2150" s="197"/>
      <c r="X2150" s="197"/>
      <c r="Y2150" s="197"/>
      <c r="Z2150" s="197"/>
      <c r="AA2150" s="197"/>
      <c r="AB2150" s="197"/>
      <c r="AC2150" s="197"/>
      <c r="AD2150" s="197"/>
    </row>
    <row r="2151" spans="1:30" s="196" customFormat="1" hidden="1" x14ac:dyDescent="0.2">
      <c r="A2151" s="2" t="s">
        <v>85</v>
      </c>
      <c r="C2151" s="715"/>
      <c r="E2151" s="715"/>
      <c r="F2151" s="616">
        <v>60</v>
      </c>
      <c r="G2151" s="611" t="str">
        <f t="shared" si="527"/>
        <v>netaik.</v>
      </c>
      <c r="H2151" s="611" t="str">
        <f>IF(G2151=EUconst_NA,"",MAX($H$2091:H2150)+1)</f>
        <v/>
      </c>
      <c r="I2151" s="622" t="str">
        <f t="shared" si="528"/>
        <v/>
      </c>
      <c r="J2151" s="611"/>
      <c r="K2151" s="611"/>
      <c r="L2151" s="611"/>
      <c r="M2151" s="617"/>
      <c r="P2151" s="197"/>
      <c r="Q2151" s="197"/>
      <c r="R2151" s="197"/>
      <c r="S2151" s="197"/>
      <c r="T2151" s="197"/>
      <c r="U2151" s="197"/>
      <c r="V2151" s="197"/>
      <c r="W2151" s="197"/>
      <c r="X2151" s="197"/>
      <c r="Y2151" s="197"/>
      <c r="Z2151" s="197"/>
      <c r="AA2151" s="197"/>
      <c r="AB2151" s="197"/>
      <c r="AC2151" s="197"/>
      <c r="AD2151" s="197"/>
    </row>
    <row r="2152" spans="1:30" s="196" customFormat="1" hidden="1" x14ac:dyDescent="0.2">
      <c r="A2152" s="2" t="s">
        <v>85</v>
      </c>
      <c r="C2152" s="715"/>
      <c r="E2152" s="715"/>
      <c r="F2152" s="616">
        <v>61</v>
      </c>
      <c r="G2152" s="611" t="str">
        <f t="shared" si="527"/>
        <v>netaik.</v>
      </c>
      <c r="H2152" s="611" t="str">
        <f>IF(G2152=EUconst_NA,"",MAX($H$2091:H2151)+1)</f>
        <v/>
      </c>
      <c r="I2152" s="622" t="str">
        <f t="shared" si="528"/>
        <v/>
      </c>
      <c r="J2152" s="611"/>
      <c r="K2152" s="611"/>
      <c r="L2152" s="611"/>
      <c r="M2152" s="617"/>
      <c r="P2152" s="197"/>
      <c r="Q2152" s="197"/>
      <c r="R2152" s="197"/>
      <c r="S2152" s="197"/>
      <c r="T2152" s="197"/>
      <c r="U2152" s="197"/>
      <c r="V2152" s="197"/>
      <c r="W2152" s="197"/>
      <c r="X2152" s="197"/>
      <c r="Y2152" s="197"/>
      <c r="Z2152" s="197"/>
      <c r="AA2152" s="197"/>
      <c r="AB2152" s="197"/>
      <c r="AC2152" s="197"/>
      <c r="AD2152" s="197"/>
    </row>
    <row r="2153" spans="1:30" s="196" customFormat="1" hidden="1" x14ac:dyDescent="0.2">
      <c r="A2153" s="2" t="s">
        <v>85</v>
      </c>
      <c r="C2153" s="715"/>
      <c r="E2153" s="715"/>
      <c r="F2153" s="616">
        <v>62</v>
      </c>
      <c r="G2153" s="611" t="str">
        <f t="shared" si="527"/>
        <v>netaik.</v>
      </c>
      <c r="H2153" s="611" t="str">
        <f>IF(G2153=EUconst_NA,"",MAX($H$2091:H2152)+1)</f>
        <v/>
      </c>
      <c r="I2153" s="622" t="str">
        <f t="shared" si="528"/>
        <v/>
      </c>
      <c r="J2153" s="611"/>
      <c r="K2153" s="611"/>
      <c r="L2153" s="611"/>
      <c r="M2153" s="617"/>
      <c r="P2153" s="197"/>
      <c r="Q2153" s="197"/>
      <c r="R2153" s="197"/>
      <c r="S2153" s="197"/>
      <c r="T2153" s="197"/>
      <c r="U2153" s="197"/>
      <c r="V2153" s="197"/>
      <c r="W2153" s="197"/>
      <c r="X2153" s="197"/>
      <c r="Y2153" s="197"/>
      <c r="Z2153" s="197"/>
      <c r="AA2153" s="197"/>
      <c r="AB2153" s="197"/>
      <c r="AC2153" s="197"/>
      <c r="AD2153" s="197"/>
    </row>
    <row r="2154" spans="1:30" s="196" customFormat="1" hidden="1" x14ac:dyDescent="0.2">
      <c r="A2154" s="2" t="s">
        <v>85</v>
      </c>
      <c r="C2154" s="715"/>
      <c r="E2154" s="715"/>
      <c r="F2154" s="616">
        <v>63</v>
      </c>
      <c r="G2154" s="611" t="str">
        <f t="shared" si="527"/>
        <v>netaik.</v>
      </c>
      <c r="H2154" s="611" t="str">
        <f>IF(G2154=EUconst_NA,"",MAX($H$2091:H2153)+1)</f>
        <v/>
      </c>
      <c r="I2154" s="622" t="str">
        <f t="shared" si="528"/>
        <v/>
      </c>
      <c r="J2154" s="611"/>
      <c r="K2154" s="611"/>
      <c r="L2154" s="611"/>
      <c r="M2154" s="617"/>
      <c r="P2154" s="197"/>
      <c r="Q2154" s="197"/>
      <c r="R2154" s="197"/>
      <c r="S2154" s="197"/>
      <c r="T2154" s="197"/>
      <c r="U2154" s="197"/>
      <c r="V2154" s="197"/>
      <c r="W2154" s="197"/>
      <c r="X2154" s="197"/>
      <c r="Y2154" s="197"/>
      <c r="Z2154" s="197"/>
      <c r="AA2154" s="197"/>
      <c r="AB2154" s="197"/>
      <c r="AC2154" s="197"/>
      <c r="AD2154" s="197"/>
    </row>
    <row r="2155" spans="1:30" s="196" customFormat="1" hidden="1" x14ac:dyDescent="0.2">
      <c r="A2155" s="2" t="s">
        <v>85</v>
      </c>
      <c r="C2155" s="715"/>
      <c r="E2155" s="715"/>
      <c r="F2155" s="616">
        <v>64</v>
      </c>
      <c r="G2155" s="611" t="str">
        <f t="shared" si="527"/>
        <v>netaik.</v>
      </c>
      <c r="H2155" s="611" t="str">
        <f>IF(G2155=EUconst_NA,"",MAX($H$2091:H2154)+1)</f>
        <v/>
      </c>
      <c r="I2155" s="622" t="str">
        <f t="shared" si="528"/>
        <v/>
      </c>
      <c r="J2155" s="611"/>
      <c r="K2155" s="611"/>
      <c r="L2155" s="611"/>
      <c r="M2155" s="617"/>
      <c r="P2155" s="197"/>
      <c r="Q2155" s="197"/>
      <c r="R2155" s="197"/>
      <c r="S2155" s="197"/>
      <c r="T2155" s="197"/>
      <c r="U2155" s="197"/>
      <c r="V2155" s="197"/>
      <c r="W2155" s="197"/>
      <c r="X2155" s="197"/>
      <c r="Y2155" s="197"/>
      <c r="Z2155" s="197"/>
      <c r="AA2155" s="197"/>
      <c r="AB2155" s="197"/>
      <c r="AC2155" s="197"/>
      <c r="AD2155" s="197"/>
    </row>
    <row r="2156" spans="1:30" s="196" customFormat="1" hidden="1" x14ac:dyDescent="0.2">
      <c r="A2156" s="2" t="s">
        <v>85</v>
      </c>
      <c r="C2156" s="715"/>
      <c r="E2156" s="715"/>
      <c r="F2156" s="616">
        <v>65</v>
      </c>
      <c r="G2156" s="611" t="str">
        <f t="shared" si="527"/>
        <v>netaik.</v>
      </c>
      <c r="H2156" s="611" t="str">
        <f>IF(G2156=EUconst_NA,"",MAX($H$2091:H2155)+1)</f>
        <v/>
      </c>
      <c r="I2156" s="622" t="str">
        <f t="shared" ref="I2156:I2166" si="529">IF(COUNTIF($H$2092:$H$2166,F2156)=0,"",INDEX($G$2092:$G$2166,MATCH(F2156,$H$2092:$H$2166,0)))</f>
        <v/>
      </c>
      <c r="J2156" s="611"/>
      <c r="K2156" s="611"/>
      <c r="L2156" s="611"/>
      <c r="M2156" s="617"/>
      <c r="P2156" s="197"/>
      <c r="Q2156" s="197"/>
      <c r="R2156" s="197"/>
      <c r="S2156" s="197"/>
      <c r="T2156" s="197"/>
      <c r="U2156" s="197"/>
      <c r="V2156" s="197"/>
      <c r="W2156" s="197"/>
      <c r="X2156" s="197"/>
      <c r="Y2156" s="197"/>
      <c r="Z2156" s="197"/>
      <c r="AA2156" s="197"/>
      <c r="AB2156" s="197"/>
      <c r="AC2156" s="197"/>
      <c r="AD2156" s="197"/>
    </row>
    <row r="2157" spans="1:30" s="196" customFormat="1" hidden="1" x14ac:dyDescent="0.2">
      <c r="A2157" s="2" t="s">
        <v>85</v>
      </c>
      <c r="C2157" s="715"/>
      <c r="E2157" s="715"/>
      <c r="F2157" s="616">
        <v>66</v>
      </c>
      <c r="G2157" s="611" t="str">
        <f t="shared" si="527"/>
        <v>netaik.</v>
      </c>
      <c r="H2157" s="611" t="str">
        <f>IF(G2157=EUconst_NA,"",MAX($H$2091:H2156)+1)</f>
        <v/>
      </c>
      <c r="I2157" s="622" t="str">
        <f t="shared" si="529"/>
        <v/>
      </c>
      <c r="J2157" s="611"/>
      <c r="K2157" s="611"/>
      <c r="L2157" s="611"/>
      <c r="M2157" s="617"/>
      <c r="P2157" s="197"/>
      <c r="Q2157" s="197"/>
      <c r="R2157" s="197"/>
      <c r="S2157" s="197"/>
      <c r="T2157" s="197"/>
      <c r="U2157" s="197"/>
      <c r="V2157" s="197"/>
      <c r="W2157" s="197"/>
      <c r="X2157" s="197"/>
      <c r="Y2157" s="197"/>
      <c r="Z2157" s="197"/>
      <c r="AA2157" s="197"/>
      <c r="AB2157" s="197"/>
      <c r="AC2157" s="197"/>
      <c r="AD2157" s="197"/>
    </row>
    <row r="2158" spans="1:30" s="196" customFormat="1" hidden="1" x14ac:dyDescent="0.2">
      <c r="A2158" s="2" t="s">
        <v>85</v>
      </c>
      <c r="C2158" s="715"/>
      <c r="E2158" s="715"/>
      <c r="F2158" s="616">
        <v>67</v>
      </c>
      <c r="G2158" s="611" t="str">
        <f t="shared" si="527"/>
        <v>netaik.</v>
      </c>
      <c r="H2158" s="611" t="str">
        <f>IF(G2158=EUconst_NA,"",MAX($H$2091:H2157)+1)</f>
        <v/>
      </c>
      <c r="I2158" s="622" t="str">
        <f t="shared" si="529"/>
        <v/>
      </c>
      <c r="J2158" s="611"/>
      <c r="K2158" s="611"/>
      <c r="L2158" s="611"/>
      <c r="M2158" s="617"/>
      <c r="P2158" s="197"/>
      <c r="Q2158" s="197"/>
      <c r="R2158" s="197"/>
      <c r="S2158" s="197"/>
      <c r="T2158" s="197"/>
      <c r="U2158" s="197"/>
      <c r="V2158" s="197"/>
      <c r="W2158" s="197"/>
      <c r="X2158" s="197"/>
      <c r="Y2158" s="197"/>
      <c r="Z2158" s="197"/>
      <c r="AA2158" s="197"/>
      <c r="AB2158" s="197"/>
      <c r="AC2158" s="197"/>
      <c r="AD2158" s="197"/>
    </row>
    <row r="2159" spans="1:30" s="196" customFormat="1" hidden="1" x14ac:dyDescent="0.2">
      <c r="A2159" s="2" t="s">
        <v>85</v>
      </c>
      <c r="C2159" s="715"/>
      <c r="E2159" s="715"/>
      <c r="F2159" s="616">
        <v>68</v>
      </c>
      <c r="G2159" s="611" t="str">
        <f t="shared" si="527"/>
        <v>netaik.</v>
      </c>
      <c r="H2159" s="611" t="str">
        <f>IF(G2159=EUconst_NA,"",MAX($H$2091:H2158)+1)</f>
        <v/>
      </c>
      <c r="I2159" s="622" t="str">
        <f t="shared" si="529"/>
        <v/>
      </c>
      <c r="J2159" s="611"/>
      <c r="K2159" s="611"/>
      <c r="L2159" s="611"/>
      <c r="M2159" s="617"/>
      <c r="P2159" s="197"/>
      <c r="Q2159" s="197"/>
      <c r="R2159" s="197"/>
      <c r="S2159" s="197"/>
      <c r="T2159" s="197"/>
      <c r="U2159" s="197"/>
      <c r="V2159" s="197"/>
      <c r="W2159" s="197"/>
      <c r="X2159" s="197"/>
      <c r="Y2159" s="197"/>
      <c r="Z2159" s="197"/>
      <c r="AA2159" s="197"/>
      <c r="AB2159" s="197"/>
      <c r="AC2159" s="197"/>
      <c r="AD2159" s="197"/>
    </row>
    <row r="2160" spans="1:30" s="196" customFormat="1" hidden="1" x14ac:dyDescent="0.2">
      <c r="A2160" s="2" t="s">
        <v>85</v>
      </c>
      <c r="C2160" s="715"/>
      <c r="E2160" s="715"/>
      <c r="F2160" s="616">
        <v>69</v>
      </c>
      <c r="G2160" s="611" t="str">
        <f t="shared" si="527"/>
        <v>netaik.</v>
      </c>
      <c r="H2160" s="611" t="str">
        <f>IF(G2160=EUconst_NA,"",MAX($H$2091:H2159)+1)</f>
        <v/>
      </c>
      <c r="I2160" s="622" t="str">
        <f t="shared" si="529"/>
        <v/>
      </c>
      <c r="J2160" s="611"/>
      <c r="K2160" s="611"/>
      <c r="L2160" s="611"/>
      <c r="M2160" s="617"/>
      <c r="P2160" s="197"/>
      <c r="Q2160" s="197"/>
      <c r="R2160" s="197"/>
      <c r="S2160" s="197"/>
      <c r="T2160" s="197"/>
      <c r="U2160" s="197"/>
      <c r="V2160" s="197"/>
      <c r="W2160" s="197"/>
      <c r="X2160" s="197"/>
      <c r="Y2160" s="197"/>
      <c r="Z2160" s="197"/>
      <c r="AA2160" s="197"/>
      <c r="AB2160" s="197"/>
      <c r="AC2160" s="197"/>
      <c r="AD2160" s="197"/>
    </row>
    <row r="2161" spans="1:30" s="196" customFormat="1" hidden="1" x14ac:dyDescent="0.2">
      <c r="A2161" s="2" t="s">
        <v>85</v>
      </c>
      <c r="C2161" s="715"/>
      <c r="E2161" s="715"/>
      <c r="F2161" s="616">
        <v>70</v>
      </c>
      <c r="G2161" s="611" t="str">
        <f t="shared" si="527"/>
        <v>netaik.</v>
      </c>
      <c r="H2161" s="611" t="str">
        <f>IF(G2161=EUconst_NA,"",MAX($H$2091:H2160)+1)</f>
        <v/>
      </c>
      <c r="I2161" s="622" t="str">
        <f t="shared" si="529"/>
        <v/>
      </c>
      <c r="J2161" s="611"/>
      <c r="K2161" s="611"/>
      <c r="L2161" s="611"/>
      <c r="M2161" s="617"/>
      <c r="P2161" s="197"/>
      <c r="Q2161" s="197"/>
      <c r="R2161" s="197"/>
      <c r="S2161" s="197"/>
      <c r="T2161" s="197"/>
      <c r="U2161" s="197"/>
      <c r="V2161" s="197"/>
      <c r="W2161" s="197"/>
      <c r="X2161" s="197"/>
      <c r="Y2161" s="197"/>
      <c r="Z2161" s="197"/>
      <c r="AA2161" s="197"/>
      <c r="AB2161" s="197"/>
      <c r="AC2161" s="197"/>
      <c r="AD2161" s="197"/>
    </row>
    <row r="2162" spans="1:30" s="196" customFormat="1" hidden="1" x14ac:dyDescent="0.2">
      <c r="A2162" s="2" t="s">
        <v>85</v>
      </c>
      <c r="C2162" s="715"/>
      <c r="E2162" s="715"/>
      <c r="F2162" s="616">
        <v>71</v>
      </c>
      <c r="G2162" s="611" t="str">
        <f t="shared" si="527"/>
        <v>netaik.</v>
      </c>
      <c r="H2162" s="611" t="str">
        <f>IF(G2162=EUconst_NA,"",MAX($H$2091:H2161)+1)</f>
        <v/>
      </c>
      <c r="I2162" s="622" t="str">
        <f t="shared" si="529"/>
        <v/>
      </c>
      <c r="J2162" s="611"/>
      <c r="K2162" s="611"/>
      <c r="L2162" s="611"/>
      <c r="M2162" s="617"/>
      <c r="P2162" s="197"/>
      <c r="Q2162" s="197"/>
      <c r="R2162" s="197"/>
      <c r="S2162" s="197"/>
      <c r="T2162" s="197"/>
      <c r="U2162" s="197"/>
      <c r="V2162" s="197"/>
      <c r="W2162" s="197"/>
      <c r="X2162" s="197"/>
      <c r="Y2162" s="197"/>
      <c r="Z2162" s="197"/>
      <c r="AA2162" s="197"/>
      <c r="AB2162" s="197"/>
      <c r="AC2162" s="197"/>
      <c r="AD2162" s="197"/>
    </row>
    <row r="2163" spans="1:30" s="196" customFormat="1" hidden="1" x14ac:dyDescent="0.2">
      <c r="A2163" s="2" t="s">
        <v>85</v>
      </c>
      <c r="C2163" s="715"/>
      <c r="E2163" s="715"/>
      <c r="F2163" s="616">
        <v>72</v>
      </c>
      <c r="G2163" s="611" t="str">
        <f t="shared" si="527"/>
        <v>netaik.</v>
      </c>
      <c r="H2163" s="611" t="str">
        <f>IF(G2163=EUconst_NA,"",MAX($H$2091:H2162)+1)</f>
        <v/>
      </c>
      <c r="I2163" s="622" t="str">
        <f t="shared" si="529"/>
        <v/>
      </c>
      <c r="J2163" s="611"/>
      <c r="K2163" s="611"/>
      <c r="L2163" s="611"/>
      <c r="M2163" s="617"/>
      <c r="P2163" s="197"/>
      <c r="Q2163" s="197"/>
      <c r="R2163" s="197"/>
      <c r="S2163" s="197"/>
      <c r="T2163" s="197"/>
      <c r="U2163" s="197"/>
      <c r="V2163" s="197"/>
      <c r="W2163" s="197"/>
      <c r="X2163" s="197"/>
      <c r="Y2163" s="197"/>
      <c r="Z2163" s="197"/>
      <c r="AA2163" s="197"/>
      <c r="AB2163" s="197"/>
      <c r="AC2163" s="197"/>
      <c r="AD2163" s="197"/>
    </row>
    <row r="2164" spans="1:30" s="196" customFormat="1" hidden="1" x14ac:dyDescent="0.2">
      <c r="A2164" s="2" t="s">
        <v>85</v>
      </c>
      <c r="C2164" s="715"/>
      <c r="E2164" s="715"/>
      <c r="F2164" s="616">
        <v>73</v>
      </c>
      <c r="G2164" s="611" t="str">
        <f t="shared" si="527"/>
        <v>netaik.</v>
      </c>
      <c r="H2164" s="611" t="str">
        <f>IF(G2164=EUconst_NA,"",MAX($H$2091:H2163)+1)</f>
        <v/>
      </c>
      <c r="I2164" s="622" t="str">
        <f t="shared" si="529"/>
        <v/>
      </c>
      <c r="J2164" s="611"/>
      <c r="K2164" s="611"/>
      <c r="L2164" s="611"/>
      <c r="M2164" s="617"/>
      <c r="P2164" s="197"/>
      <c r="Q2164" s="197"/>
      <c r="R2164" s="197"/>
      <c r="S2164" s="197"/>
      <c r="T2164" s="197"/>
      <c r="U2164" s="197"/>
      <c r="V2164" s="197"/>
      <c r="W2164" s="197"/>
      <c r="X2164" s="197"/>
      <c r="Y2164" s="197"/>
      <c r="Z2164" s="197"/>
      <c r="AA2164" s="197"/>
      <c r="AB2164" s="197"/>
      <c r="AC2164" s="197"/>
      <c r="AD2164" s="197"/>
    </row>
    <row r="2165" spans="1:30" s="196" customFormat="1" hidden="1" x14ac:dyDescent="0.2">
      <c r="A2165" s="2" t="s">
        <v>85</v>
      </c>
      <c r="C2165" s="715"/>
      <c r="E2165" s="715"/>
      <c r="F2165" s="616">
        <v>74</v>
      </c>
      <c r="G2165" s="611" t="str">
        <f t="shared" si="527"/>
        <v>netaik.</v>
      </c>
      <c r="H2165" s="611" t="str">
        <f>IF(G2165=EUconst_NA,"",MAX($H$2091:H2164)+1)</f>
        <v/>
      </c>
      <c r="I2165" s="622" t="str">
        <f t="shared" si="529"/>
        <v/>
      </c>
      <c r="J2165" s="611"/>
      <c r="K2165" s="611"/>
      <c r="L2165" s="611"/>
      <c r="M2165" s="617"/>
      <c r="P2165" s="197"/>
      <c r="Q2165" s="197"/>
      <c r="R2165" s="197"/>
      <c r="S2165" s="197"/>
      <c r="T2165" s="197"/>
      <c r="U2165" s="197"/>
      <c r="V2165" s="197"/>
      <c r="W2165" s="197"/>
      <c r="X2165" s="197"/>
      <c r="Y2165" s="197"/>
      <c r="Z2165" s="197"/>
      <c r="AA2165" s="197"/>
      <c r="AB2165" s="197"/>
      <c r="AC2165" s="197"/>
      <c r="AD2165" s="197"/>
    </row>
    <row r="2166" spans="1:30" s="196" customFormat="1" ht="13.5" hidden="1" thickBot="1" x14ac:dyDescent="0.25">
      <c r="A2166" s="2" t="s">
        <v>85</v>
      </c>
      <c r="C2166" s="715"/>
      <c r="E2166" s="715"/>
      <c r="F2166" s="618">
        <v>75</v>
      </c>
      <c r="G2166" s="619" t="str">
        <f t="shared" si="527"/>
        <v>netaik.</v>
      </c>
      <c r="H2166" s="619" t="str">
        <f>IF(G2166=EUconst_NA,"",MAX($H$2091:H2165)+1)</f>
        <v/>
      </c>
      <c r="I2166" s="623" t="str">
        <f t="shared" si="529"/>
        <v/>
      </c>
      <c r="J2166" s="619"/>
      <c r="K2166" s="619"/>
      <c r="L2166" s="619"/>
      <c r="M2166" s="620"/>
      <c r="P2166" s="197"/>
      <c r="Q2166" s="197"/>
      <c r="R2166" s="197"/>
      <c r="S2166" s="197"/>
      <c r="T2166" s="197"/>
      <c r="U2166" s="197"/>
      <c r="V2166" s="197"/>
      <c r="W2166" s="197"/>
      <c r="X2166" s="197"/>
      <c r="Y2166" s="197"/>
      <c r="Z2166" s="197"/>
      <c r="AA2166" s="197"/>
      <c r="AB2166" s="197"/>
      <c r="AC2166" s="197"/>
      <c r="AD2166" s="197"/>
    </row>
    <row r="2167" spans="1:30" hidden="1" x14ac:dyDescent="0.2">
      <c r="A2167" s="2" t="s">
        <v>85</v>
      </c>
    </row>
    <row r="2168" spans="1:30" hidden="1" x14ac:dyDescent="0.2">
      <c r="A2168" s="2" t="s">
        <v>85</v>
      </c>
    </row>
    <row r="2169" spans="1:30" hidden="1" x14ac:dyDescent="0.2">
      <c r="A2169" s="2" t="s">
        <v>85</v>
      </c>
    </row>
    <row r="2170" spans="1:30" hidden="1" x14ac:dyDescent="0.2">
      <c r="A2170" s="2" t="s">
        <v>85</v>
      </c>
    </row>
    <row r="2171" spans="1:30" hidden="1" x14ac:dyDescent="0.2">
      <c r="A2171" s="2" t="s">
        <v>85</v>
      </c>
    </row>
    <row r="2172" spans="1:30" hidden="1" x14ac:dyDescent="0.2">
      <c r="A2172" s="2" t="s">
        <v>85</v>
      </c>
    </row>
  </sheetData>
  <sheetProtection formatCells="0" formatColumns="0" formatRows="0"/>
  <mergeCells count="1564">
    <mergeCell ref="D2084:E2084"/>
    <mergeCell ref="F2084:N2084"/>
    <mergeCell ref="E2060:J2060"/>
    <mergeCell ref="K2060:L2060"/>
    <mergeCell ref="E2061:J2061"/>
    <mergeCell ref="E2063:M2063"/>
    <mergeCell ref="E2065:K2065"/>
    <mergeCell ref="G2069:H2069"/>
    <mergeCell ref="I2069:J2069"/>
    <mergeCell ref="K2069:L2069"/>
    <mergeCell ref="G2070:H2070"/>
    <mergeCell ref="G2072:H2072"/>
    <mergeCell ref="G2073:H2073"/>
    <mergeCell ref="G2074:H2074"/>
    <mergeCell ref="G2075:H2075"/>
    <mergeCell ref="G2076:H2076"/>
    <mergeCell ref="G2077:H2077"/>
    <mergeCell ref="G2078:H2078"/>
    <mergeCell ref="D2080:F2080"/>
    <mergeCell ref="J2080:M2080"/>
    <mergeCell ref="E2034:J2034"/>
    <mergeCell ref="E2036:M2036"/>
    <mergeCell ref="E2038:K2038"/>
    <mergeCell ref="G2042:H2042"/>
    <mergeCell ref="I2042:J2042"/>
    <mergeCell ref="K2042:L2042"/>
    <mergeCell ref="G2043:H2043"/>
    <mergeCell ref="G2045:H2045"/>
    <mergeCell ref="G2046:H2046"/>
    <mergeCell ref="G2047:H2047"/>
    <mergeCell ref="G2048:H2048"/>
    <mergeCell ref="G2049:H2049"/>
    <mergeCell ref="G2050:H2050"/>
    <mergeCell ref="G2051:H2051"/>
    <mergeCell ref="D2053:F2053"/>
    <mergeCell ref="J2053:M2053"/>
    <mergeCell ref="D2057:E2057"/>
    <mergeCell ref="F2057:N2057"/>
    <mergeCell ref="G2015:H2015"/>
    <mergeCell ref="I2015:J2015"/>
    <mergeCell ref="K2015:L2015"/>
    <mergeCell ref="G2016:H2016"/>
    <mergeCell ref="G2018:H2018"/>
    <mergeCell ref="G2019:H2019"/>
    <mergeCell ref="G2020:H2020"/>
    <mergeCell ref="G2021:H2021"/>
    <mergeCell ref="G2022:H2022"/>
    <mergeCell ref="G2023:H2023"/>
    <mergeCell ref="G2024:H2024"/>
    <mergeCell ref="D2026:F2026"/>
    <mergeCell ref="J2026:M2026"/>
    <mergeCell ref="D2030:E2030"/>
    <mergeCell ref="F2030:N2030"/>
    <mergeCell ref="E2033:J2033"/>
    <mergeCell ref="K2033:L2033"/>
    <mergeCell ref="G1989:H1989"/>
    <mergeCell ref="G1991:H1991"/>
    <mergeCell ref="G1992:H1992"/>
    <mergeCell ref="G1993:H1993"/>
    <mergeCell ref="G1994:H1994"/>
    <mergeCell ref="G1995:H1995"/>
    <mergeCell ref="G1996:H1996"/>
    <mergeCell ref="G1997:H1997"/>
    <mergeCell ref="D1999:F1999"/>
    <mergeCell ref="J1999:M1999"/>
    <mergeCell ref="D2003:E2003"/>
    <mergeCell ref="F2003:N2003"/>
    <mergeCell ref="E2006:J2006"/>
    <mergeCell ref="K2006:L2006"/>
    <mergeCell ref="E2007:J2007"/>
    <mergeCell ref="E2009:M2009"/>
    <mergeCell ref="E2011:K2011"/>
    <mergeCell ref="G1964:H1964"/>
    <mergeCell ref="G1965:H1965"/>
    <mergeCell ref="G1966:H1966"/>
    <mergeCell ref="G1967:H1967"/>
    <mergeCell ref="G1968:H1968"/>
    <mergeCell ref="G1969:H1969"/>
    <mergeCell ref="G1970:H1970"/>
    <mergeCell ref="D1972:F1972"/>
    <mergeCell ref="J1972:M1972"/>
    <mergeCell ref="D1976:E1976"/>
    <mergeCell ref="F1976:N1976"/>
    <mergeCell ref="E1979:J1979"/>
    <mergeCell ref="K1979:L1979"/>
    <mergeCell ref="E1980:J1980"/>
    <mergeCell ref="E1982:M1982"/>
    <mergeCell ref="E1984:K1984"/>
    <mergeCell ref="G1988:H1988"/>
    <mergeCell ref="I1988:J1988"/>
    <mergeCell ref="K1988:L1988"/>
    <mergeCell ref="G1940:H1940"/>
    <mergeCell ref="G1941:H1941"/>
    <mergeCell ref="G1942:H1942"/>
    <mergeCell ref="G1943:H1943"/>
    <mergeCell ref="D1945:F1945"/>
    <mergeCell ref="J1945:M1945"/>
    <mergeCell ref="D1949:E1949"/>
    <mergeCell ref="F1949:N1949"/>
    <mergeCell ref="E1952:J1952"/>
    <mergeCell ref="K1952:L1952"/>
    <mergeCell ref="E1953:J1953"/>
    <mergeCell ref="E1955:M1955"/>
    <mergeCell ref="E1957:K1957"/>
    <mergeCell ref="G1961:H1961"/>
    <mergeCell ref="I1961:J1961"/>
    <mergeCell ref="K1961:L1961"/>
    <mergeCell ref="G1962:H1962"/>
    <mergeCell ref="G1916:H1916"/>
    <mergeCell ref="D1918:F1918"/>
    <mergeCell ref="J1918:M1918"/>
    <mergeCell ref="D1922:E1922"/>
    <mergeCell ref="F1922:N1922"/>
    <mergeCell ref="E1925:J1925"/>
    <mergeCell ref="K1925:L1925"/>
    <mergeCell ref="E1926:J1926"/>
    <mergeCell ref="E1928:M1928"/>
    <mergeCell ref="E1930:K1930"/>
    <mergeCell ref="G1934:H1934"/>
    <mergeCell ref="I1934:J1934"/>
    <mergeCell ref="K1934:L1934"/>
    <mergeCell ref="G1935:H1935"/>
    <mergeCell ref="G1937:H1937"/>
    <mergeCell ref="G1938:H1938"/>
    <mergeCell ref="G1939:H1939"/>
    <mergeCell ref="D1895:E1895"/>
    <mergeCell ref="F1895:N1895"/>
    <mergeCell ref="E1898:J1898"/>
    <mergeCell ref="K1898:L1898"/>
    <mergeCell ref="E1899:J1899"/>
    <mergeCell ref="E1901:M1901"/>
    <mergeCell ref="E1903:K1903"/>
    <mergeCell ref="G1907:H1907"/>
    <mergeCell ref="I1907:J1907"/>
    <mergeCell ref="K1907:L1907"/>
    <mergeCell ref="G1908:H1908"/>
    <mergeCell ref="G1910:H1910"/>
    <mergeCell ref="G1911:H1911"/>
    <mergeCell ref="G1912:H1912"/>
    <mergeCell ref="G1913:H1913"/>
    <mergeCell ref="G1914:H1914"/>
    <mergeCell ref="G1915:H1915"/>
    <mergeCell ref="E1871:J1871"/>
    <mergeCell ref="K1871:L1871"/>
    <mergeCell ref="E1872:J1872"/>
    <mergeCell ref="E1874:M1874"/>
    <mergeCell ref="E1876:K1876"/>
    <mergeCell ref="G1880:H1880"/>
    <mergeCell ref="I1880:J1880"/>
    <mergeCell ref="K1880:L1880"/>
    <mergeCell ref="G1881:H1881"/>
    <mergeCell ref="G1883:H1883"/>
    <mergeCell ref="G1884:H1884"/>
    <mergeCell ref="G1885:H1885"/>
    <mergeCell ref="G1886:H1886"/>
    <mergeCell ref="G1887:H1887"/>
    <mergeCell ref="G1888:H1888"/>
    <mergeCell ref="G1889:H1889"/>
    <mergeCell ref="D1891:F1891"/>
    <mergeCell ref="J1891:M1891"/>
    <mergeCell ref="D1841:E1841"/>
    <mergeCell ref="F1841:N1841"/>
    <mergeCell ref="E1844:J1844"/>
    <mergeCell ref="K1844:L1844"/>
    <mergeCell ref="E1845:J1845"/>
    <mergeCell ref="E1847:M1847"/>
    <mergeCell ref="E1849:K1849"/>
    <mergeCell ref="G1853:H1853"/>
    <mergeCell ref="I1853:J1853"/>
    <mergeCell ref="K1853:L1853"/>
    <mergeCell ref="G1854:H1854"/>
    <mergeCell ref="G1856:H1856"/>
    <mergeCell ref="G1861:H1861"/>
    <mergeCell ref="D1864:F1864"/>
    <mergeCell ref="J1864:M1864"/>
    <mergeCell ref="D1868:E1868"/>
    <mergeCell ref="F1868:N1868"/>
    <mergeCell ref="G1860:H1860"/>
    <mergeCell ref="G1862:H1862"/>
    <mergeCell ref="K1736:L1736"/>
    <mergeCell ref="G1724:H1724"/>
    <mergeCell ref="G1725:H1725"/>
    <mergeCell ref="G1726:H1726"/>
    <mergeCell ref="G1746:H1746"/>
    <mergeCell ref="G1754:H1754"/>
    <mergeCell ref="G1748:H1748"/>
    <mergeCell ref="G1749:H1749"/>
    <mergeCell ref="G1750:H1750"/>
    <mergeCell ref="G1751:H1751"/>
    <mergeCell ref="I1772:J1772"/>
    <mergeCell ref="K1772:L1772"/>
    <mergeCell ref="D1787:E1787"/>
    <mergeCell ref="F1787:N1787"/>
    <mergeCell ref="G1800:H1800"/>
    <mergeCell ref="G1802:H1802"/>
    <mergeCell ref="E1793:M1793"/>
    <mergeCell ref="G1799:H1799"/>
    <mergeCell ref="E1795:K1795"/>
    <mergeCell ref="I1799:J1799"/>
    <mergeCell ref="K1682:L1682"/>
    <mergeCell ref="E1683:J1683"/>
    <mergeCell ref="J1675:M1675"/>
    <mergeCell ref="G1695:H1695"/>
    <mergeCell ref="G1696:H1696"/>
    <mergeCell ref="E1687:K1687"/>
    <mergeCell ref="G1691:H1691"/>
    <mergeCell ref="I1691:J1691"/>
    <mergeCell ref="G1697:H1697"/>
    <mergeCell ref="J1702:M1702"/>
    <mergeCell ref="D1706:E1706"/>
    <mergeCell ref="F1706:N1706"/>
    <mergeCell ref="E1709:J1709"/>
    <mergeCell ref="K1709:L1709"/>
    <mergeCell ref="D1702:F1702"/>
    <mergeCell ref="D1729:F1729"/>
    <mergeCell ref="J1729:M1729"/>
    <mergeCell ref="G1721:H1721"/>
    <mergeCell ref="G1722:H1722"/>
    <mergeCell ref="E1628:J1628"/>
    <mergeCell ref="K1628:L1628"/>
    <mergeCell ref="G1640:H1640"/>
    <mergeCell ref="G1641:H1641"/>
    <mergeCell ref="G1645:H1645"/>
    <mergeCell ref="G1646:H1646"/>
    <mergeCell ref="D1648:F1648"/>
    <mergeCell ref="J1648:M1648"/>
    <mergeCell ref="D1652:E1652"/>
    <mergeCell ref="F1652:N1652"/>
    <mergeCell ref="K1655:L1655"/>
    <mergeCell ref="E1656:J1656"/>
    <mergeCell ref="E1658:M1658"/>
    <mergeCell ref="E1660:K1660"/>
    <mergeCell ref="G1664:H1664"/>
    <mergeCell ref="I1664:J1664"/>
    <mergeCell ref="K1664:L1664"/>
    <mergeCell ref="E1655:J1655"/>
    <mergeCell ref="G1561:H1561"/>
    <mergeCell ref="G1563:H1563"/>
    <mergeCell ref="G1564:H1564"/>
    <mergeCell ref="E1606:K1606"/>
    <mergeCell ref="I1610:J1610"/>
    <mergeCell ref="K1610:L1610"/>
    <mergeCell ref="G1616:H1616"/>
    <mergeCell ref="G1587:H1587"/>
    <mergeCell ref="G1588:H1588"/>
    <mergeCell ref="G1589:H1589"/>
    <mergeCell ref="G1590:H1590"/>
    <mergeCell ref="G1591:H1591"/>
    <mergeCell ref="G1592:H1592"/>
    <mergeCell ref="D1621:F1621"/>
    <mergeCell ref="J1621:M1621"/>
    <mergeCell ref="D1625:E1625"/>
    <mergeCell ref="F1625:N1625"/>
    <mergeCell ref="D1436:E1436"/>
    <mergeCell ref="G1451:H1451"/>
    <mergeCell ref="G1452:H1452"/>
    <mergeCell ref="G1453:H1453"/>
    <mergeCell ref="G1454:H1454"/>
    <mergeCell ref="G1483:H1483"/>
    <mergeCell ref="G1484:H1484"/>
    <mergeCell ref="G1455:H1455"/>
    <mergeCell ref="G1456:H1456"/>
    <mergeCell ref="G1457:H1457"/>
    <mergeCell ref="E1467:J1467"/>
    <mergeCell ref="F1490:N1490"/>
    <mergeCell ref="E1493:J1493"/>
    <mergeCell ref="K1493:L1493"/>
    <mergeCell ref="E1494:J1494"/>
    <mergeCell ref="E1496:M1496"/>
    <mergeCell ref="E1498:K1498"/>
    <mergeCell ref="D1490:E1490"/>
    <mergeCell ref="G1372:H1372"/>
    <mergeCell ref="I1394:J1394"/>
    <mergeCell ref="G1395:H1395"/>
    <mergeCell ref="G1397:H1397"/>
    <mergeCell ref="D1405:F1405"/>
    <mergeCell ref="J1405:M1405"/>
    <mergeCell ref="G1399:H1399"/>
    <mergeCell ref="G1398:H1398"/>
    <mergeCell ref="G1400:H1400"/>
    <mergeCell ref="G1402:H1402"/>
    <mergeCell ref="G1403:H1403"/>
    <mergeCell ref="E1415:M1415"/>
    <mergeCell ref="E1417:K1417"/>
    <mergeCell ref="K1421:L1421"/>
    <mergeCell ref="G1424:H1424"/>
    <mergeCell ref="G1426:H1426"/>
    <mergeCell ref="G1427:H1427"/>
    <mergeCell ref="D1328:E1328"/>
    <mergeCell ref="F1328:N1328"/>
    <mergeCell ref="G1321:H1321"/>
    <mergeCell ref="G1340:H1340"/>
    <mergeCell ref="I1340:J1340"/>
    <mergeCell ref="K1340:L1340"/>
    <mergeCell ref="K1331:L1331"/>
    <mergeCell ref="G1346:H1346"/>
    <mergeCell ref="G1347:H1347"/>
    <mergeCell ref="G1348:H1348"/>
    <mergeCell ref="G1349:H1349"/>
    <mergeCell ref="D1355:E1355"/>
    <mergeCell ref="F1355:N1355"/>
    <mergeCell ref="E1358:J1358"/>
    <mergeCell ref="K1358:L1358"/>
    <mergeCell ref="E1359:J1359"/>
    <mergeCell ref="E1361:M1361"/>
    <mergeCell ref="D1274:E1274"/>
    <mergeCell ref="F1274:N1274"/>
    <mergeCell ref="G1264:H1264"/>
    <mergeCell ref="G1265:H1265"/>
    <mergeCell ref="G1266:H1266"/>
    <mergeCell ref="G1267:H1267"/>
    <mergeCell ref="G1268:H1268"/>
    <mergeCell ref="G1289:H1289"/>
    <mergeCell ref="G1290:H1290"/>
    <mergeCell ref="G1317:H1317"/>
    <mergeCell ref="G1318:H1318"/>
    <mergeCell ref="G1322:H1322"/>
    <mergeCell ref="D1324:F1324"/>
    <mergeCell ref="G1292:H1292"/>
    <mergeCell ref="G1293:H1293"/>
    <mergeCell ref="D1301:E1301"/>
    <mergeCell ref="F1301:N1301"/>
    <mergeCell ref="J1324:M1324"/>
    <mergeCell ref="J1216:M1216"/>
    <mergeCell ref="D1220:E1220"/>
    <mergeCell ref="F1220:N1220"/>
    <mergeCell ref="G1214:H1214"/>
    <mergeCell ref="D1216:F1216"/>
    <mergeCell ref="G1235:H1235"/>
    <mergeCell ref="G1236:H1236"/>
    <mergeCell ref="G1237:H1237"/>
    <mergeCell ref="G1240:H1240"/>
    <mergeCell ref="G1239:H1239"/>
    <mergeCell ref="J1243:M1243"/>
    <mergeCell ref="G1241:H1241"/>
    <mergeCell ref="G1263:H1263"/>
    <mergeCell ref="D1270:F1270"/>
    <mergeCell ref="J1270:M1270"/>
    <mergeCell ref="E1251:J1251"/>
    <mergeCell ref="E1253:M1253"/>
    <mergeCell ref="E1255:K1255"/>
    <mergeCell ref="G1262:H1262"/>
    <mergeCell ref="G1259:H1259"/>
    <mergeCell ref="I1259:J1259"/>
    <mergeCell ref="K1259:L1259"/>
    <mergeCell ref="E1170:J1170"/>
    <mergeCell ref="E1172:M1172"/>
    <mergeCell ref="E1174:K1174"/>
    <mergeCell ref="I1178:J1178"/>
    <mergeCell ref="K1178:L1178"/>
    <mergeCell ref="G1179:H1179"/>
    <mergeCell ref="G1178:H1178"/>
    <mergeCell ref="D1189:F1189"/>
    <mergeCell ref="J1189:M1189"/>
    <mergeCell ref="E1196:J1196"/>
    <mergeCell ref="K1196:L1196"/>
    <mergeCell ref="E1197:J1197"/>
    <mergeCell ref="E1199:M1199"/>
    <mergeCell ref="E1201:K1201"/>
    <mergeCell ref="G1205:H1205"/>
    <mergeCell ref="I1205:J1205"/>
    <mergeCell ref="K1205:L1205"/>
    <mergeCell ref="G1102:H1102"/>
    <mergeCell ref="D1108:F1108"/>
    <mergeCell ref="J1108:M1108"/>
    <mergeCell ref="D1112:E1112"/>
    <mergeCell ref="F1112:N1112"/>
    <mergeCell ref="G1103:H1103"/>
    <mergeCell ref="G1104:H1104"/>
    <mergeCell ref="G1105:H1105"/>
    <mergeCell ref="G1106:H1106"/>
    <mergeCell ref="I1124:J1124"/>
    <mergeCell ref="G1125:H1125"/>
    <mergeCell ref="G1133:H1133"/>
    <mergeCell ref="D1135:F1135"/>
    <mergeCell ref="J1135:M1135"/>
    <mergeCell ref="G1132:H1132"/>
    <mergeCell ref="G1130:H1130"/>
    <mergeCell ref="D1139:E1139"/>
    <mergeCell ref="F1139:N1139"/>
    <mergeCell ref="G1048:H1048"/>
    <mergeCell ref="G1049:H1049"/>
    <mergeCell ref="G1050:H1050"/>
    <mergeCell ref="G1051:H1051"/>
    <mergeCell ref="G1052:H1052"/>
    <mergeCell ref="D1054:F1054"/>
    <mergeCell ref="D1058:E1058"/>
    <mergeCell ref="F1058:N1058"/>
    <mergeCell ref="J1054:M1054"/>
    <mergeCell ref="G1071:H1071"/>
    <mergeCell ref="G1073:H1073"/>
    <mergeCell ref="G1074:H1074"/>
    <mergeCell ref="G1075:H1075"/>
    <mergeCell ref="G1076:H1076"/>
    <mergeCell ref="G1079:H1079"/>
    <mergeCell ref="D1081:F1081"/>
    <mergeCell ref="J1081:M1081"/>
    <mergeCell ref="G963:H963"/>
    <mergeCell ref="G965:H965"/>
    <mergeCell ref="G966:H966"/>
    <mergeCell ref="G967:H967"/>
    <mergeCell ref="G968:H968"/>
    <mergeCell ref="G969:H969"/>
    <mergeCell ref="K1016:L1016"/>
    <mergeCell ref="E1008:J1008"/>
    <mergeCell ref="G1016:H1016"/>
    <mergeCell ref="G1019:H1019"/>
    <mergeCell ref="G1020:H1020"/>
    <mergeCell ref="G1017:H1017"/>
    <mergeCell ref="G1024:H1024"/>
    <mergeCell ref="G1025:H1025"/>
    <mergeCell ref="D1027:F1027"/>
    <mergeCell ref="J1027:M1027"/>
    <mergeCell ref="G1022:H1022"/>
    <mergeCell ref="G1023:H1023"/>
    <mergeCell ref="E850:K850"/>
    <mergeCell ref="G854:H854"/>
    <mergeCell ref="G855:H855"/>
    <mergeCell ref="I854:J854"/>
    <mergeCell ref="F869:N869"/>
    <mergeCell ref="E872:J872"/>
    <mergeCell ref="K872:L872"/>
    <mergeCell ref="E873:J873"/>
    <mergeCell ref="E875:M875"/>
    <mergeCell ref="E877:K877"/>
    <mergeCell ref="D869:E869"/>
    <mergeCell ref="G887:H887"/>
    <mergeCell ref="G888:H888"/>
    <mergeCell ref="J892:M892"/>
    <mergeCell ref="D896:E896"/>
    <mergeCell ref="F896:N896"/>
    <mergeCell ref="E899:J899"/>
    <mergeCell ref="K899:L899"/>
    <mergeCell ref="F788:N788"/>
    <mergeCell ref="G779:H779"/>
    <mergeCell ref="G781:H781"/>
    <mergeCell ref="G782:H782"/>
    <mergeCell ref="K800:L800"/>
    <mergeCell ref="G803:H803"/>
    <mergeCell ref="E792:J792"/>
    <mergeCell ref="G801:H801"/>
    <mergeCell ref="G806:H806"/>
    <mergeCell ref="G807:H807"/>
    <mergeCell ref="G808:H808"/>
    <mergeCell ref="G809:H809"/>
    <mergeCell ref="E823:K823"/>
    <mergeCell ref="I827:J827"/>
    <mergeCell ref="K827:L827"/>
    <mergeCell ref="D815:E815"/>
    <mergeCell ref="E819:J819"/>
    <mergeCell ref="G827:H827"/>
    <mergeCell ref="G727:H727"/>
    <mergeCell ref="G726:H726"/>
    <mergeCell ref="G728:H728"/>
    <mergeCell ref="E738:J738"/>
    <mergeCell ref="I746:J746"/>
    <mergeCell ref="K746:L746"/>
    <mergeCell ref="E740:M740"/>
    <mergeCell ref="E742:K742"/>
    <mergeCell ref="G746:H746"/>
    <mergeCell ref="G747:H747"/>
    <mergeCell ref="G749:H749"/>
    <mergeCell ref="G750:H750"/>
    <mergeCell ref="G751:H751"/>
    <mergeCell ref="D757:F757"/>
    <mergeCell ref="J757:M757"/>
    <mergeCell ref="G755:H755"/>
    <mergeCell ref="G752:H752"/>
    <mergeCell ref="G753:H753"/>
    <mergeCell ref="G754:H754"/>
    <mergeCell ref="D622:F622"/>
    <mergeCell ref="J622:M622"/>
    <mergeCell ref="D653:E653"/>
    <mergeCell ref="F653:N653"/>
    <mergeCell ref="G643:H643"/>
    <mergeCell ref="G644:H644"/>
    <mergeCell ref="G645:H645"/>
    <mergeCell ref="E656:J656"/>
    <mergeCell ref="K656:L656"/>
    <mergeCell ref="G647:H647"/>
    <mergeCell ref="D649:F649"/>
    <mergeCell ref="J649:M649"/>
    <mergeCell ref="G673:H673"/>
    <mergeCell ref="G674:H674"/>
    <mergeCell ref="D676:F676"/>
    <mergeCell ref="J676:M676"/>
    <mergeCell ref="G666:H666"/>
    <mergeCell ref="G668:H668"/>
    <mergeCell ref="G669:H669"/>
    <mergeCell ref="G670:H670"/>
    <mergeCell ref="G587:H587"/>
    <mergeCell ref="G588:H588"/>
    <mergeCell ref="G589:H589"/>
    <mergeCell ref="G590:H590"/>
    <mergeCell ref="G591:H591"/>
    <mergeCell ref="G592:H592"/>
    <mergeCell ref="G593:H593"/>
    <mergeCell ref="D595:F595"/>
    <mergeCell ref="J595:M595"/>
    <mergeCell ref="D599:E599"/>
    <mergeCell ref="F599:N599"/>
    <mergeCell ref="E602:J602"/>
    <mergeCell ref="K602:L602"/>
    <mergeCell ref="G620:H620"/>
    <mergeCell ref="E603:J603"/>
    <mergeCell ref="E605:M605"/>
    <mergeCell ref="K611:L611"/>
    <mergeCell ref="G612:H612"/>
    <mergeCell ref="G614:H614"/>
    <mergeCell ref="G615:H615"/>
    <mergeCell ref="G616:H616"/>
    <mergeCell ref="G619:H619"/>
    <mergeCell ref="G617:H617"/>
    <mergeCell ref="G618:H618"/>
    <mergeCell ref="F545:N545"/>
    <mergeCell ref="E548:J548"/>
    <mergeCell ref="E549:J549"/>
    <mergeCell ref="K548:L548"/>
    <mergeCell ref="G560:H560"/>
    <mergeCell ref="G561:H561"/>
    <mergeCell ref="G562:H562"/>
    <mergeCell ref="G563:H563"/>
    <mergeCell ref="G564:H564"/>
    <mergeCell ref="G565:H565"/>
    <mergeCell ref="G566:H566"/>
    <mergeCell ref="D568:F568"/>
    <mergeCell ref="J568:M568"/>
    <mergeCell ref="D572:E572"/>
    <mergeCell ref="F572:N572"/>
    <mergeCell ref="E575:J575"/>
    <mergeCell ref="K575:L575"/>
    <mergeCell ref="D487:F487"/>
    <mergeCell ref="J487:M487"/>
    <mergeCell ref="D491:E491"/>
    <mergeCell ref="F491:N491"/>
    <mergeCell ref="G482:H482"/>
    <mergeCell ref="G483:H483"/>
    <mergeCell ref="G512:H512"/>
    <mergeCell ref="D514:F514"/>
    <mergeCell ref="J514:M514"/>
    <mergeCell ref="D518:E518"/>
    <mergeCell ref="F518:N518"/>
    <mergeCell ref="K521:L521"/>
    <mergeCell ref="K530:L530"/>
    <mergeCell ref="G535:H535"/>
    <mergeCell ref="G536:H536"/>
    <mergeCell ref="G537:H537"/>
    <mergeCell ref="G538:H538"/>
    <mergeCell ref="G455:H455"/>
    <mergeCell ref="G458:H458"/>
    <mergeCell ref="D460:F460"/>
    <mergeCell ref="J460:M460"/>
    <mergeCell ref="D464:E464"/>
    <mergeCell ref="F464:N464"/>
    <mergeCell ref="G457:H457"/>
    <mergeCell ref="E467:J467"/>
    <mergeCell ref="K467:L467"/>
    <mergeCell ref="E468:J468"/>
    <mergeCell ref="E470:M470"/>
    <mergeCell ref="E472:K472"/>
    <mergeCell ref="G476:H476"/>
    <mergeCell ref="I476:J476"/>
    <mergeCell ref="K476:L476"/>
    <mergeCell ref="G477:H477"/>
    <mergeCell ref="G481:H481"/>
    <mergeCell ref="G400:H400"/>
    <mergeCell ref="G401:H401"/>
    <mergeCell ref="G402:H402"/>
    <mergeCell ref="G403:H403"/>
    <mergeCell ref="G404:H404"/>
    <mergeCell ref="G426:H426"/>
    <mergeCell ref="G427:H427"/>
    <mergeCell ref="G428:H428"/>
    <mergeCell ref="G429:H429"/>
    <mergeCell ref="G430:H430"/>
    <mergeCell ref="G431:H431"/>
    <mergeCell ref="I449:J449"/>
    <mergeCell ref="K449:L449"/>
    <mergeCell ref="G450:H450"/>
    <mergeCell ref="G452:H452"/>
    <mergeCell ref="G453:H453"/>
    <mergeCell ref="G454:H454"/>
    <mergeCell ref="G449:H449"/>
    <mergeCell ref="G341:H341"/>
    <mergeCell ref="I341:J341"/>
    <mergeCell ref="K341:L341"/>
    <mergeCell ref="G342:H342"/>
    <mergeCell ref="G344:H344"/>
    <mergeCell ref="G345:H345"/>
    <mergeCell ref="G346:H346"/>
    <mergeCell ref="G347:H347"/>
    <mergeCell ref="G348:H348"/>
    <mergeCell ref="G349:H349"/>
    <mergeCell ref="G350:H350"/>
    <mergeCell ref="D352:F352"/>
    <mergeCell ref="J352:M352"/>
    <mergeCell ref="D356:E356"/>
    <mergeCell ref="F356:N356"/>
    <mergeCell ref="K368:L368"/>
    <mergeCell ref="G374:H374"/>
    <mergeCell ref="G373:H373"/>
    <mergeCell ref="G371:H371"/>
    <mergeCell ref="G372:H372"/>
    <mergeCell ref="G315:H315"/>
    <mergeCell ref="G317:H317"/>
    <mergeCell ref="G318:H318"/>
    <mergeCell ref="G319:H319"/>
    <mergeCell ref="G320:H320"/>
    <mergeCell ref="G321:H321"/>
    <mergeCell ref="G322:H322"/>
    <mergeCell ref="G323:H323"/>
    <mergeCell ref="D325:F325"/>
    <mergeCell ref="J325:M325"/>
    <mergeCell ref="D329:E329"/>
    <mergeCell ref="F329:N329"/>
    <mergeCell ref="E332:J332"/>
    <mergeCell ref="K332:L332"/>
    <mergeCell ref="E333:J333"/>
    <mergeCell ref="E335:M335"/>
    <mergeCell ref="E337:K337"/>
    <mergeCell ref="G290:H290"/>
    <mergeCell ref="G291:H291"/>
    <mergeCell ref="G292:H292"/>
    <mergeCell ref="G293:H293"/>
    <mergeCell ref="G294:H294"/>
    <mergeCell ref="G295:H295"/>
    <mergeCell ref="G296:H296"/>
    <mergeCell ref="D298:F298"/>
    <mergeCell ref="J298:M298"/>
    <mergeCell ref="D302:E302"/>
    <mergeCell ref="F302:N302"/>
    <mergeCell ref="E305:J305"/>
    <mergeCell ref="K305:L305"/>
    <mergeCell ref="E306:J306"/>
    <mergeCell ref="E308:M308"/>
    <mergeCell ref="E310:K310"/>
    <mergeCell ref="G314:H314"/>
    <mergeCell ref="I314:J314"/>
    <mergeCell ref="K314:L314"/>
    <mergeCell ref="G266:H266"/>
    <mergeCell ref="G267:H267"/>
    <mergeCell ref="G268:H268"/>
    <mergeCell ref="G269:H269"/>
    <mergeCell ref="D271:F271"/>
    <mergeCell ref="J271:M271"/>
    <mergeCell ref="D275:E275"/>
    <mergeCell ref="F275:N275"/>
    <mergeCell ref="E278:J278"/>
    <mergeCell ref="K278:L278"/>
    <mergeCell ref="E279:J279"/>
    <mergeCell ref="E281:M281"/>
    <mergeCell ref="E283:K283"/>
    <mergeCell ref="G287:H287"/>
    <mergeCell ref="I287:J287"/>
    <mergeCell ref="K287:L287"/>
    <mergeCell ref="G288:H288"/>
    <mergeCell ref="G242:H242"/>
    <mergeCell ref="D244:F244"/>
    <mergeCell ref="J244:M244"/>
    <mergeCell ref="D248:E248"/>
    <mergeCell ref="F248:N248"/>
    <mergeCell ref="E251:J251"/>
    <mergeCell ref="K251:L251"/>
    <mergeCell ref="E252:J252"/>
    <mergeCell ref="E254:M254"/>
    <mergeCell ref="E256:K256"/>
    <mergeCell ref="G260:H260"/>
    <mergeCell ref="I260:J260"/>
    <mergeCell ref="K260:L260"/>
    <mergeCell ref="G261:H261"/>
    <mergeCell ref="G263:H263"/>
    <mergeCell ref="G264:H264"/>
    <mergeCell ref="G265:H265"/>
    <mergeCell ref="D221:E221"/>
    <mergeCell ref="F221:N221"/>
    <mergeCell ref="E224:J224"/>
    <mergeCell ref="K224:L224"/>
    <mergeCell ref="E225:J225"/>
    <mergeCell ref="E227:M227"/>
    <mergeCell ref="E229:K229"/>
    <mergeCell ref="G233:H233"/>
    <mergeCell ref="I233:J233"/>
    <mergeCell ref="K233:L233"/>
    <mergeCell ref="G234:H234"/>
    <mergeCell ref="G236:H236"/>
    <mergeCell ref="G237:H237"/>
    <mergeCell ref="G238:H238"/>
    <mergeCell ref="G239:H239"/>
    <mergeCell ref="G240:H240"/>
    <mergeCell ref="G241:H241"/>
    <mergeCell ref="E197:J197"/>
    <mergeCell ref="K197:L197"/>
    <mergeCell ref="E198:J198"/>
    <mergeCell ref="E200:M200"/>
    <mergeCell ref="E202:K202"/>
    <mergeCell ref="G206:H206"/>
    <mergeCell ref="I206:J206"/>
    <mergeCell ref="K206:L206"/>
    <mergeCell ref="G207:H207"/>
    <mergeCell ref="G209:H209"/>
    <mergeCell ref="G210:H210"/>
    <mergeCell ref="G211:H211"/>
    <mergeCell ref="G212:H212"/>
    <mergeCell ref="G213:H213"/>
    <mergeCell ref="G214:H214"/>
    <mergeCell ref="G215:H215"/>
    <mergeCell ref="D217:F217"/>
    <mergeCell ref="J217:M217"/>
    <mergeCell ref="E171:J171"/>
    <mergeCell ref="E173:M173"/>
    <mergeCell ref="E175:K175"/>
    <mergeCell ref="G179:H179"/>
    <mergeCell ref="I179:J179"/>
    <mergeCell ref="K179:L179"/>
    <mergeCell ref="G180:H180"/>
    <mergeCell ref="G182:H182"/>
    <mergeCell ref="G183:H183"/>
    <mergeCell ref="G184:H184"/>
    <mergeCell ref="G185:H185"/>
    <mergeCell ref="G186:H186"/>
    <mergeCell ref="G187:H187"/>
    <mergeCell ref="G188:H188"/>
    <mergeCell ref="D190:F190"/>
    <mergeCell ref="J190:M190"/>
    <mergeCell ref="D194:E194"/>
    <mergeCell ref="F194:N194"/>
    <mergeCell ref="G152:H152"/>
    <mergeCell ref="I152:J152"/>
    <mergeCell ref="K152:L152"/>
    <mergeCell ref="G153:H153"/>
    <mergeCell ref="G155:H155"/>
    <mergeCell ref="G156:H156"/>
    <mergeCell ref="G157:H157"/>
    <mergeCell ref="G158:H158"/>
    <mergeCell ref="G159:H159"/>
    <mergeCell ref="G160:H160"/>
    <mergeCell ref="G161:H161"/>
    <mergeCell ref="D163:F163"/>
    <mergeCell ref="J163:M163"/>
    <mergeCell ref="D167:E167"/>
    <mergeCell ref="F167:N167"/>
    <mergeCell ref="E170:J170"/>
    <mergeCell ref="K170:L170"/>
    <mergeCell ref="G126:H126"/>
    <mergeCell ref="G128:H128"/>
    <mergeCell ref="G129:H129"/>
    <mergeCell ref="G130:H130"/>
    <mergeCell ref="G131:H131"/>
    <mergeCell ref="G132:H132"/>
    <mergeCell ref="G133:H133"/>
    <mergeCell ref="G134:H134"/>
    <mergeCell ref="D136:F136"/>
    <mergeCell ref="J136:M136"/>
    <mergeCell ref="D140:E140"/>
    <mergeCell ref="F140:N140"/>
    <mergeCell ref="E143:J143"/>
    <mergeCell ref="K143:L143"/>
    <mergeCell ref="E144:J144"/>
    <mergeCell ref="E146:M146"/>
    <mergeCell ref="E148:K148"/>
    <mergeCell ref="F16:N16"/>
    <mergeCell ref="F17:N17"/>
    <mergeCell ref="G18:N18"/>
    <mergeCell ref="G19:N19"/>
    <mergeCell ref="G20:N20"/>
    <mergeCell ref="G21:N21"/>
    <mergeCell ref="F26:N26"/>
    <mergeCell ref="E41:N41"/>
    <mergeCell ref="F55:N55"/>
    <mergeCell ref="K89:L89"/>
    <mergeCell ref="E90:J90"/>
    <mergeCell ref="E92:M92"/>
    <mergeCell ref="E94:K94"/>
    <mergeCell ref="G98:H98"/>
    <mergeCell ref="I98:J98"/>
    <mergeCell ref="K98:L98"/>
    <mergeCell ref="E89:J89"/>
    <mergeCell ref="G72:H72"/>
    <mergeCell ref="E63:J63"/>
    <mergeCell ref="G396:H396"/>
    <mergeCell ref="D437:E437"/>
    <mergeCell ref="G422:H422"/>
    <mergeCell ref="I422:J422"/>
    <mergeCell ref="E413:J413"/>
    <mergeCell ref="E414:J414"/>
    <mergeCell ref="E416:M416"/>
    <mergeCell ref="E418:K418"/>
    <mergeCell ref="D410:E410"/>
    <mergeCell ref="K422:L422"/>
    <mergeCell ref="F437:N437"/>
    <mergeCell ref="E440:J440"/>
    <mergeCell ref="K440:L440"/>
    <mergeCell ref="E441:J441"/>
    <mergeCell ref="D433:F433"/>
    <mergeCell ref="J433:M433"/>
    <mergeCell ref="K359:L359"/>
    <mergeCell ref="I368:J368"/>
    <mergeCell ref="E67:K67"/>
    <mergeCell ref="G101:H101"/>
    <mergeCell ref="G102:H102"/>
    <mergeCell ref="G103:H103"/>
    <mergeCell ref="G104:H104"/>
    <mergeCell ref="G105:H105"/>
    <mergeCell ref="G106:H106"/>
    <mergeCell ref="G107:H107"/>
    <mergeCell ref="D109:F109"/>
    <mergeCell ref="J109:M109"/>
    <mergeCell ref="D113:E113"/>
    <mergeCell ref="F113:N113"/>
    <mergeCell ref="K8:N8"/>
    <mergeCell ref="G3:H3"/>
    <mergeCell ref="I3:J3"/>
    <mergeCell ref="F2087:L2087"/>
    <mergeCell ref="I4:J4"/>
    <mergeCell ref="E38:N38"/>
    <mergeCell ref="F59:N59"/>
    <mergeCell ref="F43:N43"/>
    <mergeCell ref="E42:N42"/>
    <mergeCell ref="E40:N40"/>
    <mergeCell ref="B2:D4"/>
    <mergeCell ref="G2:H2"/>
    <mergeCell ref="K2:L2"/>
    <mergeCell ref="M4:N4"/>
    <mergeCell ref="E2:F2"/>
    <mergeCell ref="M2:N2"/>
    <mergeCell ref="K3:L3"/>
    <mergeCell ref="E3:F3"/>
    <mergeCell ref="M3:N3"/>
    <mergeCell ref="I2:J2"/>
    <mergeCell ref="E4:F4"/>
    <mergeCell ref="F27:N27"/>
    <mergeCell ref="G4:H4"/>
    <mergeCell ref="F33:N33"/>
    <mergeCell ref="F24:N24"/>
    <mergeCell ref="F25:N25"/>
    <mergeCell ref="K4:L4"/>
    <mergeCell ref="C6:K6"/>
    <mergeCell ref="E14:N14"/>
    <mergeCell ref="L6:N6"/>
    <mergeCell ref="D379:F379"/>
    <mergeCell ref="J379:M379"/>
    <mergeCell ref="K71:L71"/>
    <mergeCell ref="G29:N29"/>
    <mergeCell ref="F58:N58"/>
    <mergeCell ref="E57:N57"/>
    <mergeCell ref="G47:N47"/>
    <mergeCell ref="F46:N46"/>
    <mergeCell ref="E62:J62"/>
    <mergeCell ref="F49:N49"/>
    <mergeCell ref="G48:N48"/>
    <mergeCell ref="G54:N54"/>
    <mergeCell ref="G53:N53"/>
    <mergeCell ref="G52:N52"/>
    <mergeCell ref="F51:N51"/>
    <mergeCell ref="F22:N22"/>
    <mergeCell ref="F23:N23"/>
    <mergeCell ref="F36:N36"/>
    <mergeCell ref="F35:N35"/>
    <mergeCell ref="F44:N44"/>
    <mergeCell ref="F28:N28"/>
    <mergeCell ref="G71:H71"/>
    <mergeCell ref="E65:M65"/>
    <mergeCell ref="F50:N50"/>
    <mergeCell ref="K62:L62"/>
    <mergeCell ref="I71:J71"/>
    <mergeCell ref="E359:J359"/>
    <mergeCell ref="G99:H99"/>
    <mergeCell ref="G509:H509"/>
    <mergeCell ref="G510:H510"/>
    <mergeCell ref="J82:M82"/>
    <mergeCell ref="D86:E86"/>
    <mergeCell ref="F86:N86"/>
    <mergeCell ref="G479:H479"/>
    <mergeCell ref="E494:J494"/>
    <mergeCell ref="G503:H503"/>
    <mergeCell ref="G74:H74"/>
    <mergeCell ref="G75:H75"/>
    <mergeCell ref="G78:H78"/>
    <mergeCell ref="G79:H79"/>
    <mergeCell ref="G76:H76"/>
    <mergeCell ref="G80:H80"/>
    <mergeCell ref="D82:F82"/>
    <mergeCell ref="G77:H77"/>
    <mergeCell ref="G456:H456"/>
    <mergeCell ref="G485:H485"/>
    <mergeCell ref="G480:H480"/>
    <mergeCell ref="G484:H484"/>
    <mergeCell ref="E443:M443"/>
    <mergeCell ref="E445:K445"/>
    <mergeCell ref="E116:J116"/>
    <mergeCell ref="K116:L116"/>
    <mergeCell ref="E117:J117"/>
    <mergeCell ref="E119:M119"/>
    <mergeCell ref="E121:K121"/>
    <mergeCell ref="G125:H125"/>
    <mergeCell ref="I125:J125"/>
    <mergeCell ref="K125:L125"/>
    <mergeCell ref="D383:E383"/>
    <mergeCell ref="F383:N383"/>
    <mergeCell ref="G398:H398"/>
    <mergeCell ref="K413:L413"/>
    <mergeCell ref="G423:H423"/>
    <mergeCell ref="G425:H425"/>
    <mergeCell ref="D406:F406"/>
    <mergeCell ref="J406:M406"/>
    <mergeCell ref="K503:L503"/>
    <mergeCell ref="I503:J503"/>
    <mergeCell ref="G533:H533"/>
    <mergeCell ref="G534:H534"/>
    <mergeCell ref="E360:J360"/>
    <mergeCell ref="E362:M362"/>
    <mergeCell ref="E364:K364"/>
    <mergeCell ref="G368:H368"/>
    <mergeCell ref="G369:H369"/>
    <mergeCell ref="G504:H504"/>
    <mergeCell ref="G530:H530"/>
    <mergeCell ref="G531:H531"/>
    <mergeCell ref="G375:H375"/>
    <mergeCell ref="G376:H376"/>
    <mergeCell ref="G377:H377"/>
    <mergeCell ref="E386:J386"/>
    <mergeCell ref="K386:L386"/>
    <mergeCell ref="E387:J387"/>
    <mergeCell ref="E389:M389"/>
    <mergeCell ref="E391:K391"/>
    <mergeCell ref="I395:J395"/>
    <mergeCell ref="K395:L395"/>
    <mergeCell ref="G395:H395"/>
    <mergeCell ref="G399:H399"/>
    <mergeCell ref="E576:J576"/>
    <mergeCell ref="E578:M578"/>
    <mergeCell ref="E580:K580"/>
    <mergeCell ref="G584:H584"/>
    <mergeCell ref="E607:K607"/>
    <mergeCell ref="G611:H611"/>
    <mergeCell ref="I611:J611"/>
    <mergeCell ref="I584:J584"/>
    <mergeCell ref="K584:L584"/>
    <mergeCell ref="G585:H585"/>
    <mergeCell ref="E551:M551"/>
    <mergeCell ref="E553:K553"/>
    <mergeCell ref="G557:H557"/>
    <mergeCell ref="I557:J557"/>
    <mergeCell ref="K557:L557"/>
    <mergeCell ref="G558:H558"/>
    <mergeCell ref="K494:L494"/>
    <mergeCell ref="E495:J495"/>
    <mergeCell ref="E497:M497"/>
    <mergeCell ref="E499:K499"/>
    <mergeCell ref="E524:M524"/>
    <mergeCell ref="E526:K526"/>
    <mergeCell ref="G511:H511"/>
    <mergeCell ref="E521:J521"/>
    <mergeCell ref="E522:J522"/>
    <mergeCell ref="G508:H508"/>
    <mergeCell ref="G506:H506"/>
    <mergeCell ref="G507:H507"/>
    <mergeCell ref="G539:H539"/>
    <mergeCell ref="D541:F541"/>
    <mergeCell ref="J541:M541"/>
    <mergeCell ref="D545:E545"/>
    <mergeCell ref="D680:E680"/>
    <mergeCell ref="F680:N680"/>
    <mergeCell ref="E684:J684"/>
    <mergeCell ref="E686:M686"/>
    <mergeCell ref="E688:K688"/>
    <mergeCell ref="I692:J692"/>
    <mergeCell ref="E657:J657"/>
    <mergeCell ref="E659:M659"/>
    <mergeCell ref="E661:K661"/>
    <mergeCell ref="G665:H665"/>
    <mergeCell ref="G671:H671"/>
    <mergeCell ref="G672:H672"/>
    <mergeCell ref="I665:J665"/>
    <mergeCell ref="K665:L665"/>
    <mergeCell ref="G638:H638"/>
    <mergeCell ref="I638:J638"/>
    <mergeCell ref="D626:E626"/>
    <mergeCell ref="F626:N626"/>
    <mergeCell ref="E629:J629"/>
    <mergeCell ref="G646:H646"/>
    <mergeCell ref="K629:L629"/>
    <mergeCell ref="K638:L638"/>
    <mergeCell ref="G639:H639"/>
    <mergeCell ref="G642:H642"/>
    <mergeCell ref="E630:J630"/>
    <mergeCell ref="E632:M632"/>
    <mergeCell ref="E634:K634"/>
    <mergeCell ref="G641:H641"/>
    <mergeCell ref="K692:L692"/>
    <mergeCell ref="G720:H720"/>
    <mergeCell ref="G722:H722"/>
    <mergeCell ref="G723:H723"/>
    <mergeCell ref="G724:H724"/>
    <mergeCell ref="G725:H725"/>
    <mergeCell ref="G701:H701"/>
    <mergeCell ref="D703:F703"/>
    <mergeCell ref="J703:M703"/>
    <mergeCell ref="D707:E707"/>
    <mergeCell ref="E713:M713"/>
    <mergeCell ref="E715:K715"/>
    <mergeCell ref="F707:N707"/>
    <mergeCell ref="K710:L710"/>
    <mergeCell ref="E710:J710"/>
    <mergeCell ref="E711:J711"/>
    <mergeCell ref="E683:J683"/>
    <mergeCell ref="K683:L683"/>
    <mergeCell ref="G692:H692"/>
    <mergeCell ref="G693:H693"/>
    <mergeCell ref="G696:H696"/>
    <mergeCell ref="G695:H695"/>
    <mergeCell ref="G700:H700"/>
    <mergeCell ref="G697:H697"/>
    <mergeCell ref="G698:H698"/>
    <mergeCell ref="G699:H699"/>
    <mergeCell ref="G719:H719"/>
    <mergeCell ref="I719:J719"/>
    <mergeCell ref="K719:L719"/>
    <mergeCell ref="G804:H804"/>
    <mergeCell ref="G805:H805"/>
    <mergeCell ref="E794:M794"/>
    <mergeCell ref="E796:K796"/>
    <mergeCell ref="G800:H800"/>
    <mergeCell ref="I800:J800"/>
    <mergeCell ref="G778:H778"/>
    <mergeCell ref="G773:H773"/>
    <mergeCell ref="I773:J773"/>
    <mergeCell ref="G774:H774"/>
    <mergeCell ref="E791:J791"/>
    <mergeCell ref="K791:L791"/>
    <mergeCell ref="G780:H780"/>
    <mergeCell ref="D784:F784"/>
    <mergeCell ref="J784:M784"/>
    <mergeCell ref="D788:E788"/>
    <mergeCell ref="D730:F730"/>
    <mergeCell ref="J730:M730"/>
    <mergeCell ref="D734:E734"/>
    <mergeCell ref="F734:N734"/>
    <mergeCell ref="E737:J737"/>
    <mergeCell ref="K737:L737"/>
    <mergeCell ref="D761:E761"/>
    <mergeCell ref="F761:N761"/>
    <mergeCell ref="E764:J764"/>
    <mergeCell ref="K764:L764"/>
    <mergeCell ref="G776:H776"/>
    <mergeCell ref="G777:H777"/>
    <mergeCell ref="E765:J765"/>
    <mergeCell ref="E767:M767"/>
    <mergeCell ref="E769:K769"/>
    <mergeCell ref="K773:L773"/>
    <mergeCell ref="K854:L854"/>
    <mergeCell ref="G857:H857"/>
    <mergeCell ref="D865:F865"/>
    <mergeCell ref="J865:M865"/>
    <mergeCell ref="G862:H862"/>
    <mergeCell ref="G863:H863"/>
    <mergeCell ref="G833:H833"/>
    <mergeCell ref="G834:H834"/>
    <mergeCell ref="G835:H835"/>
    <mergeCell ref="G836:H836"/>
    <mergeCell ref="E846:J846"/>
    <mergeCell ref="E848:M848"/>
    <mergeCell ref="D838:F838"/>
    <mergeCell ref="J838:M838"/>
    <mergeCell ref="D842:E842"/>
    <mergeCell ref="F842:N842"/>
    <mergeCell ref="D811:F811"/>
    <mergeCell ref="J811:M811"/>
    <mergeCell ref="G828:H828"/>
    <mergeCell ref="G830:H830"/>
    <mergeCell ref="G831:H831"/>
    <mergeCell ref="G832:H832"/>
    <mergeCell ref="F815:N815"/>
    <mergeCell ref="E818:J818"/>
    <mergeCell ref="K818:L818"/>
    <mergeCell ref="E821:M821"/>
    <mergeCell ref="E845:J845"/>
    <mergeCell ref="K845:L845"/>
    <mergeCell ref="G858:H858"/>
    <mergeCell ref="G859:H859"/>
    <mergeCell ref="G860:H860"/>
    <mergeCell ref="G861:H861"/>
    <mergeCell ref="G916:H916"/>
    <mergeCell ref="G917:H917"/>
    <mergeCell ref="G914:H914"/>
    <mergeCell ref="G915:H915"/>
    <mergeCell ref="G913:H913"/>
    <mergeCell ref="E927:J927"/>
    <mergeCell ref="D919:F919"/>
    <mergeCell ref="J919:M919"/>
    <mergeCell ref="D923:E923"/>
    <mergeCell ref="F923:N923"/>
    <mergeCell ref="G881:H881"/>
    <mergeCell ref="I881:J881"/>
    <mergeCell ref="K881:L881"/>
    <mergeCell ref="G889:H889"/>
    <mergeCell ref="G890:H890"/>
    <mergeCell ref="D892:F892"/>
    <mergeCell ref="G882:H882"/>
    <mergeCell ref="G884:H884"/>
    <mergeCell ref="G885:H885"/>
    <mergeCell ref="G886:H886"/>
    <mergeCell ref="E900:J900"/>
    <mergeCell ref="I908:J908"/>
    <mergeCell ref="K908:L908"/>
    <mergeCell ref="G909:H909"/>
    <mergeCell ref="G911:H911"/>
    <mergeCell ref="G912:H912"/>
    <mergeCell ref="E902:M902"/>
    <mergeCell ref="E904:K904"/>
    <mergeCell ref="G908:H908"/>
    <mergeCell ref="E926:J926"/>
    <mergeCell ref="K926:L926"/>
    <mergeCell ref="E953:J953"/>
    <mergeCell ref="K953:L953"/>
    <mergeCell ref="E954:J954"/>
    <mergeCell ref="G962:H962"/>
    <mergeCell ref="I962:J962"/>
    <mergeCell ref="K962:L962"/>
    <mergeCell ref="E956:M956"/>
    <mergeCell ref="E958:K958"/>
    <mergeCell ref="E929:M929"/>
    <mergeCell ref="E931:K931"/>
    <mergeCell ref="G939:H939"/>
    <mergeCell ref="G940:H940"/>
    <mergeCell ref="G935:H935"/>
    <mergeCell ref="I935:J935"/>
    <mergeCell ref="K935:L935"/>
    <mergeCell ref="G936:H936"/>
    <mergeCell ref="G938:H938"/>
    <mergeCell ref="G941:H941"/>
    <mergeCell ref="D946:F946"/>
    <mergeCell ref="J946:M946"/>
    <mergeCell ref="D950:E950"/>
    <mergeCell ref="F950:N950"/>
    <mergeCell ref="G942:H942"/>
    <mergeCell ref="G943:H943"/>
    <mergeCell ref="G944:H944"/>
    <mergeCell ref="G992:H992"/>
    <mergeCell ref="G993:H993"/>
    <mergeCell ref="G994:H994"/>
    <mergeCell ref="G996:H996"/>
    <mergeCell ref="G997:H997"/>
    <mergeCell ref="G998:H998"/>
    <mergeCell ref="G995:H995"/>
    <mergeCell ref="E980:J980"/>
    <mergeCell ref="K980:L980"/>
    <mergeCell ref="E981:J981"/>
    <mergeCell ref="E983:M983"/>
    <mergeCell ref="G989:H989"/>
    <mergeCell ref="G990:H990"/>
    <mergeCell ref="E985:K985"/>
    <mergeCell ref="I989:J989"/>
    <mergeCell ref="K989:L989"/>
    <mergeCell ref="G970:H970"/>
    <mergeCell ref="G971:H971"/>
    <mergeCell ref="D973:F973"/>
    <mergeCell ref="J973:M973"/>
    <mergeCell ref="D977:E977"/>
    <mergeCell ref="F977:N977"/>
    <mergeCell ref="E1034:J1034"/>
    <mergeCell ref="G1044:H1044"/>
    <mergeCell ref="G1046:H1046"/>
    <mergeCell ref="G1047:H1047"/>
    <mergeCell ref="D1031:E1031"/>
    <mergeCell ref="F1031:N1031"/>
    <mergeCell ref="K1034:L1034"/>
    <mergeCell ref="E1035:J1035"/>
    <mergeCell ref="E1037:M1037"/>
    <mergeCell ref="E1039:K1039"/>
    <mergeCell ref="G1021:H1021"/>
    <mergeCell ref="D1000:F1000"/>
    <mergeCell ref="J1000:M1000"/>
    <mergeCell ref="D1004:E1004"/>
    <mergeCell ref="F1004:N1004"/>
    <mergeCell ref="E1007:J1007"/>
    <mergeCell ref="K1007:L1007"/>
    <mergeCell ref="E1010:M1010"/>
    <mergeCell ref="E1012:K1012"/>
    <mergeCell ref="I1016:J1016"/>
    <mergeCell ref="G1043:H1043"/>
    <mergeCell ref="I1043:J1043"/>
    <mergeCell ref="K1043:L1043"/>
    <mergeCell ref="E1089:J1089"/>
    <mergeCell ref="E1091:M1091"/>
    <mergeCell ref="E1093:K1093"/>
    <mergeCell ref="G1100:H1100"/>
    <mergeCell ref="G1101:H1101"/>
    <mergeCell ref="G1097:H1097"/>
    <mergeCell ref="I1097:J1097"/>
    <mergeCell ref="K1097:L1097"/>
    <mergeCell ref="G1098:H1098"/>
    <mergeCell ref="E1066:K1066"/>
    <mergeCell ref="G1070:H1070"/>
    <mergeCell ref="I1070:J1070"/>
    <mergeCell ref="G1077:H1077"/>
    <mergeCell ref="G1078:H1078"/>
    <mergeCell ref="E1061:J1061"/>
    <mergeCell ref="K1061:L1061"/>
    <mergeCell ref="E1062:J1062"/>
    <mergeCell ref="E1064:M1064"/>
    <mergeCell ref="K1070:L1070"/>
    <mergeCell ref="D1085:E1085"/>
    <mergeCell ref="F1085:N1085"/>
    <mergeCell ref="E1088:J1088"/>
    <mergeCell ref="K1088:L1088"/>
    <mergeCell ref="G1160:H1160"/>
    <mergeCell ref="D1162:F1162"/>
    <mergeCell ref="J1162:M1162"/>
    <mergeCell ref="K1169:L1169"/>
    <mergeCell ref="D1166:E1166"/>
    <mergeCell ref="F1166:N1166"/>
    <mergeCell ref="E1169:J1169"/>
    <mergeCell ref="E1115:J1115"/>
    <mergeCell ref="K1115:L1115"/>
    <mergeCell ref="E1116:J1116"/>
    <mergeCell ref="G1127:H1127"/>
    <mergeCell ref="G1128:H1128"/>
    <mergeCell ref="G1129:H1129"/>
    <mergeCell ref="G1124:H1124"/>
    <mergeCell ref="K1124:L1124"/>
    <mergeCell ref="E1118:M1118"/>
    <mergeCell ref="E1120:K1120"/>
    <mergeCell ref="K1142:L1142"/>
    <mergeCell ref="E1143:J1143"/>
    <mergeCell ref="E1145:M1145"/>
    <mergeCell ref="E1147:K1147"/>
    <mergeCell ref="E1142:J1142"/>
    <mergeCell ref="I1151:J1151"/>
    <mergeCell ref="K1151:L1151"/>
    <mergeCell ref="G1156:H1156"/>
    <mergeCell ref="G1157:H1157"/>
    <mergeCell ref="G1158:H1158"/>
    <mergeCell ref="G1159:H1159"/>
    <mergeCell ref="G1151:H1151"/>
    <mergeCell ref="G1152:H1152"/>
    <mergeCell ref="G1154:H1154"/>
    <mergeCell ref="G1155:H1155"/>
    <mergeCell ref="D1243:F1243"/>
    <mergeCell ref="D1247:E1247"/>
    <mergeCell ref="F1247:N1247"/>
    <mergeCell ref="E1250:J1250"/>
    <mergeCell ref="K1250:L1250"/>
    <mergeCell ref="G1260:H1260"/>
    <mergeCell ref="E1226:M1226"/>
    <mergeCell ref="E1228:K1228"/>
    <mergeCell ref="G1232:H1232"/>
    <mergeCell ref="G1238:H1238"/>
    <mergeCell ref="E1223:J1223"/>
    <mergeCell ref="K1223:L1223"/>
    <mergeCell ref="E1224:J1224"/>
    <mergeCell ref="I1232:J1232"/>
    <mergeCell ref="K1232:L1232"/>
    <mergeCell ref="G1233:H1233"/>
    <mergeCell ref="G1181:H1181"/>
    <mergeCell ref="G1182:H1182"/>
    <mergeCell ref="G1183:H1183"/>
    <mergeCell ref="D1193:E1193"/>
    <mergeCell ref="F1193:N1193"/>
    <mergeCell ref="G1213:H1213"/>
    <mergeCell ref="G1184:H1184"/>
    <mergeCell ref="G1185:H1185"/>
    <mergeCell ref="G1186:H1186"/>
    <mergeCell ref="G1187:H1187"/>
    <mergeCell ref="G1206:H1206"/>
    <mergeCell ref="G1208:H1208"/>
    <mergeCell ref="G1209:H1209"/>
    <mergeCell ref="G1210:H1210"/>
    <mergeCell ref="G1211:H1211"/>
    <mergeCell ref="G1212:H1212"/>
    <mergeCell ref="E1305:J1305"/>
    <mergeCell ref="G1313:H1313"/>
    <mergeCell ref="G1314:H1314"/>
    <mergeCell ref="G1316:H1316"/>
    <mergeCell ref="G1319:H1319"/>
    <mergeCell ref="G1320:H1320"/>
    <mergeCell ref="E1307:M1307"/>
    <mergeCell ref="E1309:K1309"/>
    <mergeCell ref="I1313:J1313"/>
    <mergeCell ref="K1313:L1313"/>
    <mergeCell ref="E1304:J1304"/>
    <mergeCell ref="K1304:L1304"/>
    <mergeCell ref="G1294:H1294"/>
    <mergeCell ref="G1295:H1295"/>
    <mergeCell ref="D1297:F1297"/>
    <mergeCell ref="J1297:M1297"/>
    <mergeCell ref="E1277:J1277"/>
    <mergeCell ref="K1277:L1277"/>
    <mergeCell ref="E1278:J1278"/>
    <mergeCell ref="E1280:M1280"/>
    <mergeCell ref="E1282:K1282"/>
    <mergeCell ref="G1291:H1291"/>
    <mergeCell ref="G1286:H1286"/>
    <mergeCell ref="I1286:J1286"/>
    <mergeCell ref="K1286:L1286"/>
    <mergeCell ref="G1287:H1287"/>
    <mergeCell ref="E1385:J1385"/>
    <mergeCell ref="K1385:L1385"/>
    <mergeCell ref="E1386:J1386"/>
    <mergeCell ref="K1394:L1394"/>
    <mergeCell ref="J1378:M1378"/>
    <mergeCell ref="D1382:E1382"/>
    <mergeCell ref="F1382:N1382"/>
    <mergeCell ref="E1388:M1388"/>
    <mergeCell ref="E1390:K1390"/>
    <mergeCell ref="G1394:H1394"/>
    <mergeCell ref="G1341:H1341"/>
    <mergeCell ref="G1343:H1343"/>
    <mergeCell ref="D1351:F1351"/>
    <mergeCell ref="J1351:M1351"/>
    <mergeCell ref="E1331:J1331"/>
    <mergeCell ref="E1332:J1332"/>
    <mergeCell ref="E1334:M1334"/>
    <mergeCell ref="E1336:K1336"/>
    <mergeCell ref="G1344:H1344"/>
    <mergeCell ref="G1345:H1345"/>
    <mergeCell ref="E1363:K1363"/>
    <mergeCell ref="G1367:H1367"/>
    <mergeCell ref="I1367:J1367"/>
    <mergeCell ref="K1367:L1367"/>
    <mergeCell ref="G1368:H1368"/>
    <mergeCell ref="G1370:H1370"/>
    <mergeCell ref="G1373:H1373"/>
    <mergeCell ref="G1374:H1374"/>
    <mergeCell ref="G1375:H1375"/>
    <mergeCell ref="D1378:F1378"/>
    <mergeCell ref="G1376:H1376"/>
    <mergeCell ref="G1371:H1371"/>
    <mergeCell ref="D1459:F1459"/>
    <mergeCell ref="J1459:M1459"/>
    <mergeCell ref="G1475:H1475"/>
    <mergeCell ref="D1463:E1463"/>
    <mergeCell ref="F1463:N1463"/>
    <mergeCell ref="E1466:J1466"/>
    <mergeCell ref="K1466:L1466"/>
    <mergeCell ref="E1440:J1440"/>
    <mergeCell ref="G1449:H1449"/>
    <mergeCell ref="F1436:N1436"/>
    <mergeCell ref="E1439:J1439"/>
    <mergeCell ref="K1439:L1439"/>
    <mergeCell ref="E1442:M1442"/>
    <mergeCell ref="G1401:H1401"/>
    <mergeCell ref="E1413:J1413"/>
    <mergeCell ref="G1422:H1422"/>
    <mergeCell ref="G1425:H1425"/>
    <mergeCell ref="G1421:H1421"/>
    <mergeCell ref="I1421:J1421"/>
    <mergeCell ref="D1409:E1409"/>
    <mergeCell ref="F1409:N1409"/>
    <mergeCell ref="E1412:J1412"/>
    <mergeCell ref="K1412:L1412"/>
    <mergeCell ref="G1428:H1428"/>
    <mergeCell ref="G1429:H1429"/>
    <mergeCell ref="E1444:K1444"/>
    <mergeCell ref="I1448:J1448"/>
    <mergeCell ref="K1448:L1448"/>
    <mergeCell ref="G1448:H1448"/>
    <mergeCell ref="G1430:H1430"/>
    <mergeCell ref="D1432:F1432"/>
    <mergeCell ref="J1432:M1432"/>
    <mergeCell ref="G1510:H1510"/>
    <mergeCell ref="G1511:H1511"/>
    <mergeCell ref="D1513:F1513"/>
    <mergeCell ref="G1507:H1507"/>
    <mergeCell ref="G1508:H1508"/>
    <mergeCell ref="G1509:H1509"/>
    <mergeCell ref="G1476:H1476"/>
    <mergeCell ref="I1475:J1475"/>
    <mergeCell ref="K1475:L1475"/>
    <mergeCell ref="G1478:H1478"/>
    <mergeCell ref="D1486:F1486"/>
    <mergeCell ref="J1486:M1486"/>
    <mergeCell ref="G1479:H1479"/>
    <mergeCell ref="G1480:H1480"/>
    <mergeCell ref="G1481:H1481"/>
    <mergeCell ref="G1482:H1482"/>
    <mergeCell ref="E1469:M1469"/>
    <mergeCell ref="E1471:K1471"/>
    <mergeCell ref="G1503:H1503"/>
    <mergeCell ref="G1505:H1505"/>
    <mergeCell ref="G1506:H1506"/>
    <mergeCell ref="G1502:H1502"/>
    <mergeCell ref="I1502:J1502"/>
    <mergeCell ref="K1502:L1502"/>
    <mergeCell ref="G1534:H1534"/>
    <mergeCell ref="G1538:H1538"/>
    <mergeCell ref="E1548:J1548"/>
    <mergeCell ref="E1550:M1550"/>
    <mergeCell ref="E1552:K1552"/>
    <mergeCell ref="G1560:H1560"/>
    <mergeCell ref="G1556:H1556"/>
    <mergeCell ref="I1556:J1556"/>
    <mergeCell ref="K1556:L1556"/>
    <mergeCell ref="D1540:F1540"/>
    <mergeCell ref="J1513:M1513"/>
    <mergeCell ref="E1523:M1523"/>
    <mergeCell ref="E1525:K1525"/>
    <mergeCell ref="G1529:H1529"/>
    <mergeCell ref="G1537:H1537"/>
    <mergeCell ref="G1535:H1535"/>
    <mergeCell ref="G1536:H1536"/>
    <mergeCell ref="G1530:H1530"/>
    <mergeCell ref="G1532:H1532"/>
    <mergeCell ref="G1533:H1533"/>
    <mergeCell ref="D1517:E1517"/>
    <mergeCell ref="F1517:N1517"/>
    <mergeCell ref="E1520:J1520"/>
    <mergeCell ref="K1520:L1520"/>
    <mergeCell ref="E1521:J1521"/>
    <mergeCell ref="I1529:J1529"/>
    <mergeCell ref="K1529:L1529"/>
    <mergeCell ref="D1544:E1544"/>
    <mergeCell ref="F1544:N1544"/>
    <mergeCell ref="E1547:J1547"/>
    <mergeCell ref="K1547:L1547"/>
    <mergeCell ref="G1557:H1557"/>
    <mergeCell ref="G1613:H1613"/>
    <mergeCell ref="G1614:H1614"/>
    <mergeCell ref="G1615:H1615"/>
    <mergeCell ref="G1617:H1617"/>
    <mergeCell ref="G1618:H1618"/>
    <mergeCell ref="G1619:H1619"/>
    <mergeCell ref="E1602:J1602"/>
    <mergeCell ref="E1604:M1604"/>
    <mergeCell ref="G1610:H1610"/>
    <mergeCell ref="G1611:H1611"/>
    <mergeCell ref="D1594:F1594"/>
    <mergeCell ref="J1594:M1594"/>
    <mergeCell ref="D1598:E1598"/>
    <mergeCell ref="F1598:N1598"/>
    <mergeCell ref="E1601:J1601"/>
    <mergeCell ref="K1601:L1601"/>
    <mergeCell ref="J1540:M1540"/>
    <mergeCell ref="G1565:H1565"/>
    <mergeCell ref="E1574:J1574"/>
    <mergeCell ref="K1574:L1574"/>
    <mergeCell ref="E1575:J1575"/>
    <mergeCell ref="G1583:H1583"/>
    <mergeCell ref="I1583:J1583"/>
    <mergeCell ref="K1583:L1583"/>
    <mergeCell ref="E1577:M1577"/>
    <mergeCell ref="E1579:K1579"/>
    <mergeCell ref="G1559:H1559"/>
    <mergeCell ref="G1562:H1562"/>
    <mergeCell ref="D1567:F1567"/>
    <mergeCell ref="J1567:M1567"/>
    <mergeCell ref="D1571:E1571"/>
    <mergeCell ref="F1571:N1571"/>
    <mergeCell ref="K1718:L1718"/>
    <mergeCell ref="G1719:H1719"/>
    <mergeCell ref="G1723:H1723"/>
    <mergeCell ref="G1671:H1671"/>
    <mergeCell ref="G1672:H1672"/>
    <mergeCell ref="G1673:H1673"/>
    <mergeCell ref="G1698:H1698"/>
    <mergeCell ref="G1699:H1699"/>
    <mergeCell ref="G1700:H1700"/>
    <mergeCell ref="E1685:M1685"/>
    <mergeCell ref="K1691:L1691"/>
    <mergeCell ref="G1692:H1692"/>
    <mergeCell ref="G1694:H1694"/>
    <mergeCell ref="E1629:J1629"/>
    <mergeCell ref="G1637:H1637"/>
    <mergeCell ref="G1638:H1638"/>
    <mergeCell ref="G1642:H1642"/>
    <mergeCell ref="G1643:H1643"/>
    <mergeCell ref="G1644:H1644"/>
    <mergeCell ref="E1631:M1631"/>
    <mergeCell ref="E1633:K1633"/>
    <mergeCell ref="I1637:J1637"/>
    <mergeCell ref="K1637:L1637"/>
    <mergeCell ref="G1669:H1669"/>
    <mergeCell ref="G1670:H1670"/>
    <mergeCell ref="G1665:H1665"/>
    <mergeCell ref="G1667:H1667"/>
    <mergeCell ref="G1668:H1668"/>
    <mergeCell ref="D1675:F1675"/>
    <mergeCell ref="D1679:E1679"/>
    <mergeCell ref="F1679:N1679"/>
    <mergeCell ref="E1682:J1682"/>
    <mergeCell ref="G1777:H1777"/>
    <mergeCell ref="G1778:H1778"/>
    <mergeCell ref="G1779:H1779"/>
    <mergeCell ref="K1790:L1790"/>
    <mergeCell ref="E1790:J1790"/>
    <mergeCell ref="E1791:J1791"/>
    <mergeCell ref="G1780:H1780"/>
    <mergeCell ref="G1781:H1781"/>
    <mergeCell ref="D1783:F1783"/>
    <mergeCell ref="J1783:M1783"/>
    <mergeCell ref="G1773:H1773"/>
    <mergeCell ref="G1775:H1775"/>
    <mergeCell ref="D1756:F1756"/>
    <mergeCell ref="J1756:M1756"/>
    <mergeCell ref="D1760:E1760"/>
    <mergeCell ref="F1760:N1760"/>
    <mergeCell ref="K1763:L1763"/>
    <mergeCell ref="E1764:J1764"/>
    <mergeCell ref="E1766:M1766"/>
    <mergeCell ref="E1768:K1768"/>
    <mergeCell ref="D1814:E1814"/>
    <mergeCell ref="J1837:M1837"/>
    <mergeCell ref="G1859:H1859"/>
    <mergeCell ref="F1814:N1814"/>
    <mergeCell ref="E1817:J1817"/>
    <mergeCell ref="K1817:L1817"/>
    <mergeCell ref="E1818:J1818"/>
    <mergeCell ref="G1857:H1857"/>
    <mergeCell ref="G1858:H1858"/>
    <mergeCell ref="E1820:M1820"/>
    <mergeCell ref="K1799:L1799"/>
    <mergeCell ref="G1807:H1807"/>
    <mergeCell ref="G1805:H1805"/>
    <mergeCell ref="G1806:H1806"/>
    <mergeCell ref="G1808:H1808"/>
    <mergeCell ref="D1810:F1810"/>
    <mergeCell ref="J1810:M1810"/>
    <mergeCell ref="G1803:H1803"/>
    <mergeCell ref="G1804:H1804"/>
    <mergeCell ref="E1822:K1822"/>
    <mergeCell ref="G1826:H1826"/>
    <mergeCell ref="I1826:J1826"/>
    <mergeCell ref="K1826:L1826"/>
    <mergeCell ref="G1827:H1827"/>
    <mergeCell ref="G1829:H1829"/>
    <mergeCell ref="G1830:H1830"/>
    <mergeCell ref="G1831:H1831"/>
    <mergeCell ref="G1832:H1832"/>
    <mergeCell ref="G1833:H1833"/>
    <mergeCell ref="G1834:H1834"/>
    <mergeCell ref="G1835:H1835"/>
    <mergeCell ref="D1837:F1837"/>
    <mergeCell ref="G1776:H1776"/>
    <mergeCell ref="F410:N410"/>
    <mergeCell ref="I530:J530"/>
    <mergeCell ref="G1584:H1584"/>
    <mergeCell ref="G1586:H1586"/>
    <mergeCell ref="G1131:H1131"/>
    <mergeCell ref="G1752:H1752"/>
    <mergeCell ref="G1753:H1753"/>
    <mergeCell ref="E1763:J1763"/>
    <mergeCell ref="G1772:H1772"/>
    <mergeCell ref="E12:N12"/>
    <mergeCell ref="F45:N45"/>
    <mergeCell ref="G30:N30"/>
    <mergeCell ref="F34:N34"/>
    <mergeCell ref="F32:N32"/>
    <mergeCell ref="F31:N31"/>
    <mergeCell ref="F15:N15"/>
    <mergeCell ref="E1739:M1739"/>
    <mergeCell ref="G1745:H1745"/>
    <mergeCell ref="K1745:L1745"/>
    <mergeCell ref="E1741:K1741"/>
    <mergeCell ref="I1745:J1745"/>
    <mergeCell ref="D1733:E1733"/>
    <mergeCell ref="F1733:N1733"/>
    <mergeCell ref="E1736:J1736"/>
    <mergeCell ref="E1710:J1710"/>
    <mergeCell ref="E1712:M1712"/>
    <mergeCell ref="E1714:K1714"/>
    <mergeCell ref="G1718:H1718"/>
    <mergeCell ref="G1727:H1727"/>
    <mergeCell ref="E1737:J1737"/>
    <mergeCell ref="I1718:J1718"/>
  </mergeCells>
  <phoneticPr fontId="49"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45" hidden="1" customWidth="1"/>
    <col min="2" max="3" width="5.7109375" style="1" customWidth="1"/>
    <col min="4" max="4" width="5.7109375" style="8" customWidth="1"/>
    <col min="5" max="10" width="12.7109375" style="1" customWidth="1"/>
    <col min="11" max="11" width="24.85546875" style="1" customWidth="1"/>
    <col min="12" max="14" width="12.7109375" style="1" customWidth="1"/>
    <col min="15" max="15" width="7.7109375" style="200" customWidth="1"/>
    <col min="16" max="16" width="27.5703125" style="45" hidden="1" customWidth="1"/>
    <col min="17" max="36" width="12.7109375" style="45" hidden="1" customWidth="1"/>
    <col min="37" max="38" width="9.140625" style="45" hidden="1" customWidth="1"/>
    <col min="39" max="16384" width="11.42578125" style="1"/>
  </cols>
  <sheetData>
    <row r="1" spans="1:38" ht="13.5" hidden="1" thickBot="1" x14ac:dyDescent="0.25">
      <c r="A1" s="734" t="s">
        <v>85</v>
      </c>
      <c r="B1" s="735"/>
      <c r="C1" s="735"/>
      <c r="D1" s="738"/>
      <c r="E1" s="735"/>
      <c r="F1" s="735"/>
      <c r="G1" s="735"/>
      <c r="H1" s="735"/>
      <c r="I1" s="735"/>
      <c r="J1" s="735"/>
      <c r="K1" s="735"/>
      <c r="L1" s="735"/>
      <c r="M1" s="735"/>
      <c r="N1" s="735"/>
      <c r="O1" s="739"/>
      <c r="P1" s="47" t="s">
        <v>85</v>
      </c>
      <c r="Q1" s="47" t="s">
        <v>85</v>
      </c>
      <c r="R1" s="47" t="s">
        <v>85</v>
      </c>
      <c r="S1" s="47" t="s">
        <v>85</v>
      </c>
      <c r="T1" s="47" t="s">
        <v>85</v>
      </c>
      <c r="U1" s="47" t="s">
        <v>85</v>
      </c>
      <c r="V1" s="47" t="s">
        <v>85</v>
      </c>
      <c r="W1" s="47" t="s">
        <v>85</v>
      </c>
      <c r="X1" s="47" t="s">
        <v>85</v>
      </c>
      <c r="Y1" s="47" t="s">
        <v>85</v>
      </c>
      <c r="Z1" s="47" t="s">
        <v>85</v>
      </c>
      <c r="AA1" s="47" t="s">
        <v>85</v>
      </c>
      <c r="AB1" s="47" t="s">
        <v>85</v>
      </c>
      <c r="AC1" s="47" t="s">
        <v>85</v>
      </c>
      <c r="AD1" s="47" t="s">
        <v>85</v>
      </c>
      <c r="AE1" s="47" t="s">
        <v>85</v>
      </c>
      <c r="AF1" s="47" t="s">
        <v>85</v>
      </c>
      <c r="AG1" s="47" t="s">
        <v>85</v>
      </c>
      <c r="AH1" s="47" t="s">
        <v>85</v>
      </c>
      <c r="AI1" s="47" t="s">
        <v>85</v>
      </c>
      <c r="AJ1" s="47" t="s">
        <v>85</v>
      </c>
      <c r="AK1" s="47" t="s">
        <v>85</v>
      </c>
      <c r="AL1" s="47" t="s">
        <v>85</v>
      </c>
    </row>
    <row r="2" spans="1:38" ht="24.95" customHeight="1" thickBot="1" x14ac:dyDescent="0.25">
      <c r="A2" s="740"/>
      <c r="B2" s="1476" t="str">
        <f>Translations!$B$678</f>
        <v>D.
Measurement Approach (Matavimo metodas)</v>
      </c>
      <c r="C2" s="1637"/>
      <c r="D2" s="1638"/>
      <c r="E2" s="1488" t="str">
        <f>Translations!$B$23</f>
        <v>Naršymo laukas</v>
      </c>
      <c r="F2" s="1444"/>
      <c r="G2" s="1426" t="str">
        <f>Translations!$B$24</f>
        <v>Turinys</v>
      </c>
      <c r="H2" s="1427"/>
      <c r="I2" s="1426" t="str">
        <f>Translations!$B$25</f>
        <v>Ankstesnis lapas</v>
      </c>
      <c r="J2" s="1427"/>
      <c r="K2" s="1426" t="str">
        <f>Translations!$B$26</f>
        <v>Kitas lapas</v>
      </c>
      <c r="L2" s="1427"/>
      <c r="M2" s="1426"/>
      <c r="N2" s="1427"/>
      <c r="O2" s="827"/>
      <c r="P2" s="171"/>
    </row>
    <row r="3" spans="1:38" ht="24.95" customHeight="1" x14ac:dyDescent="0.2">
      <c r="A3" s="740"/>
      <c r="B3" s="1639"/>
      <c r="C3" s="1640"/>
      <c r="D3" s="1641"/>
      <c r="E3" s="1431" t="str">
        <f>Translations!$B$27</f>
        <v>Lapo viršus</v>
      </c>
      <c r="F3" s="1431"/>
      <c r="G3" s="1431"/>
      <c r="H3" s="1431"/>
      <c r="I3" s="1431"/>
      <c r="J3" s="1431"/>
      <c r="K3" s="1431"/>
      <c r="L3" s="1431"/>
      <c r="M3" s="1431"/>
      <c r="N3" s="1431"/>
      <c r="O3" s="721"/>
      <c r="P3" s="171"/>
      <c r="U3" s="1101" t="s">
        <v>595</v>
      </c>
      <c r="V3" s="832" t="str">
        <f>ADDRESS(ROW($B$5),COLUMN($B$5)) &amp; ":" &amp; ADDRESS(IF(CNTR_MeasurementRelevant=EUconst_NotRelevant,ROW(P22),ROW(P337))+ROW($P$55)-ROW($P$22),COLUMN($O$5))</f>
        <v>$B$5:$O$55</v>
      </c>
    </row>
    <row r="4" spans="1:38" ht="24.95" customHeight="1" x14ac:dyDescent="0.2">
      <c r="A4" s="740"/>
      <c r="B4" s="1639"/>
      <c r="C4" s="1640"/>
      <c r="D4" s="1641"/>
      <c r="E4" s="1439" t="str">
        <f>Translations!$B$28</f>
        <v>Lapo galas</v>
      </c>
      <c r="F4" s="1439"/>
      <c r="G4" s="1439"/>
      <c r="H4" s="1439"/>
      <c r="I4" s="1439"/>
      <c r="J4" s="1439"/>
      <c r="K4" s="1439"/>
      <c r="L4" s="1439"/>
      <c r="M4" s="1439"/>
      <c r="N4" s="1439"/>
      <c r="O4" s="721"/>
      <c r="P4" s="171"/>
    </row>
    <row r="5" spans="1:38" ht="12.75" customHeight="1" thickBot="1" x14ac:dyDescent="0.25">
      <c r="A5" s="741"/>
      <c r="B5" s="1241"/>
      <c r="C5" s="1322"/>
      <c r="D5" s="1245"/>
      <c r="E5" s="1244"/>
      <c r="F5" s="1245"/>
      <c r="G5" s="1245"/>
      <c r="H5" s="1245"/>
      <c r="I5" s="1244"/>
      <c r="J5" s="1244"/>
      <c r="K5" s="1244"/>
      <c r="L5" s="1244"/>
      <c r="M5" s="1246"/>
      <c r="N5" s="1246"/>
      <c r="O5" s="1247"/>
      <c r="P5" s="171"/>
      <c r="AL5" s="45" t="s">
        <v>232</v>
      </c>
    </row>
    <row r="6" spans="1:38" s="138" customFormat="1" ht="25.5" customHeight="1" thickBot="1" x14ac:dyDescent="0.25">
      <c r="A6" s="742"/>
      <c r="B6" s="1248"/>
      <c r="C6" s="1492" t="str">
        <f>Translations!$B$499</f>
        <v>D. Matavimu grindžiami metodai</v>
      </c>
      <c r="D6" s="1492"/>
      <c r="E6" s="1492"/>
      <c r="F6" s="1492"/>
      <c r="G6" s="1492"/>
      <c r="H6" s="1492"/>
      <c r="I6" s="1492"/>
      <c r="J6" s="1492"/>
      <c r="K6" s="1492"/>
      <c r="L6" s="1642" t="str">
        <f>IF(OR(CNTR_InstHasMeasurement=TRUE,CNTR_InstHasN2O=TRUE,CNTR_InstHasTransferredCO2=TRUE),EUconst_Relevant,IF(COUNTA(CNTR_ListRelevantSections)&gt;0,EUconst_NotRelevant,EUconst_Relevant))</f>
        <v>nesvarbu</v>
      </c>
      <c r="M6" s="1643"/>
      <c r="N6" s="1644"/>
      <c r="O6" s="1305"/>
      <c r="P6" s="172"/>
      <c r="Q6" s="407" t="s">
        <v>134</v>
      </c>
      <c r="R6" s="168"/>
      <c r="S6" s="168"/>
      <c r="T6" s="168"/>
      <c r="U6" s="168"/>
      <c r="V6" s="168"/>
      <c r="W6" s="45"/>
      <c r="X6" s="45"/>
      <c r="Y6" s="45"/>
      <c r="Z6" s="45"/>
      <c r="AA6" s="45"/>
      <c r="AB6" s="45"/>
      <c r="AC6" s="45"/>
      <c r="AD6" s="45"/>
      <c r="AE6" s="45"/>
      <c r="AF6" s="45"/>
      <c r="AG6" s="45"/>
      <c r="AH6" s="45"/>
      <c r="AI6" s="45"/>
      <c r="AJ6" s="45"/>
      <c r="AK6" s="238"/>
      <c r="AL6" s="221" t="b">
        <f>IF(L6=EUconst_NotRelevant,TRUE,FALSE)</f>
        <v>1</v>
      </c>
    </row>
    <row r="7" spans="1:38" s="138" customFormat="1" ht="5.0999999999999996" customHeight="1" x14ac:dyDescent="0.2">
      <c r="A7" s="742"/>
      <c r="B7" s="1248"/>
      <c r="C7" s="743"/>
      <c r="D7" s="744"/>
      <c r="E7" s="743"/>
      <c r="F7" s="743"/>
      <c r="G7" s="743"/>
      <c r="H7" s="743"/>
      <c r="I7" s="743"/>
      <c r="J7" s="743"/>
      <c r="K7" s="743"/>
      <c r="L7" s="150"/>
      <c r="M7" s="150"/>
      <c r="N7" s="150"/>
      <c r="O7" s="1305"/>
      <c r="P7" s="172"/>
      <c r="Q7" s="168"/>
      <c r="R7" s="168"/>
      <c r="S7" s="168"/>
      <c r="T7" s="168"/>
      <c r="U7" s="168"/>
      <c r="V7" s="168"/>
      <c r="W7" s="45"/>
      <c r="X7" s="45"/>
      <c r="Y7" s="45"/>
      <c r="Z7" s="45"/>
      <c r="AA7" s="45"/>
      <c r="AB7" s="45"/>
      <c r="AC7" s="45"/>
      <c r="AD7" s="45"/>
      <c r="AE7" s="45"/>
      <c r="AF7" s="45"/>
      <c r="AG7" s="45"/>
      <c r="AH7" s="45"/>
      <c r="AI7" s="45"/>
      <c r="AJ7" s="45"/>
      <c r="AK7" s="238"/>
      <c r="AL7" s="238"/>
    </row>
    <row r="8" spans="1:38" x14ac:dyDescent="0.2">
      <c r="A8" s="741"/>
      <c r="B8" s="1250"/>
      <c r="C8" s="200"/>
      <c r="D8" s="6"/>
      <c r="E8" s="200"/>
      <c r="F8" s="200"/>
      <c r="G8" s="200"/>
      <c r="H8" s="200"/>
      <c r="I8" s="200"/>
      <c r="J8" s="200"/>
      <c r="K8" s="1572" t="str">
        <f>IF(L6=EUconst_NotRelevant,HYPERLINK("#JUMP_G_Top",EUconst_MsgNextSheet),HYPERLINK("",EUconst_MsgEnterThisSection))</f>
        <v xml:space="preserve">&lt;&lt;&lt; Į kitą lapą pereisite paspaudę čia &gt;&gt;&gt; </v>
      </c>
      <c r="L8" s="1572"/>
      <c r="M8" s="1572"/>
      <c r="N8" s="1572"/>
      <c r="O8" s="1251"/>
    </row>
    <row r="9" spans="1:38" ht="5.0999999999999996" customHeight="1" x14ac:dyDescent="0.2">
      <c r="A9" s="791"/>
      <c r="B9" s="1323"/>
      <c r="C9" s="9"/>
      <c r="D9" s="792"/>
      <c r="E9" s="258"/>
      <c r="F9" s="195"/>
      <c r="G9" s="258"/>
      <c r="H9" s="258"/>
      <c r="I9" s="258"/>
      <c r="J9" s="258"/>
      <c r="K9" s="258"/>
      <c r="L9" s="258"/>
      <c r="M9" s="258"/>
      <c r="N9" s="258"/>
      <c r="O9" s="1324"/>
    </row>
    <row r="10" spans="1:38" s="28" customFormat="1" ht="18.75" customHeight="1" x14ac:dyDescent="0.2">
      <c r="A10" s="742"/>
      <c r="B10" s="1306"/>
      <c r="C10" s="708">
        <v>9</v>
      </c>
      <c r="D10" s="35" t="str">
        <f>Translations!$B$679</f>
        <v>Išmetamųjų ŠESD kiekis pagal taršos šaltinius (matavimo taškus)</v>
      </c>
      <c r="E10" s="35"/>
      <c r="F10" s="35"/>
      <c r="G10" s="35"/>
      <c r="H10" s="35"/>
      <c r="I10" s="35"/>
      <c r="J10" s="35"/>
      <c r="K10" s="35"/>
      <c r="L10" s="35"/>
      <c r="M10" s="35"/>
      <c r="N10" s="35"/>
      <c r="O10" s="1309"/>
      <c r="P10" s="23"/>
      <c r="Q10" s="23"/>
      <c r="R10" s="23"/>
      <c r="S10" s="23"/>
      <c r="T10" s="23"/>
      <c r="U10" s="23"/>
      <c r="V10" s="23"/>
      <c r="W10" s="23"/>
      <c r="X10" s="23"/>
      <c r="Y10" s="23"/>
      <c r="Z10" s="23"/>
      <c r="AA10" s="23"/>
      <c r="AB10" s="23"/>
      <c r="AC10" s="23"/>
      <c r="AD10" s="23"/>
      <c r="AE10" s="23"/>
      <c r="AF10" s="23"/>
      <c r="AG10" s="23"/>
      <c r="AH10" s="23"/>
      <c r="AI10" s="23"/>
      <c r="AJ10" s="23"/>
      <c r="AK10" s="168"/>
      <c r="AL10" s="168"/>
    </row>
    <row r="11" spans="1:38" s="28" customFormat="1" ht="12.75" customHeight="1" x14ac:dyDescent="0.2">
      <c r="A11" s="742"/>
      <c r="B11" s="1306"/>
      <c r="C11" s="798"/>
      <c r="D11" s="140"/>
      <c r="E11" s="798"/>
      <c r="F11" s="798"/>
      <c r="G11" s="798"/>
      <c r="H11" s="798"/>
      <c r="I11" s="798"/>
      <c r="J11" s="798"/>
      <c r="K11" s="798"/>
      <c r="L11" s="798"/>
      <c r="M11" s="798"/>
      <c r="N11" s="798"/>
      <c r="O11" s="1309"/>
      <c r="P11" s="23"/>
      <c r="Q11" s="23"/>
      <c r="R11" s="23"/>
      <c r="S11" s="23"/>
      <c r="T11" s="23"/>
      <c r="U11" s="23"/>
      <c r="V11" s="23"/>
      <c r="W11" s="23"/>
      <c r="X11" s="23"/>
      <c r="Y11" s="23"/>
      <c r="Z11" s="23"/>
      <c r="AA11" s="23"/>
      <c r="AB11" s="23"/>
      <c r="AC11" s="23"/>
      <c r="AD11" s="23"/>
      <c r="AE11" s="23"/>
      <c r="AF11" s="23"/>
      <c r="AG11" s="23"/>
      <c r="AH11" s="23"/>
      <c r="AI11" s="23"/>
      <c r="AJ11" s="23"/>
      <c r="AK11" s="168"/>
      <c r="AL11" s="168"/>
    </row>
    <row r="12" spans="1:38" s="382" customFormat="1" ht="25.5" customHeight="1" x14ac:dyDescent="0.2">
      <c r="A12" s="778"/>
      <c r="B12" s="1308"/>
      <c r="C12" s="140"/>
      <c r="D12" s="140"/>
      <c r="E12" s="925" t="str">
        <f>Translations!$B$680</f>
        <v>ŠESD koncentracija:</v>
      </c>
      <c r="F12" s="1617" t="str">
        <f>Translations!$B$681</f>
        <v>Ši vertė – atitinkamų ŠESD (CO2 arba N2O) metinis valandinis vidurkis kaminų dujose.</v>
      </c>
      <c r="G12" s="1617"/>
      <c r="H12" s="1617"/>
      <c r="I12" s="1617"/>
      <c r="J12" s="1617"/>
      <c r="K12" s="1617"/>
      <c r="L12" s="1617"/>
      <c r="M12" s="1617"/>
      <c r="N12" s="1617"/>
      <c r="O12" s="1278"/>
      <c r="P12" s="149"/>
      <c r="Q12" s="149"/>
      <c r="R12" s="149"/>
      <c r="S12" s="23"/>
      <c r="T12" s="23"/>
      <c r="U12" s="23"/>
      <c r="V12" s="23"/>
      <c r="W12" s="23"/>
      <c r="X12" s="23"/>
      <c r="Y12" s="23"/>
      <c r="Z12" s="23"/>
      <c r="AA12" s="23"/>
      <c r="AB12" s="23"/>
      <c r="AC12" s="23"/>
      <c r="AD12" s="23"/>
      <c r="AE12" s="23"/>
      <c r="AF12" s="23"/>
      <c r="AG12" s="23"/>
      <c r="AH12" s="23"/>
      <c r="AI12" s="23"/>
      <c r="AJ12" s="23"/>
      <c r="AK12" s="23"/>
      <c r="AL12" s="23"/>
    </row>
    <row r="13" spans="1:38" s="382" customFormat="1" ht="12.75" customHeight="1" x14ac:dyDescent="0.2">
      <c r="A13" s="778"/>
      <c r="B13" s="1308"/>
      <c r="C13" s="140"/>
      <c r="D13" s="140"/>
      <c r="E13" s="1658" t="str">
        <f>Translations!$B$682</f>
        <v>Biomasės dalis:</v>
      </c>
      <c r="F13" s="1617" t="str">
        <f>Translations!$B$642</f>
        <v>Biomasės dalis – trupmena išreikštas iš biomasės susidariusios anglies kiekio ir kuro arba medžiagos viso anglies kiekio santykis.</v>
      </c>
      <c r="G13" s="1617"/>
      <c r="H13" s="1617"/>
      <c r="I13" s="1617"/>
      <c r="J13" s="1617"/>
      <c r="K13" s="1617"/>
      <c r="L13" s="1617"/>
      <c r="M13" s="1617"/>
      <c r="N13" s="1617"/>
      <c r="O13" s="1278"/>
      <c r="P13" s="149"/>
      <c r="Q13" s="149"/>
      <c r="R13" s="149"/>
      <c r="S13" s="23"/>
      <c r="T13" s="23"/>
      <c r="U13" s="23"/>
      <c r="V13" s="23"/>
      <c r="W13" s="23"/>
      <c r="X13" s="23"/>
      <c r="Y13" s="23"/>
      <c r="Z13" s="23"/>
      <c r="AA13" s="23"/>
      <c r="AB13" s="23"/>
      <c r="AC13" s="23"/>
      <c r="AD13" s="23"/>
      <c r="AE13" s="23"/>
      <c r="AF13" s="23"/>
      <c r="AG13" s="23"/>
      <c r="AH13" s="23"/>
      <c r="AI13" s="23"/>
      <c r="AJ13" s="23"/>
      <c r="AK13" s="23"/>
      <c r="AL13" s="23"/>
    </row>
    <row r="14" spans="1:38" s="382" customFormat="1" ht="12.75" customHeight="1" x14ac:dyDescent="0.2">
      <c r="A14" s="778"/>
      <c r="B14" s="1308"/>
      <c r="C14" s="140"/>
      <c r="D14" s="140"/>
      <c r="E14" s="1659"/>
      <c r="F14" s="1570" t="str">
        <f>Translations!$B$643</f>
        <v>Ši vertė turėtų būti susijusi su visa biomase, atitinkančia šias sąlygas:</v>
      </c>
      <c r="G14" s="1570"/>
      <c r="H14" s="1570"/>
      <c r="I14" s="1570"/>
      <c r="J14" s="1570"/>
      <c r="K14" s="1570"/>
      <c r="L14" s="1570"/>
      <c r="M14" s="1570"/>
      <c r="N14" s="1570"/>
      <c r="O14" s="1278"/>
      <c r="P14" s="149"/>
      <c r="Q14" s="149"/>
      <c r="R14" s="149"/>
      <c r="S14" s="23"/>
      <c r="T14" s="23"/>
      <c r="U14" s="23"/>
      <c r="V14" s="23"/>
      <c r="W14" s="23"/>
      <c r="X14" s="23"/>
      <c r="Y14" s="23"/>
      <c r="Z14" s="23"/>
      <c r="AA14" s="23"/>
      <c r="AB14" s="23"/>
      <c r="AC14" s="23"/>
      <c r="AD14" s="23"/>
      <c r="AE14" s="23"/>
      <c r="AF14" s="23"/>
      <c r="AG14" s="23"/>
      <c r="AH14" s="23"/>
      <c r="AI14" s="23"/>
      <c r="AJ14" s="23"/>
      <c r="AK14" s="23"/>
      <c r="AL14" s="23"/>
    </row>
    <row r="15" spans="1:38" s="382" customFormat="1" ht="12.75" customHeight="1" x14ac:dyDescent="0.2">
      <c r="A15" s="778"/>
      <c r="B15" s="1308"/>
      <c r="C15" s="140"/>
      <c r="D15" s="140"/>
      <c r="E15" s="924"/>
      <c r="F15" s="235" t="s">
        <v>258</v>
      </c>
      <c r="G15" s="1570" t="str">
        <f>Translations!$B$644</f>
        <v>jai netaikomi tvarumo kriterijai (pvz., jeigu tai kietasis kuras) ARBA</v>
      </c>
      <c r="H15" s="1570"/>
      <c r="I15" s="1570"/>
      <c r="J15" s="1570"/>
      <c r="K15" s="1570"/>
      <c r="L15" s="1570"/>
      <c r="M15" s="1570"/>
      <c r="N15" s="1570"/>
      <c r="O15" s="1278"/>
      <c r="P15" s="149"/>
      <c r="Q15" s="149"/>
      <c r="R15" s="149"/>
      <c r="S15" s="23"/>
      <c r="T15" s="23"/>
      <c r="U15" s="23"/>
      <c r="V15" s="23"/>
      <c r="W15" s="23"/>
      <c r="X15" s="23"/>
      <c r="Y15" s="23"/>
      <c r="Z15" s="23"/>
      <c r="AA15" s="23"/>
      <c r="AB15" s="23"/>
      <c r="AC15" s="23"/>
      <c r="AD15" s="23"/>
      <c r="AE15" s="23"/>
      <c r="AF15" s="23"/>
      <c r="AG15" s="23"/>
      <c r="AH15" s="23"/>
      <c r="AI15" s="23"/>
      <c r="AJ15" s="23"/>
      <c r="AK15" s="23"/>
      <c r="AL15" s="23"/>
    </row>
    <row r="16" spans="1:38" s="382" customFormat="1" ht="12.75" customHeight="1" x14ac:dyDescent="0.2">
      <c r="A16" s="778"/>
      <c r="B16" s="1308"/>
      <c r="C16" s="140"/>
      <c r="D16" s="140"/>
      <c r="E16" s="230"/>
      <c r="F16" s="235" t="s">
        <v>258</v>
      </c>
      <c r="G16" s="1615" t="str">
        <f>Translations!$B$645</f>
        <v>jai taikomi tvarumo kriterijai ir ji tuos kriterijus atitinka.</v>
      </c>
      <c r="H16" s="1615"/>
      <c r="I16" s="1615"/>
      <c r="J16" s="1615"/>
      <c r="K16" s="1615"/>
      <c r="L16" s="1615"/>
      <c r="M16" s="1615"/>
      <c r="N16" s="1615"/>
      <c r="O16" s="1278"/>
      <c r="P16" s="149"/>
      <c r="Q16" s="149"/>
      <c r="R16" s="149"/>
      <c r="S16" s="23"/>
      <c r="T16" s="23"/>
      <c r="U16" s="23"/>
      <c r="V16" s="23"/>
      <c r="W16" s="23"/>
      <c r="X16" s="23"/>
      <c r="Y16" s="23"/>
      <c r="Z16" s="23"/>
      <c r="AA16" s="23"/>
      <c r="AB16" s="23"/>
      <c r="AC16" s="23"/>
      <c r="AD16" s="23"/>
      <c r="AE16" s="23"/>
      <c r="AF16" s="23"/>
      <c r="AG16" s="23"/>
      <c r="AH16" s="23"/>
      <c r="AI16" s="23"/>
      <c r="AJ16" s="23"/>
      <c r="AK16" s="23"/>
      <c r="AL16" s="23"/>
    </row>
    <row r="17" spans="1:38" s="382" customFormat="1" ht="25.5" customHeight="1" x14ac:dyDescent="0.2">
      <c r="A17" s="778"/>
      <c r="B17" s="1308"/>
      <c r="C17" s="140"/>
      <c r="D17" s="9"/>
      <c r="E17" s="1660" t="str">
        <f>Translations!$B$683</f>
        <v>netvarios biomasės dalis:</v>
      </c>
      <c r="F17" s="1617" t="str">
        <f>Translations!$B$648</f>
        <v>„Netvarios“ biomasės dalis – trupmena išreikštas iš netvarios biomasės susidariusios anglies kiekio ir kuro arba medžiagos viso anglies kiekio santykis.</v>
      </c>
      <c r="G17" s="1617"/>
      <c r="H17" s="1617"/>
      <c r="I17" s="1617"/>
      <c r="J17" s="1617"/>
      <c r="K17" s="1617"/>
      <c r="L17" s="1617"/>
      <c r="M17" s="1617"/>
      <c r="N17" s="1617"/>
      <c r="O17" s="1278"/>
      <c r="P17" s="149"/>
      <c r="Q17" s="149"/>
      <c r="R17" s="149"/>
      <c r="S17" s="23"/>
      <c r="T17" s="23"/>
      <c r="U17" s="23"/>
      <c r="V17" s="23"/>
      <c r="W17" s="23"/>
      <c r="X17" s="23"/>
      <c r="Y17" s="23"/>
      <c r="Z17" s="23"/>
      <c r="AA17" s="23"/>
      <c r="AB17" s="23"/>
      <c r="AC17" s="23"/>
      <c r="AD17" s="23"/>
      <c r="AE17" s="23"/>
      <c r="AF17" s="23"/>
      <c r="AG17" s="23"/>
      <c r="AH17" s="23"/>
      <c r="AI17" s="23"/>
      <c r="AJ17" s="23"/>
      <c r="AK17" s="23"/>
      <c r="AL17" s="23"/>
    </row>
    <row r="18" spans="1:38" s="382" customFormat="1" ht="12.75" customHeight="1" x14ac:dyDescent="0.2">
      <c r="A18" s="778"/>
      <c r="B18" s="1308"/>
      <c r="C18" s="140"/>
      <c r="D18" s="9"/>
      <c r="E18" s="1661"/>
      <c r="F18" s="1615" t="str">
        <f>Translations!$B$649</f>
        <v>Ši vertė turėtų būti susijusi tik su tokia biomase, kuriai taikomi tvarumo kriterijai ir kuri tų kriterijų neatitinka.</v>
      </c>
      <c r="G18" s="1615"/>
      <c r="H18" s="1615"/>
      <c r="I18" s="1615"/>
      <c r="J18" s="1615"/>
      <c r="K18" s="1615"/>
      <c r="L18" s="1615"/>
      <c r="M18" s="1615"/>
      <c r="N18" s="1615"/>
      <c r="O18" s="1278"/>
      <c r="P18" s="149"/>
      <c r="Q18" s="149"/>
      <c r="R18" s="149"/>
      <c r="S18" s="23"/>
      <c r="T18" s="23"/>
      <c r="U18" s="23"/>
      <c r="V18" s="23"/>
      <c r="W18" s="23"/>
      <c r="X18" s="23"/>
      <c r="Y18" s="23"/>
      <c r="Z18" s="23"/>
      <c r="AA18" s="23"/>
      <c r="AB18" s="23"/>
      <c r="AC18" s="23"/>
      <c r="AD18" s="23"/>
      <c r="AE18" s="23"/>
      <c r="AF18" s="23"/>
      <c r="AG18" s="23"/>
      <c r="AH18" s="23"/>
      <c r="AI18" s="23"/>
      <c r="AJ18" s="23"/>
      <c r="AK18" s="23"/>
      <c r="AL18" s="23"/>
    </row>
    <row r="19" spans="1:38" s="382" customFormat="1" ht="25.5" customHeight="1" x14ac:dyDescent="0.2">
      <c r="A19" s="778"/>
      <c r="B19" s="1308"/>
      <c r="C19" s="140"/>
      <c r="D19" s="140"/>
      <c r="E19" s="927" t="str">
        <f>Translations!$B$684</f>
        <v>VAP:</v>
      </c>
      <c r="F19" s="1632" t="str">
        <f>Translations!$B$685</f>
        <v>atitinkamų ŠESD visuotinio atšilimo potencialas.</v>
      </c>
      <c r="G19" s="1632"/>
      <c r="H19" s="1632"/>
      <c r="I19" s="1632"/>
      <c r="J19" s="1632"/>
      <c r="K19" s="1632"/>
      <c r="L19" s="1632"/>
      <c r="M19" s="1632"/>
      <c r="N19" s="1632"/>
      <c r="O19" s="1278"/>
      <c r="P19" s="149"/>
      <c r="Q19" s="149"/>
      <c r="R19" s="149"/>
      <c r="S19" s="23"/>
      <c r="T19" s="23"/>
      <c r="U19" s="23"/>
      <c r="V19" s="23"/>
      <c r="W19" s="23"/>
      <c r="X19" s="23"/>
      <c r="Y19" s="23"/>
      <c r="Z19" s="23"/>
      <c r="AA19" s="23"/>
      <c r="AB19" s="23"/>
      <c r="AC19" s="23"/>
      <c r="AD19" s="23"/>
      <c r="AE19" s="23"/>
      <c r="AF19" s="23"/>
      <c r="AG19" s="23"/>
      <c r="AH19" s="23"/>
      <c r="AI19" s="23"/>
      <c r="AJ19" s="23"/>
      <c r="AK19" s="23"/>
      <c r="AL19" s="23"/>
    </row>
    <row r="20" spans="1:38" ht="12.75" customHeight="1" thickBot="1" x14ac:dyDescent="0.25">
      <c r="A20" s="741"/>
      <c r="B20" s="1254"/>
      <c r="C20" s="36"/>
      <c r="D20" s="37"/>
      <c r="E20" s="38"/>
      <c r="F20" s="36"/>
      <c r="G20" s="39"/>
      <c r="H20" s="39"/>
      <c r="I20" s="39"/>
      <c r="J20" s="39"/>
      <c r="K20" s="39"/>
      <c r="L20" s="39"/>
      <c r="M20" s="39"/>
      <c r="N20" s="39"/>
      <c r="O20" s="1255"/>
      <c r="P20" s="2"/>
      <c r="S20" s="229"/>
    </row>
    <row r="21" spans="1:38" ht="12.75" customHeight="1" thickBot="1" x14ac:dyDescent="0.25">
      <c r="A21" s="741"/>
      <c r="B21" s="1325"/>
      <c r="C21" s="200"/>
      <c r="D21" s="6"/>
      <c r="E21" s="239"/>
      <c r="F21" s="239"/>
      <c r="G21" s="239"/>
      <c r="H21" s="239"/>
      <c r="I21" s="239"/>
      <c r="J21" s="239"/>
      <c r="K21" s="239"/>
      <c r="L21" s="239"/>
      <c r="M21" s="5"/>
      <c r="N21" s="5"/>
      <c r="O21" s="1309"/>
      <c r="P21" s="2"/>
      <c r="Q21" s="23"/>
      <c r="R21" s="23"/>
      <c r="S21" s="23"/>
      <c r="V21" s="23"/>
      <c r="W21" s="23"/>
      <c r="X21" s="27" t="s">
        <v>486</v>
      </c>
      <c r="Y21" s="23"/>
      <c r="Z21" s="23"/>
      <c r="AA21" s="23"/>
      <c r="AB21" s="23"/>
      <c r="AC21" s="23"/>
      <c r="AD21" s="23"/>
      <c r="AE21" s="23"/>
      <c r="AF21" s="23"/>
      <c r="AG21" s="23"/>
      <c r="AH21" s="23"/>
      <c r="AI21" s="23"/>
      <c r="AJ21" s="23"/>
    </row>
    <row r="22" spans="1:38" s="140" customFormat="1" ht="15" customHeight="1" thickBot="1" x14ac:dyDescent="0.25">
      <c r="A22" s="742"/>
      <c r="B22" s="1248"/>
      <c r="C22" s="391">
        <v>1</v>
      </c>
      <c r="D22" s="392"/>
      <c r="E22" s="1623" t="str">
        <f>IF(ISBLANK(G22),"",IF(INDEX(B_InstallationDescription!$M$156:$M$165,MATCH(S22,B_InstallationDescription!$E$156:$E$165,0))&gt;0,INDEX(B_InstallationDescription!$M$156:$M$165,MATCH(S22,B_InstallationDescription!$E$156:$E$165,0)),""))</f>
        <v/>
      </c>
      <c r="F22" s="1624"/>
      <c r="G22" s="1610"/>
      <c r="H22" s="1611"/>
      <c r="I22" s="1611"/>
      <c r="J22" s="1612"/>
      <c r="M22" s="338" t="str">
        <f>Translations!$B$686</f>
        <v>Bendras deginant iškastinį kurą išmestas ŠESD kiekis:</v>
      </c>
      <c r="N22" s="1000" t="str">
        <f>IF(G22="","",M34*M38*M39*10^-3*(1-M36)*S49*R40)</f>
        <v/>
      </c>
      <c r="O22" s="1314" t="s">
        <v>257</v>
      </c>
      <c r="P22" s="2"/>
      <c r="Q22" s="343" t="str">
        <f>EUconst_SumCO2 &amp; "_" &amp;E22</f>
        <v>SUM_CO2_</v>
      </c>
      <c r="R22" s="27" t="str">
        <f>IF(ISBLANK(G22),"",MATCH(G22,CNTR_MeasurementPoints,0))</f>
        <v/>
      </c>
      <c r="S22" s="27" t="str">
        <f>IF(ISBLANK(G22),"",INDEX(B_InstallationDescription!$E$156:$E$165,MATCH(G22,CNTR_MeasurementPoints,0)))</f>
        <v/>
      </c>
      <c r="T22" s="1017" t="str">
        <f>IF(ISBLANK(G22),"",MATCH(E22,EUconst_CEMSType,0))</f>
        <v/>
      </c>
      <c r="U22" s="407" t="b">
        <f>E22=INDEX(EUconst_CEMSType,3)</f>
        <v>0</v>
      </c>
      <c r="V22" s="515" t="b">
        <f>OR(E22=INDEX(EUconst_CEMSType,1),E22=INDEX(EUconst_CEMSType,2))</f>
        <v>0</v>
      </c>
      <c r="W22" s="30"/>
      <c r="X22" s="887">
        <f>M34</f>
        <v>0</v>
      </c>
      <c r="Y22" s="846">
        <f>M36</f>
        <v>0</v>
      </c>
      <c r="Z22" s="846">
        <f>M37</f>
        <v>0</v>
      </c>
      <c r="AA22" s="846">
        <f>M38</f>
        <v>0</v>
      </c>
      <c r="AB22" s="846">
        <f>M39</f>
        <v>0</v>
      </c>
      <c r="AC22" s="846" t="str">
        <f>M40</f>
        <v/>
      </c>
      <c r="AD22" s="846" t="str">
        <f>M42</f>
        <v/>
      </c>
      <c r="AE22" s="846" t="str">
        <f>R40</f>
        <v/>
      </c>
      <c r="AF22" s="846" t="str">
        <f>N22</f>
        <v/>
      </c>
      <c r="AG22" s="846" t="str">
        <f>N23</f>
        <v/>
      </c>
      <c r="AH22" s="846" t="str">
        <f>R24</f>
        <v/>
      </c>
      <c r="AI22" s="846">
        <f>R25</f>
        <v>0</v>
      </c>
      <c r="AJ22" s="846">
        <f>R26</f>
        <v>0</v>
      </c>
      <c r="AK22" s="30"/>
      <c r="AL22" s="32" t="b">
        <f>CNTR_MeasurementRelevant=EUconst_NotRelevant</f>
        <v>1</v>
      </c>
    </row>
    <row r="23" spans="1:38" s="382" customFormat="1" ht="15" customHeight="1" thickBot="1" x14ac:dyDescent="0.25">
      <c r="A23" s="741"/>
      <c r="B23" s="1280"/>
      <c r="C23" s="5"/>
      <c r="I23" s="24"/>
      <c r="J23" s="5"/>
      <c r="K23" s="5"/>
      <c r="L23" s="5"/>
      <c r="M23" s="337" t="str">
        <f>Translations!$B$687</f>
        <v>Bendras deginant biomasę išmestas ŠESD kiekis:</v>
      </c>
      <c r="N23" s="999" t="str">
        <f>IF(G22="","",M34*M38*M39*10^-3*(M36)*S49*R40)</f>
        <v/>
      </c>
      <c r="O23" s="1315" t="s">
        <v>257</v>
      </c>
      <c r="P23" s="2"/>
      <c r="Q23" s="344" t="str">
        <f>EUconst_SumBioCO2 &amp; "_" &amp; E22</f>
        <v>SUM_bioCO2_</v>
      </c>
      <c r="R23" s="23"/>
      <c r="S23" s="23"/>
      <c r="T23" s="23"/>
      <c r="U23" s="23"/>
      <c r="V23" s="23"/>
      <c r="W23" s="23"/>
      <c r="X23" s="833" t="s">
        <v>500</v>
      </c>
      <c r="Y23" s="833" t="s">
        <v>215</v>
      </c>
      <c r="Z23" s="833" t="s">
        <v>494</v>
      </c>
      <c r="AA23" s="833" t="s">
        <v>501</v>
      </c>
      <c r="AB23" s="833" t="s">
        <v>502</v>
      </c>
      <c r="AC23" s="833" t="s">
        <v>503</v>
      </c>
      <c r="AD23" s="833" t="s">
        <v>504</v>
      </c>
      <c r="AE23" s="833" t="s">
        <v>386</v>
      </c>
      <c r="AF23" s="833" t="s">
        <v>287</v>
      </c>
      <c r="AG23" s="833" t="s">
        <v>495</v>
      </c>
      <c r="AH23" s="833" t="s">
        <v>498</v>
      </c>
      <c r="AI23" s="833" t="s">
        <v>496</v>
      </c>
      <c r="AJ23" s="833" t="s">
        <v>497</v>
      </c>
      <c r="AK23" s="23"/>
      <c r="AL23" s="23"/>
    </row>
    <row r="24" spans="1:38" ht="13.5" thickBot="1" x14ac:dyDescent="0.25">
      <c r="A24" s="741"/>
      <c r="B24" s="1326"/>
      <c r="C24" s="798"/>
      <c r="D24" s="799"/>
      <c r="E24" s="797"/>
      <c r="F24" s="797"/>
      <c r="G24" s="797"/>
      <c r="H24" s="797"/>
      <c r="I24" s="797"/>
      <c r="J24" s="797"/>
      <c r="K24" s="797"/>
      <c r="L24" s="797"/>
      <c r="M24" s="797"/>
      <c r="N24" s="797"/>
      <c r="O24" s="1255"/>
      <c r="P24" s="2"/>
      <c r="Q24" s="343" t="str">
        <f>EUconst_SumNonSustBioCO2 &amp; "_" &amp; K21</f>
        <v>SUM_bioNonSustCO2_</v>
      </c>
      <c r="R24" s="698" t="str">
        <f>IF(G22="","",ROUND(M34*M38*M39*10^-3*(1-M36)*M37*S49*R40,0))</f>
        <v/>
      </c>
      <c r="Y24" s="23"/>
      <c r="Z24" s="23"/>
      <c r="AA24" s="23"/>
      <c r="AB24" s="23"/>
      <c r="AC24" s="23"/>
      <c r="AD24" s="23"/>
      <c r="AE24" s="23"/>
      <c r="AF24" s="23"/>
      <c r="AG24" s="23"/>
      <c r="AH24" s="23"/>
      <c r="AI24" s="23"/>
      <c r="AJ24" s="23"/>
      <c r="AK24" s="23"/>
      <c r="AL24" s="23"/>
    </row>
    <row r="25" spans="1:38" ht="13.5" thickBot="1" x14ac:dyDescent="0.25">
      <c r="A25" s="741"/>
      <c r="B25" s="1326"/>
      <c r="C25" s="798"/>
      <c r="D25" s="799"/>
      <c r="E25" s="797"/>
      <c r="F25" s="797"/>
      <c r="G25" s="797"/>
      <c r="H25" s="797"/>
      <c r="I25" s="797"/>
      <c r="J25" s="797"/>
      <c r="K25" s="797"/>
      <c r="L25" s="797"/>
      <c r="M25" s="494" t="str">
        <f>Translations!$B$688</f>
        <v>Bendra iškastinio kuro energetinė vertė:</v>
      </c>
      <c r="N25" s="1196"/>
      <c r="O25" s="1327" t="s">
        <v>279</v>
      </c>
      <c r="P25" s="2"/>
      <c r="Q25" s="343" t="str">
        <f>EUconst_SumEnergyIN &amp; "_" &amp; K21</f>
        <v>SUM_EnergyIN_</v>
      </c>
      <c r="R25" s="698">
        <f>N25</f>
        <v>0</v>
      </c>
      <c r="Y25" s="23"/>
      <c r="Z25" s="23"/>
      <c r="AA25" s="23"/>
      <c r="AB25" s="23"/>
      <c r="AC25" s="23"/>
      <c r="AD25" s="23"/>
      <c r="AE25" s="23"/>
      <c r="AF25" s="23"/>
      <c r="AG25" s="23"/>
      <c r="AH25" s="23"/>
      <c r="AI25" s="23"/>
      <c r="AJ25" s="23"/>
      <c r="AK25" s="23"/>
      <c r="AL25" s="32" t="b">
        <f>AL30</f>
        <v>1</v>
      </c>
    </row>
    <row r="26" spans="1:38" ht="13.5" thickBot="1" x14ac:dyDescent="0.25">
      <c r="A26" s="741"/>
      <c r="B26" s="1326"/>
      <c r="C26" s="798"/>
      <c r="D26" s="799"/>
      <c r="E26" s="797"/>
      <c r="F26" s="797"/>
      <c r="G26" s="797"/>
      <c r="H26" s="797"/>
      <c r="I26" s="797"/>
      <c r="J26" s="797"/>
      <c r="K26" s="797"/>
      <c r="L26" s="797"/>
      <c r="M26" s="337" t="str">
        <f>Translations!$B$689</f>
        <v>Bendra biomasės energetinė vertė:</v>
      </c>
      <c r="N26" s="1197"/>
      <c r="O26" s="1328" t="s">
        <v>279</v>
      </c>
      <c r="P26" s="2"/>
      <c r="Q26" s="343" t="str">
        <f>EUconst_SumBioEnergyIN &amp; "_" &amp; K21</f>
        <v>SUM_BioEnergyIN_</v>
      </c>
      <c r="R26" s="698">
        <f>N26</f>
        <v>0</v>
      </c>
      <c r="Y26" s="23"/>
      <c r="Z26" s="23"/>
      <c r="AA26" s="23"/>
      <c r="AB26" s="23"/>
      <c r="AC26" s="23"/>
      <c r="AD26" s="23"/>
      <c r="AE26" s="23"/>
      <c r="AF26" s="23"/>
      <c r="AG26" s="23"/>
      <c r="AH26" s="23"/>
      <c r="AI26" s="23"/>
      <c r="AJ26" s="23"/>
      <c r="AK26" s="23"/>
      <c r="AL26" s="32" t="b">
        <f>AL25</f>
        <v>1</v>
      </c>
    </row>
    <row r="27" spans="1:38" s="382" customFormat="1" ht="5.0999999999999996" customHeight="1" x14ac:dyDescent="0.2">
      <c r="A27" s="778"/>
      <c r="B27" s="1308"/>
      <c r="D27" s="151"/>
      <c r="K27" s="12"/>
      <c r="L27" s="12"/>
      <c r="M27" s="12"/>
      <c r="N27" s="12"/>
      <c r="O27" s="1329"/>
      <c r="P27" s="2"/>
      <c r="Q27" s="23"/>
      <c r="R27" s="23"/>
      <c r="S27" s="23"/>
      <c r="T27" s="23"/>
      <c r="U27" s="23"/>
      <c r="V27" s="23"/>
      <c r="W27" s="23"/>
      <c r="X27" s="23"/>
      <c r="Y27" s="23"/>
      <c r="Z27" s="23"/>
      <c r="AA27" s="23"/>
      <c r="AB27" s="23"/>
      <c r="AC27" s="23"/>
      <c r="AD27" s="23"/>
      <c r="AE27" s="23"/>
      <c r="AF27" s="23"/>
      <c r="AG27" s="23"/>
      <c r="AH27" s="23"/>
      <c r="AI27" s="23"/>
      <c r="AJ27" s="23"/>
      <c r="AK27" s="23"/>
      <c r="AL27" s="23"/>
    </row>
    <row r="28" spans="1:38" s="382" customFormat="1" ht="12.75" customHeight="1" x14ac:dyDescent="0.2">
      <c r="A28" s="778"/>
      <c r="B28" s="1308"/>
      <c r="D28" s="9" t="s">
        <v>1</v>
      </c>
      <c r="E28" s="1395" t="str">
        <f>Translations!$B$690</f>
        <v>Skaičiavimai</v>
      </c>
      <c r="F28" s="1395"/>
      <c r="G28" s="1395"/>
      <c r="H28" s="1395"/>
      <c r="I28" s="1395"/>
      <c r="J28" s="1395"/>
      <c r="K28" s="1395"/>
      <c r="L28" s="1395"/>
      <c r="M28" s="1395"/>
      <c r="N28" s="1395"/>
      <c r="O28" s="1329"/>
      <c r="P28" s="23"/>
      <c r="Q28" s="23"/>
      <c r="R28" s="23"/>
      <c r="S28" s="23"/>
      <c r="T28" s="23"/>
      <c r="U28" s="23"/>
      <c r="V28" s="23"/>
      <c r="W28" s="23"/>
      <c r="X28" s="23"/>
      <c r="Y28" s="23"/>
      <c r="Z28" s="23"/>
      <c r="AA28" s="23"/>
      <c r="AB28" s="23"/>
      <c r="AC28" s="23"/>
      <c r="AD28" s="23"/>
      <c r="AE28" s="23"/>
      <c r="AF28" s="23"/>
      <c r="AG28" s="23"/>
      <c r="AH28" s="23"/>
      <c r="AI28" s="23"/>
      <c r="AJ28" s="23"/>
      <c r="AK28" s="23"/>
      <c r="AL28" s="23"/>
    </row>
    <row r="29" spans="1:38" s="382" customFormat="1" ht="5.0999999999999996" customHeight="1" thickBot="1" x14ac:dyDescent="0.25">
      <c r="A29" s="778"/>
      <c r="B29" s="1308"/>
      <c r="D29" s="151"/>
      <c r="K29" s="12"/>
      <c r="L29" s="12"/>
      <c r="M29" s="12"/>
      <c r="N29" s="12"/>
      <c r="O29" s="1329"/>
      <c r="P29" s="23"/>
      <c r="Q29" s="23"/>
      <c r="R29" s="23"/>
      <c r="S29" s="23"/>
      <c r="T29" s="23"/>
      <c r="U29" s="23"/>
      <c r="V29" s="23"/>
      <c r="W29" s="23"/>
      <c r="X29" s="23"/>
      <c r="Y29" s="23"/>
      <c r="Z29" s="23"/>
      <c r="AA29" s="23"/>
      <c r="AB29" s="23"/>
      <c r="AC29" s="23"/>
      <c r="AD29" s="23"/>
      <c r="AE29" s="23"/>
      <c r="AF29" s="23"/>
      <c r="AG29" s="23"/>
      <c r="AH29" s="23"/>
      <c r="AI29" s="23"/>
      <c r="AJ29" s="23"/>
      <c r="AK29" s="23"/>
      <c r="AL29" s="23"/>
    </row>
    <row r="30" spans="1:38" s="382" customFormat="1" ht="12.75" customHeight="1" thickBot="1" x14ac:dyDescent="0.25">
      <c r="A30" s="778"/>
      <c r="B30" s="1308"/>
      <c r="D30" s="9"/>
      <c r="E30" s="399" t="str">
        <f>Translations!$B$691</f>
        <v>Informacija apie susijusius sukėliklius, jeigu taikytina:</v>
      </c>
      <c r="F30" s="399"/>
      <c r="G30" s="399"/>
      <c r="H30" s="399"/>
      <c r="I30" s="399"/>
      <c r="J30" s="1653" t="str">
        <f>Translations!$B$692</f>
        <v>Patvirtinamųjų skaičiavimų rezultatas (iškastinis kuras):</v>
      </c>
      <c r="K30" s="1653"/>
      <c r="L30" s="1653"/>
      <c r="M30" s="1653"/>
      <c r="N30" s="1194"/>
      <c r="O30" s="1309"/>
      <c r="P30" s="23"/>
      <c r="Q30" s="23"/>
      <c r="R30" s="23"/>
      <c r="S30" s="23"/>
      <c r="T30" s="23"/>
      <c r="U30" s="23"/>
      <c r="V30" s="23"/>
      <c r="W30" s="23"/>
      <c r="X30" s="23"/>
      <c r="Y30" s="23"/>
      <c r="Z30" s="23"/>
      <c r="AA30" s="23"/>
      <c r="AB30" s="23"/>
      <c r="AC30" s="23"/>
      <c r="AD30" s="23"/>
      <c r="AE30" s="23"/>
      <c r="AF30" s="23"/>
      <c r="AG30" s="23"/>
      <c r="AH30" s="23"/>
      <c r="AI30" s="23"/>
      <c r="AJ30" s="23"/>
      <c r="AK30" s="26" t="b">
        <f>IF(E22="",FALSE,MATCH(E22,EUconst_CEMSType,0)=2)</f>
        <v>0</v>
      </c>
      <c r="AL30" s="26" t="b">
        <f>OR(CNTR_MeasurementRelevant=EUconst_NotRelevant,AND(COUNTA(CNTR_ListRelevantSections)&gt;0,G22=""))</f>
        <v>1</v>
      </c>
    </row>
    <row r="31" spans="1:38" s="382" customFormat="1" x14ac:dyDescent="0.2">
      <c r="A31" s="778"/>
      <c r="B31" s="1308"/>
      <c r="D31" s="9"/>
      <c r="E31" s="1654"/>
      <c r="F31" s="1655"/>
      <c r="G31" s="1655"/>
      <c r="H31" s="1655"/>
      <c r="I31" s="1656"/>
      <c r="J31" s="1653" t="str">
        <f>Translations!$B$693</f>
        <v>Patvirtinamųjų skaičiavimų rezultatas (biomasė):</v>
      </c>
      <c r="K31" s="1653"/>
      <c r="L31" s="1653"/>
      <c r="M31" s="1653"/>
      <c r="N31" s="1195"/>
      <c r="O31" s="1309"/>
      <c r="P31" s="681"/>
      <c r="Q31" s="23"/>
      <c r="R31" s="23"/>
      <c r="S31" s="23"/>
      <c r="T31" s="23"/>
      <c r="U31" s="23"/>
      <c r="V31" s="23"/>
      <c r="W31" s="23"/>
      <c r="X31" s="23"/>
      <c r="Y31" s="23"/>
      <c r="Z31" s="23"/>
      <c r="AA31" s="23"/>
      <c r="AB31" s="23"/>
      <c r="AC31" s="23"/>
      <c r="AD31" s="23"/>
      <c r="AE31" s="23"/>
      <c r="AF31" s="23"/>
      <c r="AG31" s="23"/>
      <c r="AH31" s="23"/>
      <c r="AI31" s="23"/>
      <c r="AJ31" s="23"/>
      <c r="AK31" s="26" t="b">
        <f>AK30</f>
        <v>0</v>
      </c>
      <c r="AL31" s="26" t="b">
        <f>AL30</f>
        <v>1</v>
      </c>
    </row>
    <row r="32" spans="1:38" s="382" customFormat="1" ht="5.0999999999999996" customHeight="1" x14ac:dyDescent="0.2">
      <c r="A32" s="778"/>
      <c r="B32" s="1308"/>
      <c r="D32" s="9"/>
      <c r="E32" s="49"/>
      <c r="F32" s="49"/>
      <c r="G32" s="49"/>
      <c r="H32" s="49"/>
      <c r="I32" s="49"/>
      <c r="J32" s="49"/>
      <c r="K32" s="49"/>
      <c r="L32" s="49"/>
      <c r="M32" s="49"/>
      <c r="N32" s="49"/>
      <c r="O32" s="1309"/>
      <c r="P32" s="23"/>
      <c r="Q32" s="23"/>
      <c r="R32" s="23"/>
      <c r="S32" s="23"/>
      <c r="T32" s="23"/>
      <c r="U32" s="23"/>
      <c r="V32" s="23"/>
      <c r="W32" s="23"/>
      <c r="X32" s="23"/>
      <c r="Y32" s="23"/>
      <c r="Z32" s="23"/>
      <c r="AA32" s="23"/>
      <c r="AB32" s="23"/>
      <c r="AC32" s="23"/>
      <c r="AD32" s="23"/>
      <c r="AE32" s="23"/>
      <c r="AF32" s="23"/>
      <c r="AG32" s="23"/>
      <c r="AH32" s="23"/>
      <c r="AI32" s="23"/>
      <c r="AJ32" s="23"/>
      <c r="AK32" s="23"/>
      <c r="AL32" s="23"/>
    </row>
    <row r="33" spans="1:38" s="382" customFormat="1" ht="12.75" customHeight="1" thickBot="1" x14ac:dyDescent="0.25">
      <c r="A33" s="778"/>
      <c r="B33" s="1308"/>
      <c r="I33" s="49"/>
      <c r="J33" s="49"/>
      <c r="K33" s="49"/>
      <c r="L33" s="793" t="str">
        <f>EUconst_Unit</f>
        <v>Vienetas</v>
      </c>
      <c r="M33" s="793"/>
      <c r="O33" s="1309"/>
      <c r="P33" s="681"/>
      <c r="Q33" s="23"/>
      <c r="R33" s="23"/>
      <c r="S33" s="23"/>
      <c r="T33" s="23"/>
      <c r="U33" s="23"/>
      <c r="V33" s="23"/>
      <c r="W33" s="23"/>
      <c r="X33" s="23"/>
      <c r="Y33" s="23"/>
      <c r="Z33" s="23"/>
      <c r="AA33" s="23"/>
      <c r="AB33" s="23"/>
      <c r="AC33" s="23"/>
      <c r="AD33" s="23"/>
      <c r="AE33" s="23"/>
      <c r="AF33" s="23"/>
      <c r="AG33" s="23"/>
      <c r="AH33" s="23"/>
      <c r="AI33" s="23"/>
      <c r="AJ33" s="23"/>
      <c r="AK33" s="23"/>
      <c r="AL33" s="23"/>
    </row>
    <row r="34" spans="1:38" s="382" customFormat="1" ht="12.75" customHeight="1" thickBot="1" x14ac:dyDescent="0.25">
      <c r="A34" s="778"/>
      <c r="B34" s="1308"/>
      <c r="E34" s="21" t="str">
        <f>Translations!$B$162</f>
        <v>Naudojama pakopa.</v>
      </c>
      <c r="F34" s="393"/>
      <c r="G34" s="402" t="s">
        <v>4</v>
      </c>
      <c r="H34" s="395" t="str">
        <f>Translations!$B$694</f>
        <v>ŠESD koncentracija (metinis valandinis vidurkis):</v>
      </c>
      <c r="I34" s="381"/>
      <c r="J34" s="381"/>
      <c r="K34" s="381"/>
      <c r="L34" s="678" t="str">
        <f>EUconst_gpNm3</f>
        <v>g/Nm3</v>
      </c>
      <c r="M34" s="1198"/>
      <c r="O34" s="1309"/>
      <c r="P34" s="23"/>
      <c r="Q34" s="2"/>
      <c r="R34" s="23"/>
      <c r="S34" s="23"/>
      <c r="T34" s="23"/>
      <c r="U34" s="23"/>
      <c r="V34" s="23"/>
      <c r="W34" s="23"/>
      <c r="X34" s="23"/>
      <c r="Y34" s="23"/>
      <c r="Z34" s="23"/>
      <c r="AA34" s="23"/>
      <c r="AB34" s="23"/>
      <c r="AC34" s="23"/>
      <c r="AD34" s="23"/>
      <c r="AE34" s="23"/>
      <c r="AF34" s="23"/>
      <c r="AG34" s="23"/>
      <c r="AH34" s="23"/>
      <c r="AI34" s="23"/>
      <c r="AJ34" s="23"/>
      <c r="AK34" s="23"/>
      <c r="AL34" s="26" t="b">
        <f>AL31</f>
        <v>1</v>
      </c>
    </row>
    <row r="35" spans="1:38" s="382" customFormat="1" ht="12.75" customHeight="1" thickBot="1" x14ac:dyDescent="0.25">
      <c r="A35" s="778"/>
      <c r="B35" s="1308"/>
      <c r="F35" s="472" t="str">
        <f>IF(OR(ISBLANK(F34),F34=EUconst_NoTier),"",IF(R36=EUconst_NA,EUconst_NA,IF(ISERROR(R36),"",R36)))</f>
        <v/>
      </c>
      <c r="G35" s="402"/>
      <c r="H35" s="395"/>
      <c r="I35" s="381"/>
      <c r="J35" s="381"/>
      <c r="K35" s="381"/>
      <c r="M35" s="151"/>
      <c r="O35" s="1309"/>
      <c r="P35" s="23"/>
      <c r="Q35" s="2"/>
      <c r="R35" s="684" t="s">
        <v>538</v>
      </c>
      <c r="S35" s="23"/>
      <c r="T35" s="23"/>
      <c r="U35" s="23"/>
      <c r="V35" s="23"/>
      <c r="W35" s="23"/>
      <c r="X35" s="23"/>
      <c r="Y35" s="23"/>
      <c r="Z35" s="23"/>
      <c r="AA35" s="23"/>
      <c r="AB35" s="23"/>
      <c r="AC35" s="23"/>
      <c r="AD35" s="23"/>
      <c r="AE35" s="23"/>
      <c r="AF35" s="23"/>
      <c r="AG35" s="23"/>
      <c r="AH35" s="23"/>
      <c r="AI35" s="23"/>
      <c r="AJ35" s="23"/>
      <c r="AK35" s="23"/>
      <c r="AL35" s="23"/>
    </row>
    <row r="36" spans="1:38" s="382" customFormat="1" ht="12.75" customHeight="1" x14ac:dyDescent="0.2">
      <c r="A36" s="778"/>
      <c r="B36" s="1308"/>
      <c r="D36" s="200"/>
      <c r="G36" s="402" t="s">
        <v>5</v>
      </c>
      <c r="H36" s="395" t="str">
        <f>Translations!$B$682</f>
        <v>Biomasės dalis:</v>
      </c>
      <c r="I36" s="290"/>
      <c r="J36" s="290"/>
      <c r="K36" s="290"/>
      <c r="L36" s="806" t="s">
        <v>258</v>
      </c>
      <c r="M36" s="807"/>
      <c r="O36" s="1309"/>
      <c r="P36" s="23"/>
      <c r="Q36" s="2"/>
      <c r="R36" s="43" t="str">
        <f>IF(F34="","",IF(F34=EUconst_NA,"",INDEX(EUwideConstants!$H$689:$M$691,MATCH(E22,EUwideConstants!$B$689:$B$691,0),MATCH(F34,CNTR_TierList,0))))</f>
        <v/>
      </c>
      <c r="S36" s="23"/>
      <c r="T36" s="23"/>
      <c r="U36" s="23"/>
      <c r="V36" s="23"/>
      <c r="W36" s="23"/>
      <c r="X36" s="23"/>
      <c r="Y36" s="23"/>
      <c r="Z36" s="23"/>
      <c r="AA36" s="23"/>
      <c r="AB36" s="23"/>
      <c r="AC36" s="23"/>
      <c r="AD36" s="23"/>
      <c r="AE36" s="23"/>
      <c r="AF36" s="23"/>
      <c r="AG36" s="23"/>
      <c r="AH36" s="23"/>
      <c r="AI36" s="23"/>
      <c r="AJ36" s="23"/>
      <c r="AK36" s="23"/>
      <c r="AL36" s="26" t="b">
        <f>AL34</f>
        <v>1</v>
      </c>
    </row>
    <row r="37" spans="1:38" s="382" customFormat="1" ht="12.75" customHeight="1" thickBot="1" x14ac:dyDescent="0.25">
      <c r="A37" s="778"/>
      <c r="B37" s="1308"/>
      <c r="D37" s="200"/>
      <c r="G37" s="402" t="s">
        <v>194</v>
      </c>
      <c r="H37" s="884" t="str">
        <f>Translations!$B$683</f>
        <v>netvarios biomasės dalis:</v>
      </c>
      <c r="I37" s="292"/>
      <c r="J37" s="292"/>
      <c r="K37" s="292"/>
      <c r="L37" s="885" t="s">
        <v>258</v>
      </c>
      <c r="M37" s="886"/>
      <c r="O37" s="1309"/>
      <c r="P37" s="23"/>
      <c r="Q37" s="2"/>
      <c r="R37" s="684"/>
      <c r="S37" s="23"/>
      <c r="T37" s="23"/>
      <c r="U37" s="23"/>
      <c r="V37" s="23"/>
      <c r="W37" s="23"/>
      <c r="X37" s="23"/>
      <c r="Y37" s="23"/>
      <c r="Z37" s="23"/>
      <c r="AA37" s="23"/>
      <c r="AB37" s="23"/>
      <c r="AC37" s="23"/>
      <c r="AD37" s="23"/>
      <c r="AE37" s="23"/>
      <c r="AF37" s="23"/>
      <c r="AG37" s="23"/>
      <c r="AH37" s="23"/>
      <c r="AI37" s="23"/>
      <c r="AJ37" s="23"/>
      <c r="AK37" s="23"/>
      <c r="AL37" s="26" t="b">
        <f>AL36</f>
        <v>1</v>
      </c>
    </row>
    <row r="38" spans="1:38" s="382" customFormat="1" ht="12.75" customHeight="1" x14ac:dyDescent="0.2">
      <c r="A38" s="778"/>
      <c r="B38" s="1308"/>
      <c r="E38" s="22" t="str">
        <f>Translations!$B$684</f>
        <v>VAP:</v>
      </c>
      <c r="F38" s="682" t="str">
        <f>IF(OR(G22="",F39&lt;&gt;""),"",IF(T22=2,298,1))</f>
        <v/>
      </c>
      <c r="G38" s="402" t="s">
        <v>195</v>
      </c>
      <c r="H38" s="397" t="str">
        <f>Translations!$B$695</f>
        <v>Veikimo valandos:</v>
      </c>
      <c r="I38" s="398"/>
      <c r="J38" s="398"/>
      <c r="K38" s="398"/>
      <c r="L38" s="679" t="str">
        <f>EUconst_hpa</f>
        <v>val./metai</v>
      </c>
      <c r="M38" s="811"/>
      <c r="O38" s="1309"/>
      <c r="P38" s="23"/>
      <c r="Q38" s="2"/>
      <c r="R38" s="23"/>
      <c r="S38" s="23"/>
      <c r="T38" s="23"/>
      <c r="U38" s="23"/>
      <c r="V38" s="23"/>
      <c r="W38" s="23"/>
      <c r="X38" s="23"/>
      <c r="Y38" s="23"/>
      <c r="Z38" s="23"/>
      <c r="AA38" s="23"/>
      <c r="AB38" s="23"/>
      <c r="AC38" s="23"/>
      <c r="AD38" s="23"/>
      <c r="AE38" s="23"/>
      <c r="AF38" s="23"/>
      <c r="AG38" s="23"/>
      <c r="AH38" s="23"/>
      <c r="AI38" s="23"/>
      <c r="AJ38" s="23"/>
      <c r="AK38" s="23"/>
      <c r="AL38" s="26" t="b">
        <f>AL36</f>
        <v>1</v>
      </c>
    </row>
    <row r="39" spans="1:38" s="382" customFormat="1" ht="12.75" customHeight="1" thickBot="1" x14ac:dyDescent="0.25">
      <c r="A39" s="778"/>
      <c r="B39" s="1308"/>
      <c r="D39" s="794"/>
      <c r="E39" s="687" t="str">
        <f>Translations!$B$696</f>
        <v>(CO2(e) tonos / ŠESD tonos)</v>
      </c>
      <c r="F39" s="683"/>
      <c r="G39" s="402" t="s">
        <v>196</v>
      </c>
      <c r="H39" s="396" t="str">
        <f>Translations!$B$697</f>
        <v>Kaminų dujų srautas (metinis valandinis vidurkis):</v>
      </c>
      <c r="I39" s="291"/>
      <c r="J39" s="291"/>
      <c r="K39" s="291"/>
      <c r="L39" s="680" t="str">
        <f>EUconst_Nm3ph</f>
        <v>1 000 Nm3/h</v>
      </c>
      <c r="M39" s="808"/>
      <c r="O39" s="1309"/>
      <c r="P39" s="23"/>
      <c r="Q39" s="2"/>
      <c r="R39" s="13" t="s">
        <v>386</v>
      </c>
      <c r="S39" s="23"/>
      <c r="T39" s="23"/>
      <c r="U39" s="23"/>
      <c r="V39" s="23"/>
      <c r="W39" s="23"/>
      <c r="X39" s="23"/>
      <c r="Y39" s="23"/>
      <c r="Z39" s="23"/>
      <c r="AA39" s="23"/>
      <c r="AB39" s="23"/>
      <c r="AC39" s="23"/>
      <c r="AD39" s="23"/>
      <c r="AE39" s="23"/>
      <c r="AF39" s="23"/>
      <c r="AG39" s="23"/>
      <c r="AH39" s="23"/>
      <c r="AI39" s="23"/>
      <c r="AJ39" s="23"/>
      <c r="AK39" s="23"/>
      <c r="AL39" s="26" t="b">
        <f>AL38</f>
        <v>1</v>
      </c>
    </row>
    <row r="40" spans="1:38" s="382" customFormat="1" ht="12.75" customHeight="1" thickBot="1" x14ac:dyDescent="0.25">
      <c r="A40" s="778"/>
      <c r="B40" s="1308"/>
      <c r="D40" s="794"/>
      <c r="G40" s="687" t="s">
        <v>197</v>
      </c>
      <c r="H40" s="395" t="str">
        <f>Translations!$B$698</f>
        <v>Kaminų dujų srautas (bendras metinis kiekis):</v>
      </c>
      <c r="I40" s="290"/>
      <c r="J40" s="290"/>
      <c r="K40" s="290"/>
      <c r="L40" s="678" t="str">
        <f>EUconst_kNm3pa</f>
        <v>1 000 Nm3/m.</v>
      </c>
      <c r="M40" s="809" t="str">
        <f>IF(COUNT(M38,M39)=2,M38*M39,"")</f>
        <v/>
      </c>
      <c r="O40" s="1309"/>
      <c r="P40" s="23"/>
      <c r="Q40" s="23"/>
      <c r="R40" s="43" t="str">
        <f>IF(F39="",F38,F39)</f>
        <v/>
      </c>
      <c r="S40" s="23"/>
      <c r="T40" s="23"/>
      <c r="U40" s="23"/>
      <c r="V40" s="23"/>
      <c r="W40" s="23"/>
      <c r="X40" s="23"/>
      <c r="Y40" s="23"/>
      <c r="Z40" s="23"/>
      <c r="AA40" s="23"/>
      <c r="AB40" s="23"/>
      <c r="AC40" s="23"/>
      <c r="AD40" s="23"/>
      <c r="AE40" s="23"/>
      <c r="AF40" s="23"/>
      <c r="AG40" s="23"/>
      <c r="AH40" s="23"/>
      <c r="AI40" s="23"/>
      <c r="AJ40" s="23"/>
      <c r="AK40" s="23"/>
      <c r="AL40" s="23"/>
    </row>
    <row r="41" spans="1:38" s="382" customFormat="1" ht="5.0999999999999996" customHeight="1" thickBot="1" x14ac:dyDescent="0.25">
      <c r="A41" s="778"/>
      <c r="B41" s="1308"/>
      <c r="D41" s="794"/>
      <c r="E41" s="200"/>
      <c r="F41" s="200"/>
      <c r="G41" s="200"/>
      <c r="H41" s="200"/>
      <c r="I41" s="200"/>
      <c r="J41" s="200"/>
      <c r="K41" s="200"/>
      <c r="L41" s="200"/>
      <c r="M41" s="6"/>
      <c r="O41" s="1309"/>
      <c r="P41" s="23"/>
      <c r="Q41" s="23"/>
      <c r="R41" s="684"/>
      <c r="S41" s="23"/>
      <c r="T41" s="23"/>
      <c r="U41" s="23"/>
      <c r="V41" s="23"/>
      <c r="W41" s="23"/>
      <c r="X41" s="23"/>
      <c r="Y41" s="23"/>
      <c r="Z41" s="23"/>
      <c r="AA41" s="23"/>
      <c r="AB41" s="23"/>
      <c r="AC41" s="23"/>
      <c r="AD41" s="23"/>
      <c r="AE41" s="23"/>
      <c r="AF41" s="23"/>
      <c r="AG41" s="23"/>
      <c r="AH41" s="23"/>
      <c r="AI41" s="23"/>
      <c r="AJ41" s="23"/>
      <c r="AK41" s="23"/>
      <c r="AL41" s="23"/>
    </row>
    <row r="42" spans="1:38" s="382" customFormat="1" ht="12.75" customHeight="1" thickBot="1" x14ac:dyDescent="0.25">
      <c r="A42" s="778"/>
      <c r="B42" s="1308"/>
      <c r="D42" s="794"/>
      <c r="E42" s="200"/>
      <c r="F42" s="200"/>
      <c r="G42" s="687" t="s">
        <v>198</v>
      </c>
      <c r="H42" s="395" t="str">
        <f>Translations!$B$699</f>
        <v>Metinis deginant iškastinį kurą išmestas ŠESD kiekis</v>
      </c>
      <c r="I42" s="290"/>
      <c r="J42" s="290"/>
      <c r="K42" s="290"/>
      <c r="L42" s="678" t="str">
        <f>EUconst_t</f>
        <v>t</v>
      </c>
      <c r="M42" s="810" t="str">
        <f>IF(G22="","",ROUND(M34*M38*M39*10^-3*(1-M36),0))</f>
        <v/>
      </c>
      <c r="O42" s="1309"/>
      <c r="P42" s="23"/>
      <c r="Q42" s="23"/>
      <c r="R42" s="684"/>
      <c r="S42" s="23"/>
      <c r="T42" s="23"/>
      <c r="U42" s="23"/>
      <c r="V42" s="23"/>
      <c r="W42" s="23"/>
      <c r="X42" s="23"/>
      <c r="Y42" s="23"/>
      <c r="Z42" s="23"/>
      <c r="AA42" s="23"/>
      <c r="AB42" s="23"/>
      <c r="AC42" s="23"/>
      <c r="AD42" s="23"/>
      <c r="AE42" s="23"/>
      <c r="AF42" s="23"/>
      <c r="AG42" s="23"/>
      <c r="AH42" s="23"/>
      <c r="AI42" s="23"/>
      <c r="AJ42" s="23"/>
      <c r="AK42" s="23"/>
      <c r="AL42" s="23"/>
    </row>
    <row r="43" spans="1:38" s="382" customFormat="1" ht="5.0999999999999996" customHeight="1" x14ac:dyDescent="0.2">
      <c r="A43" s="778"/>
      <c r="B43" s="1308"/>
      <c r="D43" s="794"/>
      <c r="E43" s="200"/>
      <c r="F43" s="200"/>
      <c r="G43" s="200"/>
      <c r="H43" s="200"/>
      <c r="I43" s="200"/>
      <c r="J43" s="200"/>
      <c r="K43" s="200"/>
      <c r="L43" s="200"/>
      <c r="M43" s="200"/>
      <c r="N43" s="200"/>
      <c r="O43" s="1309"/>
      <c r="P43" s="23"/>
      <c r="Q43" s="23"/>
      <c r="R43" s="684"/>
      <c r="S43" s="23"/>
      <c r="T43" s="23"/>
      <c r="U43" s="23"/>
      <c r="V43" s="23"/>
      <c r="W43" s="23"/>
      <c r="X43" s="23"/>
      <c r="Y43" s="23"/>
      <c r="Z43" s="23"/>
      <c r="AA43" s="23"/>
      <c r="AB43" s="23"/>
      <c r="AC43" s="23"/>
      <c r="AD43" s="23"/>
      <c r="AE43" s="23"/>
      <c r="AF43" s="23"/>
      <c r="AG43" s="23"/>
      <c r="AH43" s="23"/>
      <c r="AI43" s="23"/>
      <c r="AJ43" s="23"/>
      <c r="AK43" s="23"/>
      <c r="AL43" s="23"/>
    </row>
    <row r="44" spans="1:38" s="382" customFormat="1" ht="12.75" customHeight="1" x14ac:dyDescent="0.2">
      <c r="A44" s="778"/>
      <c r="B44" s="1308"/>
      <c r="D44" s="9" t="s">
        <v>2</v>
      </c>
      <c r="E44" s="1395" t="str">
        <f>Translations!$B$700</f>
        <v>Perduotasis / būdingasis CO2</v>
      </c>
      <c r="F44" s="1395"/>
      <c r="G44" s="1395"/>
      <c r="H44" s="1395"/>
      <c r="I44" s="1395"/>
      <c r="J44" s="1395"/>
      <c r="K44" s="1395"/>
      <c r="L44" s="1395"/>
      <c r="M44" s="1395"/>
      <c r="N44" s="1395"/>
      <c r="O44" s="1309"/>
      <c r="P44" s="681"/>
      <c r="Q44" s="23"/>
      <c r="R44" s="23"/>
      <c r="S44" s="23"/>
      <c r="T44" s="23"/>
      <c r="U44" s="23"/>
      <c r="V44" s="23"/>
      <c r="W44" s="23"/>
      <c r="X44" s="23"/>
      <c r="Y44" s="23"/>
      <c r="Z44" s="23"/>
      <c r="AA44" s="23"/>
      <c r="AB44" s="23"/>
      <c r="AC44" s="23"/>
      <c r="AD44" s="23"/>
      <c r="AE44" s="23"/>
      <c r="AF44" s="23"/>
      <c r="AG44" s="23"/>
      <c r="AH44" s="23"/>
      <c r="AI44" s="23"/>
      <c r="AJ44" s="23"/>
      <c r="AK44" s="23"/>
      <c r="AL44" s="23"/>
    </row>
    <row r="45" spans="1:38" s="382" customFormat="1" ht="5.0999999999999996" customHeight="1" x14ac:dyDescent="0.2">
      <c r="A45" s="778"/>
      <c r="B45" s="1308"/>
      <c r="D45" s="9"/>
      <c r="E45" s="49"/>
      <c r="F45" s="49"/>
      <c r="G45" s="49"/>
      <c r="H45" s="49"/>
      <c r="I45" s="49"/>
      <c r="J45" s="49"/>
      <c r="K45" s="49"/>
      <c r="L45" s="49"/>
      <c r="M45" s="49"/>
      <c r="N45" s="49"/>
      <c r="O45" s="1309"/>
      <c r="P45" s="23"/>
      <c r="Q45" s="23"/>
      <c r="R45" s="23"/>
      <c r="S45" s="23"/>
      <c r="T45" s="23"/>
      <c r="U45" s="23"/>
      <c r="V45" s="23"/>
      <c r="W45" s="23"/>
      <c r="X45" s="23"/>
      <c r="Y45" s="23"/>
      <c r="Z45" s="23"/>
      <c r="AA45" s="23"/>
      <c r="AB45" s="23"/>
      <c r="AC45" s="23"/>
      <c r="AD45" s="23"/>
      <c r="AE45" s="23"/>
      <c r="AF45" s="23"/>
      <c r="AG45" s="23"/>
      <c r="AH45" s="23"/>
      <c r="AI45" s="23"/>
      <c r="AJ45" s="23"/>
      <c r="AK45" s="23"/>
      <c r="AL45" s="23"/>
    </row>
    <row r="46" spans="1:38" s="382" customFormat="1" ht="12.75" customHeight="1" x14ac:dyDescent="0.2">
      <c r="A46" s="778"/>
      <c r="B46" s="1308"/>
      <c r="D46" s="402" t="s">
        <v>4</v>
      </c>
      <c r="E46" s="404" t="str">
        <f>Translations!$B$170</f>
        <v>Įrenginio pavadinimas</v>
      </c>
      <c r="F46" s="381"/>
      <c r="G46" s="381"/>
      <c r="H46" s="381"/>
      <c r="I46" s="1657"/>
      <c r="J46" s="1645"/>
      <c r="K46" s="1645"/>
      <c r="L46" s="1645"/>
      <c r="M46" s="1645"/>
      <c r="N46" s="1645"/>
      <c r="O46" s="1309"/>
      <c r="P46" s="23"/>
      <c r="Q46" s="1053" t="str">
        <f>IF(I49="","",C22 &amp; "_" &amp; EUconst_CNTR_CCSInstName &amp; I49)</f>
        <v/>
      </c>
      <c r="R46" s="23"/>
      <c r="S46" s="23"/>
      <c r="T46" s="23"/>
      <c r="U46" s="23"/>
      <c r="V46" s="23"/>
      <c r="W46" s="23"/>
      <c r="X46" s="23"/>
      <c r="Y46" s="23"/>
      <c r="Z46" s="23"/>
      <c r="AA46" s="23"/>
      <c r="AB46" s="23"/>
      <c r="AC46" s="23"/>
      <c r="AD46" s="23"/>
      <c r="AE46" s="23"/>
      <c r="AF46" s="23"/>
      <c r="AG46" s="23"/>
      <c r="AH46" s="23"/>
      <c r="AI46" s="23"/>
      <c r="AJ46" s="23"/>
      <c r="AK46" s="23"/>
      <c r="AL46" s="26" t="b">
        <f>OR(CNTR_MeasurementRelevant=EUconst_NotRelevant,AND(COUNTA(CNTR_ListRelevantSections)&gt;0,OR(G22="",V22=TRUE)))</f>
        <v>1</v>
      </c>
    </row>
    <row r="47" spans="1:38" s="382" customFormat="1" ht="12.75" customHeight="1" x14ac:dyDescent="0.2">
      <c r="A47" s="778"/>
      <c r="B47" s="1308"/>
      <c r="D47" s="402" t="s">
        <v>5</v>
      </c>
      <c r="E47" s="404" t="str">
        <f>Translations!$B$79</f>
        <v>Veiklos vykdytojo pavadinimas</v>
      </c>
      <c r="F47" s="381"/>
      <c r="G47" s="381"/>
      <c r="H47" s="381"/>
      <c r="I47" s="1657"/>
      <c r="J47" s="1645"/>
      <c r="K47" s="1645"/>
      <c r="L47" s="1645"/>
      <c r="M47" s="1645"/>
      <c r="N47" s="1645"/>
      <c r="O47" s="1309"/>
      <c r="P47" s="23"/>
      <c r="Q47" s="1053" t="str">
        <f>IF(I49="","",C22 &amp; "_" &amp; EUconst_CNTR_CCSOpName &amp; I49)</f>
        <v/>
      </c>
      <c r="R47" s="23"/>
      <c r="S47" s="23"/>
      <c r="T47" s="23"/>
      <c r="U47" s="23"/>
      <c r="V47" s="23"/>
      <c r="W47" s="23"/>
      <c r="X47" s="23"/>
      <c r="Y47" s="23"/>
      <c r="Z47" s="23"/>
      <c r="AA47" s="23"/>
      <c r="AB47" s="23"/>
      <c r="AC47" s="23"/>
      <c r="AD47" s="23"/>
      <c r="AE47" s="23"/>
      <c r="AF47" s="23"/>
      <c r="AG47" s="23"/>
      <c r="AH47" s="23"/>
      <c r="AI47" s="23"/>
      <c r="AJ47" s="23"/>
      <c r="AK47" s="23"/>
      <c r="AL47" s="26" t="b">
        <f>AL46</f>
        <v>1</v>
      </c>
    </row>
    <row r="48" spans="1:38" s="382" customFormat="1" ht="12.75" customHeight="1" x14ac:dyDescent="0.2">
      <c r="A48" s="778"/>
      <c r="B48" s="1308"/>
      <c r="D48" s="402" t="s">
        <v>194</v>
      </c>
      <c r="E48" s="404" t="str">
        <f>Translations!$B$171</f>
        <v>Įrenginio unikalus ID</v>
      </c>
      <c r="F48" s="381"/>
      <c r="G48" s="381"/>
      <c r="H48" s="381"/>
      <c r="I48" s="1657"/>
      <c r="J48" s="1645"/>
      <c r="K48" s="1645"/>
      <c r="L48" s="1645"/>
      <c r="M48" s="1645"/>
      <c r="N48" s="1645"/>
      <c r="O48" s="1309"/>
      <c r="P48" s="23"/>
      <c r="Q48" s="1053" t="str">
        <f>IF(I49="","",C22 &amp; "_" &amp; EUconst_CNTR_CCSInstID &amp; I49)</f>
        <v/>
      </c>
      <c r="R48" s="23" t="s">
        <v>537</v>
      </c>
      <c r="S48" s="23"/>
      <c r="T48" s="23"/>
      <c r="U48" s="23"/>
      <c r="V48" s="23"/>
      <c r="W48" s="23"/>
      <c r="X48" s="23"/>
      <c r="Y48" s="23"/>
      <c r="Z48" s="23"/>
      <c r="AA48" s="23"/>
      <c r="AB48" s="23"/>
      <c r="AC48" s="23"/>
      <c r="AD48" s="23"/>
      <c r="AE48" s="23"/>
      <c r="AF48" s="23"/>
      <c r="AG48" s="23"/>
      <c r="AH48" s="23"/>
      <c r="AI48" s="23"/>
      <c r="AJ48" s="23"/>
      <c r="AK48" s="23"/>
      <c r="AL48" s="26" t="b">
        <f>AL47</f>
        <v>1</v>
      </c>
    </row>
    <row r="49" spans="1:38" s="382" customFormat="1" ht="12.75" customHeight="1" x14ac:dyDescent="0.2">
      <c r="A49" s="778"/>
      <c r="B49" s="1308"/>
      <c r="D49" s="402" t="s">
        <v>195</v>
      </c>
      <c r="E49" s="404" t="str">
        <f>Translations!$B$169</f>
        <v>Perdavimo tipas</v>
      </c>
      <c r="F49" s="381"/>
      <c r="G49" s="381"/>
      <c r="H49" s="381"/>
      <c r="I49" s="1645"/>
      <c r="J49" s="1645"/>
      <c r="K49" s="1645"/>
      <c r="L49" s="1645"/>
      <c r="M49" s="1645"/>
      <c r="N49" s="1645"/>
      <c r="O49" s="1309"/>
      <c r="P49" s="23"/>
      <c r="Q49" s="23"/>
      <c r="R49" s="26" t="str">
        <f>IF(I49="","",I49=INDEX(EUconst_CO2TransferTypes,5))</f>
        <v/>
      </c>
      <c r="S49" s="43">
        <f>IF(AND(R49=TRUE,AL49=FALSE),-1,1)</f>
        <v>1</v>
      </c>
      <c r="T49" s="23"/>
      <c r="U49" s="23"/>
      <c r="V49" s="23"/>
      <c r="W49" s="23"/>
      <c r="X49" s="23"/>
      <c r="Y49" s="23"/>
      <c r="Z49" s="23"/>
      <c r="AA49" s="23"/>
      <c r="AB49" s="23"/>
      <c r="AC49" s="23"/>
      <c r="AD49" s="23"/>
      <c r="AE49" s="23"/>
      <c r="AF49" s="23"/>
      <c r="AG49" s="23"/>
      <c r="AH49" s="23"/>
      <c r="AI49" s="23"/>
      <c r="AJ49" s="23"/>
      <c r="AK49" s="23"/>
      <c r="AL49" s="26" t="b">
        <f>AL48</f>
        <v>1</v>
      </c>
    </row>
    <row r="50" spans="1:38" s="382" customFormat="1" ht="5.0999999999999996" customHeight="1" x14ac:dyDescent="0.2">
      <c r="A50" s="778"/>
      <c r="B50" s="1308"/>
      <c r="D50" s="9"/>
      <c r="E50" s="49"/>
      <c r="F50" s="49"/>
      <c r="G50" s="49"/>
      <c r="H50" s="49"/>
      <c r="I50" s="49"/>
      <c r="J50" s="49"/>
      <c r="K50" s="49"/>
      <c r="L50" s="49"/>
      <c r="M50" s="49"/>
      <c r="N50" s="49"/>
      <c r="O50" s="1309"/>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s="382" customFormat="1" ht="5.0999999999999996" customHeight="1" x14ac:dyDescent="0.2">
      <c r="A51" s="778"/>
      <c r="B51" s="1308"/>
      <c r="D51" s="9"/>
      <c r="E51" s="49"/>
      <c r="F51" s="49"/>
      <c r="G51" s="49"/>
      <c r="H51" s="49"/>
      <c r="I51" s="49"/>
      <c r="J51" s="49"/>
      <c r="K51" s="49"/>
      <c r="L51" s="49"/>
      <c r="M51" s="49"/>
      <c r="N51" s="49"/>
      <c r="O51" s="1309"/>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s="382" customFormat="1" ht="12.75" customHeight="1" x14ac:dyDescent="0.2">
      <c r="A52" s="778"/>
      <c r="B52" s="1308"/>
      <c r="E52" s="1652" t="str">
        <f>Translations!$B$701</f>
        <v>Pastabos (pvz., patvirtinamųjų skaičiavimų aprašas arba ar trūksta didelės duomenų dalies):</v>
      </c>
      <c r="F52" s="1652"/>
      <c r="G52" s="1652"/>
      <c r="H52" s="1652"/>
      <c r="I52" s="1652"/>
      <c r="J52" s="1652"/>
      <c r="K52" s="1652"/>
      <c r="L52" s="1652"/>
      <c r="M52" s="1652"/>
      <c r="N52" s="1652"/>
      <c r="O52" s="1309"/>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s="382" customFormat="1" ht="12.75" customHeight="1" x14ac:dyDescent="0.2">
      <c r="A53" s="778"/>
      <c r="B53" s="1308"/>
      <c r="D53" s="10"/>
      <c r="E53" s="1646"/>
      <c r="F53" s="1647"/>
      <c r="G53" s="1647"/>
      <c r="H53" s="1647"/>
      <c r="I53" s="1647"/>
      <c r="J53" s="1647"/>
      <c r="K53" s="1647"/>
      <c r="L53" s="1647"/>
      <c r="M53" s="1647"/>
      <c r="N53" s="1648"/>
      <c r="O53" s="1309"/>
      <c r="P53" s="23"/>
      <c r="Q53" s="23"/>
      <c r="R53" s="23"/>
      <c r="S53" s="23"/>
      <c r="T53" s="23"/>
      <c r="U53" s="23"/>
      <c r="V53" s="23"/>
      <c r="W53" s="23"/>
      <c r="X53" s="23"/>
      <c r="Y53" s="23"/>
      <c r="Z53" s="23"/>
      <c r="AA53" s="23"/>
      <c r="AB53" s="23"/>
      <c r="AC53" s="23"/>
      <c r="AD53" s="23"/>
      <c r="AE53" s="23"/>
      <c r="AF53" s="23"/>
      <c r="AG53" s="23"/>
      <c r="AH53" s="23"/>
      <c r="AI53" s="23"/>
      <c r="AJ53" s="23"/>
      <c r="AK53" s="23"/>
      <c r="AL53" s="26" t="b">
        <f>D_MeasurementBasedApproaches!AL39</f>
        <v>1</v>
      </c>
    </row>
    <row r="54" spans="1:38" s="382" customFormat="1" ht="12.75" customHeight="1" x14ac:dyDescent="0.2">
      <c r="A54" s="778"/>
      <c r="B54" s="1308"/>
      <c r="D54" s="10"/>
      <c r="E54" s="1649"/>
      <c r="F54" s="1650"/>
      <c r="G54" s="1650"/>
      <c r="H54" s="1650"/>
      <c r="I54" s="1650"/>
      <c r="J54" s="1650"/>
      <c r="K54" s="1650"/>
      <c r="L54" s="1650"/>
      <c r="M54" s="1650"/>
      <c r="N54" s="1651"/>
      <c r="O54" s="1309"/>
      <c r="P54" s="23"/>
      <c r="Q54" s="23"/>
      <c r="R54" s="23"/>
      <c r="S54" s="23"/>
      <c r="T54" s="23"/>
      <c r="U54" s="23"/>
      <c r="V54" s="23"/>
      <c r="W54" s="23"/>
      <c r="X54" s="23"/>
      <c r="Y54" s="23"/>
      <c r="Z54" s="23"/>
      <c r="AA54" s="23"/>
      <c r="AB54" s="23"/>
      <c r="AC54" s="23"/>
      <c r="AD54" s="23"/>
      <c r="AE54" s="23"/>
      <c r="AF54" s="23"/>
      <c r="AG54" s="23"/>
      <c r="AH54" s="23"/>
      <c r="AI54" s="23"/>
      <c r="AJ54" s="23"/>
      <c r="AK54" s="23"/>
      <c r="AL54" s="26" t="b">
        <f>AL53</f>
        <v>1</v>
      </c>
    </row>
    <row r="55" spans="1:38" ht="12.75" customHeight="1" thickBot="1" x14ac:dyDescent="0.25">
      <c r="A55" s="741"/>
      <c r="B55" s="1254"/>
      <c r="C55" s="36"/>
      <c r="D55" s="37"/>
      <c r="E55" s="38"/>
      <c r="F55" s="36"/>
      <c r="G55" s="39"/>
      <c r="H55" s="39"/>
      <c r="I55" s="39"/>
      <c r="J55" s="39"/>
      <c r="K55" s="39"/>
      <c r="L55" s="39"/>
      <c r="M55" s="39"/>
      <c r="N55" s="39"/>
      <c r="O55" s="1255"/>
      <c r="P55" s="2"/>
      <c r="S55" s="229"/>
      <c r="AK55" s="23"/>
    </row>
    <row r="56" spans="1:38" ht="12.75" customHeight="1" thickBot="1" x14ac:dyDescent="0.25">
      <c r="A56" s="741"/>
      <c r="B56" s="1325"/>
      <c r="C56" s="200"/>
      <c r="D56" s="6"/>
      <c r="E56" s="239"/>
      <c r="F56" s="239"/>
      <c r="G56" s="239"/>
      <c r="H56" s="239"/>
      <c r="I56" s="239"/>
      <c r="J56" s="239"/>
      <c r="K56" s="239"/>
      <c r="L56" s="239"/>
      <c r="M56" s="5"/>
      <c r="N56" s="5"/>
      <c r="O56" s="1309"/>
      <c r="P56" s="2"/>
      <c r="Q56" s="23"/>
      <c r="R56" s="23"/>
      <c r="S56" s="23"/>
      <c r="V56" s="23"/>
      <c r="W56" s="23"/>
      <c r="X56" s="27" t="s">
        <v>486</v>
      </c>
      <c r="Y56" s="23"/>
      <c r="Z56" s="23"/>
      <c r="AA56" s="23"/>
      <c r="AB56" s="23"/>
      <c r="AC56" s="23"/>
      <c r="AD56" s="23"/>
      <c r="AE56" s="23"/>
      <c r="AF56" s="23"/>
      <c r="AG56" s="23"/>
      <c r="AH56" s="23"/>
      <c r="AI56" s="23"/>
      <c r="AJ56" s="23"/>
    </row>
    <row r="57" spans="1:38" s="140" customFormat="1" ht="15" customHeight="1" thickBot="1" x14ac:dyDescent="0.25">
      <c r="A57" s="742"/>
      <c r="B57" s="1248"/>
      <c r="C57" s="391">
        <f>C22+1</f>
        <v>2</v>
      </c>
      <c r="D57" s="392"/>
      <c r="E57" s="1623" t="str">
        <f>IF(ISBLANK(G57),"",IF(INDEX(B_InstallationDescription!$M$156:$M$165,MATCH(S57,B_InstallationDescription!$E$156:$E$165,0))&gt;0,INDEX(B_InstallationDescription!$M$156:$M$165,MATCH(S57,B_InstallationDescription!$E$156:$E$165,0)),""))</f>
        <v/>
      </c>
      <c r="F57" s="1624"/>
      <c r="G57" s="1610"/>
      <c r="H57" s="1611"/>
      <c r="I57" s="1611"/>
      <c r="J57" s="1612"/>
      <c r="M57" s="338" t="str">
        <f>Translations!$B$686</f>
        <v>Bendras deginant iškastinį kurą išmestas ŠESD kiekis:</v>
      </c>
      <c r="N57" s="1000" t="str">
        <f>IF(G57="","",M69*M73*M74*10^-3*(1-M71)*S84*R75)</f>
        <v/>
      </c>
      <c r="O57" s="1314" t="s">
        <v>257</v>
      </c>
      <c r="P57" s="2"/>
      <c r="Q57" s="343" t="str">
        <f>EUconst_SumCO2 &amp; "_" &amp;E57</f>
        <v>SUM_CO2_</v>
      </c>
      <c r="R57" s="27" t="str">
        <f>IF(ISBLANK(G57),"",MATCH(G57,CNTR_MeasurementPoints,0))</f>
        <v/>
      </c>
      <c r="S57" s="27" t="str">
        <f>IF(ISBLANK(G57),"",INDEX(B_InstallationDescription!$E$156:$E$165,MATCH(G57,CNTR_MeasurementPoints,0)))</f>
        <v/>
      </c>
      <c r="T57" s="1017" t="str">
        <f>IF(ISBLANK(G57),"",MATCH(E57,EUconst_CEMSType,0))</f>
        <v/>
      </c>
      <c r="U57" s="407" t="b">
        <f>E57=INDEX(EUconst_CEMSType,3)</f>
        <v>0</v>
      </c>
      <c r="V57" s="515" t="b">
        <f>OR(E57=INDEX(EUconst_CEMSType,1),E57=INDEX(EUconst_CEMSType,2))</f>
        <v>0</v>
      </c>
      <c r="W57" s="30"/>
      <c r="X57" s="887">
        <f>M69</f>
        <v>0</v>
      </c>
      <c r="Y57" s="846">
        <f>M71</f>
        <v>0</v>
      </c>
      <c r="Z57" s="846">
        <f>M72</f>
        <v>0</v>
      </c>
      <c r="AA57" s="846">
        <f>M73</f>
        <v>0</v>
      </c>
      <c r="AB57" s="846">
        <f>M74</f>
        <v>0</v>
      </c>
      <c r="AC57" s="846" t="str">
        <f>M75</f>
        <v/>
      </c>
      <c r="AD57" s="846" t="str">
        <f>M77</f>
        <v/>
      </c>
      <c r="AE57" s="846" t="str">
        <f>R75</f>
        <v/>
      </c>
      <c r="AF57" s="846" t="str">
        <f>N57</f>
        <v/>
      </c>
      <c r="AG57" s="846" t="str">
        <f>N58</f>
        <v/>
      </c>
      <c r="AH57" s="846" t="str">
        <f>R59</f>
        <v/>
      </c>
      <c r="AI57" s="846">
        <f>R60</f>
        <v>0</v>
      </c>
      <c r="AJ57" s="846">
        <f>R61</f>
        <v>0</v>
      </c>
      <c r="AK57" s="30"/>
      <c r="AL57" s="32" t="b">
        <f>CNTR_MeasurementRelevant=EUconst_NotRelevant</f>
        <v>1</v>
      </c>
    </row>
    <row r="58" spans="1:38" s="382" customFormat="1" ht="15" customHeight="1" thickBot="1" x14ac:dyDescent="0.25">
      <c r="A58" s="741"/>
      <c r="B58" s="1280"/>
      <c r="C58" s="5"/>
      <c r="I58" s="24"/>
      <c r="J58" s="5"/>
      <c r="K58" s="5"/>
      <c r="L58" s="5"/>
      <c r="M58" s="337" t="str">
        <f>Translations!$B$687</f>
        <v>Bendras deginant biomasę išmestas ŠESD kiekis:</v>
      </c>
      <c r="N58" s="999" t="str">
        <f>IF(G57="","",M69*M73*M74*10^-3*(M71)*S84*R75)</f>
        <v/>
      </c>
      <c r="O58" s="1315" t="s">
        <v>257</v>
      </c>
      <c r="P58" s="2"/>
      <c r="Q58" s="344" t="str">
        <f>EUconst_SumBioCO2 &amp; "_" &amp; E57</f>
        <v>SUM_bioCO2_</v>
      </c>
      <c r="R58" s="23"/>
      <c r="S58" s="23"/>
      <c r="T58" s="23"/>
      <c r="U58" s="23"/>
      <c r="V58" s="23"/>
      <c r="W58" s="23"/>
      <c r="X58" s="833" t="s">
        <v>500</v>
      </c>
      <c r="Y58" s="833" t="s">
        <v>215</v>
      </c>
      <c r="Z58" s="833" t="s">
        <v>494</v>
      </c>
      <c r="AA58" s="833" t="s">
        <v>501</v>
      </c>
      <c r="AB58" s="833" t="s">
        <v>502</v>
      </c>
      <c r="AC58" s="833" t="s">
        <v>503</v>
      </c>
      <c r="AD58" s="833" t="s">
        <v>504</v>
      </c>
      <c r="AE58" s="833" t="s">
        <v>386</v>
      </c>
      <c r="AF58" s="833" t="s">
        <v>287</v>
      </c>
      <c r="AG58" s="833" t="s">
        <v>495</v>
      </c>
      <c r="AH58" s="833" t="s">
        <v>498</v>
      </c>
      <c r="AI58" s="833" t="s">
        <v>496</v>
      </c>
      <c r="AJ58" s="833" t="s">
        <v>497</v>
      </c>
      <c r="AK58" s="23"/>
      <c r="AL58" s="23"/>
    </row>
    <row r="59" spans="1:38" ht="13.5" thickBot="1" x14ac:dyDescent="0.25">
      <c r="A59" s="741"/>
      <c r="B59" s="1326"/>
      <c r="C59" s="798"/>
      <c r="D59" s="799"/>
      <c r="E59" s="797"/>
      <c r="F59" s="797"/>
      <c r="G59" s="797"/>
      <c r="H59" s="797"/>
      <c r="I59" s="797"/>
      <c r="J59" s="797"/>
      <c r="K59" s="797"/>
      <c r="L59" s="797"/>
      <c r="M59" s="797"/>
      <c r="N59" s="797"/>
      <c r="O59" s="1255"/>
      <c r="P59" s="2"/>
      <c r="Q59" s="343" t="str">
        <f>EUconst_SumNonSustBioCO2 &amp; "_" &amp; K56</f>
        <v>SUM_bioNonSustCO2_</v>
      </c>
      <c r="R59" s="698" t="str">
        <f>IF(G57="","",ROUND(M69*M73*M74*10^-3*(1-M71)*M72*S84*R75,0))</f>
        <v/>
      </c>
      <c r="Y59" s="23"/>
      <c r="Z59" s="23"/>
      <c r="AA59" s="23"/>
      <c r="AB59" s="23"/>
      <c r="AC59" s="23"/>
      <c r="AD59" s="23"/>
      <c r="AE59" s="23"/>
      <c r="AF59" s="23"/>
      <c r="AG59" s="23"/>
      <c r="AH59" s="23"/>
      <c r="AI59" s="23"/>
      <c r="AJ59" s="23"/>
      <c r="AK59" s="23"/>
      <c r="AL59" s="23"/>
    </row>
    <row r="60" spans="1:38" ht="13.5" thickBot="1" x14ac:dyDescent="0.25">
      <c r="A60" s="741"/>
      <c r="B60" s="1326"/>
      <c r="C60" s="798"/>
      <c r="D60" s="799"/>
      <c r="E60" s="797"/>
      <c r="F60" s="797"/>
      <c r="G60" s="797"/>
      <c r="H60" s="797"/>
      <c r="I60" s="797"/>
      <c r="J60" s="797"/>
      <c r="K60" s="797"/>
      <c r="L60" s="797"/>
      <c r="M60" s="494" t="str">
        <f>Translations!$B$688</f>
        <v>Bendra iškastinio kuro energetinė vertė:</v>
      </c>
      <c r="N60" s="1043"/>
      <c r="O60" s="1327" t="s">
        <v>279</v>
      </c>
      <c r="P60" s="2"/>
      <c r="Q60" s="343" t="str">
        <f>EUconst_SumEnergyIN &amp; "_" &amp; K56</f>
        <v>SUM_EnergyIN_</v>
      </c>
      <c r="R60" s="698">
        <f>N60</f>
        <v>0</v>
      </c>
      <c r="Y60" s="23"/>
      <c r="Z60" s="23"/>
      <c r="AA60" s="23"/>
      <c r="AB60" s="23"/>
      <c r="AC60" s="23"/>
      <c r="AD60" s="23"/>
      <c r="AE60" s="23"/>
      <c r="AF60" s="23"/>
      <c r="AG60" s="23"/>
      <c r="AH60" s="23"/>
      <c r="AI60" s="23"/>
      <c r="AJ60" s="23"/>
      <c r="AK60" s="23"/>
      <c r="AL60" s="32" t="b">
        <f>AL65</f>
        <v>1</v>
      </c>
    </row>
    <row r="61" spans="1:38" ht="13.5" thickBot="1" x14ac:dyDescent="0.25">
      <c r="A61" s="741"/>
      <c r="B61" s="1326"/>
      <c r="C61" s="798"/>
      <c r="D61" s="799"/>
      <c r="E61" s="797"/>
      <c r="F61" s="797"/>
      <c r="G61" s="797"/>
      <c r="H61" s="797"/>
      <c r="I61" s="797"/>
      <c r="J61" s="797"/>
      <c r="K61" s="797"/>
      <c r="L61" s="797"/>
      <c r="M61" s="337" t="str">
        <f>Translations!$B$689</f>
        <v>Bendra biomasės energetinė vertė:</v>
      </c>
      <c r="N61" s="1044"/>
      <c r="O61" s="1328" t="s">
        <v>279</v>
      </c>
      <c r="P61" s="2"/>
      <c r="Q61" s="343" t="str">
        <f>EUconst_SumBioEnergyIN &amp; "_" &amp; K56</f>
        <v>SUM_BioEnergyIN_</v>
      </c>
      <c r="R61" s="698">
        <f>N61</f>
        <v>0</v>
      </c>
      <c r="Y61" s="23"/>
      <c r="Z61" s="23"/>
      <c r="AA61" s="23"/>
      <c r="AB61" s="23"/>
      <c r="AC61" s="23"/>
      <c r="AD61" s="23"/>
      <c r="AE61" s="23"/>
      <c r="AF61" s="23"/>
      <c r="AG61" s="23"/>
      <c r="AH61" s="23"/>
      <c r="AI61" s="23"/>
      <c r="AJ61" s="23"/>
      <c r="AK61" s="23"/>
      <c r="AL61" s="32" t="b">
        <f>AL60</f>
        <v>1</v>
      </c>
    </row>
    <row r="62" spans="1:38" s="382" customFormat="1" ht="5.0999999999999996" customHeight="1" x14ac:dyDescent="0.2">
      <c r="A62" s="778"/>
      <c r="B62" s="1308"/>
      <c r="D62" s="151"/>
      <c r="K62" s="12"/>
      <c r="L62" s="12"/>
      <c r="M62" s="12"/>
      <c r="N62" s="12"/>
      <c r="O62" s="1329"/>
      <c r="P62" s="2"/>
      <c r="Q62" s="23"/>
      <c r="R62" s="23"/>
      <c r="S62" s="23"/>
      <c r="T62" s="23"/>
      <c r="U62" s="23"/>
      <c r="V62" s="23"/>
      <c r="W62" s="23"/>
      <c r="X62" s="23"/>
      <c r="Y62" s="23"/>
      <c r="Z62" s="23"/>
      <c r="AA62" s="23"/>
      <c r="AB62" s="23"/>
      <c r="AC62" s="23"/>
      <c r="AD62" s="23"/>
      <c r="AE62" s="23"/>
      <c r="AF62" s="23"/>
      <c r="AG62" s="23"/>
      <c r="AH62" s="23"/>
      <c r="AI62" s="23"/>
      <c r="AJ62" s="23"/>
      <c r="AK62" s="23"/>
      <c r="AL62" s="23"/>
    </row>
    <row r="63" spans="1:38" s="382" customFormat="1" ht="12.75" customHeight="1" x14ac:dyDescent="0.2">
      <c r="A63" s="778"/>
      <c r="B63" s="1308"/>
      <c r="D63" s="9" t="s">
        <v>1</v>
      </c>
      <c r="E63" s="1395" t="str">
        <f>Translations!$B$690</f>
        <v>Skaičiavimai</v>
      </c>
      <c r="F63" s="1395"/>
      <c r="G63" s="1395"/>
      <c r="H63" s="1395"/>
      <c r="I63" s="1395"/>
      <c r="J63" s="1395"/>
      <c r="K63" s="1395"/>
      <c r="L63" s="1395"/>
      <c r="M63" s="1395"/>
      <c r="N63" s="1395"/>
      <c r="O63" s="1329"/>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s="382" customFormat="1" ht="5.0999999999999996" customHeight="1" thickBot="1" x14ac:dyDescent="0.25">
      <c r="A64" s="778"/>
      <c r="B64" s="1308"/>
      <c r="D64" s="151"/>
      <c r="K64" s="12"/>
      <c r="L64" s="12"/>
      <c r="M64" s="12"/>
      <c r="N64" s="12"/>
      <c r="O64" s="1329"/>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s="382" customFormat="1" ht="12.75" customHeight="1" thickBot="1" x14ac:dyDescent="0.25">
      <c r="A65" s="778"/>
      <c r="B65" s="1308"/>
      <c r="D65" s="9"/>
      <c r="E65" s="399" t="str">
        <f>Translations!$B$691</f>
        <v>Informacija apie susijusius sukėliklius, jeigu taikytina:</v>
      </c>
      <c r="F65" s="399"/>
      <c r="G65" s="399"/>
      <c r="H65" s="399"/>
      <c r="I65" s="399"/>
      <c r="J65" s="1653" t="str">
        <f>Translations!$B$692</f>
        <v>Patvirtinamųjų skaičiavimų rezultatas (iškastinis kuras):</v>
      </c>
      <c r="K65" s="1653"/>
      <c r="L65" s="1653"/>
      <c r="M65" s="1653"/>
      <c r="N65" s="1194"/>
      <c r="O65" s="1309"/>
      <c r="P65" s="23"/>
      <c r="Q65" s="23"/>
      <c r="R65" s="23"/>
      <c r="S65" s="23"/>
      <c r="T65" s="23"/>
      <c r="U65" s="23"/>
      <c r="V65" s="23"/>
      <c r="W65" s="23"/>
      <c r="X65" s="23"/>
      <c r="Y65" s="23"/>
      <c r="Z65" s="23"/>
      <c r="AA65" s="23"/>
      <c r="AB65" s="23"/>
      <c r="AC65" s="23"/>
      <c r="AD65" s="23"/>
      <c r="AE65" s="23"/>
      <c r="AF65" s="23"/>
      <c r="AG65" s="23"/>
      <c r="AH65" s="23"/>
      <c r="AI65" s="23"/>
      <c r="AJ65" s="23"/>
      <c r="AK65" s="26" t="b">
        <f>IF(E57="",FALSE,MATCH(E57,EUconst_CEMSType,0)=2)</f>
        <v>0</v>
      </c>
      <c r="AL65" s="26" t="b">
        <f>OR(CNTR_MeasurementRelevant=EUconst_NotRelevant,AND(COUNTA(CNTR_ListRelevantSections)&gt;0,G57=""))</f>
        <v>1</v>
      </c>
    </row>
    <row r="66" spans="1:38" s="382" customFormat="1" x14ac:dyDescent="0.2">
      <c r="A66" s="778"/>
      <c r="B66" s="1308"/>
      <c r="D66" s="9"/>
      <c r="E66" s="1654"/>
      <c r="F66" s="1655"/>
      <c r="G66" s="1655"/>
      <c r="H66" s="1655"/>
      <c r="I66" s="1656"/>
      <c r="J66" s="1653" t="str">
        <f>Translations!$B$693</f>
        <v>Patvirtinamųjų skaičiavimų rezultatas (biomasė):</v>
      </c>
      <c r="K66" s="1653"/>
      <c r="L66" s="1653"/>
      <c r="M66" s="1653"/>
      <c r="N66" s="1195"/>
      <c r="O66" s="1309"/>
      <c r="P66" s="681"/>
      <c r="Q66" s="23"/>
      <c r="R66" s="23"/>
      <c r="S66" s="23"/>
      <c r="T66" s="23"/>
      <c r="U66" s="23"/>
      <c r="V66" s="23"/>
      <c r="W66" s="23"/>
      <c r="X66" s="23"/>
      <c r="Y66" s="23"/>
      <c r="Z66" s="23"/>
      <c r="AA66" s="23"/>
      <c r="AB66" s="23"/>
      <c r="AC66" s="23"/>
      <c r="AD66" s="23"/>
      <c r="AE66" s="23"/>
      <c r="AF66" s="23"/>
      <c r="AG66" s="23"/>
      <c r="AH66" s="23"/>
      <c r="AI66" s="23"/>
      <c r="AJ66" s="23"/>
      <c r="AK66" s="26" t="b">
        <f>AK65</f>
        <v>0</v>
      </c>
      <c r="AL66" s="26" t="b">
        <f>AL65</f>
        <v>1</v>
      </c>
    </row>
    <row r="67" spans="1:38" s="382" customFormat="1" ht="5.0999999999999996" customHeight="1" x14ac:dyDescent="0.2">
      <c r="A67" s="778"/>
      <c r="B67" s="1308"/>
      <c r="D67" s="9"/>
      <c r="E67" s="49"/>
      <c r="F67" s="49"/>
      <c r="G67" s="49"/>
      <c r="H67" s="49"/>
      <c r="I67" s="49"/>
      <c r="J67" s="49"/>
      <c r="K67" s="49"/>
      <c r="L67" s="49"/>
      <c r="M67" s="49"/>
      <c r="N67" s="49"/>
      <c r="O67" s="1309"/>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s="382" customFormat="1" ht="12.75" customHeight="1" thickBot="1" x14ac:dyDescent="0.25">
      <c r="A68" s="778"/>
      <c r="B68" s="1308"/>
      <c r="I68" s="49"/>
      <c r="J68" s="49"/>
      <c r="K68" s="49"/>
      <c r="L68" s="793" t="str">
        <f>EUconst_Unit</f>
        <v>Vienetas</v>
      </c>
      <c r="M68" s="793"/>
      <c r="O68" s="1309"/>
      <c r="P68" s="681"/>
      <c r="Q68" s="23"/>
      <c r="R68" s="23"/>
      <c r="S68" s="23"/>
      <c r="T68" s="23"/>
      <c r="U68" s="23"/>
      <c r="V68" s="23"/>
      <c r="W68" s="23"/>
      <c r="X68" s="23"/>
      <c r="Y68" s="23"/>
      <c r="Z68" s="23"/>
      <c r="AA68" s="23"/>
      <c r="AB68" s="23"/>
      <c r="AC68" s="23"/>
      <c r="AD68" s="23"/>
      <c r="AE68" s="23"/>
      <c r="AF68" s="23"/>
      <c r="AG68" s="23"/>
      <c r="AH68" s="23"/>
      <c r="AI68" s="23"/>
      <c r="AJ68" s="23"/>
      <c r="AK68" s="23"/>
      <c r="AL68" s="23"/>
    </row>
    <row r="69" spans="1:38" s="382" customFormat="1" ht="12.75" customHeight="1" thickBot="1" x14ac:dyDescent="0.25">
      <c r="A69" s="778"/>
      <c r="B69" s="1308"/>
      <c r="E69" s="21" t="str">
        <f>Translations!$B$162</f>
        <v>Naudojama pakopa.</v>
      </c>
      <c r="F69" s="393"/>
      <c r="G69" s="402" t="s">
        <v>4</v>
      </c>
      <c r="H69" s="395" t="str">
        <f>Translations!$B$694</f>
        <v>ŠESD koncentracija (metinis valandinis vidurkis):</v>
      </c>
      <c r="I69" s="381"/>
      <c r="J69" s="381"/>
      <c r="K69" s="381"/>
      <c r="L69" s="678" t="str">
        <f>EUconst_gpNm3</f>
        <v>g/Nm3</v>
      </c>
      <c r="M69" s="1198"/>
      <c r="O69" s="1309"/>
      <c r="P69" s="23"/>
      <c r="Q69" s="2"/>
      <c r="R69" s="23"/>
      <c r="S69" s="23"/>
      <c r="T69" s="23"/>
      <c r="U69" s="23"/>
      <c r="V69" s="23"/>
      <c r="W69" s="23"/>
      <c r="X69" s="23"/>
      <c r="Y69" s="23"/>
      <c r="Z69" s="23"/>
      <c r="AA69" s="23"/>
      <c r="AB69" s="23"/>
      <c r="AC69" s="23"/>
      <c r="AD69" s="23"/>
      <c r="AE69" s="23"/>
      <c r="AF69" s="23"/>
      <c r="AG69" s="23"/>
      <c r="AH69" s="23"/>
      <c r="AI69" s="23"/>
      <c r="AJ69" s="23"/>
      <c r="AK69" s="23"/>
      <c r="AL69" s="26" t="b">
        <f>AL66</f>
        <v>1</v>
      </c>
    </row>
    <row r="70" spans="1:38" s="382" customFormat="1" ht="12.75" customHeight="1" thickBot="1" x14ac:dyDescent="0.25">
      <c r="A70" s="778"/>
      <c r="B70" s="1308"/>
      <c r="F70" s="472" t="str">
        <f>IF(OR(ISBLANK(F69),F69=EUconst_NoTier),"",IF(R71=EUconst_NA,EUconst_NA,IF(ISERROR(R71),"",R71)))</f>
        <v/>
      </c>
      <c r="G70" s="402"/>
      <c r="H70" s="395"/>
      <c r="I70" s="381"/>
      <c r="J70" s="381"/>
      <c r="K70" s="381"/>
      <c r="M70" s="151"/>
      <c r="O70" s="1309"/>
      <c r="P70" s="23"/>
      <c r="Q70" s="2"/>
      <c r="R70" s="684" t="s">
        <v>538</v>
      </c>
      <c r="S70" s="23"/>
      <c r="T70" s="23"/>
      <c r="U70" s="23"/>
      <c r="V70" s="23"/>
      <c r="W70" s="23"/>
      <c r="X70" s="23"/>
      <c r="Y70" s="23"/>
      <c r="Z70" s="23"/>
      <c r="AA70" s="23"/>
      <c r="AB70" s="23"/>
      <c r="AC70" s="23"/>
      <c r="AD70" s="23"/>
      <c r="AE70" s="23"/>
      <c r="AF70" s="23"/>
      <c r="AG70" s="23"/>
      <c r="AH70" s="23"/>
      <c r="AI70" s="23"/>
      <c r="AJ70" s="23"/>
      <c r="AK70" s="23"/>
      <c r="AL70" s="23"/>
    </row>
    <row r="71" spans="1:38" s="382" customFormat="1" ht="12.75" customHeight="1" x14ac:dyDescent="0.2">
      <c r="A71" s="778"/>
      <c r="B71" s="1308"/>
      <c r="D71" s="200"/>
      <c r="G71" s="402" t="s">
        <v>5</v>
      </c>
      <c r="H71" s="395" t="str">
        <f>Translations!$B$682</f>
        <v>Biomasės dalis:</v>
      </c>
      <c r="I71" s="290"/>
      <c r="J71" s="290"/>
      <c r="K71" s="290"/>
      <c r="L71" s="806" t="s">
        <v>258</v>
      </c>
      <c r="M71" s="807"/>
      <c r="O71" s="1309"/>
      <c r="P71" s="23"/>
      <c r="Q71" s="2"/>
      <c r="R71" s="43" t="str">
        <f>IF(F69="","",IF(F69=EUconst_NA,"",INDEX(EUwideConstants!$H$689:$M$691,MATCH(E57,EUwideConstants!$B$689:$B$691,0),MATCH(F69,CNTR_TierList,0))))</f>
        <v/>
      </c>
      <c r="S71" s="23"/>
      <c r="T71" s="23"/>
      <c r="U71" s="23"/>
      <c r="V71" s="23"/>
      <c r="W71" s="23"/>
      <c r="X71" s="23"/>
      <c r="Y71" s="23"/>
      <c r="Z71" s="23"/>
      <c r="AA71" s="23"/>
      <c r="AB71" s="23"/>
      <c r="AC71" s="23"/>
      <c r="AD71" s="23"/>
      <c r="AE71" s="23"/>
      <c r="AF71" s="23"/>
      <c r="AG71" s="23"/>
      <c r="AH71" s="23"/>
      <c r="AI71" s="23"/>
      <c r="AJ71" s="23"/>
      <c r="AK71" s="23"/>
      <c r="AL71" s="26" t="b">
        <f>AL69</f>
        <v>1</v>
      </c>
    </row>
    <row r="72" spans="1:38" s="382" customFormat="1" ht="12.75" customHeight="1" thickBot="1" x14ac:dyDescent="0.25">
      <c r="A72" s="778"/>
      <c r="B72" s="1308"/>
      <c r="D72" s="200"/>
      <c r="G72" s="402" t="s">
        <v>194</v>
      </c>
      <c r="H72" s="884" t="str">
        <f>Translations!$B$683</f>
        <v>netvarios biomasės dalis:</v>
      </c>
      <c r="I72" s="292"/>
      <c r="J72" s="292"/>
      <c r="K72" s="292"/>
      <c r="L72" s="885" t="s">
        <v>258</v>
      </c>
      <c r="M72" s="886"/>
      <c r="O72" s="1309"/>
      <c r="P72" s="23"/>
      <c r="Q72" s="2"/>
      <c r="R72" s="684"/>
      <c r="S72" s="23"/>
      <c r="T72" s="23"/>
      <c r="U72" s="23"/>
      <c r="V72" s="23"/>
      <c r="W72" s="23"/>
      <c r="X72" s="23"/>
      <c r="Y72" s="23"/>
      <c r="Z72" s="23"/>
      <c r="AA72" s="23"/>
      <c r="AB72" s="23"/>
      <c r="AC72" s="23"/>
      <c r="AD72" s="23"/>
      <c r="AE72" s="23"/>
      <c r="AF72" s="23"/>
      <c r="AG72" s="23"/>
      <c r="AH72" s="23"/>
      <c r="AI72" s="23"/>
      <c r="AJ72" s="23"/>
      <c r="AK72" s="23"/>
      <c r="AL72" s="26" t="b">
        <f>AL71</f>
        <v>1</v>
      </c>
    </row>
    <row r="73" spans="1:38" s="382" customFormat="1" ht="12.75" customHeight="1" x14ac:dyDescent="0.2">
      <c r="A73" s="778"/>
      <c r="B73" s="1308"/>
      <c r="E73" s="22" t="str">
        <f>Translations!$B$684</f>
        <v>VAP:</v>
      </c>
      <c r="F73" s="682" t="str">
        <f>IF(OR(G57="",F74&lt;&gt;""),"",IF(T57=2,298,1))</f>
        <v/>
      </c>
      <c r="G73" s="402" t="s">
        <v>195</v>
      </c>
      <c r="H73" s="397" t="str">
        <f>Translations!$B$695</f>
        <v>Veikimo valandos:</v>
      </c>
      <c r="I73" s="398"/>
      <c r="J73" s="398"/>
      <c r="K73" s="398"/>
      <c r="L73" s="679" t="str">
        <f>EUconst_hpa</f>
        <v>val./metai</v>
      </c>
      <c r="M73" s="811"/>
      <c r="O73" s="1309"/>
      <c r="P73" s="23"/>
      <c r="Q73" s="2"/>
      <c r="R73" s="23"/>
      <c r="S73" s="23"/>
      <c r="T73" s="23"/>
      <c r="U73" s="23"/>
      <c r="V73" s="23"/>
      <c r="W73" s="23"/>
      <c r="X73" s="23"/>
      <c r="Y73" s="23"/>
      <c r="Z73" s="23"/>
      <c r="AA73" s="23"/>
      <c r="AB73" s="23"/>
      <c r="AC73" s="23"/>
      <c r="AD73" s="23"/>
      <c r="AE73" s="23"/>
      <c r="AF73" s="23"/>
      <c r="AG73" s="23"/>
      <c r="AH73" s="23"/>
      <c r="AI73" s="23"/>
      <c r="AJ73" s="23"/>
      <c r="AK73" s="23"/>
      <c r="AL73" s="26" t="b">
        <f>AL71</f>
        <v>1</v>
      </c>
    </row>
    <row r="74" spans="1:38" s="382" customFormat="1" ht="12.75" customHeight="1" thickBot="1" x14ac:dyDescent="0.25">
      <c r="A74" s="778"/>
      <c r="B74" s="1308"/>
      <c r="D74" s="794"/>
      <c r="E74" s="687" t="str">
        <f>Translations!$B$696</f>
        <v>(CO2(e) tonos / ŠESD tonos)</v>
      </c>
      <c r="F74" s="683"/>
      <c r="G74" s="402" t="s">
        <v>196</v>
      </c>
      <c r="H74" s="396" t="str">
        <f>Translations!$B$697</f>
        <v>Kaminų dujų srautas (metinis valandinis vidurkis):</v>
      </c>
      <c r="I74" s="291"/>
      <c r="J74" s="291"/>
      <c r="K74" s="291"/>
      <c r="L74" s="680" t="str">
        <f>EUconst_Nm3ph</f>
        <v>1 000 Nm3/h</v>
      </c>
      <c r="M74" s="808"/>
      <c r="O74" s="1309"/>
      <c r="P74" s="23"/>
      <c r="Q74" s="2"/>
      <c r="R74" s="13" t="s">
        <v>386</v>
      </c>
      <c r="S74" s="23"/>
      <c r="T74" s="23"/>
      <c r="U74" s="23"/>
      <c r="V74" s="23"/>
      <c r="W74" s="23"/>
      <c r="X74" s="23"/>
      <c r="Y74" s="23"/>
      <c r="Z74" s="23"/>
      <c r="AA74" s="23"/>
      <c r="AB74" s="23"/>
      <c r="AC74" s="23"/>
      <c r="AD74" s="23"/>
      <c r="AE74" s="23"/>
      <c r="AF74" s="23"/>
      <c r="AG74" s="23"/>
      <c r="AH74" s="23"/>
      <c r="AI74" s="23"/>
      <c r="AJ74" s="23"/>
      <c r="AK74" s="23"/>
      <c r="AL74" s="26" t="b">
        <f>AL73</f>
        <v>1</v>
      </c>
    </row>
    <row r="75" spans="1:38" s="382" customFormat="1" ht="12.75" customHeight="1" thickBot="1" x14ac:dyDescent="0.25">
      <c r="A75" s="778"/>
      <c r="B75" s="1308"/>
      <c r="D75" s="794"/>
      <c r="G75" s="687" t="s">
        <v>197</v>
      </c>
      <c r="H75" s="395" t="str">
        <f>Translations!$B$698</f>
        <v>Kaminų dujų srautas (bendras metinis kiekis):</v>
      </c>
      <c r="I75" s="290"/>
      <c r="J75" s="290"/>
      <c r="K75" s="290"/>
      <c r="L75" s="678" t="str">
        <f>EUconst_kNm3pa</f>
        <v>1 000 Nm3/m.</v>
      </c>
      <c r="M75" s="809" t="str">
        <f>IF(COUNT(M73,M74)=2,M73*M74,"")</f>
        <v/>
      </c>
      <c r="O75" s="1309"/>
      <c r="P75" s="23"/>
      <c r="Q75" s="23"/>
      <c r="R75" s="43" t="str">
        <f>IF(F74="",F73,F74)</f>
        <v/>
      </c>
      <c r="S75" s="23"/>
      <c r="T75" s="23"/>
      <c r="U75" s="23"/>
      <c r="V75" s="23"/>
      <c r="W75" s="23"/>
      <c r="X75" s="23"/>
      <c r="Y75" s="23"/>
      <c r="Z75" s="23"/>
      <c r="AA75" s="23"/>
      <c r="AB75" s="23"/>
      <c r="AC75" s="23"/>
      <c r="AD75" s="23"/>
      <c r="AE75" s="23"/>
      <c r="AF75" s="23"/>
      <c r="AG75" s="23"/>
      <c r="AH75" s="23"/>
      <c r="AI75" s="23"/>
      <c r="AJ75" s="23"/>
      <c r="AK75" s="23"/>
      <c r="AL75" s="23"/>
    </row>
    <row r="76" spans="1:38" s="382" customFormat="1" ht="5.0999999999999996" customHeight="1" thickBot="1" x14ac:dyDescent="0.25">
      <c r="A76" s="778"/>
      <c r="B76" s="1308"/>
      <c r="D76" s="794"/>
      <c r="E76" s="200"/>
      <c r="F76" s="200"/>
      <c r="G76" s="200"/>
      <c r="H76" s="200"/>
      <c r="I76" s="200"/>
      <c r="J76" s="200"/>
      <c r="K76" s="200"/>
      <c r="L76" s="200"/>
      <c r="M76" s="6"/>
      <c r="O76" s="1309"/>
      <c r="P76" s="23"/>
      <c r="Q76" s="23"/>
      <c r="R76" s="684"/>
      <c r="S76" s="23"/>
      <c r="T76" s="23"/>
      <c r="U76" s="23"/>
      <c r="V76" s="23"/>
      <c r="W76" s="23"/>
      <c r="X76" s="23"/>
      <c r="Y76" s="23"/>
      <c r="Z76" s="23"/>
      <c r="AA76" s="23"/>
      <c r="AB76" s="23"/>
      <c r="AC76" s="23"/>
      <c r="AD76" s="23"/>
      <c r="AE76" s="23"/>
      <c r="AF76" s="23"/>
      <c r="AG76" s="23"/>
      <c r="AH76" s="23"/>
      <c r="AI76" s="23"/>
      <c r="AJ76" s="23"/>
      <c r="AK76" s="23"/>
      <c r="AL76" s="23"/>
    </row>
    <row r="77" spans="1:38" s="382" customFormat="1" ht="12.75" customHeight="1" thickBot="1" x14ac:dyDescent="0.25">
      <c r="A77" s="778"/>
      <c r="B77" s="1308"/>
      <c r="D77" s="794"/>
      <c r="E77" s="200"/>
      <c r="F77" s="200"/>
      <c r="G77" s="687" t="s">
        <v>198</v>
      </c>
      <c r="H77" s="395" t="str">
        <f>Translations!$B$699</f>
        <v>Metinis deginant iškastinį kurą išmestas ŠESD kiekis</v>
      </c>
      <c r="I77" s="290"/>
      <c r="J77" s="290"/>
      <c r="K77" s="290"/>
      <c r="L77" s="678" t="str">
        <f>EUconst_t</f>
        <v>t</v>
      </c>
      <c r="M77" s="810" t="str">
        <f>IF(G57="","",ROUND(M69*M73*M74*10^-3*(1-M71),0))</f>
        <v/>
      </c>
      <c r="O77" s="1309"/>
      <c r="P77" s="23"/>
      <c r="Q77" s="23"/>
      <c r="R77" s="684"/>
      <c r="S77" s="23"/>
      <c r="T77" s="23"/>
      <c r="U77" s="23"/>
      <c r="V77" s="23"/>
      <c r="W77" s="23"/>
      <c r="X77" s="23"/>
      <c r="Y77" s="23"/>
      <c r="Z77" s="23"/>
      <c r="AA77" s="23"/>
      <c r="AB77" s="23"/>
      <c r="AC77" s="23"/>
      <c r="AD77" s="23"/>
      <c r="AE77" s="23"/>
      <c r="AF77" s="23"/>
      <c r="AG77" s="23"/>
      <c r="AH77" s="23"/>
      <c r="AI77" s="23"/>
      <c r="AJ77" s="23"/>
      <c r="AK77" s="23"/>
      <c r="AL77" s="23"/>
    </row>
    <row r="78" spans="1:38" s="382" customFormat="1" ht="5.0999999999999996" customHeight="1" x14ac:dyDescent="0.2">
      <c r="A78" s="778"/>
      <c r="B78" s="1308"/>
      <c r="D78" s="794"/>
      <c r="E78" s="200"/>
      <c r="F78" s="200"/>
      <c r="G78" s="200"/>
      <c r="H78" s="200"/>
      <c r="I78" s="200"/>
      <c r="J78" s="200"/>
      <c r="K78" s="200"/>
      <c r="L78" s="200"/>
      <c r="M78" s="200"/>
      <c r="N78" s="200"/>
      <c r="O78" s="1309"/>
      <c r="P78" s="23"/>
      <c r="Q78" s="23"/>
      <c r="R78" s="684"/>
      <c r="S78" s="23"/>
      <c r="T78" s="23"/>
      <c r="U78" s="23"/>
      <c r="V78" s="23"/>
      <c r="W78" s="23"/>
      <c r="X78" s="23"/>
      <c r="Y78" s="23"/>
      <c r="Z78" s="23"/>
      <c r="AA78" s="23"/>
      <c r="AB78" s="23"/>
      <c r="AC78" s="23"/>
      <c r="AD78" s="23"/>
      <c r="AE78" s="23"/>
      <c r="AF78" s="23"/>
      <c r="AG78" s="23"/>
      <c r="AH78" s="23"/>
      <c r="AI78" s="23"/>
      <c r="AJ78" s="23"/>
      <c r="AK78" s="23"/>
      <c r="AL78" s="23"/>
    </row>
    <row r="79" spans="1:38" s="382" customFormat="1" ht="12.75" customHeight="1" x14ac:dyDescent="0.2">
      <c r="A79" s="778"/>
      <c r="B79" s="1308"/>
      <c r="D79" s="9" t="s">
        <v>2</v>
      </c>
      <c r="E79" s="1395" t="str">
        <f>Translations!$B$700</f>
        <v>Perduotasis / būdingasis CO2</v>
      </c>
      <c r="F79" s="1395"/>
      <c r="G79" s="1395"/>
      <c r="H79" s="1395"/>
      <c r="I79" s="1395"/>
      <c r="J79" s="1395"/>
      <c r="K79" s="1395"/>
      <c r="L79" s="1395"/>
      <c r="M79" s="1395"/>
      <c r="N79" s="1395"/>
      <c r="O79" s="1309"/>
      <c r="P79" s="681"/>
      <c r="Q79" s="23"/>
      <c r="R79" s="23"/>
      <c r="S79" s="23"/>
      <c r="T79" s="23"/>
      <c r="U79" s="23"/>
      <c r="V79" s="23"/>
      <c r="W79" s="23"/>
      <c r="X79" s="23"/>
      <c r="Y79" s="23"/>
      <c r="Z79" s="23"/>
      <c r="AA79" s="23"/>
      <c r="AB79" s="23"/>
      <c r="AC79" s="23"/>
      <c r="AD79" s="23"/>
      <c r="AE79" s="23"/>
      <c r="AF79" s="23"/>
      <c r="AG79" s="23"/>
      <c r="AH79" s="23"/>
      <c r="AI79" s="23"/>
      <c r="AJ79" s="23"/>
      <c r="AK79" s="23"/>
      <c r="AL79" s="23"/>
    </row>
    <row r="80" spans="1:38" s="382" customFormat="1" ht="5.0999999999999996" customHeight="1" x14ac:dyDescent="0.2">
      <c r="A80" s="778"/>
      <c r="B80" s="1308"/>
      <c r="D80" s="9"/>
      <c r="E80" s="49"/>
      <c r="F80" s="49"/>
      <c r="G80" s="49"/>
      <c r="H80" s="49"/>
      <c r="I80" s="49"/>
      <c r="J80" s="49"/>
      <c r="K80" s="49"/>
      <c r="L80" s="49"/>
      <c r="M80" s="49"/>
      <c r="N80" s="49"/>
      <c r="O80" s="1309"/>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s="382" customFormat="1" ht="12.75" customHeight="1" x14ac:dyDescent="0.2">
      <c r="A81" s="778"/>
      <c r="B81" s="1308"/>
      <c r="D81" s="402" t="s">
        <v>4</v>
      </c>
      <c r="E81" s="404" t="str">
        <f>Translations!$B$170</f>
        <v>Įrenginio pavadinimas</v>
      </c>
      <c r="F81" s="381"/>
      <c r="G81" s="381"/>
      <c r="H81" s="381"/>
      <c r="I81" s="1645"/>
      <c r="J81" s="1645"/>
      <c r="K81" s="1645"/>
      <c r="L81" s="1645"/>
      <c r="M81" s="1645"/>
      <c r="N81" s="1645"/>
      <c r="O81" s="1309"/>
      <c r="P81" s="23"/>
      <c r="Q81" s="1053" t="str">
        <f>IF(I84="","",C57 &amp; "_" &amp; EUconst_CNTR_CCSInstName &amp; I84)</f>
        <v/>
      </c>
      <c r="R81" s="23"/>
      <c r="S81" s="23"/>
      <c r="T81" s="23"/>
      <c r="U81" s="23"/>
      <c r="V81" s="23"/>
      <c r="W81" s="23"/>
      <c r="X81" s="23"/>
      <c r="Y81" s="23"/>
      <c r="Z81" s="23"/>
      <c r="AA81" s="23"/>
      <c r="AB81" s="23"/>
      <c r="AC81" s="23"/>
      <c r="AD81" s="23"/>
      <c r="AE81" s="23"/>
      <c r="AF81" s="23"/>
      <c r="AG81" s="23"/>
      <c r="AH81" s="23"/>
      <c r="AI81" s="23"/>
      <c r="AJ81" s="23"/>
      <c r="AK81" s="23"/>
      <c r="AL81" s="26" t="b">
        <f>OR(CNTR_MeasurementRelevant=EUconst_NotRelevant,AND(COUNTA(CNTR_ListRelevantSections)&gt;0,OR(G57="",V57=TRUE)))</f>
        <v>1</v>
      </c>
    </row>
    <row r="82" spans="1:38" s="382" customFormat="1" ht="12.75" customHeight="1" x14ac:dyDescent="0.2">
      <c r="A82" s="778"/>
      <c r="B82" s="1308"/>
      <c r="D82" s="402" t="s">
        <v>5</v>
      </c>
      <c r="E82" s="404" t="str">
        <f>Translations!$B$79</f>
        <v>Veiklos vykdytojo pavadinimas</v>
      </c>
      <c r="F82" s="381"/>
      <c r="G82" s="381"/>
      <c r="H82" s="381"/>
      <c r="I82" s="1645"/>
      <c r="J82" s="1645"/>
      <c r="K82" s="1645"/>
      <c r="L82" s="1645"/>
      <c r="M82" s="1645"/>
      <c r="N82" s="1645"/>
      <c r="O82" s="1309"/>
      <c r="P82" s="23"/>
      <c r="Q82" s="1053" t="str">
        <f>IF(I84="","",C57 &amp; "_" &amp; EUconst_CNTR_CCSOpName &amp; I84)</f>
        <v/>
      </c>
      <c r="R82" s="23"/>
      <c r="S82" s="23"/>
      <c r="T82" s="23"/>
      <c r="U82" s="23"/>
      <c r="V82" s="23"/>
      <c r="W82" s="23"/>
      <c r="X82" s="23"/>
      <c r="Y82" s="23"/>
      <c r="Z82" s="23"/>
      <c r="AA82" s="23"/>
      <c r="AB82" s="23"/>
      <c r="AC82" s="23"/>
      <c r="AD82" s="23"/>
      <c r="AE82" s="23"/>
      <c r="AF82" s="23"/>
      <c r="AG82" s="23"/>
      <c r="AH82" s="23"/>
      <c r="AI82" s="23"/>
      <c r="AJ82" s="23"/>
      <c r="AK82" s="23"/>
      <c r="AL82" s="26" t="b">
        <f>AL81</f>
        <v>1</v>
      </c>
    </row>
    <row r="83" spans="1:38" s="382" customFormat="1" ht="12.75" customHeight="1" x14ac:dyDescent="0.2">
      <c r="A83" s="778"/>
      <c r="B83" s="1308"/>
      <c r="D83" s="402" t="s">
        <v>194</v>
      </c>
      <c r="E83" s="404" t="str">
        <f>Translations!$B$171</f>
        <v>Įrenginio unikalus ID</v>
      </c>
      <c r="F83" s="381"/>
      <c r="G83" s="381"/>
      <c r="H83" s="381"/>
      <c r="I83" s="1645"/>
      <c r="J83" s="1645"/>
      <c r="K83" s="1645"/>
      <c r="L83" s="1645"/>
      <c r="M83" s="1645"/>
      <c r="N83" s="1645"/>
      <c r="O83" s="1309"/>
      <c r="P83" s="23"/>
      <c r="Q83" s="1053" t="str">
        <f>IF(I84="","",C57 &amp; "_" &amp; EUconst_CNTR_CCSInstID &amp; I84)</f>
        <v/>
      </c>
      <c r="R83" s="23" t="s">
        <v>537</v>
      </c>
      <c r="S83" s="23"/>
      <c r="T83" s="23"/>
      <c r="U83" s="23"/>
      <c r="V83" s="23"/>
      <c r="W83" s="23"/>
      <c r="X83" s="23"/>
      <c r="Y83" s="23"/>
      <c r="Z83" s="23"/>
      <c r="AA83" s="23"/>
      <c r="AB83" s="23"/>
      <c r="AC83" s="23"/>
      <c r="AD83" s="23"/>
      <c r="AE83" s="23"/>
      <c r="AF83" s="23"/>
      <c r="AG83" s="23"/>
      <c r="AH83" s="23"/>
      <c r="AI83" s="23"/>
      <c r="AJ83" s="23"/>
      <c r="AK83" s="23"/>
      <c r="AL83" s="26" t="b">
        <f>AL82</f>
        <v>1</v>
      </c>
    </row>
    <row r="84" spans="1:38" s="382" customFormat="1" ht="12.75" customHeight="1" x14ac:dyDescent="0.2">
      <c r="A84" s="778"/>
      <c r="B84" s="1308"/>
      <c r="D84" s="402" t="s">
        <v>195</v>
      </c>
      <c r="E84" s="404" t="str">
        <f>Translations!$B$169</f>
        <v>Perdavimo tipas</v>
      </c>
      <c r="F84" s="381"/>
      <c r="G84" s="381"/>
      <c r="H84" s="381"/>
      <c r="I84" s="1645"/>
      <c r="J84" s="1645"/>
      <c r="K84" s="1645"/>
      <c r="L84" s="1645"/>
      <c r="M84" s="1645"/>
      <c r="N84" s="1645"/>
      <c r="O84" s="1309"/>
      <c r="P84" s="23"/>
      <c r="Q84" s="23"/>
      <c r="R84" s="26" t="str">
        <f>IF(I84="","",I84=INDEX(EUconst_CO2TransferTypes,5))</f>
        <v/>
      </c>
      <c r="S84" s="43">
        <f>IF(AND(R84=TRUE,AL84=FALSE),-1,1)</f>
        <v>1</v>
      </c>
      <c r="T84" s="23"/>
      <c r="U84" s="23"/>
      <c r="V84" s="23"/>
      <c r="W84" s="23"/>
      <c r="X84" s="23"/>
      <c r="Y84" s="23"/>
      <c r="Z84" s="23"/>
      <c r="AA84" s="23"/>
      <c r="AB84" s="23"/>
      <c r="AC84" s="23"/>
      <c r="AD84" s="23"/>
      <c r="AE84" s="23"/>
      <c r="AF84" s="23"/>
      <c r="AG84" s="23"/>
      <c r="AH84" s="23"/>
      <c r="AI84" s="23"/>
      <c r="AJ84" s="23"/>
      <c r="AK84" s="23"/>
      <c r="AL84" s="26" t="b">
        <f>AL83</f>
        <v>1</v>
      </c>
    </row>
    <row r="85" spans="1:38" s="382" customFormat="1" ht="5.0999999999999996" customHeight="1" x14ac:dyDescent="0.2">
      <c r="A85" s="778"/>
      <c r="B85" s="1308"/>
      <c r="D85" s="9"/>
      <c r="E85" s="49"/>
      <c r="F85" s="49"/>
      <c r="G85" s="49"/>
      <c r="H85" s="49"/>
      <c r="I85" s="49"/>
      <c r="J85" s="49"/>
      <c r="K85" s="49"/>
      <c r="L85" s="49"/>
      <c r="M85" s="49"/>
      <c r="N85" s="49"/>
      <c r="O85" s="1309"/>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s="382" customFormat="1" ht="5.0999999999999996" customHeight="1" x14ac:dyDescent="0.2">
      <c r="A86" s="778"/>
      <c r="B86" s="1308"/>
      <c r="D86" s="9"/>
      <c r="E86" s="49"/>
      <c r="F86" s="49"/>
      <c r="G86" s="49"/>
      <c r="H86" s="49"/>
      <c r="I86" s="49"/>
      <c r="J86" s="49"/>
      <c r="K86" s="49"/>
      <c r="L86" s="49"/>
      <c r="M86" s="49"/>
      <c r="N86" s="49"/>
      <c r="O86" s="1309"/>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s="382" customFormat="1" ht="12.75" customHeight="1" x14ac:dyDescent="0.2">
      <c r="A87" s="778"/>
      <c r="B87" s="1308"/>
      <c r="E87" s="1652" t="str">
        <f>Translations!$B$701</f>
        <v>Pastabos (pvz., patvirtinamųjų skaičiavimų aprašas arba ar trūksta didelės duomenų dalies):</v>
      </c>
      <c r="F87" s="1652"/>
      <c r="G87" s="1652"/>
      <c r="H87" s="1652"/>
      <c r="I87" s="1652"/>
      <c r="J87" s="1652"/>
      <c r="K87" s="1652"/>
      <c r="L87" s="1652"/>
      <c r="M87" s="1652"/>
      <c r="N87" s="1652"/>
      <c r="O87" s="1309"/>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s="382" customFormat="1" ht="12.75" customHeight="1" x14ac:dyDescent="0.2">
      <c r="A88" s="778"/>
      <c r="B88" s="1308"/>
      <c r="D88" s="10"/>
      <c r="E88" s="1646"/>
      <c r="F88" s="1647"/>
      <c r="G88" s="1647"/>
      <c r="H88" s="1647"/>
      <c r="I88" s="1647"/>
      <c r="J88" s="1647"/>
      <c r="K88" s="1647"/>
      <c r="L88" s="1647"/>
      <c r="M88" s="1647"/>
      <c r="N88" s="1648"/>
      <c r="O88" s="1309"/>
      <c r="P88" s="23"/>
      <c r="Q88" s="23"/>
      <c r="R88" s="23"/>
      <c r="S88" s="23"/>
      <c r="T88" s="23"/>
      <c r="U88" s="23"/>
      <c r="V88" s="23"/>
      <c r="W88" s="23"/>
      <c r="X88" s="23"/>
      <c r="Y88" s="23"/>
      <c r="Z88" s="23"/>
      <c r="AA88" s="23"/>
      <c r="AB88" s="23"/>
      <c r="AC88" s="23"/>
      <c r="AD88" s="23"/>
      <c r="AE88" s="23"/>
      <c r="AF88" s="23"/>
      <c r="AG88" s="23"/>
      <c r="AH88" s="23"/>
      <c r="AI88" s="23"/>
      <c r="AJ88" s="23"/>
      <c r="AK88" s="23"/>
      <c r="AL88" s="26" t="b">
        <f>D_MeasurementBasedApproaches!AL74</f>
        <v>1</v>
      </c>
    </row>
    <row r="89" spans="1:38" s="382" customFormat="1" ht="12.75" customHeight="1" x14ac:dyDescent="0.2">
      <c r="A89" s="778"/>
      <c r="B89" s="1308"/>
      <c r="D89" s="10"/>
      <c r="E89" s="1649"/>
      <c r="F89" s="1650"/>
      <c r="G89" s="1650"/>
      <c r="H89" s="1650"/>
      <c r="I89" s="1650"/>
      <c r="J89" s="1650"/>
      <c r="K89" s="1650"/>
      <c r="L89" s="1650"/>
      <c r="M89" s="1650"/>
      <c r="N89" s="1651"/>
      <c r="O89" s="1309"/>
      <c r="P89" s="23"/>
      <c r="Q89" s="23"/>
      <c r="R89" s="23"/>
      <c r="S89" s="23"/>
      <c r="T89" s="23"/>
      <c r="U89" s="23"/>
      <c r="V89" s="23"/>
      <c r="W89" s="23"/>
      <c r="X89" s="23"/>
      <c r="Y89" s="23"/>
      <c r="Z89" s="23"/>
      <c r="AA89" s="23"/>
      <c r="AB89" s="23"/>
      <c r="AC89" s="23"/>
      <c r="AD89" s="23"/>
      <c r="AE89" s="23"/>
      <c r="AF89" s="23"/>
      <c r="AG89" s="23"/>
      <c r="AH89" s="23"/>
      <c r="AI89" s="23"/>
      <c r="AJ89" s="23"/>
      <c r="AK89" s="23"/>
      <c r="AL89" s="26" t="b">
        <f>AL88</f>
        <v>1</v>
      </c>
    </row>
    <row r="90" spans="1:38" ht="12.75" customHeight="1" thickBot="1" x14ac:dyDescent="0.25">
      <c r="A90" s="741"/>
      <c r="B90" s="1254"/>
      <c r="C90" s="36"/>
      <c r="D90" s="37"/>
      <c r="E90" s="38"/>
      <c r="F90" s="36"/>
      <c r="G90" s="39"/>
      <c r="H90" s="39"/>
      <c r="I90" s="39"/>
      <c r="J90" s="39"/>
      <c r="K90" s="39"/>
      <c r="L90" s="39"/>
      <c r="M90" s="39"/>
      <c r="N90" s="39"/>
      <c r="O90" s="1255"/>
      <c r="P90" s="2"/>
      <c r="S90" s="229"/>
      <c r="AK90" s="23"/>
    </row>
    <row r="91" spans="1:38" ht="12.75" customHeight="1" thickBot="1" x14ac:dyDescent="0.25">
      <c r="A91" s="741"/>
      <c r="B91" s="1325"/>
      <c r="C91" s="200"/>
      <c r="D91" s="6"/>
      <c r="E91" s="239"/>
      <c r="F91" s="239"/>
      <c r="G91" s="239"/>
      <c r="H91" s="239"/>
      <c r="I91" s="239"/>
      <c r="J91" s="239"/>
      <c r="K91" s="239"/>
      <c r="L91" s="239"/>
      <c r="M91" s="5"/>
      <c r="N91" s="5"/>
      <c r="O91" s="1309"/>
      <c r="P91" s="2"/>
      <c r="Q91" s="23"/>
      <c r="R91" s="23"/>
      <c r="S91" s="23"/>
      <c r="V91" s="23"/>
      <c r="W91" s="23"/>
      <c r="X91" s="27" t="s">
        <v>486</v>
      </c>
      <c r="Y91" s="23"/>
      <c r="Z91" s="23"/>
      <c r="AA91" s="23"/>
      <c r="AB91" s="23"/>
      <c r="AC91" s="23"/>
      <c r="AD91" s="23"/>
      <c r="AE91" s="23"/>
      <c r="AF91" s="23"/>
      <c r="AG91" s="23"/>
      <c r="AH91" s="23"/>
      <c r="AI91" s="23"/>
      <c r="AJ91" s="23"/>
    </row>
    <row r="92" spans="1:38" s="140" customFormat="1" ht="15" customHeight="1" thickBot="1" x14ac:dyDescent="0.25">
      <c r="A92" s="742"/>
      <c r="B92" s="1248"/>
      <c r="C92" s="391">
        <f>C57+1</f>
        <v>3</v>
      </c>
      <c r="D92" s="392"/>
      <c r="E92" s="1623" t="str">
        <f>IF(ISBLANK(G92),"",IF(INDEX(B_InstallationDescription!$M$156:$M$165,MATCH(S92,B_InstallationDescription!$E$156:$E$165,0))&gt;0,INDEX(B_InstallationDescription!$M$156:$M$165,MATCH(S92,B_InstallationDescription!$E$156:$E$165,0)),""))</f>
        <v/>
      </c>
      <c r="F92" s="1624"/>
      <c r="G92" s="1610"/>
      <c r="H92" s="1611"/>
      <c r="I92" s="1611"/>
      <c r="J92" s="1612"/>
      <c r="M92" s="338" t="str">
        <f>Translations!$B$686</f>
        <v>Bendras deginant iškastinį kurą išmestas ŠESD kiekis:</v>
      </c>
      <c r="N92" s="1000" t="str">
        <f>IF(G92="","",M104*M108*M109*10^-3*(1-M106)*S119*R110)</f>
        <v/>
      </c>
      <c r="O92" s="1314" t="s">
        <v>257</v>
      </c>
      <c r="P92" s="2"/>
      <c r="Q92" s="343" t="str">
        <f>EUconst_SumCO2 &amp; "_" &amp;E92</f>
        <v>SUM_CO2_</v>
      </c>
      <c r="R92" s="27" t="str">
        <f>IF(ISBLANK(G92),"",MATCH(G92,CNTR_MeasurementPoints,0))</f>
        <v/>
      </c>
      <c r="S92" s="27" t="str">
        <f>IF(ISBLANK(G92),"",INDEX(B_InstallationDescription!$E$156:$E$165,MATCH(G92,CNTR_MeasurementPoints,0)))</f>
        <v/>
      </c>
      <c r="T92" s="1017" t="str">
        <f>IF(ISBLANK(G92),"",MATCH(E92,EUconst_CEMSType,0))</f>
        <v/>
      </c>
      <c r="U92" s="407" t="b">
        <f>E92=INDEX(EUconst_CEMSType,3)</f>
        <v>0</v>
      </c>
      <c r="V92" s="515" t="b">
        <f>OR(E92=INDEX(EUconst_CEMSType,1),E92=INDEX(EUconst_CEMSType,2))</f>
        <v>0</v>
      </c>
      <c r="W92" s="30"/>
      <c r="X92" s="887">
        <f>M104</f>
        <v>0</v>
      </c>
      <c r="Y92" s="846">
        <f>M106</f>
        <v>0</v>
      </c>
      <c r="Z92" s="846">
        <f>M107</f>
        <v>0</v>
      </c>
      <c r="AA92" s="846">
        <f>M108</f>
        <v>0</v>
      </c>
      <c r="AB92" s="846">
        <f>M109</f>
        <v>0</v>
      </c>
      <c r="AC92" s="846" t="str">
        <f>M110</f>
        <v/>
      </c>
      <c r="AD92" s="846" t="str">
        <f>M112</f>
        <v/>
      </c>
      <c r="AE92" s="846" t="str">
        <f>R110</f>
        <v/>
      </c>
      <c r="AF92" s="846" t="str">
        <f>N92</f>
        <v/>
      </c>
      <c r="AG92" s="846" t="str">
        <f>N93</f>
        <v/>
      </c>
      <c r="AH92" s="846" t="str">
        <f>R94</f>
        <v/>
      </c>
      <c r="AI92" s="846">
        <f>R95</f>
        <v>0</v>
      </c>
      <c r="AJ92" s="846">
        <f>R96</f>
        <v>0</v>
      </c>
      <c r="AK92" s="30"/>
      <c r="AL92" s="32" t="b">
        <f>CNTR_MeasurementRelevant=EUconst_NotRelevant</f>
        <v>1</v>
      </c>
    </row>
    <row r="93" spans="1:38" s="382" customFormat="1" ht="15" customHeight="1" thickBot="1" x14ac:dyDescent="0.25">
      <c r="A93" s="741"/>
      <c r="B93" s="1280"/>
      <c r="C93" s="5"/>
      <c r="I93" s="24"/>
      <c r="J93" s="5"/>
      <c r="K93" s="5"/>
      <c r="L93" s="5"/>
      <c r="M93" s="337" t="str">
        <f>Translations!$B$687</f>
        <v>Bendras deginant biomasę išmestas ŠESD kiekis:</v>
      </c>
      <c r="N93" s="999" t="str">
        <f>IF(G92="","",M104*M108*M109*10^-3*(M106)*S119*R110)</f>
        <v/>
      </c>
      <c r="O93" s="1315" t="s">
        <v>257</v>
      </c>
      <c r="P93" s="2"/>
      <c r="Q93" s="344" t="str">
        <f>EUconst_SumBioCO2 &amp; "_" &amp; E92</f>
        <v>SUM_bioCO2_</v>
      </c>
      <c r="R93" s="23"/>
      <c r="S93" s="23"/>
      <c r="T93" s="23"/>
      <c r="U93" s="23"/>
      <c r="V93" s="23"/>
      <c r="W93" s="23"/>
      <c r="X93" s="833" t="s">
        <v>500</v>
      </c>
      <c r="Y93" s="833" t="s">
        <v>215</v>
      </c>
      <c r="Z93" s="833" t="s">
        <v>494</v>
      </c>
      <c r="AA93" s="833" t="s">
        <v>501</v>
      </c>
      <c r="AB93" s="833" t="s">
        <v>502</v>
      </c>
      <c r="AC93" s="833" t="s">
        <v>503</v>
      </c>
      <c r="AD93" s="833" t="s">
        <v>504</v>
      </c>
      <c r="AE93" s="833" t="s">
        <v>386</v>
      </c>
      <c r="AF93" s="833" t="s">
        <v>287</v>
      </c>
      <c r="AG93" s="833" t="s">
        <v>495</v>
      </c>
      <c r="AH93" s="833" t="s">
        <v>498</v>
      </c>
      <c r="AI93" s="833" t="s">
        <v>496</v>
      </c>
      <c r="AJ93" s="833" t="s">
        <v>497</v>
      </c>
      <c r="AK93" s="23"/>
      <c r="AL93" s="23"/>
    </row>
    <row r="94" spans="1:38" ht="13.5" thickBot="1" x14ac:dyDescent="0.25">
      <c r="A94" s="741"/>
      <c r="B94" s="1326"/>
      <c r="C94" s="798"/>
      <c r="D94" s="799"/>
      <c r="E94" s="797"/>
      <c r="F94" s="797"/>
      <c r="G94" s="797"/>
      <c r="H94" s="797"/>
      <c r="I94" s="797"/>
      <c r="J94" s="797"/>
      <c r="K94" s="797"/>
      <c r="L94" s="797"/>
      <c r="M94" s="797"/>
      <c r="N94" s="797"/>
      <c r="O94" s="1255"/>
      <c r="P94" s="2"/>
      <c r="Q94" s="343" t="str">
        <f>EUconst_SumNonSustBioCO2 &amp; "_" &amp; K91</f>
        <v>SUM_bioNonSustCO2_</v>
      </c>
      <c r="R94" s="698" t="str">
        <f>IF(G92="","",ROUND(M104*M108*M109*10^-3*(1-M106)*M107*S119*R110,0))</f>
        <v/>
      </c>
      <c r="Y94" s="23"/>
      <c r="Z94" s="23"/>
      <c r="AA94" s="23"/>
      <c r="AB94" s="23"/>
      <c r="AC94" s="23"/>
      <c r="AD94" s="23"/>
      <c r="AE94" s="23"/>
      <c r="AF94" s="23"/>
      <c r="AG94" s="23"/>
      <c r="AH94" s="23"/>
      <c r="AI94" s="23"/>
      <c r="AJ94" s="23"/>
      <c r="AK94" s="23"/>
      <c r="AL94" s="23"/>
    </row>
    <row r="95" spans="1:38" ht="13.5" thickBot="1" x14ac:dyDescent="0.25">
      <c r="A95" s="741"/>
      <c r="B95" s="1326"/>
      <c r="C95" s="798"/>
      <c r="D95" s="799"/>
      <c r="E95" s="797"/>
      <c r="F95" s="797"/>
      <c r="G95" s="797"/>
      <c r="H95" s="797"/>
      <c r="I95" s="797"/>
      <c r="J95" s="797"/>
      <c r="K95" s="797"/>
      <c r="L95" s="797"/>
      <c r="M95" s="494" t="str">
        <f>Translations!$B$688</f>
        <v>Bendra iškastinio kuro energetinė vertė:</v>
      </c>
      <c r="N95" s="1043"/>
      <c r="O95" s="1327" t="s">
        <v>279</v>
      </c>
      <c r="P95" s="2"/>
      <c r="Q95" s="343" t="str">
        <f>EUconst_SumEnergyIN &amp; "_" &amp; K91</f>
        <v>SUM_EnergyIN_</v>
      </c>
      <c r="R95" s="698">
        <f>N95</f>
        <v>0</v>
      </c>
      <c r="Y95" s="23"/>
      <c r="Z95" s="23"/>
      <c r="AA95" s="23"/>
      <c r="AB95" s="23"/>
      <c r="AC95" s="23"/>
      <c r="AD95" s="23"/>
      <c r="AE95" s="23"/>
      <c r="AF95" s="23"/>
      <c r="AG95" s="23"/>
      <c r="AH95" s="23"/>
      <c r="AI95" s="23"/>
      <c r="AJ95" s="23"/>
      <c r="AK95" s="23"/>
      <c r="AL95" s="32" t="b">
        <f>AL100</f>
        <v>1</v>
      </c>
    </row>
    <row r="96" spans="1:38" ht="13.5" thickBot="1" x14ac:dyDescent="0.25">
      <c r="A96" s="741"/>
      <c r="B96" s="1326"/>
      <c r="C96" s="798"/>
      <c r="D96" s="799"/>
      <c r="E96" s="797"/>
      <c r="F96" s="797"/>
      <c r="G96" s="797"/>
      <c r="H96" s="797"/>
      <c r="I96" s="797"/>
      <c r="J96" s="797"/>
      <c r="K96" s="797"/>
      <c r="L96" s="797"/>
      <c r="M96" s="337" t="str">
        <f>Translations!$B$689</f>
        <v>Bendra biomasės energetinė vertė:</v>
      </c>
      <c r="N96" s="1044"/>
      <c r="O96" s="1328" t="s">
        <v>279</v>
      </c>
      <c r="P96" s="2"/>
      <c r="Q96" s="343" t="str">
        <f>EUconst_SumBioEnergyIN &amp; "_" &amp; K91</f>
        <v>SUM_BioEnergyIN_</v>
      </c>
      <c r="R96" s="698">
        <f>N96</f>
        <v>0</v>
      </c>
      <c r="Y96" s="23"/>
      <c r="Z96" s="23"/>
      <c r="AA96" s="23"/>
      <c r="AB96" s="23"/>
      <c r="AC96" s="23"/>
      <c r="AD96" s="23"/>
      <c r="AE96" s="23"/>
      <c r="AF96" s="23"/>
      <c r="AG96" s="23"/>
      <c r="AH96" s="23"/>
      <c r="AI96" s="23"/>
      <c r="AJ96" s="23"/>
      <c r="AK96" s="23"/>
      <c r="AL96" s="32" t="b">
        <f>AL95</f>
        <v>1</v>
      </c>
    </row>
    <row r="97" spans="1:38" s="382" customFormat="1" ht="5.0999999999999996" customHeight="1" x14ac:dyDescent="0.2">
      <c r="A97" s="778"/>
      <c r="B97" s="1308"/>
      <c r="D97" s="151"/>
      <c r="K97" s="12"/>
      <c r="L97" s="12"/>
      <c r="M97" s="12"/>
      <c r="N97" s="12"/>
      <c r="O97" s="1329"/>
      <c r="P97" s="2"/>
      <c r="Q97" s="23"/>
      <c r="R97" s="23"/>
      <c r="S97" s="23"/>
      <c r="T97" s="23"/>
      <c r="U97" s="23"/>
      <c r="V97" s="23"/>
      <c r="W97" s="23"/>
      <c r="X97" s="23"/>
      <c r="Y97" s="23"/>
      <c r="Z97" s="23"/>
      <c r="AA97" s="23"/>
      <c r="AB97" s="23"/>
      <c r="AC97" s="23"/>
      <c r="AD97" s="23"/>
      <c r="AE97" s="23"/>
      <c r="AF97" s="23"/>
      <c r="AG97" s="23"/>
      <c r="AH97" s="23"/>
      <c r="AI97" s="23"/>
      <c r="AJ97" s="23"/>
      <c r="AK97" s="23"/>
      <c r="AL97" s="23"/>
    </row>
    <row r="98" spans="1:38" s="382" customFormat="1" ht="12.75" customHeight="1" x14ac:dyDescent="0.2">
      <c r="A98" s="778"/>
      <c r="B98" s="1308"/>
      <c r="D98" s="9" t="s">
        <v>1</v>
      </c>
      <c r="E98" s="1395" t="str">
        <f>Translations!$B$690</f>
        <v>Skaičiavimai</v>
      </c>
      <c r="F98" s="1395"/>
      <c r="G98" s="1395"/>
      <c r="H98" s="1395"/>
      <c r="I98" s="1395"/>
      <c r="J98" s="1395"/>
      <c r="K98" s="1395"/>
      <c r="L98" s="1395"/>
      <c r="M98" s="1395"/>
      <c r="N98" s="1395"/>
      <c r="O98" s="1329"/>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s="382" customFormat="1" ht="5.0999999999999996" customHeight="1" thickBot="1" x14ac:dyDescent="0.25">
      <c r="A99" s="778"/>
      <c r="B99" s="1308"/>
      <c r="D99" s="151"/>
      <c r="K99" s="12"/>
      <c r="L99" s="12"/>
      <c r="M99" s="12"/>
      <c r="N99" s="12"/>
      <c r="O99" s="1329"/>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s="382" customFormat="1" ht="12.75" customHeight="1" thickBot="1" x14ac:dyDescent="0.25">
      <c r="A100" s="778"/>
      <c r="B100" s="1308"/>
      <c r="D100" s="9"/>
      <c r="E100" s="399" t="str">
        <f>Translations!$B$691</f>
        <v>Informacija apie susijusius sukėliklius, jeigu taikytina:</v>
      </c>
      <c r="F100" s="399"/>
      <c r="G100" s="399"/>
      <c r="H100" s="399"/>
      <c r="I100" s="399"/>
      <c r="J100" s="1653" t="str">
        <f>Translations!$B$692</f>
        <v>Patvirtinamųjų skaičiavimų rezultatas (iškastinis kuras):</v>
      </c>
      <c r="K100" s="1653"/>
      <c r="L100" s="1653"/>
      <c r="M100" s="1653"/>
      <c r="N100" s="1194"/>
      <c r="O100" s="1309"/>
      <c r="P100" s="23"/>
      <c r="Q100" s="23"/>
      <c r="R100" s="23"/>
      <c r="S100" s="23"/>
      <c r="T100" s="23"/>
      <c r="U100" s="23"/>
      <c r="V100" s="23"/>
      <c r="W100" s="23"/>
      <c r="X100" s="23"/>
      <c r="Y100" s="23"/>
      <c r="Z100" s="23"/>
      <c r="AA100" s="23"/>
      <c r="AB100" s="23"/>
      <c r="AC100" s="23"/>
      <c r="AD100" s="23"/>
      <c r="AE100" s="23"/>
      <c r="AF100" s="23"/>
      <c r="AG100" s="23"/>
      <c r="AH100" s="23"/>
      <c r="AI100" s="23"/>
      <c r="AJ100" s="23"/>
      <c r="AK100" s="26" t="b">
        <f>IF(E92="",FALSE,MATCH(E92,EUconst_CEMSType,0)=2)</f>
        <v>0</v>
      </c>
      <c r="AL100" s="26" t="b">
        <f>OR(CNTR_MeasurementRelevant=EUconst_NotRelevant,AND(COUNTA(CNTR_ListRelevantSections)&gt;0,G92=""))</f>
        <v>1</v>
      </c>
    </row>
    <row r="101" spans="1:38" s="382" customFormat="1" x14ac:dyDescent="0.2">
      <c r="A101" s="778"/>
      <c r="B101" s="1308"/>
      <c r="D101" s="9"/>
      <c r="E101" s="1654"/>
      <c r="F101" s="1655"/>
      <c r="G101" s="1655"/>
      <c r="H101" s="1655"/>
      <c r="I101" s="1656"/>
      <c r="J101" s="1653" t="str">
        <f>Translations!$B$693</f>
        <v>Patvirtinamųjų skaičiavimų rezultatas (biomasė):</v>
      </c>
      <c r="K101" s="1653"/>
      <c r="L101" s="1653"/>
      <c r="M101" s="1653"/>
      <c r="N101" s="1195"/>
      <c r="O101" s="1309"/>
      <c r="P101" s="681"/>
      <c r="Q101" s="23"/>
      <c r="R101" s="23"/>
      <c r="S101" s="23"/>
      <c r="T101" s="23"/>
      <c r="U101" s="23"/>
      <c r="V101" s="23"/>
      <c r="W101" s="23"/>
      <c r="X101" s="23"/>
      <c r="Y101" s="23"/>
      <c r="Z101" s="23"/>
      <c r="AA101" s="23"/>
      <c r="AB101" s="23"/>
      <c r="AC101" s="23"/>
      <c r="AD101" s="23"/>
      <c r="AE101" s="23"/>
      <c r="AF101" s="23"/>
      <c r="AG101" s="23"/>
      <c r="AH101" s="23"/>
      <c r="AI101" s="23"/>
      <c r="AJ101" s="23"/>
      <c r="AK101" s="26" t="b">
        <f>AK100</f>
        <v>0</v>
      </c>
      <c r="AL101" s="26" t="b">
        <f>AL100</f>
        <v>1</v>
      </c>
    </row>
    <row r="102" spans="1:38" s="382" customFormat="1" ht="5.0999999999999996" customHeight="1" x14ac:dyDescent="0.2">
      <c r="A102" s="778"/>
      <c r="B102" s="1308"/>
      <c r="D102" s="9"/>
      <c r="E102" s="49"/>
      <c r="F102" s="49"/>
      <c r="G102" s="49"/>
      <c r="H102" s="49"/>
      <c r="I102" s="49"/>
      <c r="J102" s="49"/>
      <c r="K102" s="49"/>
      <c r="L102" s="49"/>
      <c r="M102" s="49"/>
      <c r="N102" s="49"/>
      <c r="O102" s="1309"/>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s="382" customFormat="1" ht="12.75" customHeight="1" thickBot="1" x14ac:dyDescent="0.25">
      <c r="A103" s="778"/>
      <c r="B103" s="1308"/>
      <c r="I103" s="49"/>
      <c r="J103" s="49"/>
      <c r="K103" s="49"/>
      <c r="L103" s="793" t="str">
        <f>EUconst_Unit</f>
        <v>Vienetas</v>
      </c>
      <c r="M103" s="793"/>
      <c r="O103" s="1309"/>
      <c r="P103" s="681"/>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s="382" customFormat="1" ht="12.75" customHeight="1" thickBot="1" x14ac:dyDescent="0.25">
      <c r="A104" s="778"/>
      <c r="B104" s="1308"/>
      <c r="E104" s="21" t="str">
        <f>Translations!$B$162</f>
        <v>Naudojama pakopa.</v>
      </c>
      <c r="F104" s="393"/>
      <c r="G104" s="402" t="s">
        <v>4</v>
      </c>
      <c r="H104" s="395" t="str">
        <f>Translations!$B$694</f>
        <v>ŠESD koncentracija (metinis valandinis vidurkis):</v>
      </c>
      <c r="I104" s="381"/>
      <c r="J104" s="381"/>
      <c r="K104" s="381"/>
      <c r="L104" s="678" t="str">
        <f>EUconst_gpNm3</f>
        <v>g/Nm3</v>
      </c>
      <c r="M104" s="1198"/>
      <c r="O104" s="1309"/>
      <c r="P104" s="23"/>
      <c r="Q104" s="2"/>
      <c r="R104" s="23"/>
      <c r="S104" s="23"/>
      <c r="T104" s="23"/>
      <c r="U104" s="23"/>
      <c r="V104" s="23"/>
      <c r="W104" s="23"/>
      <c r="X104" s="23"/>
      <c r="Y104" s="23"/>
      <c r="Z104" s="23"/>
      <c r="AA104" s="23"/>
      <c r="AB104" s="23"/>
      <c r="AC104" s="23"/>
      <c r="AD104" s="23"/>
      <c r="AE104" s="23"/>
      <c r="AF104" s="23"/>
      <c r="AG104" s="23"/>
      <c r="AH104" s="23"/>
      <c r="AI104" s="23"/>
      <c r="AJ104" s="23"/>
      <c r="AK104" s="23"/>
      <c r="AL104" s="26" t="b">
        <f>AL101</f>
        <v>1</v>
      </c>
    </row>
    <row r="105" spans="1:38" s="382" customFormat="1" ht="12.75" customHeight="1" thickBot="1" x14ac:dyDescent="0.25">
      <c r="A105" s="778"/>
      <c r="B105" s="1308"/>
      <c r="F105" s="472" t="str">
        <f>IF(OR(ISBLANK(F104),F104=EUconst_NoTier),"",IF(R106=EUconst_NA,EUconst_NA,IF(ISERROR(R106),"",R106)))</f>
        <v/>
      </c>
      <c r="G105" s="402"/>
      <c r="H105" s="395"/>
      <c r="I105" s="381"/>
      <c r="J105" s="381"/>
      <c r="K105" s="381"/>
      <c r="M105" s="151"/>
      <c r="O105" s="1309"/>
      <c r="P105" s="23"/>
      <c r="Q105" s="2"/>
      <c r="R105" s="684" t="s">
        <v>538</v>
      </c>
      <c r="S105" s="23"/>
      <c r="T105" s="23"/>
      <c r="U105" s="23"/>
      <c r="V105" s="23"/>
      <c r="W105" s="23"/>
      <c r="X105" s="23"/>
      <c r="Y105" s="23"/>
      <c r="Z105" s="23"/>
      <c r="AA105" s="23"/>
      <c r="AB105" s="23"/>
      <c r="AC105" s="23"/>
      <c r="AD105" s="23"/>
      <c r="AE105" s="23"/>
      <c r="AF105" s="23"/>
      <c r="AG105" s="23"/>
      <c r="AH105" s="23"/>
      <c r="AI105" s="23"/>
      <c r="AJ105" s="23"/>
      <c r="AK105" s="23"/>
      <c r="AL105" s="23"/>
    </row>
    <row r="106" spans="1:38" s="382" customFormat="1" ht="12.75" customHeight="1" x14ac:dyDescent="0.2">
      <c r="A106" s="778"/>
      <c r="B106" s="1308"/>
      <c r="D106" s="200"/>
      <c r="G106" s="402" t="s">
        <v>5</v>
      </c>
      <c r="H106" s="395" t="str">
        <f>Translations!$B$682</f>
        <v>Biomasės dalis:</v>
      </c>
      <c r="I106" s="290"/>
      <c r="J106" s="290"/>
      <c r="K106" s="290"/>
      <c r="L106" s="806" t="s">
        <v>258</v>
      </c>
      <c r="M106" s="807"/>
      <c r="O106" s="1309"/>
      <c r="P106" s="23"/>
      <c r="Q106" s="2"/>
      <c r="R106" s="43" t="str">
        <f>IF(F104="","",IF(F104=EUconst_NA,"",INDEX(EUwideConstants!$H$689:$M$691,MATCH(E92,EUwideConstants!$B$689:$B$691,0),MATCH(F104,CNTR_TierList,0))))</f>
        <v/>
      </c>
      <c r="S106" s="23"/>
      <c r="T106" s="23"/>
      <c r="U106" s="23"/>
      <c r="V106" s="23"/>
      <c r="W106" s="23"/>
      <c r="X106" s="23"/>
      <c r="Y106" s="23"/>
      <c r="Z106" s="23"/>
      <c r="AA106" s="23"/>
      <c r="AB106" s="23"/>
      <c r="AC106" s="23"/>
      <c r="AD106" s="23"/>
      <c r="AE106" s="23"/>
      <c r="AF106" s="23"/>
      <c r="AG106" s="23"/>
      <c r="AH106" s="23"/>
      <c r="AI106" s="23"/>
      <c r="AJ106" s="23"/>
      <c r="AK106" s="23"/>
      <c r="AL106" s="26" t="b">
        <f>AL104</f>
        <v>1</v>
      </c>
    </row>
    <row r="107" spans="1:38" s="382" customFormat="1" ht="12.75" customHeight="1" thickBot="1" x14ac:dyDescent="0.25">
      <c r="A107" s="778"/>
      <c r="B107" s="1308"/>
      <c r="D107" s="200"/>
      <c r="G107" s="402" t="s">
        <v>194</v>
      </c>
      <c r="H107" s="884" t="str">
        <f>Translations!$B$683</f>
        <v>netvarios biomasės dalis:</v>
      </c>
      <c r="I107" s="292"/>
      <c r="J107" s="292"/>
      <c r="K107" s="292"/>
      <c r="L107" s="885" t="s">
        <v>258</v>
      </c>
      <c r="M107" s="886"/>
      <c r="O107" s="1309"/>
      <c r="P107" s="23"/>
      <c r="Q107" s="2"/>
      <c r="R107" s="684"/>
      <c r="S107" s="23"/>
      <c r="T107" s="23"/>
      <c r="U107" s="23"/>
      <c r="V107" s="23"/>
      <c r="W107" s="23"/>
      <c r="X107" s="23"/>
      <c r="Y107" s="23"/>
      <c r="Z107" s="23"/>
      <c r="AA107" s="23"/>
      <c r="AB107" s="23"/>
      <c r="AC107" s="23"/>
      <c r="AD107" s="23"/>
      <c r="AE107" s="23"/>
      <c r="AF107" s="23"/>
      <c r="AG107" s="23"/>
      <c r="AH107" s="23"/>
      <c r="AI107" s="23"/>
      <c r="AJ107" s="23"/>
      <c r="AK107" s="23"/>
      <c r="AL107" s="26" t="b">
        <f>AL106</f>
        <v>1</v>
      </c>
    </row>
    <row r="108" spans="1:38" s="382" customFormat="1" ht="12.75" customHeight="1" x14ac:dyDescent="0.2">
      <c r="A108" s="778"/>
      <c r="B108" s="1308"/>
      <c r="E108" s="22" t="str">
        <f>Translations!$B$684</f>
        <v>VAP:</v>
      </c>
      <c r="F108" s="682" t="str">
        <f>IF(OR(G92="",F109&lt;&gt;""),"",IF(T92=2,298,1))</f>
        <v/>
      </c>
      <c r="G108" s="402" t="s">
        <v>195</v>
      </c>
      <c r="H108" s="397" t="str">
        <f>Translations!$B$695</f>
        <v>Veikimo valandos:</v>
      </c>
      <c r="I108" s="398"/>
      <c r="J108" s="398"/>
      <c r="K108" s="398"/>
      <c r="L108" s="679" t="str">
        <f>EUconst_hpa</f>
        <v>val./metai</v>
      </c>
      <c r="M108" s="811"/>
      <c r="O108" s="1309"/>
      <c r="P108" s="23"/>
      <c r="Q108" s="2"/>
      <c r="R108" s="23"/>
      <c r="S108" s="23"/>
      <c r="T108" s="23"/>
      <c r="U108" s="23"/>
      <c r="V108" s="23"/>
      <c r="W108" s="23"/>
      <c r="X108" s="23"/>
      <c r="Y108" s="23"/>
      <c r="Z108" s="23"/>
      <c r="AA108" s="23"/>
      <c r="AB108" s="23"/>
      <c r="AC108" s="23"/>
      <c r="AD108" s="23"/>
      <c r="AE108" s="23"/>
      <c r="AF108" s="23"/>
      <c r="AG108" s="23"/>
      <c r="AH108" s="23"/>
      <c r="AI108" s="23"/>
      <c r="AJ108" s="23"/>
      <c r="AK108" s="23"/>
      <c r="AL108" s="26" t="b">
        <f>AL106</f>
        <v>1</v>
      </c>
    </row>
    <row r="109" spans="1:38" s="382" customFormat="1" ht="12.75" customHeight="1" thickBot="1" x14ac:dyDescent="0.25">
      <c r="A109" s="778"/>
      <c r="B109" s="1308"/>
      <c r="D109" s="794"/>
      <c r="E109" s="687" t="str">
        <f>Translations!$B$696</f>
        <v>(CO2(e) tonos / ŠESD tonos)</v>
      </c>
      <c r="F109" s="683"/>
      <c r="G109" s="402" t="s">
        <v>196</v>
      </c>
      <c r="H109" s="396" t="str">
        <f>Translations!$B$697</f>
        <v>Kaminų dujų srautas (metinis valandinis vidurkis):</v>
      </c>
      <c r="I109" s="291"/>
      <c r="J109" s="291"/>
      <c r="K109" s="291"/>
      <c r="L109" s="680" t="str">
        <f>EUconst_Nm3ph</f>
        <v>1 000 Nm3/h</v>
      </c>
      <c r="M109" s="808"/>
      <c r="O109" s="1309"/>
      <c r="P109" s="23"/>
      <c r="Q109" s="2"/>
      <c r="R109" s="13" t="s">
        <v>386</v>
      </c>
      <c r="S109" s="23"/>
      <c r="T109" s="23"/>
      <c r="U109" s="23"/>
      <c r="V109" s="23"/>
      <c r="W109" s="23"/>
      <c r="X109" s="23"/>
      <c r="Y109" s="23"/>
      <c r="Z109" s="23"/>
      <c r="AA109" s="23"/>
      <c r="AB109" s="23"/>
      <c r="AC109" s="23"/>
      <c r="AD109" s="23"/>
      <c r="AE109" s="23"/>
      <c r="AF109" s="23"/>
      <c r="AG109" s="23"/>
      <c r="AH109" s="23"/>
      <c r="AI109" s="23"/>
      <c r="AJ109" s="23"/>
      <c r="AK109" s="23"/>
      <c r="AL109" s="26" t="b">
        <f>AL108</f>
        <v>1</v>
      </c>
    </row>
    <row r="110" spans="1:38" s="382" customFormat="1" ht="12.75" customHeight="1" thickBot="1" x14ac:dyDescent="0.25">
      <c r="A110" s="778"/>
      <c r="B110" s="1308"/>
      <c r="D110" s="794"/>
      <c r="G110" s="687" t="s">
        <v>197</v>
      </c>
      <c r="H110" s="395" t="str">
        <f>Translations!$B$698</f>
        <v>Kaminų dujų srautas (bendras metinis kiekis):</v>
      </c>
      <c r="I110" s="290"/>
      <c r="J110" s="290"/>
      <c r="K110" s="290"/>
      <c r="L110" s="678" t="str">
        <f>EUconst_kNm3pa</f>
        <v>1 000 Nm3/m.</v>
      </c>
      <c r="M110" s="809" t="str">
        <f>IF(COUNT(M108,M109)=2,M108*M109,"")</f>
        <v/>
      </c>
      <c r="O110" s="1309"/>
      <c r="P110" s="23"/>
      <c r="Q110" s="23"/>
      <c r="R110" s="43" t="str">
        <f>IF(F109="",F108,F109)</f>
        <v/>
      </c>
      <c r="S110" s="23"/>
      <c r="T110" s="23"/>
      <c r="U110" s="23"/>
      <c r="V110" s="23"/>
      <c r="W110" s="23"/>
      <c r="X110" s="23"/>
      <c r="Y110" s="23"/>
      <c r="Z110" s="23"/>
      <c r="AA110" s="23"/>
      <c r="AB110" s="23"/>
      <c r="AC110" s="23"/>
      <c r="AD110" s="23"/>
      <c r="AE110" s="23"/>
      <c r="AF110" s="23"/>
      <c r="AG110" s="23"/>
      <c r="AH110" s="23"/>
      <c r="AI110" s="23"/>
      <c r="AJ110" s="23"/>
      <c r="AK110" s="23"/>
      <c r="AL110" s="23"/>
    </row>
    <row r="111" spans="1:38" s="382" customFormat="1" ht="5.0999999999999996" customHeight="1" thickBot="1" x14ac:dyDescent="0.25">
      <c r="A111" s="778"/>
      <c r="B111" s="1308"/>
      <c r="D111" s="794"/>
      <c r="E111" s="200"/>
      <c r="F111" s="200"/>
      <c r="G111" s="200"/>
      <c r="H111" s="200"/>
      <c r="I111" s="200"/>
      <c r="J111" s="200"/>
      <c r="K111" s="200"/>
      <c r="L111" s="200"/>
      <c r="M111" s="6"/>
      <c r="O111" s="1309"/>
      <c r="P111" s="23"/>
      <c r="Q111" s="23"/>
      <c r="R111" s="684"/>
      <c r="S111" s="23"/>
      <c r="T111" s="23"/>
      <c r="U111" s="23"/>
      <c r="V111" s="23"/>
      <c r="W111" s="23"/>
      <c r="X111" s="23"/>
      <c r="Y111" s="23"/>
      <c r="Z111" s="23"/>
      <c r="AA111" s="23"/>
      <c r="AB111" s="23"/>
      <c r="AC111" s="23"/>
      <c r="AD111" s="23"/>
      <c r="AE111" s="23"/>
      <c r="AF111" s="23"/>
      <c r="AG111" s="23"/>
      <c r="AH111" s="23"/>
      <c r="AI111" s="23"/>
      <c r="AJ111" s="23"/>
      <c r="AK111" s="23"/>
      <c r="AL111" s="23"/>
    </row>
    <row r="112" spans="1:38" s="382" customFormat="1" ht="12.75" customHeight="1" thickBot="1" x14ac:dyDescent="0.25">
      <c r="A112" s="778"/>
      <c r="B112" s="1308"/>
      <c r="D112" s="794"/>
      <c r="E112" s="200"/>
      <c r="F112" s="200"/>
      <c r="G112" s="687" t="s">
        <v>198</v>
      </c>
      <c r="H112" s="395" t="str">
        <f>Translations!$B$699</f>
        <v>Metinis deginant iškastinį kurą išmestas ŠESD kiekis</v>
      </c>
      <c r="I112" s="290"/>
      <c r="J112" s="290"/>
      <c r="K112" s="290"/>
      <c r="L112" s="678" t="str">
        <f>EUconst_t</f>
        <v>t</v>
      </c>
      <c r="M112" s="810" t="str">
        <f>IF(G92="","",ROUND(M104*M108*M109*10^-3*(1-M106),0))</f>
        <v/>
      </c>
      <c r="O112" s="1309"/>
      <c r="P112" s="23"/>
      <c r="Q112" s="23"/>
      <c r="R112" s="684"/>
      <c r="S112" s="23"/>
      <c r="T112" s="23"/>
      <c r="U112" s="23"/>
      <c r="V112" s="23"/>
      <c r="W112" s="23"/>
      <c r="X112" s="23"/>
      <c r="Y112" s="23"/>
      <c r="Z112" s="23"/>
      <c r="AA112" s="23"/>
      <c r="AB112" s="23"/>
      <c r="AC112" s="23"/>
      <c r="AD112" s="23"/>
      <c r="AE112" s="23"/>
      <c r="AF112" s="23"/>
      <c r="AG112" s="23"/>
      <c r="AH112" s="23"/>
      <c r="AI112" s="23"/>
      <c r="AJ112" s="23"/>
      <c r="AK112" s="23"/>
      <c r="AL112" s="23"/>
    </row>
    <row r="113" spans="1:38" s="382" customFormat="1" ht="5.0999999999999996" customHeight="1" x14ac:dyDescent="0.2">
      <c r="A113" s="778"/>
      <c r="B113" s="1308"/>
      <c r="D113" s="794"/>
      <c r="E113" s="200"/>
      <c r="F113" s="200"/>
      <c r="G113" s="200"/>
      <c r="H113" s="200"/>
      <c r="I113" s="200"/>
      <c r="J113" s="200"/>
      <c r="K113" s="200"/>
      <c r="L113" s="200"/>
      <c r="M113" s="200"/>
      <c r="N113" s="200"/>
      <c r="O113" s="1309"/>
      <c r="P113" s="23"/>
      <c r="Q113" s="23"/>
      <c r="R113" s="684"/>
      <c r="S113" s="23"/>
      <c r="T113" s="23"/>
      <c r="U113" s="23"/>
      <c r="V113" s="23"/>
      <c r="W113" s="23"/>
      <c r="X113" s="23"/>
      <c r="Y113" s="23"/>
      <c r="Z113" s="23"/>
      <c r="AA113" s="23"/>
      <c r="AB113" s="23"/>
      <c r="AC113" s="23"/>
      <c r="AD113" s="23"/>
      <c r="AE113" s="23"/>
      <c r="AF113" s="23"/>
      <c r="AG113" s="23"/>
      <c r="AH113" s="23"/>
      <c r="AI113" s="23"/>
      <c r="AJ113" s="23"/>
      <c r="AK113" s="23"/>
      <c r="AL113" s="23"/>
    </row>
    <row r="114" spans="1:38" s="382" customFormat="1" ht="12.75" customHeight="1" x14ac:dyDescent="0.2">
      <c r="A114" s="778"/>
      <c r="B114" s="1308"/>
      <c r="D114" s="9" t="s">
        <v>2</v>
      </c>
      <c r="E114" s="1395" t="str">
        <f>Translations!$B$700</f>
        <v>Perduotasis / būdingasis CO2</v>
      </c>
      <c r="F114" s="1395"/>
      <c r="G114" s="1395"/>
      <c r="H114" s="1395"/>
      <c r="I114" s="1395"/>
      <c r="J114" s="1395"/>
      <c r="K114" s="1395"/>
      <c r="L114" s="1395"/>
      <c r="M114" s="1395"/>
      <c r="N114" s="1395"/>
      <c r="O114" s="1309"/>
      <c r="P114" s="681"/>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s="382" customFormat="1" ht="5.0999999999999996" customHeight="1" x14ac:dyDescent="0.2">
      <c r="A115" s="778"/>
      <c r="B115" s="1308"/>
      <c r="D115" s="9"/>
      <c r="E115" s="49"/>
      <c r="F115" s="49"/>
      <c r="G115" s="49"/>
      <c r="H115" s="49"/>
      <c r="I115" s="49"/>
      <c r="J115" s="49"/>
      <c r="K115" s="49"/>
      <c r="L115" s="49"/>
      <c r="M115" s="49"/>
      <c r="N115" s="49"/>
      <c r="O115" s="1309"/>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s="382" customFormat="1" ht="12.75" customHeight="1" x14ac:dyDescent="0.2">
      <c r="A116" s="778"/>
      <c r="B116" s="1308"/>
      <c r="D116" s="402" t="s">
        <v>4</v>
      </c>
      <c r="E116" s="404" t="str">
        <f>Translations!$B$170</f>
        <v>Įrenginio pavadinimas</v>
      </c>
      <c r="F116" s="381"/>
      <c r="G116" s="381"/>
      <c r="H116" s="381"/>
      <c r="I116" s="1657"/>
      <c r="J116" s="1645"/>
      <c r="K116" s="1645"/>
      <c r="L116" s="1645"/>
      <c r="M116" s="1645"/>
      <c r="N116" s="1645"/>
      <c r="O116" s="1309"/>
      <c r="P116" s="23"/>
      <c r="Q116" s="1053" t="str">
        <f>IF(I119="","",C92 &amp; "_" &amp; EUconst_CNTR_CCSInstName &amp; I119)</f>
        <v/>
      </c>
      <c r="R116" s="23"/>
      <c r="S116" s="23"/>
      <c r="T116" s="23"/>
      <c r="U116" s="23"/>
      <c r="V116" s="23"/>
      <c r="W116" s="23"/>
      <c r="X116" s="23"/>
      <c r="Y116" s="23"/>
      <c r="Z116" s="23"/>
      <c r="AA116" s="23"/>
      <c r="AB116" s="23"/>
      <c r="AC116" s="23"/>
      <c r="AD116" s="23"/>
      <c r="AE116" s="23"/>
      <c r="AF116" s="23"/>
      <c r="AG116" s="23"/>
      <c r="AH116" s="23"/>
      <c r="AI116" s="23"/>
      <c r="AJ116" s="23"/>
      <c r="AK116" s="23"/>
      <c r="AL116" s="26" t="b">
        <f>OR(CNTR_MeasurementRelevant=EUconst_NotRelevant,AND(COUNTA(CNTR_ListRelevantSections)&gt;0,OR(G92="",V92=TRUE)))</f>
        <v>1</v>
      </c>
    </row>
    <row r="117" spans="1:38" s="382" customFormat="1" ht="12.75" customHeight="1" x14ac:dyDescent="0.2">
      <c r="A117" s="778"/>
      <c r="B117" s="1308"/>
      <c r="D117" s="402" t="s">
        <v>5</v>
      </c>
      <c r="E117" s="404" t="str">
        <f>Translations!$B$79</f>
        <v>Veiklos vykdytojo pavadinimas</v>
      </c>
      <c r="F117" s="381"/>
      <c r="G117" s="381"/>
      <c r="H117" s="381"/>
      <c r="I117" s="1657"/>
      <c r="J117" s="1645"/>
      <c r="K117" s="1645"/>
      <c r="L117" s="1645"/>
      <c r="M117" s="1645"/>
      <c r="N117" s="1645"/>
      <c r="O117" s="1309"/>
      <c r="P117" s="23"/>
      <c r="Q117" s="1053" t="str">
        <f>IF(I119="","",C92 &amp; "_" &amp; EUconst_CNTR_CCSOpName &amp; I119)</f>
        <v/>
      </c>
      <c r="R117" s="23"/>
      <c r="S117" s="23"/>
      <c r="T117" s="23"/>
      <c r="U117" s="23"/>
      <c r="V117" s="23"/>
      <c r="W117" s="23"/>
      <c r="X117" s="23"/>
      <c r="Y117" s="23"/>
      <c r="Z117" s="23"/>
      <c r="AA117" s="23"/>
      <c r="AB117" s="23"/>
      <c r="AC117" s="23"/>
      <c r="AD117" s="23"/>
      <c r="AE117" s="23"/>
      <c r="AF117" s="23"/>
      <c r="AG117" s="23"/>
      <c r="AH117" s="23"/>
      <c r="AI117" s="23"/>
      <c r="AJ117" s="23"/>
      <c r="AK117" s="23"/>
      <c r="AL117" s="26" t="b">
        <f>AL116</f>
        <v>1</v>
      </c>
    </row>
    <row r="118" spans="1:38" s="382" customFormat="1" ht="12.75" customHeight="1" x14ac:dyDescent="0.2">
      <c r="A118" s="778"/>
      <c r="B118" s="1308"/>
      <c r="D118" s="402" t="s">
        <v>194</v>
      </c>
      <c r="E118" s="404" t="str">
        <f>Translations!$B$171</f>
        <v>Įrenginio unikalus ID</v>
      </c>
      <c r="F118" s="381"/>
      <c r="G118" s="381"/>
      <c r="H118" s="381"/>
      <c r="I118" s="1657"/>
      <c r="J118" s="1645"/>
      <c r="K118" s="1645"/>
      <c r="L118" s="1645"/>
      <c r="M118" s="1645"/>
      <c r="N118" s="1645"/>
      <c r="O118" s="1309"/>
      <c r="P118" s="23"/>
      <c r="Q118" s="1053" t="str">
        <f>IF(I119="","",C92 &amp; "_" &amp; EUconst_CNTR_CCSInstID &amp; I119)</f>
        <v/>
      </c>
      <c r="R118" s="23" t="s">
        <v>537</v>
      </c>
      <c r="S118" s="23"/>
      <c r="T118" s="23"/>
      <c r="U118" s="23"/>
      <c r="V118" s="23"/>
      <c r="W118" s="23"/>
      <c r="X118" s="23"/>
      <c r="Y118" s="23"/>
      <c r="Z118" s="23"/>
      <c r="AA118" s="23"/>
      <c r="AB118" s="23"/>
      <c r="AC118" s="23"/>
      <c r="AD118" s="23"/>
      <c r="AE118" s="23"/>
      <c r="AF118" s="23"/>
      <c r="AG118" s="23"/>
      <c r="AH118" s="23"/>
      <c r="AI118" s="23"/>
      <c r="AJ118" s="23"/>
      <c r="AK118" s="23"/>
      <c r="AL118" s="26" t="b">
        <f>AL117</f>
        <v>1</v>
      </c>
    </row>
    <row r="119" spans="1:38" s="382" customFormat="1" ht="12.75" customHeight="1" x14ac:dyDescent="0.2">
      <c r="A119" s="778"/>
      <c r="B119" s="1308"/>
      <c r="D119" s="402" t="s">
        <v>195</v>
      </c>
      <c r="E119" s="404" t="str">
        <f>Translations!$B$169</f>
        <v>Perdavimo tipas</v>
      </c>
      <c r="F119" s="381"/>
      <c r="G119" s="381"/>
      <c r="H119" s="381"/>
      <c r="I119" s="1645"/>
      <c r="J119" s="1645"/>
      <c r="K119" s="1645"/>
      <c r="L119" s="1645"/>
      <c r="M119" s="1645"/>
      <c r="N119" s="1645"/>
      <c r="O119" s="1309"/>
      <c r="P119" s="23"/>
      <c r="Q119" s="23"/>
      <c r="R119" s="26" t="str">
        <f>IF(I119="","",I119=INDEX(EUconst_CO2TransferTypes,5))</f>
        <v/>
      </c>
      <c r="S119" s="43">
        <f>IF(AND(R119=TRUE,AL119=FALSE),-1,1)</f>
        <v>1</v>
      </c>
      <c r="T119" s="23"/>
      <c r="U119" s="23"/>
      <c r="V119" s="23"/>
      <c r="W119" s="23"/>
      <c r="X119" s="23"/>
      <c r="Y119" s="23"/>
      <c r="Z119" s="23"/>
      <c r="AA119" s="23"/>
      <c r="AB119" s="23"/>
      <c r="AC119" s="23"/>
      <c r="AD119" s="23"/>
      <c r="AE119" s="23"/>
      <c r="AF119" s="23"/>
      <c r="AG119" s="23"/>
      <c r="AH119" s="23"/>
      <c r="AI119" s="23"/>
      <c r="AJ119" s="23"/>
      <c r="AK119" s="23"/>
      <c r="AL119" s="26" t="b">
        <f>AL118</f>
        <v>1</v>
      </c>
    </row>
    <row r="120" spans="1:38" s="382" customFormat="1" ht="5.0999999999999996" customHeight="1" x14ac:dyDescent="0.2">
      <c r="A120" s="778"/>
      <c r="B120" s="1308"/>
      <c r="D120" s="9"/>
      <c r="E120" s="49"/>
      <c r="F120" s="49"/>
      <c r="G120" s="49"/>
      <c r="H120" s="49"/>
      <c r="I120" s="49"/>
      <c r="J120" s="49"/>
      <c r="K120" s="49"/>
      <c r="L120" s="49"/>
      <c r="M120" s="49"/>
      <c r="N120" s="49"/>
      <c r="O120" s="1309"/>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s="382" customFormat="1" ht="5.0999999999999996" customHeight="1" x14ac:dyDescent="0.2">
      <c r="A121" s="778"/>
      <c r="B121" s="1308"/>
      <c r="D121" s="9"/>
      <c r="E121" s="49"/>
      <c r="F121" s="49"/>
      <c r="G121" s="49"/>
      <c r="H121" s="49"/>
      <c r="I121" s="49"/>
      <c r="J121" s="49"/>
      <c r="K121" s="49"/>
      <c r="L121" s="49"/>
      <c r="M121" s="49"/>
      <c r="N121" s="49"/>
      <c r="O121" s="1309"/>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row r="122" spans="1:38" s="382" customFormat="1" ht="12.75" customHeight="1" x14ac:dyDescent="0.2">
      <c r="A122" s="778"/>
      <c r="B122" s="1308"/>
      <c r="E122" s="1652" t="str">
        <f>Translations!$B$701</f>
        <v>Pastabos (pvz., patvirtinamųjų skaičiavimų aprašas arba ar trūksta didelės duomenų dalies):</v>
      </c>
      <c r="F122" s="1652"/>
      <c r="G122" s="1652"/>
      <c r="H122" s="1652"/>
      <c r="I122" s="1652"/>
      <c r="J122" s="1652"/>
      <c r="K122" s="1652"/>
      <c r="L122" s="1652"/>
      <c r="M122" s="1652"/>
      <c r="N122" s="1652"/>
      <c r="O122" s="1309"/>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row>
    <row r="123" spans="1:38" s="382" customFormat="1" ht="12.75" customHeight="1" x14ac:dyDescent="0.2">
      <c r="A123" s="778"/>
      <c r="B123" s="1308"/>
      <c r="D123" s="10"/>
      <c r="E123" s="1646"/>
      <c r="F123" s="1647"/>
      <c r="G123" s="1647"/>
      <c r="H123" s="1647"/>
      <c r="I123" s="1647"/>
      <c r="J123" s="1647"/>
      <c r="K123" s="1647"/>
      <c r="L123" s="1647"/>
      <c r="M123" s="1647"/>
      <c r="N123" s="1648"/>
      <c r="O123" s="1309"/>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6" t="b">
        <f>D_MeasurementBasedApproaches!AL109</f>
        <v>1</v>
      </c>
    </row>
    <row r="124" spans="1:38" s="382" customFormat="1" ht="12.75" customHeight="1" x14ac:dyDescent="0.2">
      <c r="A124" s="778"/>
      <c r="B124" s="1308"/>
      <c r="D124" s="10"/>
      <c r="E124" s="1649"/>
      <c r="F124" s="1650"/>
      <c r="G124" s="1650"/>
      <c r="H124" s="1650"/>
      <c r="I124" s="1650"/>
      <c r="J124" s="1650"/>
      <c r="K124" s="1650"/>
      <c r="L124" s="1650"/>
      <c r="M124" s="1650"/>
      <c r="N124" s="1651"/>
      <c r="O124" s="1309"/>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6" t="b">
        <f>AL123</f>
        <v>1</v>
      </c>
    </row>
    <row r="125" spans="1:38" ht="12.75" customHeight="1" thickBot="1" x14ac:dyDescent="0.25">
      <c r="A125" s="741"/>
      <c r="B125" s="1254"/>
      <c r="C125" s="36"/>
      <c r="D125" s="37"/>
      <c r="E125" s="38"/>
      <c r="F125" s="36"/>
      <c r="G125" s="39"/>
      <c r="H125" s="39"/>
      <c r="I125" s="39"/>
      <c r="J125" s="39"/>
      <c r="K125" s="39"/>
      <c r="L125" s="39"/>
      <c r="M125" s="39"/>
      <c r="N125" s="39"/>
      <c r="O125" s="1255"/>
      <c r="P125" s="2"/>
      <c r="S125" s="229"/>
      <c r="AK125" s="23"/>
    </row>
    <row r="126" spans="1:38" ht="12.75" customHeight="1" thickBot="1" x14ac:dyDescent="0.25">
      <c r="A126" s="741"/>
      <c r="B126" s="1325"/>
      <c r="C126" s="200"/>
      <c r="D126" s="6"/>
      <c r="E126" s="239"/>
      <c r="F126" s="239"/>
      <c r="G126" s="239"/>
      <c r="H126" s="239"/>
      <c r="I126" s="239"/>
      <c r="J126" s="239"/>
      <c r="K126" s="239"/>
      <c r="L126" s="239"/>
      <c r="M126" s="5"/>
      <c r="N126" s="5"/>
      <c r="O126" s="1309"/>
      <c r="P126" s="2"/>
      <c r="Q126" s="23"/>
      <c r="R126" s="23"/>
      <c r="S126" s="23"/>
      <c r="V126" s="23"/>
      <c r="W126" s="23"/>
      <c r="X126" s="27" t="s">
        <v>486</v>
      </c>
      <c r="Y126" s="23"/>
      <c r="Z126" s="23"/>
      <c r="AA126" s="23"/>
      <c r="AB126" s="23"/>
      <c r="AC126" s="23"/>
      <c r="AD126" s="23"/>
      <c r="AE126" s="23"/>
      <c r="AF126" s="23"/>
      <c r="AG126" s="23"/>
      <c r="AH126" s="23"/>
      <c r="AI126" s="23"/>
      <c r="AJ126" s="23"/>
    </row>
    <row r="127" spans="1:38" s="140" customFormat="1" ht="15" customHeight="1" thickBot="1" x14ac:dyDescent="0.25">
      <c r="A127" s="742"/>
      <c r="B127" s="1248"/>
      <c r="C127" s="391">
        <f>C92+1</f>
        <v>4</v>
      </c>
      <c r="D127" s="392"/>
      <c r="E127" s="1623" t="str">
        <f>IF(ISBLANK(G127),"",IF(INDEX(B_InstallationDescription!$M$156:$M$165,MATCH(S127,B_InstallationDescription!$E$156:$E$165,0))&gt;0,INDEX(B_InstallationDescription!$M$156:$M$165,MATCH(S127,B_InstallationDescription!$E$156:$E$165,0)),""))</f>
        <v/>
      </c>
      <c r="F127" s="1624"/>
      <c r="G127" s="1610"/>
      <c r="H127" s="1611"/>
      <c r="I127" s="1611"/>
      <c r="J127" s="1612"/>
      <c r="M127" s="338" t="str">
        <f>Translations!$B$686</f>
        <v>Bendras deginant iškastinį kurą išmestas ŠESD kiekis:</v>
      </c>
      <c r="N127" s="1000" t="str">
        <f>IF(G127="","",M139*M143*M144*10^-3*(1-M141)*S154*R145)</f>
        <v/>
      </c>
      <c r="O127" s="1314" t="s">
        <v>257</v>
      </c>
      <c r="P127" s="2"/>
      <c r="Q127" s="343" t="str">
        <f>EUconst_SumCO2 &amp; "_" &amp;E127</f>
        <v>SUM_CO2_</v>
      </c>
      <c r="R127" s="27" t="str">
        <f>IF(ISBLANK(G127),"",MATCH(G127,CNTR_MeasurementPoints,0))</f>
        <v/>
      </c>
      <c r="S127" s="27" t="str">
        <f>IF(ISBLANK(G127),"",INDEX(B_InstallationDescription!$E$156:$E$165,MATCH(G127,CNTR_MeasurementPoints,0)))</f>
        <v/>
      </c>
      <c r="T127" s="1017" t="str">
        <f>IF(ISBLANK(G127),"",MATCH(E127,EUconst_CEMSType,0))</f>
        <v/>
      </c>
      <c r="U127" s="407" t="b">
        <f>E127=INDEX(EUconst_CEMSType,3)</f>
        <v>0</v>
      </c>
      <c r="V127" s="515" t="b">
        <f>OR(E127=INDEX(EUconst_CEMSType,1),E127=INDEX(EUconst_CEMSType,2))</f>
        <v>0</v>
      </c>
      <c r="W127" s="30"/>
      <c r="X127" s="887">
        <f>M139</f>
        <v>0</v>
      </c>
      <c r="Y127" s="846">
        <f>M141</f>
        <v>0</v>
      </c>
      <c r="Z127" s="846">
        <f>M142</f>
        <v>0</v>
      </c>
      <c r="AA127" s="846">
        <f>M143</f>
        <v>0</v>
      </c>
      <c r="AB127" s="846">
        <f>M144</f>
        <v>0</v>
      </c>
      <c r="AC127" s="846" t="str">
        <f>M145</f>
        <v/>
      </c>
      <c r="AD127" s="846" t="str">
        <f>M147</f>
        <v/>
      </c>
      <c r="AE127" s="846" t="str">
        <f>R145</f>
        <v/>
      </c>
      <c r="AF127" s="846" t="str">
        <f>N127</f>
        <v/>
      </c>
      <c r="AG127" s="846" t="str">
        <f>N128</f>
        <v/>
      </c>
      <c r="AH127" s="846" t="str">
        <f>R129</f>
        <v/>
      </c>
      <c r="AI127" s="846">
        <f>R130</f>
        <v>0</v>
      </c>
      <c r="AJ127" s="846">
        <f>R131</f>
        <v>0</v>
      </c>
      <c r="AK127" s="30"/>
      <c r="AL127" s="32" t="b">
        <f>CNTR_MeasurementRelevant=EUconst_NotRelevant</f>
        <v>1</v>
      </c>
    </row>
    <row r="128" spans="1:38" s="382" customFormat="1" ht="15" customHeight="1" thickBot="1" x14ac:dyDescent="0.25">
      <c r="A128" s="741"/>
      <c r="B128" s="1280"/>
      <c r="C128" s="5"/>
      <c r="I128" s="24"/>
      <c r="J128" s="5"/>
      <c r="K128" s="5"/>
      <c r="L128" s="5"/>
      <c r="M128" s="337" t="str">
        <f>Translations!$B$687</f>
        <v>Bendras deginant biomasę išmestas ŠESD kiekis:</v>
      </c>
      <c r="N128" s="999" t="str">
        <f>IF(G127="","",M139*M143*M144*10^-3*(M141)*S154*R145)</f>
        <v/>
      </c>
      <c r="O128" s="1315" t="s">
        <v>257</v>
      </c>
      <c r="P128" s="2"/>
      <c r="Q128" s="344" t="str">
        <f>EUconst_SumBioCO2 &amp; "_" &amp; E127</f>
        <v>SUM_bioCO2_</v>
      </c>
      <c r="R128" s="23"/>
      <c r="S128" s="23"/>
      <c r="T128" s="23"/>
      <c r="U128" s="23"/>
      <c r="V128" s="23"/>
      <c r="W128" s="23"/>
      <c r="X128" s="833" t="s">
        <v>500</v>
      </c>
      <c r="Y128" s="833" t="s">
        <v>215</v>
      </c>
      <c r="Z128" s="833" t="s">
        <v>494</v>
      </c>
      <c r="AA128" s="833" t="s">
        <v>501</v>
      </c>
      <c r="AB128" s="833" t="s">
        <v>502</v>
      </c>
      <c r="AC128" s="833" t="s">
        <v>503</v>
      </c>
      <c r="AD128" s="833" t="s">
        <v>504</v>
      </c>
      <c r="AE128" s="833" t="s">
        <v>386</v>
      </c>
      <c r="AF128" s="833" t="s">
        <v>287</v>
      </c>
      <c r="AG128" s="833" t="s">
        <v>495</v>
      </c>
      <c r="AH128" s="833" t="s">
        <v>498</v>
      </c>
      <c r="AI128" s="833" t="s">
        <v>496</v>
      </c>
      <c r="AJ128" s="833" t="s">
        <v>497</v>
      </c>
      <c r="AK128" s="23"/>
      <c r="AL128" s="23"/>
    </row>
    <row r="129" spans="1:38" ht="13.5" thickBot="1" x14ac:dyDescent="0.25">
      <c r="A129" s="741"/>
      <c r="B129" s="1326"/>
      <c r="C129" s="798"/>
      <c r="D129" s="799"/>
      <c r="E129" s="797"/>
      <c r="F129" s="797"/>
      <c r="G129" s="797"/>
      <c r="H129" s="797"/>
      <c r="I129" s="797"/>
      <c r="J129" s="797"/>
      <c r="K129" s="797"/>
      <c r="L129" s="797"/>
      <c r="M129" s="797"/>
      <c r="N129" s="797"/>
      <c r="O129" s="1255"/>
      <c r="P129" s="2"/>
      <c r="Q129" s="343" t="str">
        <f>EUconst_SumNonSustBioCO2 &amp; "_" &amp; K126</f>
        <v>SUM_bioNonSustCO2_</v>
      </c>
      <c r="R129" s="698" t="str">
        <f>IF(G127="","",ROUND(M139*M143*M144*10^-3*(1-M141)*M142*S154*R145,0))</f>
        <v/>
      </c>
      <c r="Y129" s="23"/>
      <c r="Z129" s="23"/>
      <c r="AA129" s="23"/>
      <c r="AB129" s="23"/>
      <c r="AC129" s="23"/>
      <c r="AD129" s="23"/>
      <c r="AE129" s="23"/>
      <c r="AF129" s="23"/>
      <c r="AG129" s="23"/>
      <c r="AH129" s="23"/>
      <c r="AI129" s="23"/>
      <c r="AJ129" s="23"/>
      <c r="AK129" s="23"/>
      <c r="AL129" s="23"/>
    </row>
    <row r="130" spans="1:38" ht="13.5" thickBot="1" x14ac:dyDescent="0.25">
      <c r="A130" s="741"/>
      <c r="B130" s="1326"/>
      <c r="C130" s="798"/>
      <c r="D130" s="799"/>
      <c r="E130" s="797"/>
      <c r="F130" s="797"/>
      <c r="G130" s="797"/>
      <c r="H130" s="797"/>
      <c r="I130" s="797"/>
      <c r="J130" s="797"/>
      <c r="K130" s="797"/>
      <c r="L130" s="797"/>
      <c r="M130" s="494" t="str">
        <f>Translations!$B$688</f>
        <v>Bendra iškastinio kuro energetinė vertė:</v>
      </c>
      <c r="N130" s="1043"/>
      <c r="O130" s="1327" t="s">
        <v>279</v>
      </c>
      <c r="P130" s="2"/>
      <c r="Q130" s="343" t="str">
        <f>EUconst_SumEnergyIN &amp; "_" &amp; K126</f>
        <v>SUM_EnergyIN_</v>
      </c>
      <c r="R130" s="698">
        <f>N130</f>
        <v>0</v>
      </c>
      <c r="Y130" s="23"/>
      <c r="Z130" s="23"/>
      <c r="AA130" s="23"/>
      <c r="AB130" s="23"/>
      <c r="AC130" s="23"/>
      <c r="AD130" s="23"/>
      <c r="AE130" s="23"/>
      <c r="AF130" s="23"/>
      <c r="AG130" s="23"/>
      <c r="AH130" s="23"/>
      <c r="AI130" s="23"/>
      <c r="AJ130" s="23"/>
      <c r="AK130" s="23"/>
      <c r="AL130" s="32" t="b">
        <f>AL135</f>
        <v>1</v>
      </c>
    </row>
    <row r="131" spans="1:38" ht="13.5" thickBot="1" x14ac:dyDescent="0.25">
      <c r="A131" s="741"/>
      <c r="B131" s="1326"/>
      <c r="C131" s="798"/>
      <c r="D131" s="799"/>
      <c r="E131" s="797"/>
      <c r="F131" s="797"/>
      <c r="G131" s="797"/>
      <c r="H131" s="797"/>
      <c r="I131" s="797"/>
      <c r="J131" s="797"/>
      <c r="K131" s="797"/>
      <c r="L131" s="797"/>
      <c r="M131" s="337" t="str">
        <f>Translations!$B$689</f>
        <v>Bendra biomasės energetinė vertė:</v>
      </c>
      <c r="N131" s="1044"/>
      <c r="O131" s="1328" t="s">
        <v>279</v>
      </c>
      <c r="P131" s="2"/>
      <c r="Q131" s="343" t="str">
        <f>EUconst_SumBioEnergyIN &amp; "_" &amp; K126</f>
        <v>SUM_BioEnergyIN_</v>
      </c>
      <c r="R131" s="698">
        <f>N131</f>
        <v>0</v>
      </c>
      <c r="Y131" s="23"/>
      <c r="Z131" s="23"/>
      <c r="AA131" s="23"/>
      <c r="AB131" s="23"/>
      <c r="AC131" s="23"/>
      <c r="AD131" s="23"/>
      <c r="AE131" s="23"/>
      <c r="AF131" s="23"/>
      <c r="AG131" s="23"/>
      <c r="AH131" s="23"/>
      <c r="AI131" s="23"/>
      <c r="AJ131" s="23"/>
      <c r="AK131" s="23"/>
      <c r="AL131" s="32" t="b">
        <f>AL130</f>
        <v>1</v>
      </c>
    </row>
    <row r="132" spans="1:38" s="382" customFormat="1" ht="5.0999999999999996" customHeight="1" x14ac:dyDescent="0.2">
      <c r="A132" s="778"/>
      <c r="B132" s="1308"/>
      <c r="D132" s="151"/>
      <c r="K132" s="12"/>
      <c r="L132" s="12"/>
      <c r="M132" s="12"/>
      <c r="N132" s="12"/>
      <c r="O132" s="1329"/>
      <c r="P132" s="2"/>
      <c r="Q132" s="23"/>
      <c r="R132" s="23"/>
      <c r="S132" s="23"/>
      <c r="T132" s="23"/>
      <c r="U132" s="23"/>
      <c r="V132" s="23"/>
      <c r="W132" s="23"/>
      <c r="X132" s="23"/>
      <c r="Y132" s="23"/>
      <c r="Z132" s="23"/>
      <c r="AA132" s="23"/>
      <c r="AB132" s="23"/>
      <c r="AC132" s="23"/>
      <c r="AD132" s="23"/>
      <c r="AE132" s="23"/>
      <c r="AF132" s="23"/>
      <c r="AG132" s="23"/>
      <c r="AH132" s="23"/>
      <c r="AI132" s="23"/>
      <c r="AJ132" s="23"/>
      <c r="AK132" s="23"/>
      <c r="AL132" s="23"/>
    </row>
    <row r="133" spans="1:38" s="382" customFormat="1" ht="12.75" customHeight="1" x14ac:dyDescent="0.2">
      <c r="A133" s="778"/>
      <c r="B133" s="1308"/>
      <c r="D133" s="9" t="s">
        <v>1</v>
      </c>
      <c r="E133" s="1395" t="str">
        <f>Translations!$B$690</f>
        <v>Skaičiavimai</v>
      </c>
      <c r="F133" s="1395"/>
      <c r="G133" s="1395"/>
      <c r="H133" s="1395"/>
      <c r="I133" s="1395"/>
      <c r="J133" s="1395"/>
      <c r="K133" s="1395"/>
      <c r="L133" s="1395"/>
      <c r="M133" s="1395"/>
      <c r="N133" s="1395"/>
      <c r="O133" s="1329"/>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row>
    <row r="134" spans="1:38" s="382" customFormat="1" ht="5.0999999999999996" customHeight="1" thickBot="1" x14ac:dyDescent="0.25">
      <c r="A134" s="778"/>
      <c r="B134" s="1308"/>
      <c r="D134" s="151"/>
      <c r="K134" s="12"/>
      <c r="L134" s="12"/>
      <c r="M134" s="12"/>
      <c r="N134" s="12"/>
      <c r="O134" s="1329"/>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row>
    <row r="135" spans="1:38" s="382" customFormat="1" ht="12.75" customHeight="1" thickBot="1" x14ac:dyDescent="0.25">
      <c r="A135" s="778"/>
      <c r="B135" s="1308"/>
      <c r="D135" s="9"/>
      <c r="E135" s="399" t="str">
        <f>Translations!$B$691</f>
        <v>Informacija apie susijusius sukėliklius, jeigu taikytina:</v>
      </c>
      <c r="F135" s="399"/>
      <c r="G135" s="399"/>
      <c r="H135" s="399"/>
      <c r="I135" s="399"/>
      <c r="J135" s="1653" t="str">
        <f>Translations!$B$692</f>
        <v>Patvirtinamųjų skaičiavimų rezultatas (iškastinis kuras):</v>
      </c>
      <c r="K135" s="1653"/>
      <c r="L135" s="1653"/>
      <c r="M135" s="1653"/>
      <c r="N135" s="1194"/>
      <c r="O135" s="1309"/>
      <c r="P135" s="23"/>
      <c r="Q135" s="23"/>
      <c r="R135" s="23"/>
      <c r="S135" s="23"/>
      <c r="T135" s="23"/>
      <c r="U135" s="23"/>
      <c r="V135" s="23"/>
      <c r="W135" s="23"/>
      <c r="X135" s="23"/>
      <c r="Y135" s="23"/>
      <c r="Z135" s="23"/>
      <c r="AA135" s="23"/>
      <c r="AB135" s="23"/>
      <c r="AC135" s="23"/>
      <c r="AD135" s="23"/>
      <c r="AE135" s="23"/>
      <c r="AF135" s="23"/>
      <c r="AG135" s="23"/>
      <c r="AH135" s="23"/>
      <c r="AI135" s="23"/>
      <c r="AJ135" s="23"/>
      <c r="AK135" s="26" t="b">
        <f>IF(E127="",FALSE,MATCH(E127,EUconst_CEMSType,0)=2)</f>
        <v>0</v>
      </c>
      <c r="AL135" s="26" t="b">
        <f>OR(CNTR_MeasurementRelevant=EUconst_NotRelevant,AND(COUNTA(CNTR_ListRelevantSections)&gt;0,G127=""))</f>
        <v>1</v>
      </c>
    </row>
    <row r="136" spans="1:38" s="382" customFormat="1" x14ac:dyDescent="0.2">
      <c r="A136" s="778"/>
      <c r="B136" s="1308"/>
      <c r="D136" s="9"/>
      <c r="E136" s="1654"/>
      <c r="F136" s="1655"/>
      <c r="G136" s="1655"/>
      <c r="H136" s="1655"/>
      <c r="I136" s="1656"/>
      <c r="J136" s="1653" t="str">
        <f>Translations!$B$693</f>
        <v>Patvirtinamųjų skaičiavimų rezultatas (biomasė):</v>
      </c>
      <c r="K136" s="1653"/>
      <c r="L136" s="1653"/>
      <c r="M136" s="1653"/>
      <c r="N136" s="1195"/>
      <c r="O136" s="1309"/>
      <c r="P136" s="681"/>
      <c r="Q136" s="23"/>
      <c r="R136" s="23"/>
      <c r="S136" s="23"/>
      <c r="T136" s="23"/>
      <c r="U136" s="23"/>
      <c r="V136" s="23"/>
      <c r="W136" s="23"/>
      <c r="X136" s="23"/>
      <c r="Y136" s="23"/>
      <c r="Z136" s="23"/>
      <c r="AA136" s="23"/>
      <c r="AB136" s="23"/>
      <c r="AC136" s="23"/>
      <c r="AD136" s="23"/>
      <c r="AE136" s="23"/>
      <c r="AF136" s="23"/>
      <c r="AG136" s="23"/>
      <c r="AH136" s="23"/>
      <c r="AI136" s="23"/>
      <c r="AJ136" s="23"/>
      <c r="AK136" s="26" t="b">
        <f>AK135</f>
        <v>0</v>
      </c>
      <c r="AL136" s="26" t="b">
        <f>AL135</f>
        <v>1</v>
      </c>
    </row>
    <row r="137" spans="1:38" s="382" customFormat="1" ht="5.0999999999999996" customHeight="1" x14ac:dyDescent="0.2">
      <c r="A137" s="778"/>
      <c r="B137" s="1308"/>
      <c r="D137" s="9"/>
      <c r="E137" s="49"/>
      <c r="F137" s="49"/>
      <c r="G137" s="49"/>
      <c r="H137" s="49"/>
      <c r="I137" s="49"/>
      <c r="J137" s="49"/>
      <c r="K137" s="49"/>
      <c r="L137" s="49"/>
      <c r="M137" s="49"/>
      <c r="N137" s="49"/>
      <c r="O137" s="1309"/>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row>
    <row r="138" spans="1:38" s="382" customFormat="1" ht="12.75" customHeight="1" thickBot="1" x14ac:dyDescent="0.25">
      <c r="A138" s="778"/>
      <c r="B138" s="1308"/>
      <c r="I138" s="49"/>
      <c r="J138" s="49"/>
      <c r="K138" s="49"/>
      <c r="L138" s="793" t="str">
        <f>EUconst_Unit</f>
        <v>Vienetas</v>
      </c>
      <c r="M138" s="793"/>
      <c r="O138" s="1309"/>
      <c r="P138" s="681"/>
      <c r="Q138" s="23"/>
      <c r="R138" s="23"/>
      <c r="S138" s="23"/>
      <c r="T138" s="23"/>
      <c r="U138" s="23"/>
      <c r="V138" s="23"/>
      <c r="W138" s="23"/>
      <c r="X138" s="23"/>
      <c r="Y138" s="23"/>
      <c r="Z138" s="23"/>
      <c r="AA138" s="23"/>
      <c r="AB138" s="23"/>
      <c r="AC138" s="23"/>
      <c r="AD138" s="23"/>
      <c r="AE138" s="23"/>
      <c r="AF138" s="23"/>
      <c r="AG138" s="23"/>
      <c r="AH138" s="23"/>
      <c r="AI138" s="23"/>
      <c r="AJ138" s="23"/>
      <c r="AK138" s="23"/>
      <c r="AL138" s="23"/>
    </row>
    <row r="139" spans="1:38" s="382" customFormat="1" ht="12.75" customHeight="1" thickBot="1" x14ac:dyDescent="0.25">
      <c r="A139" s="778"/>
      <c r="B139" s="1308"/>
      <c r="E139" s="21" t="str">
        <f>Translations!$B$162</f>
        <v>Naudojama pakopa.</v>
      </c>
      <c r="F139" s="393"/>
      <c r="G139" s="402" t="s">
        <v>4</v>
      </c>
      <c r="H139" s="395" t="str">
        <f>Translations!$B$694</f>
        <v>ŠESD koncentracija (metinis valandinis vidurkis):</v>
      </c>
      <c r="I139" s="381"/>
      <c r="J139" s="381"/>
      <c r="K139" s="381"/>
      <c r="L139" s="678" t="str">
        <f>EUconst_gpNm3</f>
        <v>g/Nm3</v>
      </c>
      <c r="M139" s="1198"/>
      <c r="O139" s="1309"/>
      <c r="P139" s="23"/>
      <c r="Q139" s="2"/>
      <c r="R139" s="23"/>
      <c r="S139" s="23"/>
      <c r="T139" s="23"/>
      <c r="U139" s="23"/>
      <c r="V139" s="23"/>
      <c r="W139" s="23"/>
      <c r="X139" s="23"/>
      <c r="Y139" s="23"/>
      <c r="Z139" s="23"/>
      <c r="AA139" s="23"/>
      <c r="AB139" s="23"/>
      <c r="AC139" s="23"/>
      <c r="AD139" s="23"/>
      <c r="AE139" s="23"/>
      <c r="AF139" s="23"/>
      <c r="AG139" s="23"/>
      <c r="AH139" s="23"/>
      <c r="AI139" s="23"/>
      <c r="AJ139" s="23"/>
      <c r="AK139" s="23"/>
      <c r="AL139" s="26" t="b">
        <f>AL136</f>
        <v>1</v>
      </c>
    </row>
    <row r="140" spans="1:38" s="382" customFormat="1" ht="12.75" customHeight="1" thickBot="1" x14ac:dyDescent="0.25">
      <c r="A140" s="778"/>
      <c r="B140" s="1308"/>
      <c r="F140" s="472" t="str">
        <f>IF(OR(ISBLANK(F139),F139=EUconst_NoTier),"",IF(R141=EUconst_NA,EUconst_NA,IF(ISERROR(R141),"",R141)))</f>
        <v/>
      </c>
      <c r="G140" s="402"/>
      <c r="H140" s="395"/>
      <c r="I140" s="381"/>
      <c r="J140" s="381"/>
      <c r="K140" s="381"/>
      <c r="M140" s="151"/>
      <c r="O140" s="1309"/>
      <c r="P140" s="23"/>
      <c r="Q140" s="2"/>
      <c r="R140" s="684" t="s">
        <v>538</v>
      </c>
      <c r="S140" s="23"/>
      <c r="T140" s="23"/>
      <c r="U140" s="23"/>
      <c r="V140" s="23"/>
      <c r="W140" s="23"/>
      <c r="X140" s="23"/>
      <c r="Y140" s="23"/>
      <c r="Z140" s="23"/>
      <c r="AA140" s="23"/>
      <c r="AB140" s="23"/>
      <c r="AC140" s="23"/>
      <c r="AD140" s="23"/>
      <c r="AE140" s="23"/>
      <c r="AF140" s="23"/>
      <c r="AG140" s="23"/>
      <c r="AH140" s="23"/>
      <c r="AI140" s="23"/>
      <c r="AJ140" s="23"/>
      <c r="AK140" s="23"/>
      <c r="AL140" s="23"/>
    </row>
    <row r="141" spans="1:38" s="382" customFormat="1" ht="12.75" customHeight="1" x14ac:dyDescent="0.2">
      <c r="A141" s="778"/>
      <c r="B141" s="1308"/>
      <c r="D141" s="200"/>
      <c r="G141" s="402" t="s">
        <v>5</v>
      </c>
      <c r="H141" s="395" t="str">
        <f>Translations!$B$682</f>
        <v>Biomasės dalis:</v>
      </c>
      <c r="I141" s="290"/>
      <c r="J141" s="290"/>
      <c r="K141" s="290"/>
      <c r="L141" s="806" t="s">
        <v>258</v>
      </c>
      <c r="M141" s="807"/>
      <c r="O141" s="1309"/>
      <c r="P141" s="23"/>
      <c r="Q141" s="2"/>
      <c r="R141" s="43" t="str">
        <f>IF(F139="","",IF(F139=EUconst_NA,"",INDEX(EUwideConstants!$H$689:$M$691,MATCH(E127,EUwideConstants!$B$689:$B$691,0),MATCH(F139,CNTR_TierList,0))))</f>
        <v/>
      </c>
      <c r="S141" s="23"/>
      <c r="T141" s="23"/>
      <c r="U141" s="23"/>
      <c r="V141" s="23"/>
      <c r="W141" s="23"/>
      <c r="X141" s="23"/>
      <c r="Y141" s="23"/>
      <c r="Z141" s="23"/>
      <c r="AA141" s="23"/>
      <c r="AB141" s="23"/>
      <c r="AC141" s="23"/>
      <c r="AD141" s="23"/>
      <c r="AE141" s="23"/>
      <c r="AF141" s="23"/>
      <c r="AG141" s="23"/>
      <c r="AH141" s="23"/>
      <c r="AI141" s="23"/>
      <c r="AJ141" s="23"/>
      <c r="AK141" s="23"/>
      <c r="AL141" s="26" t="b">
        <f>AL139</f>
        <v>1</v>
      </c>
    </row>
    <row r="142" spans="1:38" s="382" customFormat="1" ht="12.75" customHeight="1" thickBot="1" x14ac:dyDescent="0.25">
      <c r="A142" s="778"/>
      <c r="B142" s="1308"/>
      <c r="D142" s="200"/>
      <c r="G142" s="402" t="s">
        <v>194</v>
      </c>
      <c r="H142" s="884" t="str">
        <f>Translations!$B$683</f>
        <v>netvarios biomasės dalis:</v>
      </c>
      <c r="I142" s="292"/>
      <c r="J142" s="292"/>
      <c r="K142" s="292"/>
      <c r="L142" s="885" t="s">
        <v>258</v>
      </c>
      <c r="M142" s="886"/>
      <c r="O142" s="1309"/>
      <c r="P142" s="23"/>
      <c r="Q142" s="2"/>
      <c r="R142" s="684"/>
      <c r="S142" s="23"/>
      <c r="T142" s="23"/>
      <c r="U142" s="23"/>
      <c r="V142" s="23"/>
      <c r="W142" s="23"/>
      <c r="X142" s="23"/>
      <c r="Y142" s="23"/>
      <c r="Z142" s="23"/>
      <c r="AA142" s="23"/>
      <c r="AB142" s="23"/>
      <c r="AC142" s="23"/>
      <c r="AD142" s="23"/>
      <c r="AE142" s="23"/>
      <c r="AF142" s="23"/>
      <c r="AG142" s="23"/>
      <c r="AH142" s="23"/>
      <c r="AI142" s="23"/>
      <c r="AJ142" s="23"/>
      <c r="AK142" s="23"/>
      <c r="AL142" s="26" t="b">
        <f>AL141</f>
        <v>1</v>
      </c>
    </row>
    <row r="143" spans="1:38" s="382" customFormat="1" ht="12.75" customHeight="1" x14ac:dyDescent="0.2">
      <c r="A143" s="778"/>
      <c r="B143" s="1308"/>
      <c r="E143" s="22" t="str">
        <f>Translations!$B$684</f>
        <v>VAP:</v>
      </c>
      <c r="F143" s="682" t="str">
        <f>IF(OR(G127="",F144&lt;&gt;""),"",IF(T127=2,298,1))</f>
        <v/>
      </c>
      <c r="G143" s="402" t="s">
        <v>195</v>
      </c>
      <c r="H143" s="397" t="str">
        <f>Translations!$B$695</f>
        <v>Veikimo valandos:</v>
      </c>
      <c r="I143" s="398"/>
      <c r="J143" s="398"/>
      <c r="K143" s="398"/>
      <c r="L143" s="679" t="str">
        <f>EUconst_hpa</f>
        <v>val./metai</v>
      </c>
      <c r="M143" s="811"/>
      <c r="O143" s="1309"/>
      <c r="P143" s="23"/>
      <c r="Q143" s="2"/>
      <c r="R143" s="23"/>
      <c r="S143" s="23"/>
      <c r="T143" s="23"/>
      <c r="U143" s="23"/>
      <c r="V143" s="23"/>
      <c r="W143" s="23"/>
      <c r="X143" s="23"/>
      <c r="Y143" s="23"/>
      <c r="Z143" s="23"/>
      <c r="AA143" s="23"/>
      <c r="AB143" s="23"/>
      <c r="AC143" s="23"/>
      <c r="AD143" s="23"/>
      <c r="AE143" s="23"/>
      <c r="AF143" s="23"/>
      <c r="AG143" s="23"/>
      <c r="AH143" s="23"/>
      <c r="AI143" s="23"/>
      <c r="AJ143" s="23"/>
      <c r="AK143" s="23"/>
      <c r="AL143" s="26" t="b">
        <f>AL141</f>
        <v>1</v>
      </c>
    </row>
    <row r="144" spans="1:38" s="382" customFormat="1" ht="12.75" customHeight="1" thickBot="1" x14ac:dyDescent="0.25">
      <c r="A144" s="778"/>
      <c r="B144" s="1308"/>
      <c r="D144" s="794"/>
      <c r="E144" s="687" t="str">
        <f>Translations!$B$696</f>
        <v>(CO2(e) tonos / ŠESD tonos)</v>
      </c>
      <c r="F144" s="683"/>
      <c r="G144" s="402" t="s">
        <v>196</v>
      </c>
      <c r="H144" s="396" t="str">
        <f>Translations!$B$697</f>
        <v>Kaminų dujų srautas (metinis valandinis vidurkis):</v>
      </c>
      <c r="I144" s="291"/>
      <c r="J144" s="291"/>
      <c r="K144" s="291"/>
      <c r="L144" s="680" t="str">
        <f>EUconst_Nm3ph</f>
        <v>1 000 Nm3/h</v>
      </c>
      <c r="M144" s="808"/>
      <c r="O144" s="1309"/>
      <c r="P144" s="23"/>
      <c r="Q144" s="2"/>
      <c r="R144" s="13" t="s">
        <v>386</v>
      </c>
      <c r="S144" s="23"/>
      <c r="T144" s="23"/>
      <c r="U144" s="23"/>
      <c r="V144" s="23"/>
      <c r="W144" s="23"/>
      <c r="X144" s="23"/>
      <c r="Y144" s="23"/>
      <c r="Z144" s="23"/>
      <c r="AA144" s="23"/>
      <c r="AB144" s="23"/>
      <c r="AC144" s="23"/>
      <c r="AD144" s="23"/>
      <c r="AE144" s="23"/>
      <c r="AF144" s="23"/>
      <c r="AG144" s="23"/>
      <c r="AH144" s="23"/>
      <c r="AI144" s="23"/>
      <c r="AJ144" s="23"/>
      <c r="AK144" s="23"/>
      <c r="AL144" s="26" t="b">
        <f>AL143</f>
        <v>1</v>
      </c>
    </row>
    <row r="145" spans="1:38" s="382" customFormat="1" ht="12.75" customHeight="1" thickBot="1" x14ac:dyDescent="0.25">
      <c r="A145" s="778"/>
      <c r="B145" s="1308"/>
      <c r="D145" s="794"/>
      <c r="G145" s="687" t="s">
        <v>197</v>
      </c>
      <c r="H145" s="395" t="str">
        <f>Translations!$B$698</f>
        <v>Kaminų dujų srautas (bendras metinis kiekis):</v>
      </c>
      <c r="I145" s="290"/>
      <c r="J145" s="290"/>
      <c r="K145" s="290"/>
      <c r="L145" s="678" t="str">
        <f>EUconst_kNm3pa</f>
        <v>1 000 Nm3/m.</v>
      </c>
      <c r="M145" s="809" t="str">
        <f>IF(COUNT(M143,M144)=2,M143*M144,"")</f>
        <v/>
      </c>
      <c r="O145" s="1309"/>
      <c r="P145" s="23"/>
      <c r="Q145" s="23"/>
      <c r="R145" s="43" t="str">
        <f>IF(F144="",F143,F144)</f>
        <v/>
      </c>
      <c r="S145" s="23"/>
      <c r="T145" s="23"/>
      <c r="U145" s="23"/>
      <c r="V145" s="23"/>
      <c r="W145" s="23"/>
      <c r="X145" s="23"/>
      <c r="Y145" s="23"/>
      <c r="Z145" s="23"/>
      <c r="AA145" s="23"/>
      <c r="AB145" s="23"/>
      <c r="AC145" s="23"/>
      <c r="AD145" s="23"/>
      <c r="AE145" s="23"/>
      <c r="AF145" s="23"/>
      <c r="AG145" s="23"/>
      <c r="AH145" s="23"/>
      <c r="AI145" s="23"/>
      <c r="AJ145" s="23"/>
      <c r="AK145" s="23"/>
      <c r="AL145" s="23"/>
    </row>
    <row r="146" spans="1:38" s="382" customFormat="1" ht="5.0999999999999996" customHeight="1" thickBot="1" x14ac:dyDescent="0.25">
      <c r="A146" s="778"/>
      <c r="B146" s="1308"/>
      <c r="D146" s="794"/>
      <c r="E146" s="200"/>
      <c r="F146" s="200"/>
      <c r="G146" s="200"/>
      <c r="H146" s="200"/>
      <c r="I146" s="200"/>
      <c r="J146" s="200"/>
      <c r="K146" s="200"/>
      <c r="L146" s="200"/>
      <c r="M146" s="6"/>
      <c r="O146" s="1309"/>
      <c r="P146" s="23"/>
      <c r="Q146" s="23"/>
      <c r="R146" s="684"/>
      <c r="S146" s="23"/>
      <c r="T146" s="23"/>
      <c r="U146" s="23"/>
      <c r="V146" s="23"/>
      <c r="W146" s="23"/>
      <c r="X146" s="23"/>
      <c r="Y146" s="23"/>
      <c r="Z146" s="23"/>
      <c r="AA146" s="23"/>
      <c r="AB146" s="23"/>
      <c r="AC146" s="23"/>
      <c r="AD146" s="23"/>
      <c r="AE146" s="23"/>
      <c r="AF146" s="23"/>
      <c r="AG146" s="23"/>
      <c r="AH146" s="23"/>
      <c r="AI146" s="23"/>
      <c r="AJ146" s="23"/>
      <c r="AK146" s="23"/>
      <c r="AL146" s="23"/>
    </row>
    <row r="147" spans="1:38" s="382" customFormat="1" ht="12.75" customHeight="1" thickBot="1" x14ac:dyDescent="0.25">
      <c r="A147" s="778"/>
      <c r="B147" s="1308"/>
      <c r="D147" s="794"/>
      <c r="E147" s="200"/>
      <c r="F147" s="200"/>
      <c r="G147" s="687" t="s">
        <v>198</v>
      </c>
      <c r="H147" s="395" t="str">
        <f>Translations!$B$699</f>
        <v>Metinis deginant iškastinį kurą išmestas ŠESD kiekis</v>
      </c>
      <c r="I147" s="290"/>
      <c r="J147" s="290"/>
      <c r="K147" s="290"/>
      <c r="L147" s="678" t="str">
        <f>EUconst_t</f>
        <v>t</v>
      </c>
      <c r="M147" s="810" t="str">
        <f>IF(G127="","",ROUND(M139*M143*M144*10^-3*(1-M141),0))</f>
        <v/>
      </c>
      <c r="O147" s="1309"/>
      <c r="P147" s="23"/>
      <c r="Q147" s="23"/>
      <c r="R147" s="684"/>
      <c r="S147" s="23"/>
      <c r="T147" s="23"/>
      <c r="U147" s="23"/>
      <c r="V147" s="23"/>
      <c r="W147" s="23"/>
      <c r="X147" s="23"/>
      <c r="Y147" s="23"/>
      <c r="Z147" s="23"/>
      <c r="AA147" s="23"/>
      <c r="AB147" s="23"/>
      <c r="AC147" s="23"/>
      <c r="AD147" s="23"/>
      <c r="AE147" s="23"/>
      <c r="AF147" s="23"/>
      <c r="AG147" s="23"/>
      <c r="AH147" s="23"/>
      <c r="AI147" s="23"/>
      <c r="AJ147" s="23"/>
      <c r="AK147" s="23"/>
      <c r="AL147" s="23"/>
    </row>
    <row r="148" spans="1:38" s="382" customFormat="1" ht="5.0999999999999996" customHeight="1" x14ac:dyDescent="0.2">
      <c r="A148" s="778"/>
      <c r="B148" s="1308"/>
      <c r="D148" s="794"/>
      <c r="E148" s="200"/>
      <c r="F148" s="200"/>
      <c r="G148" s="200"/>
      <c r="H148" s="200"/>
      <c r="I148" s="200"/>
      <c r="J148" s="200"/>
      <c r="K148" s="200"/>
      <c r="L148" s="200"/>
      <c r="M148" s="200"/>
      <c r="N148" s="200"/>
      <c r="O148" s="1309"/>
      <c r="P148" s="23"/>
      <c r="Q148" s="23"/>
      <c r="R148" s="684"/>
      <c r="S148" s="23"/>
      <c r="T148" s="23"/>
      <c r="U148" s="23"/>
      <c r="V148" s="23"/>
      <c r="W148" s="23"/>
      <c r="X148" s="23"/>
      <c r="Y148" s="23"/>
      <c r="Z148" s="23"/>
      <c r="AA148" s="23"/>
      <c r="AB148" s="23"/>
      <c r="AC148" s="23"/>
      <c r="AD148" s="23"/>
      <c r="AE148" s="23"/>
      <c r="AF148" s="23"/>
      <c r="AG148" s="23"/>
      <c r="AH148" s="23"/>
      <c r="AI148" s="23"/>
      <c r="AJ148" s="23"/>
      <c r="AK148" s="23"/>
      <c r="AL148" s="23"/>
    </row>
    <row r="149" spans="1:38" s="382" customFormat="1" ht="12.75" customHeight="1" x14ac:dyDescent="0.2">
      <c r="A149" s="778"/>
      <c r="B149" s="1308"/>
      <c r="D149" s="9" t="s">
        <v>2</v>
      </c>
      <c r="E149" s="1395" t="str">
        <f>Translations!$B$700</f>
        <v>Perduotasis / būdingasis CO2</v>
      </c>
      <c r="F149" s="1395"/>
      <c r="G149" s="1395"/>
      <c r="H149" s="1395"/>
      <c r="I149" s="1395"/>
      <c r="J149" s="1395"/>
      <c r="K149" s="1395"/>
      <c r="L149" s="1395"/>
      <c r="M149" s="1395"/>
      <c r="N149" s="1395"/>
      <c r="O149" s="1309"/>
      <c r="P149" s="681"/>
      <c r="Q149" s="23"/>
      <c r="R149" s="23"/>
      <c r="S149" s="23"/>
      <c r="T149" s="23"/>
      <c r="U149" s="23"/>
      <c r="V149" s="23"/>
      <c r="W149" s="23"/>
      <c r="X149" s="23"/>
      <c r="Y149" s="23"/>
      <c r="Z149" s="23"/>
      <c r="AA149" s="23"/>
      <c r="AB149" s="23"/>
      <c r="AC149" s="23"/>
      <c r="AD149" s="23"/>
      <c r="AE149" s="23"/>
      <c r="AF149" s="23"/>
      <c r="AG149" s="23"/>
      <c r="AH149" s="23"/>
      <c r="AI149" s="23"/>
      <c r="AJ149" s="23"/>
      <c r="AK149" s="23"/>
      <c r="AL149" s="23"/>
    </row>
    <row r="150" spans="1:38" s="382" customFormat="1" ht="5.0999999999999996" customHeight="1" x14ac:dyDescent="0.2">
      <c r="A150" s="778"/>
      <c r="B150" s="1308"/>
      <c r="D150" s="9"/>
      <c r="E150" s="49"/>
      <c r="F150" s="49"/>
      <c r="G150" s="49"/>
      <c r="H150" s="49"/>
      <c r="I150" s="49"/>
      <c r="J150" s="49"/>
      <c r="K150" s="49"/>
      <c r="L150" s="49"/>
      <c r="M150" s="49"/>
      <c r="N150" s="49"/>
      <c r="O150" s="1309"/>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row>
    <row r="151" spans="1:38" s="382" customFormat="1" ht="12.75" customHeight="1" x14ac:dyDescent="0.2">
      <c r="A151" s="778"/>
      <c r="B151" s="1308"/>
      <c r="D151" s="402" t="s">
        <v>4</v>
      </c>
      <c r="E151" s="404" t="str">
        <f>Translations!$B$170</f>
        <v>Įrenginio pavadinimas</v>
      </c>
      <c r="F151" s="381"/>
      <c r="G151" s="381"/>
      <c r="H151" s="381"/>
      <c r="I151" s="1657"/>
      <c r="J151" s="1645"/>
      <c r="K151" s="1645"/>
      <c r="L151" s="1645"/>
      <c r="M151" s="1645"/>
      <c r="N151" s="1645"/>
      <c r="O151" s="1309"/>
      <c r="P151" s="23"/>
      <c r="Q151" s="1053" t="str">
        <f>IF(I154="","",C127 &amp; "_" &amp; EUconst_CNTR_CCSInstName &amp; I154)</f>
        <v/>
      </c>
      <c r="R151" s="23"/>
      <c r="S151" s="23"/>
      <c r="T151" s="23"/>
      <c r="U151" s="23"/>
      <c r="V151" s="23"/>
      <c r="W151" s="23"/>
      <c r="X151" s="23"/>
      <c r="Y151" s="23"/>
      <c r="Z151" s="23"/>
      <c r="AA151" s="23"/>
      <c r="AB151" s="23"/>
      <c r="AC151" s="23"/>
      <c r="AD151" s="23"/>
      <c r="AE151" s="23"/>
      <c r="AF151" s="23"/>
      <c r="AG151" s="23"/>
      <c r="AH151" s="23"/>
      <c r="AI151" s="23"/>
      <c r="AJ151" s="23"/>
      <c r="AK151" s="23"/>
      <c r="AL151" s="26" t="b">
        <f>OR(CNTR_MeasurementRelevant=EUconst_NotRelevant,AND(COUNTA(CNTR_ListRelevantSections)&gt;0,OR(G127="",V127=TRUE)))</f>
        <v>1</v>
      </c>
    </row>
    <row r="152" spans="1:38" s="382" customFormat="1" ht="12.75" customHeight="1" x14ac:dyDescent="0.2">
      <c r="A152" s="778"/>
      <c r="B152" s="1308"/>
      <c r="D152" s="402" t="s">
        <v>5</v>
      </c>
      <c r="E152" s="404" t="str">
        <f>Translations!$B$79</f>
        <v>Veiklos vykdytojo pavadinimas</v>
      </c>
      <c r="F152" s="381"/>
      <c r="G152" s="381"/>
      <c r="H152" s="381"/>
      <c r="I152" s="1657"/>
      <c r="J152" s="1645"/>
      <c r="K152" s="1645"/>
      <c r="L152" s="1645"/>
      <c r="M152" s="1645"/>
      <c r="N152" s="1645"/>
      <c r="O152" s="1309"/>
      <c r="P152" s="23"/>
      <c r="Q152" s="1053" t="str">
        <f>IF(I154="","",C127 &amp; "_" &amp; EUconst_CNTR_CCSOpName &amp; I154)</f>
        <v/>
      </c>
      <c r="R152" s="23"/>
      <c r="S152" s="23"/>
      <c r="T152" s="23"/>
      <c r="U152" s="23"/>
      <c r="V152" s="23"/>
      <c r="W152" s="23"/>
      <c r="X152" s="23"/>
      <c r="Y152" s="23"/>
      <c r="Z152" s="23"/>
      <c r="AA152" s="23"/>
      <c r="AB152" s="23"/>
      <c r="AC152" s="23"/>
      <c r="AD152" s="23"/>
      <c r="AE152" s="23"/>
      <c r="AF152" s="23"/>
      <c r="AG152" s="23"/>
      <c r="AH152" s="23"/>
      <c r="AI152" s="23"/>
      <c r="AJ152" s="23"/>
      <c r="AK152" s="23"/>
      <c r="AL152" s="26" t="b">
        <f>AL151</f>
        <v>1</v>
      </c>
    </row>
    <row r="153" spans="1:38" s="382" customFormat="1" ht="12.75" customHeight="1" x14ac:dyDescent="0.2">
      <c r="A153" s="778"/>
      <c r="B153" s="1308"/>
      <c r="D153" s="402" t="s">
        <v>194</v>
      </c>
      <c r="E153" s="404" t="str">
        <f>Translations!$B$171</f>
        <v>Įrenginio unikalus ID</v>
      </c>
      <c r="F153" s="381"/>
      <c r="G153" s="381"/>
      <c r="H153" s="381"/>
      <c r="I153" s="1657"/>
      <c r="J153" s="1645"/>
      <c r="K153" s="1645"/>
      <c r="L153" s="1645"/>
      <c r="M153" s="1645"/>
      <c r="N153" s="1645"/>
      <c r="O153" s="1309"/>
      <c r="P153" s="23"/>
      <c r="Q153" s="1053" t="str">
        <f>IF(I154="","",C127 &amp; "_" &amp; EUconst_CNTR_CCSInstID &amp; I154)</f>
        <v/>
      </c>
      <c r="R153" s="23" t="s">
        <v>537</v>
      </c>
      <c r="S153" s="23"/>
      <c r="T153" s="23"/>
      <c r="U153" s="23"/>
      <c r="V153" s="23"/>
      <c r="W153" s="23"/>
      <c r="X153" s="23"/>
      <c r="Y153" s="23"/>
      <c r="Z153" s="23"/>
      <c r="AA153" s="23"/>
      <c r="AB153" s="23"/>
      <c r="AC153" s="23"/>
      <c r="AD153" s="23"/>
      <c r="AE153" s="23"/>
      <c r="AF153" s="23"/>
      <c r="AG153" s="23"/>
      <c r="AH153" s="23"/>
      <c r="AI153" s="23"/>
      <c r="AJ153" s="23"/>
      <c r="AK153" s="23"/>
      <c r="AL153" s="26" t="b">
        <f>AL152</f>
        <v>1</v>
      </c>
    </row>
    <row r="154" spans="1:38" s="382" customFormat="1" ht="12.75" customHeight="1" x14ac:dyDescent="0.2">
      <c r="A154" s="778"/>
      <c r="B154" s="1308"/>
      <c r="D154" s="402" t="s">
        <v>195</v>
      </c>
      <c r="E154" s="404" t="str">
        <f>Translations!$B$169</f>
        <v>Perdavimo tipas</v>
      </c>
      <c r="F154" s="381"/>
      <c r="G154" s="381"/>
      <c r="H154" s="381"/>
      <c r="I154" s="1645"/>
      <c r="J154" s="1645"/>
      <c r="K154" s="1645"/>
      <c r="L154" s="1645"/>
      <c r="M154" s="1645"/>
      <c r="N154" s="1645"/>
      <c r="O154" s="1309"/>
      <c r="P154" s="23"/>
      <c r="Q154" s="23"/>
      <c r="R154" s="26" t="str">
        <f>IF(I154="","",I154=INDEX(EUconst_CO2TransferTypes,5))</f>
        <v/>
      </c>
      <c r="S154" s="43">
        <f>IF(AND(R154=TRUE,AL154=FALSE),-1,1)</f>
        <v>1</v>
      </c>
      <c r="T154" s="23"/>
      <c r="U154" s="23"/>
      <c r="V154" s="23"/>
      <c r="W154" s="23"/>
      <c r="X154" s="23"/>
      <c r="Y154" s="23"/>
      <c r="Z154" s="23"/>
      <c r="AA154" s="23"/>
      <c r="AB154" s="23"/>
      <c r="AC154" s="23"/>
      <c r="AD154" s="23"/>
      <c r="AE154" s="23"/>
      <c r="AF154" s="23"/>
      <c r="AG154" s="23"/>
      <c r="AH154" s="23"/>
      <c r="AI154" s="23"/>
      <c r="AJ154" s="23"/>
      <c r="AK154" s="23"/>
      <c r="AL154" s="26" t="b">
        <f>AL153</f>
        <v>1</v>
      </c>
    </row>
    <row r="155" spans="1:38" s="382" customFormat="1" ht="5.0999999999999996" customHeight="1" x14ac:dyDescent="0.2">
      <c r="A155" s="778"/>
      <c r="B155" s="1308"/>
      <c r="D155" s="9"/>
      <c r="E155" s="49"/>
      <c r="F155" s="49"/>
      <c r="G155" s="49"/>
      <c r="H155" s="49"/>
      <c r="I155" s="49"/>
      <c r="J155" s="49"/>
      <c r="K155" s="49"/>
      <c r="L155" s="49"/>
      <c r="M155" s="49"/>
      <c r="N155" s="49"/>
      <c r="O155" s="1309"/>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row>
    <row r="156" spans="1:38" s="382" customFormat="1" ht="5.0999999999999996" customHeight="1" x14ac:dyDescent="0.2">
      <c r="A156" s="778"/>
      <c r="B156" s="1308"/>
      <c r="D156" s="9"/>
      <c r="E156" s="49"/>
      <c r="F156" s="49"/>
      <c r="G156" s="49"/>
      <c r="H156" s="49"/>
      <c r="I156" s="49"/>
      <c r="J156" s="49"/>
      <c r="K156" s="49"/>
      <c r="L156" s="49"/>
      <c r="M156" s="49"/>
      <c r="N156" s="49"/>
      <c r="O156" s="1309"/>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row>
    <row r="157" spans="1:38" s="382" customFormat="1" ht="12.75" customHeight="1" x14ac:dyDescent="0.2">
      <c r="A157" s="778"/>
      <c r="B157" s="1308"/>
      <c r="E157" s="1652" t="str">
        <f>Translations!$B$701</f>
        <v>Pastabos (pvz., patvirtinamųjų skaičiavimų aprašas arba ar trūksta didelės duomenų dalies):</v>
      </c>
      <c r="F157" s="1652"/>
      <c r="G157" s="1652"/>
      <c r="H157" s="1652"/>
      <c r="I157" s="1652"/>
      <c r="J157" s="1652"/>
      <c r="K157" s="1652"/>
      <c r="L157" s="1652"/>
      <c r="M157" s="1652"/>
      <c r="N157" s="1652"/>
      <c r="O157" s="1309"/>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row>
    <row r="158" spans="1:38" s="382" customFormat="1" ht="12.75" customHeight="1" x14ac:dyDescent="0.2">
      <c r="A158" s="778"/>
      <c r="B158" s="1308"/>
      <c r="D158" s="10"/>
      <c r="E158" s="1646"/>
      <c r="F158" s="1647"/>
      <c r="G158" s="1647"/>
      <c r="H158" s="1647"/>
      <c r="I158" s="1647"/>
      <c r="J158" s="1647"/>
      <c r="K158" s="1647"/>
      <c r="L158" s="1647"/>
      <c r="M158" s="1647"/>
      <c r="N158" s="1648"/>
      <c r="O158" s="1309"/>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6" t="b">
        <f>D_MeasurementBasedApproaches!AL144</f>
        <v>1</v>
      </c>
    </row>
    <row r="159" spans="1:38" s="382" customFormat="1" ht="12.75" customHeight="1" x14ac:dyDescent="0.2">
      <c r="A159" s="778"/>
      <c r="B159" s="1308"/>
      <c r="D159" s="10"/>
      <c r="E159" s="1649"/>
      <c r="F159" s="1650"/>
      <c r="G159" s="1650"/>
      <c r="H159" s="1650"/>
      <c r="I159" s="1650"/>
      <c r="J159" s="1650"/>
      <c r="K159" s="1650"/>
      <c r="L159" s="1650"/>
      <c r="M159" s="1650"/>
      <c r="N159" s="1651"/>
      <c r="O159" s="1309"/>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6" t="b">
        <f>AL158</f>
        <v>1</v>
      </c>
    </row>
    <row r="160" spans="1:38" ht="12.75" customHeight="1" thickBot="1" x14ac:dyDescent="0.25">
      <c r="A160" s="741"/>
      <c r="B160" s="1254"/>
      <c r="C160" s="36"/>
      <c r="D160" s="37"/>
      <c r="E160" s="38"/>
      <c r="F160" s="36"/>
      <c r="G160" s="39"/>
      <c r="H160" s="39"/>
      <c r="I160" s="39"/>
      <c r="J160" s="39"/>
      <c r="K160" s="39"/>
      <c r="L160" s="39"/>
      <c r="M160" s="39"/>
      <c r="N160" s="39"/>
      <c r="O160" s="1255"/>
      <c r="P160" s="2"/>
      <c r="S160" s="229"/>
      <c r="AK160" s="23"/>
    </row>
    <row r="161" spans="1:38" ht="12.75" customHeight="1" thickBot="1" x14ac:dyDescent="0.25">
      <c r="A161" s="741"/>
      <c r="B161" s="1325"/>
      <c r="C161" s="200"/>
      <c r="D161" s="6"/>
      <c r="E161" s="239"/>
      <c r="F161" s="239"/>
      <c r="G161" s="239"/>
      <c r="H161" s="239"/>
      <c r="I161" s="239"/>
      <c r="J161" s="239"/>
      <c r="K161" s="239"/>
      <c r="L161" s="239"/>
      <c r="M161" s="5"/>
      <c r="N161" s="5"/>
      <c r="O161" s="1309"/>
      <c r="P161" s="2"/>
      <c r="Q161" s="23"/>
      <c r="R161" s="23"/>
      <c r="S161" s="23"/>
      <c r="V161" s="23"/>
      <c r="W161" s="23"/>
      <c r="X161" s="27" t="s">
        <v>486</v>
      </c>
      <c r="Y161" s="23"/>
      <c r="Z161" s="23"/>
      <c r="AA161" s="23"/>
      <c r="AB161" s="23"/>
      <c r="AC161" s="23"/>
      <c r="AD161" s="23"/>
      <c r="AE161" s="23"/>
      <c r="AF161" s="23"/>
      <c r="AG161" s="23"/>
      <c r="AH161" s="23"/>
      <c r="AI161" s="23"/>
      <c r="AJ161" s="23"/>
    </row>
    <row r="162" spans="1:38" s="140" customFormat="1" ht="15" customHeight="1" thickBot="1" x14ac:dyDescent="0.25">
      <c r="A162" s="742"/>
      <c r="B162" s="1248"/>
      <c r="C162" s="391">
        <f>C127+1</f>
        <v>5</v>
      </c>
      <c r="D162" s="392"/>
      <c r="E162" s="1623" t="str">
        <f>IF(ISBLANK(G162),"",IF(INDEX(B_InstallationDescription!$M$156:$M$165,MATCH(S162,B_InstallationDescription!$E$156:$E$165,0))&gt;0,INDEX(B_InstallationDescription!$M$156:$M$165,MATCH(S162,B_InstallationDescription!$E$156:$E$165,0)),""))</f>
        <v/>
      </c>
      <c r="F162" s="1624"/>
      <c r="G162" s="1610"/>
      <c r="H162" s="1611"/>
      <c r="I162" s="1611"/>
      <c r="J162" s="1612"/>
      <c r="M162" s="338" t="str">
        <f>Translations!$B$686</f>
        <v>Bendras deginant iškastinį kurą išmestas ŠESD kiekis:</v>
      </c>
      <c r="N162" s="1000" t="str">
        <f>IF(G162="","",M174*M178*M179*10^-3*(1-M176)*S189*R180)</f>
        <v/>
      </c>
      <c r="O162" s="1314" t="s">
        <v>257</v>
      </c>
      <c r="P162" s="2"/>
      <c r="Q162" s="343" t="str">
        <f>EUconst_SumCO2 &amp; "_" &amp;E162</f>
        <v>SUM_CO2_</v>
      </c>
      <c r="R162" s="27" t="str">
        <f>IF(ISBLANK(G162),"",MATCH(G162,CNTR_MeasurementPoints,0))</f>
        <v/>
      </c>
      <c r="S162" s="27" t="str">
        <f>IF(ISBLANK(G162),"",INDEX(B_InstallationDescription!$E$156:$E$165,MATCH(G162,CNTR_MeasurementPoints,0)))</f>
        <v/>
      </c>
      <c r="T162" s="1017" t="str">
        <f>IF(ISBLANK(G162),"",MATCH(E162,EUconst_CEMSType,0))</f>
        <v/>
      </c>
      <c r="U162" s="407" t="b">
        <f>E162=INDEX(EUconst_CEMSType,3)</f>
        <v>0</v>
      </c>
      <c r="V162" s="515" t="b">
        <f>OR(E162=INDEX(EUconst_CEMSType,1),E162=INDEX(EUconst_CEMSType,2))</f>
        <v>0</v>
      </c>
      <c r="W162" s="30"/>
      <c r="X162" s="887">
        <f>M174</f>
        <v>0</v>
      </c>
      <c r="Y162" s="846">
        <f>M176</f>
        <v>0</v>
      </c>
      <c r="Z162" s="846">
        <f>M177</f>
        <v>0</v>
      </c>
      <c r="AA162" s="846">
        <f>M178</f>
        <v>0</v>
      </c>
      <c r="AB162" s="846">
        <f>M179</f>
        <v>0</v>
      </c>
      <c r="AC162" s="846" t="str">
        <f>M180</f>
        <v/>
      </c>
      <c r="AD162" s="846" t="str">
        <f>M182</f>
        <v/>
      </c>
      <c r="AE162" s="846" t="str">
        <f>R180</f>
        <v/>
      </c>
      <c r="AF162" s="846" t="str">
        <f>N162</f>
        <v/>
      </c>
      <c r="AG162" s="846" t="str">
        <f>N163</f>
        <v/>
      </c>
      <c r="AH162" s="846" t="str">
        <f>R164</f>
        <v/>
      </c>
      <c r="AI162" s="846">
        <f>R165</f>
        <v>0</v>
      </c>
      <c r="AJ162" s="846">
        <f>R166</f>
        <v>0</v>
      </c>
      <c r="AK162" s="30"/>
      <c r="AL162" s="32" t="b">
        <f>CNTR_MeasurementRelevant=EUconst_NotRelevant</f>
        <v>1</v>
      </c>
    </row>
    <row r="163" spans="1:38" s="382" customFormat="1" ht="15" customHeight="1" thickBot="1" x14ac:dyDescent="0.25">
      <c r="A163" s="741"/>
      <c r="B163" s="1280"/>
      <c r="C163" s="5"/>
      <c r="I163" s="24"/>
      <c r="J163" s="5"/>
      <c r="K163" s="5"/>
      <c r="L163" s="5"/>
      <c r="M163" s="337" t="str">
        <f>Translations!$B$687</f>
        <v>Bendras deginant biomasę išmestas ŠESD kiekis:</v>
      </c>
      <c r="N163" s="999" t="str">
        <f>IF(G162="","",M174*M178*M179*10^-3*(M176)*S189*R180)</f>
        <v/>
      </c>
      <c r="O163" s="1315" t="s">
        <v>257</v>
      </c>
      <c r="P163" s="2"/>
      <c r="Q163" s="344" t="str">
        <f>EUconst_SumBioCO2 &amp; "_" &amp; E162</f>
        <v>SUM_bioCO2_</v>
      </c>
      <c r="R163" s="23"/>
      <c r="S163" s="23"/>
      <c r="T163" s="23"/>
      <c r="U163" s="23"/>
      <c r="V163" s="23"/>
      <c r="W163" s="23"/>
      <c r="X163" s="833" t="s">
        <v>500</v>
      </c>
      <c r="Y163" s="833" t="s">
        <v>215</v>
      </c>
      <c r="Z163" s="833" t="s">
        <v>494</v>
      </c>
      <c r="AA163" s="833" t="s">
        <v>501</v>
      </c>
      <c r="AB163" s="833" t="s">
        <v>502</v>
      </c>
      <c r="AC163" s="833" t="s">
        <v>503</v>
      </c>
      <c r="AD163" s="833" t="s">
        <v>504</v>
      </c>
      <c r="AE163" s="833" t="s">
        <v>386</v>
      </c>
      <c r="AF163" s="833" t="s">
        <v>287</v>
      </c>
      <c r="AG163" s="833" t="s">
        <v>495</v>
      </c>
      <c r="AH163" s="833" t="s">
        <v>498</v>
      </c>
      <c r="AI163" s="833" t="s">
        <v>496</v>
      </c>
      <c r="AJ163" s="833" t="s">
        <v>497</v>
      </c>
      <c r="AK163" s="23"/>
      <c r="AL163" s="23"/>
    </row>
    <row r="164" spans="1:38" ht="13.5" thickBot="1" x14ac:dyDescent="0.25">
      <c r="A164" s="741"/>
      <c r="B164" s="1326"/>
      <c r="C164" s="798"/>
      <c r="D164" s="799"/>
      <c r="E164" s="797"/>
      <c r="F164" s="797"/>
      <c r="G164" s="797"/>
      <c r="H164" s="797"/>
      <c r="I164" s="797"/>
      <c r="J164" s="797"/>
      <c r="K164" s="797"/>
      <c r="L164" s="797"/>
      <c r="M164" s="797"/>
      <c r="N164" s="797"/>
      <c r="O164" s="1255"/>
      <c r="P164" s="2"/>
      <c r="Q164" s="343" t="str">
        <f>EUconst_SumNonSustBioCO2 &amp; "_" &amp; K161</f>
        <v>SUM_bioNonSustCO2_</v>
      </c>
      <c r="R164" s="698" t="str">
        <f>IF(G162="","",ROUND(M174*M178*M179*10^-3*(1-M176)*M177*S189*R180,0))</f>
        <v/>
      </c>
      <c r="Y164" s="23"/>
      <c r="Z164" s="23"/>
      <c r="AA164" s="23"/>
      <c r="AB164" s="23"/>
      <c r="AC164" s="23"/>
      <c r="AD164" s="23"/>
      <c r="AE164" s="23"/>
      <c r="AF164" s="23"/>
      <c r="AG164" s="23"/>
      <c r="AH164" s="23"/>
      <c r="AI164" s="23"/>
      <c r="AJ164" s="23"/>
      <c r="AK164" s="23"/>
      <c r="AL164" s="23"/>
    </row>
    <row r="165" spans="1:38" ht="13.5" thickBot="1" x14ac:dyDescent="0.25">
      <c r="A165" s="741"/>
      <c r="B165" s="1326"/>
      <c r="C165" s="798"/>
      <c r="D165" s="799"/>
      <c r="E165" s="797"/>
      <c r="F165" s="797"/>
      <c r="G165" s="797"/>
      <c r="H165" s="797"/>
      <c r="I165" s="797"/>
      <c r="J165" s="797"/>
      <c r="K165" s="797"/>
      <c r="L165" s="797"/>
      <c r="M165" s="494" t="str">
        <f>Translations!$B$688</f>
        <v>Bendra iškastinio kuro energetinė vertė:</v>
      </c>
      <c r="N165" s="1043"/>
      <c r="O165" s="1327" t="s">
        <v>279</v>
      </c>
      <c r="P165" s="2"/>
      <c r="Q165" s="343" t="str">
        <f>EUconst_SumEnergyIN &amp; "_" &amp; K161</f>
        <v>SUM_EnergyIN_</v>
      </c>
      <c r="R165" s="698">
        <f>N165</f>
        <v>0</v>
      </c>
      <c r="Y165" s="23"/>
      <c r="Z165" s="23"/>
      <c r="AA165" s="23"/>
      <c r="AB165" s="23"/>
      <c r="AC165" s="23"/>
      <c r="AD165" s="23"/>
      <c r="AE165" s="23"/>
      <c r="AF165" s="23"/>
      <c r="AG165" s="23"/>
      <c r="AH165" s="23"/>
      <c r="AI165" s="23"/>
      <c r="AJ165" s="23"/>
      <c r="AK165" s="23"/>
      <c r="AL165" s="32" t="b">
        <f>AL170</f>
        <v>1</v>
      </c>
    </row>
    <row r="166" spans="1:38" ht="13.5" thickBot="1" x14ac:dyDescent="0.25">
      <c r="A166" s="741"/>
      <c r="B166" s="1326"/>
      <c r="C166" s="798"/>
      <c r="D166" s="799"/>
      <c r="E166" s="797"/>
      <c r="F166" s="797"/>
      <c r="G166" s="797"/>
      <c r="H166" s="797"/>
      <c r="I166" s="797"/>
      <c r="J166" s="797"/>
      <c r="K166" s="797"/>
      <c r="L166" s="797"/>
      <c r="M166" s="337" t="str">
        <f>Translations!$B$689</f>
        <v>Bendra biomasės energetinė vertė:</v>
      </c>
      <c r="N166" s="1044"/>
      <c r="O166" s="1328" t="s">
        <v>279</v>
      </c>
      <c r="P166" s="2"/>
      <c r="Q166" s="343" t="str">
        <f>EUconst_SumBioEnergyIN &amp; "_" &amp; K161</f>
        <v>SUM_BioEnergyIN_</v>
      </c>
      <c r="R166" s="698">
        <f>N166</f>
        <v>0</v>
      </c>
      <c r="Y166" s="23"/>
      <c r="Z166" s="23"/>
      <c r="AA166" s="23"/>
      <c r="AB166" s="23"/>
      <c r="AC166" s="23"/>
      <c r="AD166" s="23"/>
      <c r="AE166" s="23"/>
      <c r="AF166" s="23"/>
      <c r="AG166" s="23"/>
      <c r="AH166" s="23"/>
      <c r="AI166" s="23"/>
      <c r="AJ166" s="23"/>
      <c r="AK166" s="23"/>
      <c r="AL166" s="32" t="b">
        <f>AL165</f>
        <v>1</v>
      </c>
    </row>
    <row r="167" spans="1:38" s="382" customFormat="1" ht="5.0999999999999996" customHeight="1" x14ac:dyDescent="0.2">
      <c r="A167" s="778"/>
      <c r="B167" s="1308"/>
      <c r="D167" s="151"/>
      <c r="K167" s="12"/>
      <c r="L167" s="12"/>
      <c r="M167" s="12"/>
      <c r="N167" s="12"/>
      <c r="O167" s="1329"/>
      <c r="P167" s="2"/>
      <c r="Q167" s="23"/>
      <c r="R167" s="23"/>
      <c r="S167" s="23"/>
      <c r="T167" s="23"/>
      <c r="U167" s="23"/>
      <c r="V167" s="23"/>
      <c r="W167" s="23"/>
      <c r="X167" s="23"/>
      <c r="Y167" s="23"/>
      <c r="Z167" s="23"/>
      <c r="AA167" s="23"/>
      <c r="AB167" s="23"/>
      <c r="AC167" s="23"/>
      <c r="AD167" s="23"/>
      <c r="AE167" s="23"/>
      <c r="AF167" s="23"/>
      <c r="AG167" s="23"/>
      <c r="AH167" s="23"/>
      <c r="AI167" s="23"/>
      <c r="AJ167" s="23"/>
      <c r="AK167" s="23"/>
      <c r="AL167" s="23"/>
    </row>
    <row r="168" spans="1:38" s="382" customFormat="1" ht="12.75" customHeight="1" x14ac:dyDescent="0.2">
      <c r="A168" s="778"/>
      <c r="B168" s="1308"/>
      <c r="D168" s="9" t="s">
        <v>1</v>
      </c>
      <c r="E168" s="1395" t="str">
        <f>Translations!$B$690</f>
        <v>Skaičiavimai</v>
      </c>
      <c r="F168" s="1395"/>
      <c r="G168" s="1395"/>
      <c r="H168" s="1395"/>
      <c r="I168" s="1395"/>
      <c r="J168" s="1395"/>
      <c r="K168" s="1395"/>
      <c r="L168" s="1395"/>
      <c r="M168" s="1395"/>
      <c r="N168" s="1395"/>
      <c r="O168" s="1329"/>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row>
    <row r="169" spans="1:38" s="382" customFormat="1" ht="5.0999999999999996" customHeight="1" thickBot="1" x14ac:dyDescent="0.25">
      <c r="A169" s="778"/>
      <c r="B169" s="1308"/>
      <c r="D169" s="151"/>
      <c r="K169" s="12"/>
      <c r="L169" s="12"/>
      <c r="M169" s="12"/>
      <c r="N169" s="12"/>
      <c r="O169" s="1329"/>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row>
    <row r="170" spans="1:38" s="382" customFormat="1" ht="12.75" customHeight="1" thickBot="1" x14ac:dyDescent="0.25">
      <c r="A170" s="778"/>
      <c r="B170" s="1308"/>
      <c r="D170" s="9"/>
      <c r="E170" s="399" t="str">
        <f>Translations!$B$691</f>
        <v>Informacija apie susijusius sukėliklius, jeigu taikytina:</v>
      </c>
      <c r="F170" s="399"/>
      <c r="G170" s="399"/>
      <c r="H170" s="399"/>
      <c r="I170" s="399"/>
      <c r="J170" s="1653" t="str">
        <f>Translations!$B$692</f>
        <v>Patvirtinamųjų skaičiavimų rezultatas (iškastinis kuras):</v>
      </c>
      <c r="K170" s="1653"/>
      <c r="L170" s="1653"/>
      <c r="M170" s="1653"/>
      <c r="N170" s="1194"/>
      <c r="O170" s="1309"/>
      <c r="P170" s="23"/>
      <c r="Q170" s="23"/>
      <c r="R170" s="23"/>
      <c r="S170" s="23"/>
      <c r="T170" s="23"/>
      <c r="U170" s="23"/>
      <c r="V170" s="23"/>
      <c r="W170" s="23"/>
      <c r="X170" s="23"/>
      <c r="Y170" s="23"/>
      <c r="Z170" s="23"/>
      <c r="AA170" s="23"/>
      <c r="AB170" s="23"/>
      <c r="AC170" s="23"/>
      <c r="AD170" s="23"/>
      <c r="AE170" s="23"/>
      <c r="AF170" s="23"/>
      <c r="AG170" s="23"/>
      <c r="AH170" s="23"/>
      <c r="AI170" s="23"/>
      <c r="AJ170" s="23"/>
      <c r="AK170" s="26" t="b">
        <f>IF(E162="",FALSE,MATCH(E162,EUconst_CEMSType,0)=2)</f>
        <v>0</v>
      </c>
      <c r="AL170" s="26" t="b">
        <f>OR(CNTR_MeasurementRelevant=EUconst_NotRelevant,AND(COUNTA(CNTR_ListRelevantSections)&gt;0,G162=""))</f>
        <v>1</v>
      </c>
    </row>
    <row r="171" spans="1:38" s="382" customFormat="1" x14ac:dyDescent="0.2">
      <c r="A171" s="778"/>
      <c r="B171" s="1308"/>
      <c r="D171" s="9"/>
      <c r="E171" s="1654"/>
      <c r="F171" s="1655"/>
      <c r="G171" s="1655"/>
      <c r="H171" s="1655"/>
      <c r="I171" s="1656"/>
      <c r="J171" s="1653" t="str">
        <f>Translations!$B$693</f>
        <v>Patvirtinamųjų skaičiavimų rezultatas (biomasė):</v>
      </c>
      <c r="K171" s="1653"/>
      <c r="L171" s="1653"/>
      <c r="M171" s="1653"/>
      <c r="N171" s="1195"/>
      <c r="O171" s="1309"/>
      <c r="P171" s="681"/>
      <c r="Q171" s="23"/>
      <c r="R171" s="23"/>
      <c r="S171" s="23"/>
      <c r="T171" s="23"/>
      <c r="U171" s="23"/>
      <c r="V171" s="23"/>
      <c r="W171" s="23"/>
      <c r="X171" s="23"/>
      <c r="Y171" s="23"/>
      <c r="Z171" s="23"/>
      <c r="AA171" s="23"/>
      <c r="AB171" s="23"/>
      <c r="AC171" s="23"/>
      <c r="AD171" s="23"/>
      <c r="AE171" s="23"/>
      <c r="AF171" s="23"/>
      <c r="AG171" s="23"/>
      <c r="AH171" s="23"/>
      <c r="AI171" s="23"/>
      <c r="AJ171" s="23"/>
      <c r="AK171" s="26" t="b">
        <f>AK170</f>
        <v>0</v>
      </c>
      <c r="AL171" s="26" t="b">
        <f>AL170</f>
        <v>1</v>
      </c>
    </row>
    <row r="172" spans="1:38" s="382" customFormat="1" ht="5.0999999999999996" customHeight="1" x14ac:dyDescent="0.2">
      <c r="A172" s="778"/>
      <c r="B172" s="1308"/>
      <c r="D172" s="9"/>
      <c r="E172" s="49"/>
      <c r="F172" s="49"/>
      <c r="G172" s="49"/>
      <c r="H172" s="49"/>
      <c r="I172" s="49"/>
      <c r="J172" s="49"/>
      <c r="K172" s="49"/>
      <c r="L172" s="49"/>
      <c r="M172" s="49"/>
      <c r="N172" s="49"/>
      <c r="O172" s="1309"/>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row>
    <row r="173" spans="1:38" s="382" customFormat="1" ht="12.75" customHeight="1" thickBot="1" x14ac:dyDescent="0.25">
      <c r="A173" s="778"/>
      <c r="B173" s="1308"/>
      <c r="I173" s="49"/>
      <c r="J173" s="49"/>
      <c r="K173" s="49"/>
      <c r="L173" s="793" t="str">
        <f>EUconst_Unit</f>
        <v>Vienetas</v>
      </c>
      <c r="M173" s="793"/>
      <c r="O173" s="1309"/>
      <c r="P173" s="681"/>
      <c r="Q173" s="23"/>
      <c r="R173" s="23"/>
      <c r="S173" s="23"/>
      <c r="T173" s="23"/>
      <c r="U173" s="23"/>
      <c r="V173" s="23"/>
      <c r="W173" s="23"/>
      <c r="X173" s="23"/>
      <c r="Y173" s="23"/>
      <c r="Z173" s="23"/>
      <c r="AA173" s="23"/>
      <c r="AB173" s="23"/>
      <c r="AC173" s="23"/>
      <c r="AD173" s="23"/>
      <c r="AE173" s="23"/>
      <c r="AF173" s="23"/>
      <c r="AG173" s="23"/>
      <c r="AH173" s="23"/>
      <c r="AI173" s="23"/>
      <c r="AJ173" s="23"/>
      <c r="AK173" s="23"/>
      <c r="AL173" s="23"/>
    </row>
    <row r="174" spans="1:38" s="382" customFormat="1" ht="12.75" customHeight="1" thickBot="1" x14ac:dyDescent="0.25">
      <c r="A174" s="778"/>
      <c r="B174" s="1308"/>
      <c r="E174" s="21" t="str">
        <f>Translations!$B$162</f>
        <v>Naudojama pakopa.</v>
      </c>
      <c r="F174" s="393"/>
      <c r="G174" s="402" t="s">
        <v>4</v>
      </c>
      <c r="H174" s="395" t="str">
        <f>Translations!$B$694</f>
        <v>ŠESD koncentracija (metinis valandinis vidurkis):</v>
      </c>
      <c r="I174" s="381"/>
      <c r="J174" s="381"/>
      <c r="K174" s="381"/>
      <c r="L174" s="678" t="str">
        <f>EUconst_gpNm3</f>
        <v>g/Nm3</v>
      </c>
      <c r="M174" s="1198"/>
      <c r="O174" s="1309"/>
      <c r="P174" s="23"/>
      <c r="Q174" s="2"/>
      <c r="R174" s="23"/>
      <c r="S174" s="23"/>
      <c r="T174" s="23"/>
      <c r="U174" s="23"/>
      <c r="V174" s="23"/>
      <c r="W174" s="23"/>
      <c r="X174" s="23"/>
      <c r="Y174" s="23"/>
      <c r="Z174" s="23"/>
      <c r="AA174" s="23"/>
      <c r="AB174" s="23"/>
      <c r="AC174" s="23"/>
      <c r="AD174" s="23"/>
      <c r="AE174" s="23"/>
      <c r="AF174" s="23"/>
      <c r="AG174" s="23"/>
      <c r="AH174" s="23"/>
      <c r="AI174" s="23"/>
      <c r="AJ174" s="23"/>
      <c r="AK174" s="23"/>
      <c r="AL174" s="26" t="b">
        <f>AL171</f>
        <v>1</v>
      </c>
    </row>
    <row r="175" spans="1:38" s="382" customFormat="1" ht="12.75" customHeight="1" thickBot="1" x14ac:dyDescent="0.25">
      <c r="A175" s="778"/>
      <c r="B175" s="1308"/>
      <c r="F175" s="472" t="str">
        <f>IF(OR(ISBLANK(F174),F174=EUconst_NoTier),"",IF(R176=EUconst_NA,EUconst_NA,IF(ISERROR(R176),"",R176)))</f>
        <v/>
      </c>
      <c r="G175" s="402"/>
      <c r="H175" s="395"/>
      <c r="I175" s="381"/>
      <c r="J175" s="381"/>
      <c r="K175" s="381"/>
      <c r="M175" s="151"/>
      <c r="O175" s="1309"/>
      <c r="P175" s="23"/>
      <c r="Q175" s="2"/>
      <c r="R175" s="684" t="s">
        <v>538</v>
      </c>
      <c r="S175" s="23"/>
      <c r="T175" s="23"/>
      <c r="U175" s="23"/>
      <c r="V175" s="23"/>
      <c r="W175" s="23"/>
      <c r="X175" s="23"/>
      <c r="Y175" s="23"/>
      <c r="Z175" s="23"/>
      <c r="AA175" s="23"/>
      <c r="AB175" s="23"/>
      <c r="AC175" s="23"/>
      <c r="AD175" s="23"/>
      <c r="AE175" s="23"/>
      <c r="AF175" s="23"/>
      <c r="AG175" s="23"/>
      <c r="AH175" s="23"/>
      <c r="AI175" s="23"/>
      <c r="AJ175" s="23"/>
      <c r="AK175" s="23"/>
      <c r="AL175" s="23"/>
    </row>
    <row r="176" spans="1:38" s="382" customFormat="1" ht="12.75" customHeight="1" x14ac:dyDescent="0.2">
      <c r="A176" s="778"/>
      <c r="B176" s="1308"/>
      <c r="D176" s="200"/>
      <c r="G176" s="402" t="s">
        <v>5</v>
      </c>
      <c r="H176" s="395" t="str">
        <f>Translations!$B$682</f>
        <v>Biomasės dalis:</v>
      </c>
      <c r="I176" s="290"/>
      <c r="J176" s="290"/>
      <c r="K176" s="290"/>
      <c r="L176" s="806" t="s">
        <v>258</v>
      </c>
      <c r="M176" s="807"/>
      <c r="O176" s="1309"/>
      <c r="P176" s="23"/>
      <c r="Q176" s="2"/>
      <c r="R176" s="43" t="str">
        <f>IF(F174="","",IF(F174=EUconst_NA,"",INDEX(EUwideConstants!$H$689:$M$691,MATCH(E162,EUwideConstants!$B$689:$B$691,0),MATCH(F174,CNTR_TierList,0))))</f>
        <v/>
      </c>
      <c r="S176" s="23"/>
      <c r="T176" s="23"/>
      <c r="U176" s="23"/>
      <c r="V176" s="23"/>
      <c r="W176" s="23"/>
      <c r="X176" s="23"/>
      <c r="Y176" s="23"/>
      <c r="Z176" s="23"/>
      <c r="AA176" s="23"/>
      <c r="AB176" s="23"/>
      <c r="AC176" s="23"/>
      <c r="AD176" s="23"/>
      <c r="AE176" s="23"/>
      <c r="AF176" s="23"/>
      <c r="AG176" s="23"/>
      <c r="AH176" s="23"/>
      <c r="AI176" s="23"/>
      <c r="AJ176" s="23"/>
      <c r="AK176" s="23"/>
      <c r="AL176" s="26" t="b">
        <f>AL174</f>
        <v>1</v>
      </c>
    </row>
    <row r="177" spans="1:38" s="382" customFormat="1" ht="12.75" customHeight="1" thickBot="1" x14ac:dyDescent="0.25">
      <c r="A177" s="778"/>
      <c r="B177" s="1308"/>
      <c r="D177" s="200"/>
      <c r="G177" s="402" t="s">
        <v>194</v>
      </c>
      <c r="H177" s="884" t="str">
        <f>Translations!$B$683</f>
        <v>netvarios biomasės dalis:</v>
      </c>
      <c r="I177" s="292"/>
      <c r="J177" s="292"/>
      <c r="K177" s="292"/>
      <c r="L177" s="885" t="s">
        <v>258</v>
      </c>
      <c r="M177" s="886"/>
      <c r="O177" s="1309"/>
      <c r="P177" s="23"/>
      <c r="Q177" s="2"/>
      <c r="R177" s="684"/>
      <c r="S177" s="23"/>
      <c r="T177" s="23"/>
      <c r="U177" s="23"/>
      <c r="V177" s="23"/>
      <c r="W177" s="23"/>
      <c r="X177" s="23"/>
      <c r="Y177" s="23"/>
      <c r="Z177" s="23"/>
      <c r="AA177" s="23"/>
      <c r="AB177" s="23"/>
      <c r="AC177" s="23"/>
      <c r="AD177" s="23"/>
      <c r="AE177" s="23"/>
      <c r="AF177" s="23"/>
      <c r="AG177" s="23"/>
      <c r="AH177" s="23"/>
      <c r="AI177" s="23"/>
      <c r="AJ177" s="23"/>
      <c r="AK177" s="23"/>
      <c r="AL177" s="26" t="b">
        <f>AL176</f>
        <v>1</v>
      </c>
    </row>
    <row r="178" spans="1:38" s="382" customFormat="1" ht="12.75" customHeight="1" x14ac:dyDescent="0.2">
      <c r="A178" s="778"/>
      <c r="B178" s="1308"/>
      <c r="E178" s="22" t="str">
        <f>Translations!$B$684</f>
        <v>VAP:</v>
      </c>
      <c r="F178" s="682" t="str">
        <f>IF(OR(G162="",F179&lt;&gt;""),"",IF(T162=2,298,1))</f>
        <v/>
      </c>
      <c r="G178" s="402" t="s">
        <v>195</v>
      </c>
      <c r="H178" s="397" t="str">
        <f>Translations!$B$695</f>
        <v>Veikimo valandos:</v>
      </c>
      <c r="I178" s="398"/>
      <c r="J178" s="398"/>
      <c r="K178" s="398"/>
      <c r="L178" s="679" t="str">
        <f>EUconst_hpa</f>
        <v>val./metai</v>
      </c>
      <c r="M178" s="811"/>
      <c r="O178" s="1309"/>
      <c r="P178" s="23"/>
      <c r="Q178" s="2"/>
      <c r="R178" s="23"/>
      <c r="S178" s="23"/>
      <c r="T178" s="23"/>
      <c r="U178" s="23"/>
      <c r="V178" s="23"/>
      <c r="W178" s="23"/>
      <c r="X178" s="23"/>
      <c r="Y178" s="23"/>
      <c r="Z178" s="23"/>
      <c r="AA178" s="23"/>
      <c r="AB178" s="23"/>
      <c r="AC178" s="23"/>
      <c r="AD178" s="23"/>
      <c r="AE178" s="23"/>
      <c r="AF178" s="23"/>
      <c r="AG178" s="23"/>
      <c r="AH178" s="23"/>
      <c r="AI178" s="23"/>
      <c r="AJ178" s="23"/>
      <c r="AK178" s="23"/>
      <c r="AL178" s="26" t="b">
        <f>AL176</f>
        <v>1</v>
      </c>
    </row>
    <row r="179" spans="1:38" s="382" customFormat="1" ht="12.75" customHeight="1" thickBot="1" x14ac:dyDescent="0.25">
      <c r="A179" s="778"/>
      <c r="B179" s="1308"/>
      <c r="D179" s="794"/>
      <c r="E179" s="687" t="str">
        <f>Translations!$B$696</f>
        <v>(CO2(e) tonos / ŠESD tonos)</v>
      </c>
      <c r="F179" s="683"/>
      <c r="G179" s="402" t="s">
        <v>196</v>
      </c>
      <c r="H179" s="396" t="str">
        <f>Translations!$B$697</f>
        <v>Kaminų dujų srautas (metinis valandinis vidurkis):</v>
      </c>
      <c r="I179" s="291"/>
      <c r="J179" s="291"/>
      <c r="K179" s="291"/>
      <c r="L179" s="680" t="str">
        <f>EUconst_Nm3ph</f>
        <v>1 000 Nm3/h</v>
      </c>
      <c r="M179" s="808"/>
      <c r="O179" s="1309"/>
      <c r="P179" s="23"/>
      <c r="Q179" s="2"/>
      <c r="R179" s="13" t="s">
        <v>386</v>
      </c>
      <c r="S179" s="23"/>
      <c r="T179" s="23"/>
      <c r="U179" s="23"/>
      <c r="V179" s="23"/>
      <c r="W179" s="23"/>
      <c r="X179" s="23"/>
      <c r="Y179" s="23"/>
      <c r="Z179" s="23"/>
      <c r="AA179" s="23"/>
      <c r="AB179" s="23"/>
      <c r="AC179" s="23"/>
      <c r="AD179" s="23"/>
      <c r="AE179" s="23"/>
      <c r="AF179" s="23"/>
      <c r="AG179" s="23"/>
      <c r="AH179" s="23"/>
      <c r="AI179" s="23"/>
      <c r="AJ179" s="23"/>
      <c r="AK179" s="23"/>
      <c r="AL179" s="26" t="b">
        <f>AL178</f>
        <v>1</v>
      </c>
    </row>
    <row r="180" spans="1:38" s="382" customFormat="1" ht="12.75" customHeight="1" thickBot="1" x14ac:dyDescent="0.25">
      <c r="A180" s="778"/>
      <c r="B180" s="1308"/>
      <c r="D180" s="794"/>
      <c r="G180" s="687" t="s">
        <v>197</v>
      </c>
      <c r="H180" s="395" t="str">
        <f>Translations!$B$698</f>
        <v>Kaminų dujų srautas (bendras metinis kiekis):</v>
      </c>
      <c r="I180" s="290"/>
      <c r="J180" s="290"/>
      <c r="K180" s="290"/>
      <c r="L180" s="678" t="str">
        <f>EUconst_kNm3pa</f>
        <v>1 000 Nm3/m.</v>
      </c>
      <c r="M180" s="809" t="str">
        <f>IF(COUNT(M178,M179)=2,M178*M179,"")</f>
        <v/>
      </c>
      <c r="O180" s="1309"/>
      <c r="P180" s="23"/>
      <c r="Q180" s="23"/>
      <c r="R180" s="43" t="str">
        <f>IF(F179="",F178,F179)</f>
        <v/>
      </c>
      <c r="S180" s="23"/>
      <c r="T180" s="23"/>
      <c r="U180" s="23"/>
      <c r="V180" s="23"/>
      <c r="W180" s="23"/>
      <c r="X180" s="23"/>
      <c r="Y180" s="23"/>
      <c r="Z180" s="23"/>
      <c r="AA180" s="23"/>
      <c r="AB180" s="23"/>
      <c r="AC180" s="23"/>
      <c r="AD180" s="23"/>
      <c r="AE180" s="23"/>
      <c r="AF180" s="23"/>
      <c r="AG180" s="23"/>
      <c r="AH180" s="23"/>
      <c r="AI180" s="23"/>
      <c r="AJ180" s="23"/>
      <c r="AK180" s="23"/>
      <c r="AL180" s="23"/>
    </row>
    <row r="181" spans="1:38" s="382" customFormat="1" ht="5.0999999999999996" customHeight="1" thickBot="1" x14ac:dyDescent="0.25">
      <c r="A181" s="778"/>
      <c r="B181" s="1308"/>
      <c r="D181" s="794"/>
      <c r="E181" s="200"/>
      <c r="F181" s="200"/>
      <c r="G181" s="200"/>
      <c r="H181" s="200"/>
      <c r="I181" s="200"/>
      <c r="J181" s="200"/>
      <c r="K181" s="200"/>
      <c r="L181" s="200"/>
      <c r="M181" s="6"/>
      <c r="O181" s="1309"/>
      <c r="P181" s="23"/>
      <c r="Q181" s="23"/>
      <c r="R181" s="684"/>
      <c r="S181" s="23"/>
      <c r="T181" s="23"/>
      <c r="U181" s="23"/>
      <c r="V181" s="23"/>
      <c r="W181" s="23"/>
      <c r="X181" s="23"/>
      <c r="Y181" s="23"/>
      <c r="Z181" s="23"/>
      <c r="AA181" s="23"/>
      <c r="AB181" s="23"/>
      <c r="AC181" s="23"/>
      <c r="AD181" s="23"/>
      <c r="AE181" s="23"/>
      <c r="AF181" s="23"/>
      <c r="AG181" s="23"/>
      <c r="AH181" s="23"/>
      <c r="AI181" s="23"/>
      <c r="AJ181" s="23"/>
      <c r="AK181" s="23"/>
      <c r="AL181" s="23"/>
    </row>
    <row r="182" spans="1:38" s="382" customFormat="1" ht="12.75" customHeight="1" thickBot="1" x14ac:dyDescent="0.25">
      <c r="A182" s="778"/>
      <c r="B182" s="1308"/>
      <c r="D182" s="794"/>
      <c r="E182" s="200"/>
      <c r="F182" s="200"/>
      <c r="G182" s="687" t="s">
        <v>198</v>
      </c>
      <c r="H182" s="395" t="str">
        <f>Translations!$B$699</f>
        <v>Metinis deginant iškastinį kurą išmestas ŠESD kiekis</v>
      </c>
      <c r="I182" s="290"/>
      <c r="J182" s="290"/>
      <c r="K182" s="290"/>
      <c r="L182" s="678" t="str">
        <f>EUconst_t</f>
        <v>t</v>
      </c>
      <c r="M182" s="810" t="str">
        <f>IF(G162="","",ROUND(M174*M178*M179*10^-3*(1-M176),0))</f>
        <v/>
      </c>
      <c r="O182" s="1309"/>
      <c r="P182" s="23"/>
      <c r="Q182" s="23"/>
      <c r="R182" s="684"/>
      <c r="S182" s="23"/>
      <c r="T182" s="23"/>
      <c r="U182" s="23"/>
      <c r="V182" s="23"/>
      <c r="W182" s="23"/>
      <c r="X182" s="23"/>
      <c r="Y182" s="23"/>
      <c r="Z182" s="23"/>
      <c r="AA182" s="23"/>
      <c r="AB182" s="23"/>
      <c r="AC182" s="23"/>
      <c r="AD182" s="23"/>
      <c r="AE182" s="23"/>
      <c r="AF182" s="23"/>
      <c r="AG182" s="23"/>
      <c r="AH182" s="23"/>
      <c r="AI182" s="23"/>
      <c r="AJ182" s="23"/>
      <c r="AK182" s="23"/>
      <c r="AL182" s="23"/>
    </row>
    <row r="183" spans="1:38" s="382" customFormat="1" ht="5.0999999999999996" customHeight="1" x14ac:dyDescent="0.2">
      <c r="A183" s="778"/>
      <c r="B183" s="1308"/>
      <c r="D183" s="794"/>
      <c r="E183" s="200"/>
      <c r="F183" s="200"/>
      <c r="G183" s="200"/>
      <c r="H183" s="200"/>
      <c r="I183" s="200"/>
      <c r="J183" s="200"/>
      <c r="K183" s="200"/>
      <c r="L183" s="200"/>
      <c r="M183" s="200"/>
      <c r="N183" s="200"/>
      <c r="O183" s="1309"/>
      <c r="P183" s="23"/>
      <c r="Q183" s="23"/>
      <c r="R183" s="684"/>
      <c r="S183" s="23"/>
      <c r="T183" s="23"/>
      <c r="U183" s="23"/>
      <c r="V183" s="23"/>
      <c r="W183" s="23"/>
      <c r="X183" s="23"/>
      <c r="Y183" s="23"/>
      <c r="Z183" s="23"/>
      <c r="AA183" s="23"/>
      <c r="AB183" s="23"/>
      <c r="AC183" s="23"/>
      <c r="AD183" s="23"/>
      <c r="AE183" s="23"/>
      <c r="AF183" s="23"/>
      <c r="AG183" s="23"/>
      <c r="AH183" s="23"/>
      <c r="AI183" s="23"/>
      <c r="AJ183" s="23"/>
      <c r="AK183" s="23"/>
      <c r="AL183" s="23"/>
    </row>
    <row r="184" spans="1:38" s="382" customFormat="1" ht="12.75" customHeight="1" x14ac:dyDescent="0.2">
      <c r="A184" s="778"/>
      <c r="B184" s="1308"/>
      <c r="D184" s="9" t="s">
        <v>2</v>
      </c>
      <c r="E184" s="1395" t="str">
        <f>Translations!$B$700</f>
        <v>Perduotasis / būdingasis CO2</v>
      </c>
      <c r="F184" s="1395"/>
      <c r="G184" s="1395"/>
      <c r="H184" s="1395"/>
      <c r="I184" s="1395"/>
      <c r="J184" s="1395"/>
      <c r="K184" s="1395"/>
      <c r="L184" s="1395"/>
      <c r="M184" s="1395"/>
      <c r="N184" s="1395"/>
      <c r="O184" s="1309"/>
      <c r="P184" s="681"/>
      <c r="Q184" s="23"/>
      <c r="R184" s="23"/>
      <c r="S184" s="23"/>
      <c r="T184" s="23"/>
      <c r="U184" s="23"/>
      <c r="V184" s="23"/>
      <c r="W184" s="23"/>
      <c r="X184" s="23"/>
      <c r="Y184" s="23"/>
      <c r="Z184" s="23"/>
      <c r="AA184" s="23"/>
      <c r="AB184" s="23"/>
      <c r="AC184" s="23"/>
      <c r="AD184" s="23"/>
      <c r="AE184" s="23"/>
      <c r="AF184" s="23"/>
      <c r="AG184" s="23"/>
      <c r="AH184" s="23"/>
      <c r="AI184" s="23"/>
      <c r="AJ184" s="23"/>
      <c r="AK184" s="23"/>
      <c r="AL184" s="23"/>
    </row>
    <row r="185" spans="1:38" s="382" customFormat="1" ht="5.0999999999999996" customHeight="1" x14ac:dyDescent="0.2">
      <c r="A185" s="778"/>
      <c r="B185" s="1308"/>
      <c r="D185" s="9"/>
      <c r="E185" s="49"/>
      <c r="F185" s="49"/>
      <c r="G185" s="49"/>
      <c r="H185" s="49"/>
      <c r="I185" s="49"/>
      <c r="J185" s="49"/>
      <c r="K185" s="49"/>
      <c r="L185" s="49"/>
      <c r="M185" s="49"/>
      <c r="N185" s="49"/>
      <c r="O185" s="1309"/>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row>
    <row r="186" spans="1:38" s="382" customFormat="1" ht="12.75" customHeight="1" x14ac:dyDescent="0.2">
      <c r="A186" s="778"/>
      <c r="B186" s="1308"/>
      <c r="D186" s="402" t="s">
        <v>4</v>
      </c>
      <c r="E186" s="404" t="str">
        <f>Translations!$B$170</f>
        <v>Įrenginio pavadinimas</v>
      </c>
      <c r="F186" s="381"/>
      <c r="G186" s="381"/>
      <c r="H186" s="381"/>
      <c r="I186" s="1645"/>
      <c r="J186" s="1645"/>
      <c r="K186" s="1645"/>
      <c r="L186" s="1645"/>
      <c r="M186" s="1645"/>
      <c r="N186" s="1645"/>
      <c r="O186" s="1309"/>
      <c r="P186" s="23"/>
      <c r="Q186" s="1053" t="str">
        <f>IF(I189="","",C162 &amp; "_" &amp; EUconst_CNTR_CCSInstName &amp; I189)</f>
        <v/>
      </c>
      <c r="R186" s="23"/>
      <c r="S186" s="23"/>
      <c r="T186" s="23"/>
      <c r="U186" s="23"/>
      <c r="V186" s="23"/>
      <c r="W186" s="23"/>
      <c r="X186" s="23"/>
      <c r="Y186" s="23"/>
      <c r="Z186" s="23"/>
      <c r="AA186" s="23"/>
      <c r="AB186" s="23"/>
      <c r="AC186" s="23"/>
      <c r="AD186" s="23"/>
      <c r="AE186" s="23"/>
      <c r="AF186" s="23"/>
      <c r="AG186" s="23"/>
      <c r="AH186" s="23"/>
      <c r="AI186" s="23"/>
      <c r="AJ186" s="23"/>
      <c r="AK186" s="23"/>
      <c r="AL186" s="26" t="b">
        <f>OR(CNTR_MeasurementRelevant=EUconst_NotRelevant,AND(COUNTA(CNTR_ListRelevantSections)&gt;0,OR(G162="",V162=TRUE)))</f>
        <v>1</v>
      </c>
    </row>
    <row r="187" spans="1:38" s="382" customFormat="1" ht="12.75" customHeight="1" x14ac:dyDescent="0.2">
      <c r="A187" s="778"/>
      <c r="B187" s="1308"/>
      <c r="D187" s="402" t="s">
        <v>5</v>
      </c>
      <c r="E187" s="404" t="str">
        <f>Translations!$B$79</f>
        <v>Veiklos vykdytojo pavadinimas</v>
      </c>
      <c r="F187" s="381"/>
      <c r="G187" s="381"/>
      <c r="H187" s="381"/>
      <c r="I187" s="1645"/>
      <c r="J187" s="1645"/>
      <c r="K187" s="1645"/>
      <c r="L187" s="1645"/>
      <c r="M187" s="1645"/>
      <c r="N187" s="1645"/>
      <c r="O187" s="1309"/>
      <c r="P187" s="23"/>
      <c r="Q187" s="1053" t="str">
        <f>IF(I189="","",C162 &amp; "_" &amp; EUconst_CNTR_CCSOpName &amp; I189)</f>
        <v/>
      </c>
      <c r="R187" s="23"/>
      <c r="S187" s="23"/>
      <c r="T187" s="23"/>
      <c r="U187" s="23"/>
      <c r="V187" s="23"/>
      <c r="W187" s="23"/>
      <c r="X187" s="23"/>
      <c r="Y187" s="23"/>
      <c r="Z187" s="23"/>
      <c r="AA187" s="23"/>
      <c r="AB187" s="23"/>
      <c r="AC187" s="23"/>
      <c r="AD187" s="23"/>
      <c r="AE187" s="23"/>
      <c r="AF187" s="23"/>
      <c r="AG187" s="23"/>
      <c r="AH187" s="23"/>
      <c r="AI187" s="23"/>
      <c r="AJ187" s="23"/>
      <c r="AK187" s="23"/>
      <c r="AL187" s="26" t="b">
        <f>AL186</f>
        <v>1</v>
      </c>
    </row>
    <row r="188" spans="1:38" s="382" customFormat="1" ht="12.75" customHeight="1" x14ac:dyDescent="0.2">
      <c r="A188" s="778"/>
      <c r="B188" s="1308"/>
      <c r="D188" s="402" t="s">
        <v>194</v>
      </c>
      <c r="E188" s="404" t="str">
        <f>Translations!$B$171</f>
        <v>Įrenginio unikalus ID</v>
      </c>
      <c r="F188" s="381"/>
      <c r="G188" s="381"/>
      <c r="H188" s="381"/>
      <c r="I188" s="1645"/>
      <c r="J188" s="1645"/>
      <c r="K188" s="1645"/>
      <c r="L188" s="1645"/>
      <c r="M188" s="1645"/>
      <c r="N188" s="1645"/>
      <c r="O188" s="1309"/>
      <c r="P188" s="23"/>
      <c r="Q188" s="1053" t="str">
        <f>IF(I189="","",C162 &amp; "_" &amp; EUconst_CNTR_CCSInstID &amp; I189)</f>
        <v/>
      </c>
      <c r="R188" s="23" t="s">
        <v>537</v>
      </c>
      <c r="S188" s="23"/>
      <c r="T188" s="23"/>
      <c r="U188" s="23"/>
      <c r="V188" s="23"/>
      <c r="W188" s="23"/>
      <c r="X188" s="23"/>
      <c r="Y188" s="23"/>
      <c r="Z188" s="23"/>
      <c r="AA188" s="23"/>
      <c r="AB188" s="23"/>
      <c r="AC188" s="23"/>
      <c r="AD188" s="23"/>
      <c r="AE188" s="23"/>
      <c r="AF188" s="23"/>
      <c r="AG188" s="23"/>
      <c r="AH188" s="23"/>
      <c r="AI188" s="23"/>
      <c r="AJ188" s="23"/>
      <c r="AK188" s="23"/>
      <c r="AL188" s="26" t="b">
        <f>AL187</f>
        <v>1</v>
      </c>
    </row>
    <row r="189" spans="1:38" s="382" customFormat="1" ht="12.75" customHeight="1" x14ac:dyDescent="0.2">
      <c r="A189" s="778"/>
      <c r="B189" s="1308"/>
      <c r="D189" s="402" t="s">
        <v>195</v>
      </c>
      <c r="E189" s="404" t="str">
        <f>Translations!$B$169</f>
        <v>Perdavimo tipas</v>
      </c>
      <c r="F189" s="381"/>
      <c r="G189" s="381"/>
      <c r="H189" s="381"/>
      <c r="I189" s="1645"/>
      <c r="J189" s="1645"/>
      <c r="K189" s="1645"/>
      <c r="L189" s="1645"/>
      <c r="M189" s="1645"/>
      <c r="N189" s="1645"/>
      <c r="O189" s="1309"/>
      <c r="P189" s="23"/>
      <c r="Q189" s="23"/>
      <c r="R189" s="26" t="str">
        <f>IF(I189="","",I189=INDEX(EUconst_CO2TransferTypes,5))</f>
        <v/>
      </c>
      <c r="S189" s="43">
        <f>IF(AND(R189=TRUE,AL189=FALSE),-1,1)</f>
        <v>1</v>
      </c>
      <c r="T189" s="23"/>
      <c r="U189" s="23"/>
      <c r="V189" s="23"/>
      <c r="W189" s="23"/>
      <c r="X189" s="23"/>
      <c r="Y189" s="23"/>
      <c r="Z189" s="23"/>
      <c r="AA189" s="23"/>
      <c r="AB189" s="23"/>
      <c r="AC189" s="23"/>
      <c r="AD189" s="23"/>
      <c r="AE189" s="23"/>
      <c r="AF189" s="23"/>
      <c r="AG189" s="23"/>
      <c r="AH189" s="23"/>
      <c r="AI189" s="23"/>
      <c r="AJ189" s="23"/>
      <c r="AK189" s="23"/>
      <c r="AL189" s="26" t="b">
        <f>AL188</f>
        <v>1</v>
      </c>
    </row>
    <row r="190" spans="1:38" s="382" customFormat="1" ht="5.0999999999999996" customHeight="1" x14ac:dyDescent="0.2">
      <c r="A190" s="778"/>
      <c r="B190" s="1308"/>
      <c r="D190" s="9"/>
      <c r="E190" s="49"/>
      <c r="F190" s="49"/>
      <c r="G190" s="49"/>
      <c r="H190" s="49"/>
      <c r="I190" s="49"/>
      <c r="J190" s="49"/>
      <c r="K190" s="49"/>
      <c r="L190" s="49"/>
      <c r="M190" s="49"/>
      <c r="N190" s="49"/>
      <c r="O190" s="1309"/>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row>
    <row r="191" spans="1:38" s="382" customFormat="1" ht="5.0999999999999996" customHeight="1" x14ac:dyDescent="0.2">
      <c r="A191" s="778"/>
      <c r="B191" s="1308"/>
      <c r="D191" s="9"/>
      <c r="E191" s="49"/>
      <c r="F191" s="49"/>
      <c r="G191" s="49"/>
      <c r="H191" s="49"/>
      <c r="I191" s="49"/>
      <c r="J191" s="49"/>
      <c r="K191" s="49"/>
      <c r="L191" s="49"/>
      <c r="M191" s="49"/>
      <c r="N191" s="49"/>
      <c r="O191" s="1309"/>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row>
    <row r="192" spans="1:38" s="382" customFormat="1" ht="12.75" customHeight="1" x14ac:dyDescent="0.2">
      <c r="A192" s="778"/>
      <c r="B192" s="1308"/>
      <c r="E192" s="1652" t="str">
        <f>Translations!$B$701</f>
        <v>Pastabos (pvz., patvirtinamųjų skaičiavimų aprašas arba ar trūksta didelės duomenų dalies):</v>
      </c>
      <c r="F192" s="1652"/>
      <c r="G192" s="1652"/>
      <c r="H192" s="1652"/>
      <c r="I192" s="1652"/>
      <c r="J192" s="1652"/>
      <c r="K192" s="1652"/>
      <c r="L192" s="1652"/>
      <c r="M192" s="1652"/>
      <c r="N192" s="1652"/>
      <c r="O192" s="1309"/>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row>
    <row r="193" spans="1:38" s="382" customFormat="1" ht="12.75" customHeight="1" x14ac:dyDescent="0.2">
      <c r="A193" s="778"/>
      <c r="B193" s="1308"/>
      <c r="D193" s="10"/>
      <c r="E193" s="1646"/>
      <c r="F193" s="1647"/>
      <c r="G193" s="1647"/>
      <c r="H193" s="1647"/>
      <c r="I193" s="1647"/>
      <c r="J193" s="1647"/>
      <c r="K193" s="1647"/>
      <c r="L193" s="1647"/>
      <c r="M193" s="1647"/>
      <c r="N193" s="1648"/>
      <c r="O193" s="1309"/>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6" t="b">
        <f>D_MeasurementBasedApproaches!AL179</f>
        <v>1</v>
      </c>
    </row>
    <row r="194" spans="1:38" s="382" customFormat="1" ht="12.75" customHeight="1" x14ac:dyDescent="0.2">
      <c r="A194" s="778"/>
      <c r="B194" s="1308"/>
      <c r="D194" s="10"/>
      <c r="E194" s="1649"/>
      <c r="F194" s="1650"/>
      <c r="G194" s="1650"/>
      <c r="H194" s="1650"/>
      <c r="I194" s="1650"/>
      <c r="J194" s="1650"/>
      <c r="K194" s="1650"/>
      <c r="L194" s="1650"/>
      <c r="M194" s="1650"/>
      <c r="N194" s="1651"/>
      <c r="O194" s="1309"/>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6" t="b">
        <f>AL193</f>
        <v>1</v>
      </c>
    </row>
    <row r="195" spans="1:38" ht="12.75" customHeight="1" thickBot="1" x14ac:dyDescent="0.25">
      <c r="A195" s="741"/>
      <c r="B195" s="1254"/>
      <c r="C195" s="36"/>
      <c r="D195" s="37"/>
      <c r="E195" s="38"/>
      <c r="F195" s="36"/>
      <c r="G195" s="39"/>
      <c r="H195" s="39"/>
      <c r="I195" s="39"/>
      <c r="J195" s="39"/>
      <c r="K195" s="39"/>
      <c r="L195" s="39"/>
      <c r="M195" s="39"/>
      <c r="N195" s="39"/>
      <c r="O195" s="1255"/>
      <c r="P195" s="2"/>
      <c r="S195" s="229"/>
      <c r="AK195" s="23"/>
    </row>
    <row r="196" spans="1:38" ht="12.75" customHeight="1" thickBot="1" x14ac:dyDescent="0.25">
      <c r="A196" s="741"/>
      <c r="B196" s="1325"/>
      <c r="C196" s="200"/>
      <c r="D196" s="6"/>
      <c r="E196" s="239"/>
      <c r="F196" s="239"/>
      <c r="G196" s="239"/>
      <c r="H196" s="239"/>
      <c r="I196" s="239"/>
      <c r="J196" s="239"/>
      <c r="K196" s="239"/>
      <c r="L196" s="239"/>
      <c r="M196" s="5"/>
      <c r="N196" s="5"/>
      <c r="O196" s="1309"/>
      <c r="P196" s="2"/>
      <c r="Q196" s="23"/>
      <c r="R196" s="23"/>
      <c r="S196" s="23"/>
      <c r="V196" s="23"/>
      <c r="W196" s="23"/>
      <c r="X196" s="27" t="s">
        <v>486</v>
      </c>
      <c r="Y196" s="23"/>
      <c r="Z196" s="23"/>
      <c r="AA196" s="23"/>
      <c r="AB196" s="23"/>
      <c r="AC196" s="23"/>
      <c r="AD196" s="23"/>
      <c r="AE196" s="23"/>
      <c r="AF196" s="23"/>
      <c r="AG196" s="23"/>
      <c r="AH196" s="23"/>
      <c r="AI196" s="23"/>
      <c r="AJ196" s="23"/>
    </row>
    <row r="197" spans="1:38" s="140" customFormat="1" ht="15" customHeight="1" thickBot="1" x14ac:dyDescent="0.25">
      <c r="A197" s="742"/>
      <c r="B197" s="1248"/>
      <c r="C197" s="391">
        <f>C162+1</f>
        <v>6</v>
      </c>
      <c r="D197" s="392"/>
      <c r="E197" s="1623" t="str">
        <f>IF(ISBLANK(G197),"",IF(INDEX(B_InstallationDescription!$M$156:$M$165,MATCH(S197,B_InstallationDescription!$E$156:$E$165,0))&gt;0,INDEX(B_InstallationDescription!$M$156:$M$165,MATCH(S197,B_InstallationDescription!$E$156:$E$165,0)),""))</f>
        <v/>
      </c>
      <c r="F197" s="1624"/>
      <c r="G197" s="1610"/>
      <c r="H197" s="1611"/>
      <c r="I197" s="1611"/>
      <c r="J197" s="1612"/>
      <c r="M197" s="338" t="str">
        <f>Translations!$B$686</f>
        <v>Bendras deginant iškastinį kurą išmestas ŠESD kiekis:</v>
      </c>
      <c r="N197" s="1000" t="str">
        <f>IF(G197="","",M209*M213*M214*10^-3*(1-M211)*S224*R215)</f>
        <v/>
      </c>
      <c r="O197" s="1314" t="s">
        <v>257</v>
      </c>
      <c r="P197" s="2"/>
      <c r="Q197" s="343" t="str">
        <f>EUconst_SumCO2 &amp; "_" &amp;E197</f>
        <v>SUM_CO2_</v>
      </c>
      <c r="R197" s="27" t="str">
        <f>IF(ISBLANK(G197),"",MATCH(G197,CNTR_MeasurementPoints,0))</f>
        <v/>
      </c>
      <c r="S197" s="27" t="str">
        <f>IF(ISBLANK(G197),"",INDEX(B_InstallationDescription!$E$156:$E$165,MATCH(G197,CNTR_MeasurementPoints,0)))</f>
        <v/>
      </c>
      <c r="T197" s="1017" t="str">
        <f>IF(ISBLANK(G197),"",MATCH(E197,EUconst_CEMSType,0))</f>
        <v/>
      </c>
      <c r="U197" s="407" t="b">
        <f>E197=INDEX(EUconst_CEMSType,3)</f>
        <v>0</v>
      </c>
      <c r="V197" s="515" t="b">
        <f>OR(E197=INDEX(EUconst_CEMSType,1),E197=INDEX(EUconst_CEMSType,2))</f>
        <v>0</v>
      </c>
      <c r="W197" s="30"/>
      <c r="X197" s="887">
        <f>M209</f>
        <v>0</v>
      </c>
      <c r="Y197" s="846">
        <f>M211</f>
        <v>0</v>
      </c>
      <c r="Z197" s="846">
        <f>M212</f>
        <v>0</v>
      </c>
      <c r="AA197" s="846">
        <f>M213</f>
        <v>0</v>
      </c>
      <c r="AB197" s="846">
        <f>M214</f>
        <v>0</v>
      </c>
      <c r="AC197" s="846" t="str">
        <f>M215</f>
        <v/>
      </c>
      <c r="AD197" s="846" t="str">
        <f>M217</f>
        <v/>
      </c>
      <c r="AE197" s="846" t="str">
        <f>R215</f>
        <v/>
      </c>
      <c r="AF197" s="846" t="str">
        <f>N197</f>
        <v/>
      </c>
      <c r="AG197" s="846" t="str">
        <f>N198</f>
        <v/>
      </c>
      <c r="AH197" s="846" t="str">
        <f>R199</f>
        <v/>
      </c>
      <c r="AI197" s="846">
        <f>R200</f>
        <v>0</v>
      </c>
      <c r="AJ197" s="846">
        <f>R201</f>
        <v>0</v>
      </c>
      <c r="AK197" s="30"/>
      <c r="AL197" s="32" t="b">
        <f>CNTR_MeasurementRelevant=EUconst_NotRelevant</f>
        <v>1</v>
      </c>
    </row>
    <row r="198" spans="1:38" s="382" customFormat="1" ht="15" customHeight="1" thickBot="1" x14ac:dyDescent="0.25">
      <c r="A198" s="741"/>
      <c r="B198" s="1280"/>
      <c r="C198" s="5"/>
      <c r="I198" s="24"/>
      <c r="J198" s="5"/>
      <c r="K198" s="5"/>
      <c r="L198" s="5"/>
      <c r="M198" s="337" t="str">
        <f>Translations!$B$687</f>
        <v>Bendras deginant biomasę išmestas ŠESD kiekis:</v>
      </c>
      <c r="N198" s="999" t="str">
        <f>IF(G197="","",M209*M213*M214*10^-3*(M211)*S224*R215)</f>
        <v/>
      </c>
      <c r="O198" s="1315" t="s">
        <v>257</v>
      </c>
      <c r="P198" s="2"/>
      <c r="Q198" s="344" t="str">
        <f>EUconst_SumBioCO2 &amp; "_" &amp; E197</f>
        <v>SUM_bioCO2_</v>
      </c>
      <c r="R198" s="23"/>
      <c r="S198" s="23"/>
      <c r="T198" s="23"/>
      <c r="U198" s="23"/>
      <c r="V198" s="23"/>
      <c r="W198" s="23"/>
      <c r="X198" s="833" t="s">
        <v>500</v>
      </c>
      <c r="Y198" s="833" t="s">
        <v>215</v>
      </c>
      <c r="Z198" s="833" t="s">
        <v>494</v>
      </c>
      <c r="AA198" s="833" t="s">
        <v>501</v>
      </c>
      <c r="AB198" s="833" t="s">
        <v>502</v>
      </c>
      <c r="AC198" s="833" t="s">
        <v>503</v>
      </c>
      <c r="AD198" s="833" t="s">
        <v>504</v>
      </c>
      <c r="AE198" s="833" t="s">
        <v>386</v>
      </c>
      <c r="AF198" s="833" t="s">
        <v>287</v>
      </c>
      <c r="AG198" s="833" t="s">
        <v>495</v>
      </c>
      <c r="AH198" s="833" t="s">
        <v>498</v>
      </c>
      <c r="AI198" s="833" t="s">
        <v>496</v>
      </c>
      <c r="AJ198" s="833" t="s">
        <v>497</v>
      </c>
      <c r="AK198" s="23"/>
      <c r="AL198" s="23"/>
    </row>
    <row r="199" spans="1:38" ht="13.5" thickBot="1" x14ac:dyDescent="0.25">
      <c r="A199" s="741"/>
      <c r="B199" s="1326"/>
      <c r="C199" s="798"/>
      <c r="D199" s="799"/>
      <c r="E199" s="797"/>
      <c r="F199" s="797"/>
      <c r="G199" s="797"/>
      <c r="H199" s="797"/>
      <c r="I199" s="797"/>
      <c r="J199" s="797"/>
      <c r="K199" s="797"/>
      <c r="L199" s="797"/>
      <c r="M199" s="797"/>
      <c r="N199" s="797"/>
      <c r="O199" s="1255"/>
      <c r="P199" s="2"/>
      <c r="Q199" s="343" t="str">
        <f>EUconst_SumNonSustBioCO2 &amp; "_" &amp; K196</f>
        <v>SUM_bioNonSustCO2_</v>
      </c>
      <c r="R199" s="698" t="str">
        <f>IF(G197="","",ROUND(M209*M213*M214*10^-3*(1-M211)*M212*S224*R215,0))</f>
        <v/>
      </c>
      <c r="Y199" s="23"/>
      <c r="Z199" s="23"/>
      <c r="AA199" s="23"/>
      <c r="AB199" s="23"/>
      <c r="AC199" s="23"/>
      <c r="AD199" s="23"/>
      <c r="AE199" s="23"/>
      <c r="AF199" s="23"/>
      <c r="AG199" s="23"/>
      <c r="AH199" s="23"/>
      <c r="AI199" s="23"/>
      <c r="AJ199" s="23"/>
      <c r="AK199" s="23"/>
      <c r="AL199" s="23"/>
    </row>
    <row r="200" spans="1:38" ht="13.5" thickBot="1" x14ac:dyDescent="0.25">
      <c r="A200" s="741"/>
      <c r="B200" s="1326"/>
      <c r="C200" s="798"/>
      <c r="D200" s="799"/>
      <c r="E200" s="797"/>
      <c r="F200" s="797"/>
      <c r="G200" s="797"/>
      <c r="H200" s="797"/>
      <c r="I200" s="797"/>
      <c r="J200" s="797"/>
      <c r="K200" s="797"/>
      <c r="L200" s="797"/>
      <c r="M200" s="494" t="str">
        <f>Translations!$B$688</f>
        <v>Bendra iškastinio kuro energetinė vertė:</v>
      </c>
      <c r="N200" s="1043"/>
      <c r="O200" s="1327" t="s">
        <v>279</v>
      </c>
      <c r="P200" s="2"/>
      <c r="Q200" s="343" t="str">
        <f>EUconst_SumEnergyIN &amp; "_" &amp; K196</f>
        <v>SUM_EnergyIN_</v>
      </c>
      <c r="R200" s="698">
        <f>N200</f>
        <v>0</v>
      </c>
      <c r="Y200" s="23"/>
      <c r="Z200" s="23"/>
      <c r="AA200" s="23"/>
      <c r="AB200" s="23"/>
      <c r="AC200" s="23"/>
      <c r="AD200" s="23"/>
      <c r="AE200" s="23"/>
      <c r="AF200" s="23"/>
      <c r="AG200" s="23"/>
      <c r="AH200" s="23"/>
      <c r="AI200" s="23"/>
      <c r="AJ200" s="23"/>
      <c r="AK200" s="23"/>
      <c r="AL200" s="32" t="b">
        <f>AL205</f>
        <v>1</v>
      </c>
    </row>
    <row r="201" spans="1:38" ht="13.5" thickBot="1" x14ac:dyDescent="0.25">
      <c r="A201" s="741"/>
      <c r="B201" s="1326"/>
      <c r="C201" s="798"/>
      <c r="D201" s="799"/>
      <c r="E201" s="797"/>
      <c r="F201" s="797"/>
      <c r="G201" s="797"/>
      <c r="H201" s="797"/>
      <c r="I201" s="797"/>
      <c r="J201" s="797"/>
      <c r="K201" s="797"/>
      <c r="L201" s="797"/>
      <c r="M201" s="337" t="str">
        <f>Translations!$B$689</f>
        <v>Bendra biomasės energetinė vertė:</v>
      </c>
      <c r="N201" s="1044"/>
      <c r="O201" s="1328" t="s">
        <v>279</v>
      </c>
      <c r="P201" s="2"/>
      <c r="Q201" s="343" t="str">
        <f>EUconst_SumBioEnergyIN &amp; "_" &amp; K196</f>
        <v>SUM_BioEnergyIN_</v>
      </c>
      <c r="R201" s="698">
        <f>N201</f>
        <v>0</v>
      </c>
      <c r="Y201" s="23"/>
      <c r="Z201" s="23"/>
      <c r="AA201" s="23"/>
      <c r="AB201" s="23"/>
      <c r="AC201" s="23"/>
      <c r="AD201" s="23"/>
      <c r="AE201" s="23"/>
      <c r="AF201" s="23"/>
      <c r="AG201" s="23"/>
      <c r="AH201" s="23"/>
      <c r="AI201" s="23"/>
      <c r="AJ201" s="23"/>
      <c r="AK201" s="23"/>
      <c r="AL201" s="32" t="b">
        <f>AL200</f>
        <v>1</v>
      </c>
    </row>
    <row r="202" spans="1:38" s="382" customFormat="1" ht="5.0999999999999996" customHeight="1" x14ac:dyDescent="0.2">
      <c r="A202" s="778"/>
      <c r="B202" s="1308"/>
      <c r="D202" s="151"/>
      <c r="K202" s="12"/>
      <c r="L202" s="12"/>
      <c r="M202" s="12"/>
      <c r="N202" s="12"/>
      <c r="O202" s="1329"/>
      <c r="P202" s="2"/>
      <c r="Q202" s="23"/>
      <c r="R202" s="23"/>
      <c r="S202" s="23"/>
      <c r="T202" s="23"/>
      <c r="U202" s="23"/>
      <c r="V202" s="23"/>
      <c r="W202" s="23"/>
      <c r="X202" s="23"/>
      <c r="Y202" s="23"/>
      <c r="Z202" s="23"/>
      <c r="AA202" s="23"/>
      <c r="AB202" s="23"/>
      <c r="AC202" s="23"/>
      <c r="AD202" s="23"/>
      <c r="AE202" s="23"/>
      <c r="AF202" s="23"/>
      <c r="AG202" s="23"/>
      <c r="AH202" s="23"/>
      <c r="AI202" s="23"/>
      <c r="AJ202" s="23"/>
      <c r="AK202" s="23"/>
      <c r="AL202" s="23"/>
    </row>
    <row r="203" spans="1:38" s="382" customFormat="1" ht="12.75" customHeight="1" x14ac:dyDescent="0.2">
      <c r="A203" s="778"/>
      <c r="B203" s="1308"/>
      <c r="D203" s="9" t="s">
        <v>1</v>
      </c>
      <c r="E203" s="1395" t="str">
        <f>Translations!$B$690</f>
        <v>Skaičiavimai</v>
      </c>
      <c r="F203" s="1395"/>
      <c r="G203" s="1395"/>
      <c r="H203" s="1395"/>
      <c r="I203" s="1395"/>
      <c r="J203" s="1395"/>
      <c r="K203" s="1395"/>
      <c r="L203" s="1395"/>
      <c r="M203" s="1395"/>
      <c r="N203" s="1395"/>
      <c r="O203" s="1329"/>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row>
    <row r="204" spans="1:38" s="382" customFormat="1" ht="5.0999999999999996" customHeight="1" thickBot="1" x14ac:dyDescent="0.25">
      <c r="A204" s="778"/>
      <c r="B204" s="1308"/>
      <c r="D204" s="151"/>
      <c r="K204" s="12"/>
      <c r="L204" s="12"/>
      <c r="M204" s="12"/>
      <c r="N204" s="12"/>
      <c r="O204" s="1329"/>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row>
    <row r="205" spans="1:38" s="382" customFormat="1" ht="12.75" customHeight="1" thickBot="1" x14ac:dyDescent="0.25">
      <c r="A205" s="778"/>
      <c r="B205" s="1308"/>
      <c r="D205" s="9"/>
      <c r="E205" s="399" t="str">
        <f>Translations!$B$691</f>
        <v>Informacija apie susijusius sukėliklius, jeigu taikytina:</v>
      </c>
      <c r="F205" s="399"/>
      <c r="G205" s="399"/>
      <c r="H205" s="399"/>
      <c r="I205" s="399"/>
      <c r="J205" s="1653" t="str">
        <f>Translations!$B$692</f>
        <v>Patvirtinamųjų skaičiavimų rezultatas (iškastinis kuras):</v>
      </c>
      <c r="K205" s="1653"/>
      <c r="L205" s="1653"/>
      <c r="M205" s="1653"/>
      <c r="N205" s="1194"/>
      <c r="O205" s="1309"/>
      <c r="P205" s="23"/>
      <c r="Q205" s="23"/>
      <c r="R205" s="23"/>
      <c r="S205" s="23"/>
      <c r="T205" s="23"/>
      <c r="U205" s="23"/>
      <c r="V205" s="23"/>
      <c r="W205" s="23"/>
      <c r="X205" s="23"/>
      <c r="Y205" s="23"/>
      <c r="Z205" s="23"/>
      <c r="AA205" s="23"/>
      <c r="AB205" s="23"/>
      <c r="AC205" s="23"/>
      <c r="AD205" s="23"/>
      <c r="AE205" s="23"/>
      <c r="AF205" s="23"/>
      <c r="AG205" s="23"/>
      <c r="AH205" s="23"/>
      <c r="AI205" s="23"/>
      <c r="AJ205" s="23"/>
      <c r="AK205" s="26" t="b">
        <f>IF(E197="",FALSE,MATCH(E197,EUconst_CEMSType,0)=2)</f>
        <v>0</v>
      </c>
      <c r="AL205" s="26" t="b">
        <f>OR(CNTR_MeasurementRelevant=EUconst_NotRelevant,AND(COUNTA(CNTR_ListRelevantSections)&gt;0,G197=""))</f>
        <v>1</v>
      </c>
    </row>
    <row r="206" spans="1:38" s="382" customFormat="1" x14ac:dyDescent="0.2">
      <c r="A206" s="778"/>
      <c r="B206" s="1308"/>
      <c r="D206" s="9"/>
      <c r="E206" s="1654"/>
      <c r="F206" s="1655"/>
      <c r="G206" s="1655"/>
      <c r="H206" s="1655"/>
      <c r="I206" s="1656"/>
      <c r="J206" s="1653" t="str">
        <f>Translations!$B$693</f>
        <v>Patvirtinamųjų skaičiavimų rezultatas (biomasė):</v>
      </c>
      <c r="K206" s="1653"/>
      <c r="L206" s="1653"/>
      <c r="M206" s="1653"/>
      <c r="N206" s="1195"/>
      <c r="O206" s="1309"/>
      <c r="P206" s="681"/>
      <c r="Q206" s="23"/>
      <c r="R206" s="23"/>
      <c r="S206" s="23"/>
      <c r="T206" s="23"/>
      <c r="U206" s="23"/>
      <c r="V206" s="23"/>
      <c r="W206" s="23"/>
      <c r="X206" s="23"/>
      <c r="Y206" s="23"/>
      <c r="Z206" s="23"/>
      <c r="AA206" s="23"/>
      <c r="AB206" s="23"/>
      <c r="AC206" s="23"/>
      <c r="AD206" s="23"/>
      <c r="AE206" s="23"/>
      <c r="AF206" s="23"/>
      <c r="AG206" s="23"/>
      <c r="AH206" s="23"/>
      <c r="AI206" s="23"/>
      <c r="AJ206" s="23"/>
      <c r="AK206" s="26" t="b">
        <f>AK205</f>
        <v>0</v>
      </c>
      <c r="AL206" s="26" t="b">
        <f>AL205</f>
        <v>1</v>
      </c>
    </row>
    <row r="207" spans="1:38" s="382" customFormat="1" ht="5.0999999999999996" customHeight="1" x14ac:dyDescent="0.2">
      <c r="A207" s="778"/>
      <c r="B207" s="1308"/>
      <c r="D207" s="9"/>
      <c r="E207" s="49"/>
      <c r="F207" s="49"/>
      <c r="G207" s="49"/>
      <c r="H207" s="49"/>
      <c r="I207" s="49"/>
      <c r="J207" s="49"/>
      <c r="K207" s="49"/>
      <c r="L207" s="49"/>
      <c r="M207" s="49"/>
      <c r="N207" s="49"/>
      <c r="O207" s="1309"/>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row>
    <row r="208" spans="1:38" s="382" customFormat="1" ht="12.75" customHeight="1" thickBot="1" x14ac:dyDescent="0.25">
      <c r="A208" s="778"/>
      <c r="B208" s="1308"/>
      <c r="I208" s="49"/>
      <c r="J208" s="49"/>
      <c r="K208" s="49"/>
      <c r="L208" s="793" t="str">
        <f>EUconst_Unit</f>
        <v>Vienetas</v>
      </c>
      <c r="M208" s="793"/>
      <c r="O208" s="1309"/>
      <c r="P208" s="681"/>
      <c r="Q208" s="23"/>
      <c r="R208" s="23"/>
      <c r="S208" s="23"/>
      <c r="T208" s="23"/>
      <c r="U208" s="23"/>
      <c r="V208" s="23"/>
      <c r="W208" s="23"/>
      <c r="X208" s="23"/>
      <c r="Y208" s="23"/>
      <c r="Z208" s="23"/>
      <c r="AA208" s="23"/>
      <c r="AB208" s="23"/>
      <c r="AC208" s="23"/>
      <c r="AD208" s="23"/>
      <c r="AE208" s="23"/>
      <c r="AF208" s="23"/>
      <c r="AG208" s="23"/>
      <c r="AH208" s="23"/>
      <c r="AI208" s="23"/>
      <c r="AJ208" s="23"/>
      <c r="AK208" s="23"/>
      <c r="AL208" s="23"/>
    </row>
    <row r="209" spans="1:38" s="382" customFormat="1" ht="12.75" customHeight="1" thickBot="1" x14ac:dyDescent="0.25">
      <c r="A209" s="778"/>
      <c r="B209" s="1308"/>
      <c r="E209" s="21" t="str">
        <f>Translations!$B$162</f>
        <v>Naudojama pakopa.</v>
      </c>
      <c r="F209" s="393"/>
      <c r="G209" s="402" t="s">
        <v>4</v>
      </c>
      <c r="H209" s="395" t="str">
        <f>Translations!$B$694</f>
        <v>ŠESD koncentracija (metinis valandinis vidurkis):</v>
      </c>
      <c r="I209" s="381"/>
      <c r="J209" s="381"/>
      <c r="K209" s="381"/>
      <c r="L209" s="678" t="str">
        <f>EUconst_gpNm3</f>
        <v>g/Nm3</v>
      </c>
      <c r="M209" s="1198"/>
      <c r="O209" s="1309"/>
      <c r="P209" s="23"/>
      <c r="Q209" s="2"/>
      <c r="R209" s="23"/>
      <c r="S209" s="23"/>
      <c r="T209" s="23"/>
      <c r="U209" s="23"/>
      <c r="V209" s="23"/>
      <c r="W209" s="23"/>
      <c r="X209" s="23"/>
      <c r="Y209" s="23"/>
      <c r="Z209" s="23"/>
      <c r="AA209" s="23"/>
      <c r="AB209" s="23"/>
      <c r="AC209" s="23"/>
      <c r="AD209" s="23"/>
      <c r="AE209" s="23"/>
      <c r="AF209" s="23"/>
      <c r="AG209" s="23"/>
      <c r="AH209" s="23"/>
      <c r="AI209" s="23"/>
      <c r="AJ209" s="23"/>
      <c r="AK209" s="23"/>
      <c r="AL209" s="26" t="b">
        <f>AL206</f>
        <v>1</v>
      </c>
    </row>
    <row r="210" spans="1:38" s="382" customFormat="1" ht="12.75" customHeight="1" thickBot="1" x14ac:dyDescent="0.25">
      <c r="A210" s="778"/>
      <c r="B210" s="1308"/>
      <c r="F210" s="472" t="str">
        <f>IF(OR(ISBLANK(F209),F209=EUconst_NoTier),"",IF(R211=EUconst_NA,EUconst_NA,IF(ISERROR(R211),"",R211)))</f>
        <v/>
      </c>
      <c r="G210" s="402"/>
      <c r="H210" s="395"/>
      <c r="I210" s="381"/>
      <c r="J210" s="381"/>
      <c r="K210" s="381"/>
      <c r="M210" s="151"/>
      <c r="O210" s="1309"/>
      <c r="P210" s="23"/>
      <c r="Q210" s="2"/>
      <c r="R210" s="684" t="s">
        <v>538</v>
      </c>
      <c r="S210" s="23"/>
      <c r="T210" s="23"/>
      <c r="U210" s="23"/>
      <c r="V210" s="23"/>
      <c r="W210" s="23"/>
      <c r="X210" s="23"/>
      <c r="Y210" s="23"/>
      <c r="Z210" s="23"/>
      <c r="AA210" s="23"/>
      <c r="AB210" s="23"/>
      <c r="AC210" s="23"/>
      <c r="AD210" s="23"/>
      <c r="AE210" s="23"/>
      <c r="AF210" s="23"/>
      <c r="AG210" s="23"/>
      <c r="AH210" s="23"/>
      <c r="AI210" s="23"/>
      <c r="AJ210" s="23"/>
      <c r="AK210" s="23"/>
      <c r="AL210" s="23"/>
    </row>
    <row r="211" spans="1:38" s="382" customFormat="1" ht="12.75" customHeight="1" x14ac:dyDescent="0.2">
      <c r="A211" s="778"/>
      <c r="B211" s="1308"/>
      <c r="D211" s="200"/>
      <c r="G211" s="402" t="s">
        <v>5</v>
      </c>
      <c r="H211" s="395" t="str">
        <f>Translations!$B$682</f>
        <v>Biomasės dalis:</v>
      </c>
      <c r="I211" s="290"/>
      <c r="J211" s="290"/>
      <c r="K211" s="290"/>
      <c r="L211" s="806" t="s">
        <v>258</v>
      </c>
      <c r="M211" s="807"/>
      <c r="O211" s="1309"/>
      <c r="P211" s="23"/>
      <c r="Q211" s="2"/>
      <c r="R211" s="43" t="str">
        <f>IF(F209="","",IF(F209=EUconst_NA,"",INDEX(EUwideConstants!$H$689:$M$691,MATCH(E197,EUwideConstants!$B$689:$B$691,0),MATCH(F209,CNTR_TierList,0))))</f>
        <v/>
      </c>
      <c r="S211" s="23"/>
      <c r="T211" s="23"/>
      <c r="U211" s="23"/>
      <c r="V211" s="23"/>
      <c r="W211" s="23"/>
      <c r="X211" s="23"/>
      <c r="Y211" s="23"/>
      <c r="Z211" s="23"/>
      <c r="AA211" s="23"/>
      <c r="AB211" s="23"/>
      <c r="AC211" s="23"/>
      <c r="AD211" s="23"/>
      <c r="AE211" s="23"/>
      <c r="AF211" s="23"/>
      <c r="AG211" s="23"/>
      <c r="AH211" s="23"/>
      <c r="AI211" s="23"/>
      <c r="AJ211" s="23"/>
      <c r="AK211" s="23"/>
      <c r="AL211" s="26" t="b">
        <f>AL209</f>
        <v>1</v>
      </c>
    </row>
    <row r="212" spans="1:38" s="382" customFormat="1" ht="12.75" customHeight="1" thickBot="1" x14ac:dyDescent="0.25">
      <c r="A212" s="778"/>
      <c r="B212" s="1308"/>
      <c r="D212" s="200"/>
      <c r="G212" s="402" t="s">
        <v>194</v>
      </c>
      <c r="H212" s="884" t="str">
        <f>Translations!$B$683</f>
        <v>netvarios biomasės dalis:</v>
      </c>
      <c r="I212" s="292"/>
      <c r="J212" s="292"/>
      <c r="K212" s="292"/>
      <c r="L212" s="885" t="s">
        <v>258</v>
      </c>
      <c r="M212" s="886"/>
      <c r="O212" s="1309"/>
      <c r="P212" s="23"/>
      <c r="Q212" s="2"/>
      <c r="R212" s="684"/>
      <c r="S212" s="23"/>
      <c r="T212" s="23"/>
      <c r="U212" s="23"/>
      <c r="V212" s="23"/>
      <c r="W212" s="23"/>
      <c r="X212" s="23"/>
      <c r="Y212" s="23"/>
      <c r="Z212" s="23"/>
      <c r="AA212" s="23"/>
      <c r="AB212" s="23"/>
      <c r="AC212" s="23"/>
      <c r="AD212" s="23"/>
      <c r="AE212" s="23"/>
      <c r="AF212" s="23"/>
      <c r="AG212" s="23"/>
      <c r="AH212" s="23"/>
      <c r="AI212" s="23"/>
      <c r="AJ212" s="23"/>
      <c r="AK212" s="23"/>
      <c r="AL212" s="26" t="b">
        <f>AL211</f>
        <v>1</v>
      </c>
    </row>
    <row r="213" spans="1:38" s="382" customFormat="1" ht="12.75" customHeight="1" x14ac:dyDescent="0.2">
      <c r="A213" s="778"/>
      <c r="B213" s="1308"/>
      <c r="E213" s="22" t="str">
        <f>Translations!$B$684</f>
        <v>VAP:</v>
      </c>
      <c r="F213" s="682" t="str">
        <f>IF(OR(G197="",F214&lt;&gt;""),"",IF(T197=2,298,1))</f>
        <v/>
      </c>
      <c r="G213" s="402" t="s">
        <v>195</v>
      </c>
      <c r="H213" s="397" t="str">
        <f>Translations!$B$695</f>
        <v>Veikimo valandos:</v>
      </c>
      <c r="I213" s="398"/>
      <c r="J213" s="398"/>
      <c r="K213" s="398"/>
      <c r="L213" s="679" t="str">
        <f>EUconst_hpa</f>
        <v>val./metai</v>
      </c>
      <c r="M213" s="811"/>
      <c r="O213" s="1309"/>
      <c r="P213" s="23"/>
      <c r="Q213" s="2"/>
      <c r="R213" s="23"/>
      <c r="S213" s="23"/>
      <c r="T213" s="23"/>
      <c r="U213" s="23"/>
      <c r="V213" s="23"/>
      <c r="W213" s="23"/>
      <c r="X213" s="23"/>
      <c r="Y213" s="23"/>
      <c r="Z213" s="23"/>
      <c r="AA213" s="23"/>
      <c r="AB213" s="23"/>
      <c r="AC213" s="23"/>
      <c r="AD213" s="23"/>
      <c r="AE213" s="23"/>
      <c r="AF213" s="23"/>
      <c r="AG213" s="23"/>
      <c r="AH213" s="23"/>
      <c r="AI213" s="23"/>
      <c r="AJ213" s="23"/>
      <c r="AK213" s="23"/>
      <c r="AL213" s="26" t="b">
        <f>AL211</f>
        <v>1</v>
      </c>
    </row>
    <row r="214" spans="1:38" s="382" customFormat="1" ht="12.75" customHeight="1" thickBot="1" x14ac:dyDescent="0.25">
      <c r="A214" s="778"/>
      <c r="B214" s="1308"/>
      <c r="D214" s="794"/>
      <c r="E214" s="687" t="str">
        <f>Translations!$B$696</f>
        <v>(CO2(e) tonos / ŠESD tonos)</v>
      </c>
      <c r="F214" s="683"/>
      <c r="G214" s="402" t="s">
        <v>196</v>
      </c>
      <c r="H214" s="396" t="str">
        <f>Translations!$B$697</f>
        <v>Kaminų dujų srautas (metinis valandinis vidurkis):</v>
      </c>
      <c r="I214" s="291"/>
      <c r="J214" s="291"/>
      <c r="K214" s="291"/>
      <c r="L214" s="680" t="str">
        <f>EUconst_Nm3ph</f>
        <v>1 000 Nm3/h</v>
      </c>
      <c r="M214" s="808"/>
      <c r="O214" s="1309"/>
      <c r="P214" s="23"/>
      <c r="Q214" s="2"/>
      <c r="R214" s="13" t="s">
        <v>386</v>
      </c>
      <c r="S214" s="23"/>
      <c r="T214" s="23"/>
      <c r="U214" s="23"/>
      <c r="V214" s="23"/>
      <c r="W214" s="23"/>
      <c r="X214" s="23"/>
      <c r="Y214" s="23"/>
      <c r="Z214" s="23"/>
      <c r="AA214" s="23"/>
      <c r="AB214" s="23"/>
      <c r="AC214" s="23"/>
      <c r="AD214" s="23"/>
      <c r="AE214" s="23"/>
      <c r="AF214" s="23"/>
      <c r="AG214" s="23"/>
      <c r="AH214" s="23"/>
      <c r="AI214" s="23"/>
      <c r="AJ214" s="23"/>
      <c r="AK214" s="23"/>
      <c r="AL214" s="26" t="b">
        <f>AL213</f>
        <v>1</v>
      </c>
    </row>
    <row r="215" spans="1:38" s="382" customFormat="1" ht="12.75" customHeight="1" thickBot="1" x14ac:dyDescent="0.25">
      <c r="A215" s="778"/>
      <c r="B215" s="1308"/>
      <c r="D215" s="794"/>
      <c r="G215" s="687" t="s">
        <v>197</v>
      </c>
      <c r="H215" s="395" t="str">
        <f>Translations!$B$698</f>
        <v>Kaminų dujų srautas (bendras metinis kiekis):</v>
      </c>
      <c r="I215" s="290"/>
      <c r="J215" s="290"/>
      <c r="K215" s="290"/>
      <c r="L215" s="678" t="str">
        <f>EUconst_kNm3pa</f>
        <v>1 000 Nm3/m.</v>
      </c>
      <c r="M215" s="809" t="str">
        <f>IF(COUNT(M213,M214)=2,M213*M214,"")</f>
        <v/>
      </c>
      <c r="O215" s="1309"/>
      <c r="P215" s="23"/>
      <c r="Q215" s="23"/>
      <c r="R215" s="43" t="str">
        <f>IF(F214="",F213,F214)</f>
        <v/>
      </c>
      <c r="S215" s="23"/>
      <c r="T215" s="23"/>
      <c r="U215" s="23"/>
      <c r="V215" s="23"/>
      <c r="W215" s="23"/>
      <c r="X215" s="23"/>
      <c r="Y215" s="23"/>
      <c r="Z215" s="23"/>
      <c r="AA215" s="23"/>
      <c r="AB215" s="23"/>
      <c r="AC215" s="23"/>
      <c r="AD215" s="23"/>
      <c r="AE215" s="23"/>
      <c r="AF215" s="23"/>
      <c r="AG215" s="23"/>
      <c r="AH215" s="23"/>
      <c r="AI215" s="23"/>
      <c r="AJ215" s="23"/>
      <c r="AK215" s="23"/>
      <c r="AL215" s="23"/>
    </row>
    <row r="216" spans="1:38" s="382" customFormat="1" ht="5.0999999999999996" customHeight="1" thickBot="1" x14ac:dyDescent="0.25">
      <c r="A216" s="778"/>
      <c r="B216" s="1308"/>
      <c r="D216" s="794"/>
      <c r="E216" s="200"/>
      <c r="F216" s="200"/>
      <c r="G216" s="200"/>
      <c r="H216" s="200"/>
      <c r="I216" s="200"/>
      <c r="J216" s="200"/>
      <c r="K216" s="200"/>
      <c r="L216" s="200"/>
      <c r="M216" s="6"/>
      <c r="O216" s="1309"/>
      <c r="P216" s="23"/>
      <c r="Q216" s="23"/>
      <c r="R216" s="684"/>
      <c r="S216" s="23"/>
      <c r="T216" s="23"/>
      <c r="U216" s="23"/>
      <c r="V216" s="23"/>
      <c r="W216" s="23"/>
      <c r="X216" s="23"/>
      <c r="Y216" s="23"/>
      <c r="Z216" s="23"/>
      <c r="AA216" s="23"/>
      <c r="AB216" s="23"/>
      <c r="AC216" s="23"/>
      <c r="AD216" s="23"/>
      <c r="AE216" s="23"/>
      <c r="AF216" s="23"/>
      <c r="AG216" s="23"/>
      <c r="AH216" s="23"/>
      <c r="AI216" s="23"/>
      <c r="AJ216" s="23"/>
      <c r="AK216" s="23"/>
      <c r="AL216" s="23"/>
    </row>
    <row r="217" spans="1:38" s="382" customFormat="1" ht="12.75" customHeight="1" thickBot="1" x14ac:dyDescent="0.25">
      <c r="A217" s="778"/>
      <c r="B217" s="1308"/>
      <c r="D217" s="794"/>
      <c r="E217" s="200"/>
      <c r="F217" s="200"/>
      <c r="G217" s="687" t="s">
        <v>198</v>
      </c>
      <c r="H217" s="395" t="str">
        <f>Translations!$B$699</f>
        <v>Metinis deginant iškastinį kurą išmestas ŠESD kiekis</v>
      </c>
      <c r="I217" s="290"/>
      <c r="J217" s="290"/>
      <c r="K217" s="290"/>
      <c r="L217" s="678" t="str">
        <f>EUconst_t</f>
        <v>t</v>
      </c>
      <c r="M217" s="810" t="str">
        <f>IF(G197="","",ROUND(M209*M213*M214*10^-3*(1-M211),0))</f>
        <v/>
      </c>
      <c r="O217" s="1309"/>
      <c r="P217" s="23"/>
      <c r="Q217" s="23"/>
      <c r="R217" s="684"/>
      <c r="S217" s="23"/>
      <c r="T217" s="23"/>
      <c r="U217" s="23"/>
      <c r="V217" s="23"/>
      <c r="W217" s="23"/>
      <c r="X217" s="23"/>
      <c r="Y217" s="23"/>
      <c r="Z217" s="23"/>
      <c r="AA217" s="23"/>
      <c r="AB217" s="23"/>
      <c r="AC217" s="23"/>
      <c r="AD217" s="23"/>
      <c r="AE217" s="23"/>
      <c r="AF217" s="23"/>
      <c r="AG217" s="23"/>
      <c r="AH217" s="23"/>
      <c r="AI217" s="23"/>
      <c r="AJ217" s="23"/>
      <c r="AK217" s="23"/>
      <c r="AL217" s="23"/>
    </row>
    <row r="218" spans="1:38" s="382" customFormat="1" ht="5.0999999999999996" customHeight="1" x14ac:dyDescent="0.2">
      <c r="A218" s="778"/>
      <c r="B218" s="1308"/>
      <c r="D218" s="794"/>
      <c r="E218" s="200"/>
      <c r="F218" s="200"/>
      <c r="G218" s="200"/>
      <c r="H218" s="200"/>
      <c r="I218" s="200"/>
      <c r="J218" s="200"/>
      <c r="K218" s="200"/>
      <c r="L218" s="200"/>
      <c r="M218" s="200"/>
      <c r="N218" s="200"/>
      <c r="O218" s="1309"/>
      <c r="P218" s="23"/>
      <c r="Q218" s="23"/>
      <c r="R218" s="684"/>
      <c r="S218" s="23"/>
      <c r="T218" s="23"/>
      <c r="U218" s="23"/>
      <c r="V218" s="23"/>
      <c r="W218" s="23"/>
      <c r="X218" s="23"/>
      <c r="Y218" s="23"/>
      <c r="Z218" s="23"/>
      <c r="AA218" s="23"/>
      <c r="AB218" s="23"/>
      <c r="AC218" s="23"/>
      <c r="AD218" s="23"/>
      <c r="AE218" s="23"/>
      <c r="AF218" s="23"/>
      <c r="AG218" s="23"/>
      <c r="AH218" s="23"/>
      <c r="AI218" s="23"/>
      <c r="AJ218" s="23"/>
      <c r="AK218" s="23"/>
      <c r="AL218" s="23"/>
    </row>
    <row r="219" spans="1:38" s="382" customFormat="1" ht="12.75" customHeight="1" x14ac:dyDescent="0.2">
      <c r="A219" s="778"/>
      <c r="B219" s="1308"/>
      <c r="D219" s="9" t="s">
        <v>2</v>
      </c>
      <c r="E219" s="1395" t="str">
        <f>Translations!$B$700</f>
        <v>Perduotasis / būdingasis CO2</v>
      </c>
      <c r="F219" s="1395"/>
      <c r="G219" s="1395"/>
      <c r="H219" s="1395"/>
      <c r="I219" s="1395"/>
      <c r="J219" s="1395"/>
      <c r="K219" s="1395"/>
      <c r="L219" s="1395"/>
      <c r="M219" s="1395"/>
      <c r="N219" s="1395"/>
      <c r="O219" s="1309"/>
      <c r="P219" s="681"/>
      <c r="Q219" s="23"/>
      <c r="R219" s="23"/>
      <c r="S219" s="23"/>
      <c r="T219" s="23"/>
      <c r="U219" s="23"/>
      <c r="V219" s="23"/>
      <c r="W219" s="23"/>
      <c r="X219" s="23"/>
      <c r="Y219" s="23"/>
      <c r="Z219" s="23"/>
      <c r="AA219" s="23"/>
      <c r="AB219" s="23"/>
      <c r="AC219" s="23"/>
      <c r="AD219" s="23"/>
      <c r="AE219" s="23"/>
      <c r="AF219" s="23"/>
      <c r="AG219" s="23"/>
      <c r="AH219" s="23"/>
      <c r="AI219" s="23"/>
      <c r="AJ219" s="23"/>
      <c r="AK219" s="23"/>
      <c r="AL219" s="23"/>
    </row>
    <row r="220" spans="1:38" s="382" customFormat="1" ht="5.0999999999999996" customHeight="1" x14ac:dyDescent="0.2">
      <c r="A220" s="778"/>
      <c r="B220" s="1308"/>
      <c r="D220" s="9"/>
      <c r="E220" s="49"/>
      <c r="F220" s="49"/>
      <c r="G220" s="49"/>
      <c r="H220" s="49"/>
      <c r="I220" s="49"/>
      <c r="J220" s="49"/>
      <c r="K220" s="49"/>
      <c r="L220" s="49"/>
      <c r="M220" s="49"/>
      <c r="N220" s="49"/>
      <c r="O220" s="1309"/>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row>
    <row r="221" spans="1:38" s="382" customFormat="1" ht="12.75" customHeight="1" x14ac:dyDescent="0.2">
      <c r="A221" s="778"/>
      <c r="B221" s="1308"/>
      <c r="D221" s="402" t="s">
        <v>4</v>
      </c>
      <c r="E221" s="404" t="str">
        <f>Translations!$B$170</f>
        <v>Įrenginio pavadinimas</v>
      </c>
      <c r="F221" s="381"/>
      <c r="G221" s="381"/>
      <c r="H221" s="381"/>
      <c r="I221" s="1657"/>
      <c r="J221" s="1645"/>
      <c r="K221" s="1645"/>
      <c r="L221" s="1645"/>
      <c r="M221" s="1645"/>
      <c r="N221" s="1645"/>
      <c r="O221" s="1309"/>
      <c r="P221" s="23"/>
      <c r="Q221" s="1053" t="str">
        <f>IF(I224="","",C197 &amp; "_" &amp; EUconst_CNTR_CCSInstName &amp; I224)</f>
        <v/>
      </c>
      <c r="R221" s="23"/>
      <c r="S221" s="23"/>
      <c r="T221" s="23"/>
      <c r="U221" s="23"/>
      <c r="V221" s="23"/>
      <c r="W221" s="23"/>
      <c r="X221" s="23"/>
      <c r="Y221" s="23"/>
      <c r="Z221" s="23"/>
      <c r="AA221" s="23"/>
      <c r="AB221" s="23"/>
      <c r="AC221" s="23"/>
      <c r="AD221" s="23"/>
      <c r="AE221" s="23"/>
      <c r="AF221" s="23"/>
      <c r="AG221" s="23"/>
      <c r="AH221" s="23"/>
      <c r="AI221" s="23"/>
      <c r="AJ221" s="23"/>
      <c r="AK221" s="23"/>
      <c r="AL221" s="26" t="b">
        <f>OR(CNTR_MeasurementRelevant=EUconst_NotRelevant,AND(COUNTA(CNTR_ListRelevantSections)&gt;0,OR(G197="",V197=TRUE)))</f>
        <v>1</v>
      </c>
    </row>
    <row r="222" spans="1:38" s="382" customFormat="1" ht="12.75" customHeight="1" x14ac:dyDescent="0.2">
      <c r="A222" s="778"/>
      <c r="B222" s="1308"/>
      <c r="D222" s="402" t="s">
        <v>5</v>
      </c>
      <c r="E222" s="404" t="str">
        <f>Translations!$B$79</f>
        <v>Veiklos vykdytojo pavadinimas</v>
      </c>
      <c r="F222" s="381"/>
      <c r="G222" s="381"/>
      <c r="H222" s="381"/>
      <c r="I222" s="1657"/>
      <c r="J222" s="1645"/>
      <c r="K222" s="1645"/>
      <c r="L222" s="1645"/>
      <c r="M222" s="1645"/>
      <c r="N222" s="1645"/>
      <c r="O222" s="1309"/>
      <c r="P222" s="23"/>
      <c r="Q222" s="1053" t="str">
        <f>IF(I224="","",C197 &amp; "_" &amp; EUconst_CNTR_CCSOpName &amp; I224)</f>
        <v/>
      </c>
      <c r="R222" s="23"/>
      <c r="S222" s="23"/>
      <c r="T222" s="23"/>
      <c r="U222" s="23"/>
      <c r="V222" s="23"/>
      <c r="W222" s="23"/>
      <c r="X222" s="23"/>
      <c r="Y222" s="23"/>
      <c r="Z222" s="23"/>
      <c r="AA222" s="23"/>
      <c r="AB222" s="23"/>
      <c r="AC222" s="23"/>
      <c r="AD222" s="23"/>
      <c r="AE222" s="23"/>
      <c r="AF222" s="23"/>
      <c r="AG222" s="23"/>
      <c r="AH222" s="23"/>
      <c r="AI222" s="23"/>
      <c r="AJ222" s="23"/>
      <c r="AK222" s="23"/>
      <c r="AL222" s="26" t="b">
        <f>AL221</f>
        <v>1</v>
      </c>
    </row>
    <row r="223" spans="1:38" s="382" customFormat="1" ht="12.75" customHeight="1" x14ac:dyDescent="0.2">
      <c r="A223" s="778"/>
      <c r="B223" s="1308"/>
      <c r="D223" s="402" t="s">
        <v>194</v>
      </c>
      <c r="E223" s="404" t="str">
        <f>Translations!$B$171</f>
        <v>Įrenginio unikalus ID</v>
      </c>
      <c r="F223" s="381"/>
      <c r="G223" s="381"/>
      <c r="H223" s="381"/>
      <c r="I223" s="1657"/>
      <c r="J223" s="1645"/>
      <c r="K223" s="1645"/>
      <c r="L223" s="1645"/>
      <c r="M223" s="1645"/>
      <c r="N223" s="1645"/>
      <c r="O223" s="1309"/>
      <c r="P223" s="23"/>
      <c r="Q223" s="1053" t="str">
        <f>IF(I224="","",C197 &amp; "_" &amp; EUconst_CNTR_CCSInstID &amp; I224)</f>
        <v/>
      </c>
      <c r="R223" s="23" t="s">
        <v>537</v>
      </c>
      <c r="S223" s="23"/>
      <c r="T223" s="23"/>
      <c r="U223" s="23"/>
      <c r="V223" s="23"/>
      <c r="W223" s="23"/>
      <c r="X223" s="23"/>
      <c r="Y223" s="23"/>
      <c r="Z223" s="23"/>
      <c r="AA223" s="23"/>
      <c r="AB223" s="23"/>
      <c r="AC223" s="23"/>
      <c r="AD223" s="23"/>
      <c r="AE223" s="23"/>
      <c r="AF223" s="23"/>
      <c r="AG223" s="23"/>
      <c r="AH223" s="23"/>
      <c r="AI223" s="23"/>
      <c r="AJ223" s="23"/>
      <c r="AK223" s="23"/>
      <c r="AL223" s="26" t="b">
        <f>AL222</f>
        <v>1</v>
      </c>
    </row>
    <row r="224" spans="1:38" s="382" customFormat="1" ht="12.75" customHeight="1" x14ac:dyDescent="0.2">
      <c r="A224" s="778"/>
      <c r="B224" s="1308"/>
      <c r="D224" s="402" t="s">
        <v>195</v>
      </c>
      <c r="E224" s="404" t="str">
        <f>Translations!$B$169</f>
        <v>Perdavimo tipas</v>
      </c>
      <c r="F224" s="381"/>
      <c r="G224" s="381"/>
      <c r="H224" s="381"/>
      <c r="I224" s="1645"/>
      <c r="J224" s="1645"/>
      <c r="K224" s="1645"/>
      <c r="L224" s="1645"/>
      <c r="M224" s="1645"/>
      <c r="N224" s="1645"/>
      <c r="O224" s="1309"/>
      <c r="P224" s="23"/>
      <c r="Q224" s="23"/>
      <c r="R224" s="26" t="str">
        <f>IF(I224="","",I224=INDEX(EUconst_CO2TransferTypes,5))</f>
        <v/>
      </c>
      <c r="S224" s="43">
        <f>IF(AND(R224=TRUE,AL224=FALSE),-1,1)</f>
        <v>1</v>
      </c>
      <c r="T224" s="23"/>
      <c r="U224" s="23"/>
      <c r="V224" s="23"/>
      <c r="W224" s="23"/>
      <c r="X224" s="23"/>
      <c r="Y224" s="23"/>
      <c r="Z224" s="23"/>
      <c r="AA224" s="23"/>
      <c r="AB224" s="23"/>
      <c r="AC224" s="23"/>
      <c r="AD224" s="23"/>
      <c r="AE224" s="23"/>
      <c r="AF224" s="23"/>
      <c r="AG224" s="23"/>
      <c r="AH224" s="23"/>
      <c r="AI224" s="23"/>
      <c r="AJ224" s="23"/>
      <c r="AK224" s="23"/>
      <c r="AL224" s="26" t="b">
        <f>AL223</f>
        <v>1</v>
      </c>
    </row>
    <row r="225" spans="1:38" s="382" customFormat="1" ht="5.0999999999999996" customHeight="1" x14ac:dyDescent="0.2">
      <c r="A225" s="778"/>
      <c r="B225" s="1308"/>
      <c r="D225" s="9"/>
      <c r="E225" s="49"/>
      <c r="F225" s="49"/>
      <c r="G225" s="49"/>
      <c r="H225" s="49"/>
      <c r="I225" s="49"/>
      <c r="J225" s="49"/>
      <c r="K225" s="49"/>
      <c r="L225" s="49"/>
      <c r="M225" s="49"/>
      <c r="N225" s="49"/>
      <c r="O225" s="1309"/>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row>
    <row r="226" spans="1:38" s="382" customFormat="1" ht="5.0999999999999996" customHeight="1" x14ac:dyDescent="0.2">
      <c r="A226" s="778"/>
      <c r="B226" s="1308"/>
      <c r="D226" s="9"/>
      <c r="E226" s="49"/>
      <c r="F226" s="49"/>
      <c r="G226" s="49"/>
      <c r="H226" s="49"/>
      <c r="I226" s="49"/>
      <c r="J226" s="49"/>
      <c r="K226" s="49"/>
      <c r="L226" s="49"/>
      <c r="M226" s="49"/>
      <c r="N226" s="49"/>
      <c r="O226" s="1309"/>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row>
    <row r="227" spans="1:38" s="382" customFormat="1" ht="12.75" customHeight="1" x14ac:dyDescent="0.2">
      <c r="A227" s="778"/>
      <c r="B227" s="1308"/>
      <c r="E227" s="1652" t="str">
        <f>Translations!$B$701</f>
        <v>Pastabos (pvz., patvirtinamųjų skaičiavimų aprašas arba ar trūksta didelės duomenų dalies):</v>
      </c>
      <c r="F227" s="1652"/>
      <c r="G227" s="1652"/>
      <c r="H227" s="1652"/>
      <c r="I227" s="1652"/>
      <c r="J227" s="1652"/>
      <c r="K227" s="1652"/>
      <c r="L227" s="1652"/>
      <c r="M227" s="1652"/>
      <c r="N227" s="1652"/>
      <c r="O227" s="1309"/>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row>
    <row r="228" spans="1:38" s="382" customFormat="1" ht="12.75" customHeight="1" x14ac:dyDescent="0.2">
      <c r="A228" s="778"/>
      <c r="B228" s="1308"/>
      <c r="D228" s="10"/>
      <c r="E228" s="1646"/>
      <c r="F228" s="1647"/>
      <c r="G228" s="1647"/>
      <c r="H228" s="1647"/>
      <c r="I228" s="1647"/>
      <c r="J228" s="1647"/>
      <c r="K228" s="1647"/>
      <c r="L228" s="1647"/>
      <c r="M228" s="1647"/>
      <c r="N228" s="1648"/>
      <c r="O228" s="1309"/>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6" t="b">
        <f>D_MeasurementBasedApproaches!AL214</f>
        <v>1</v>
      </c>
    </row>
    <row r="229" spans="1:38" s="382" customFormat="1" ht="12.75" customHeight="1" x14ac:dyDescent="0.2">
      <c r="A229" s="778"/>
      <c r="B229" s="1308"/>
      <c r="D229" s="10"/>
      <c r="E229" s="1649"/>
      <c r="F229" s="1650"/>
      <c r="G229" s="1650"/>
      <c r="H229" s="1650"/>
      <c r="I229" s="1650"/>
      <c r="J229" s="1650"/>
      <c r="K229" s="1650"/>
      <c r="L229" s="1650"/>
      <c r="M229" s="1650"/>
      <c r="N229" s="1651"/>
      <c r="O229" s="1309"/>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6" t="b">
        <f>AL228</f>
        <v>1</v>
      </c>
    </row>
    <row r="230" spans="1:38" ht="12.75" customHeight="1" thickBot="1" x14ac:dyDescent="0.25">
      <c r="A230" s="741"/>
      <c r="B230" s="1254"/>
      <c r="C230" s="36"/>
      <c r="D230" s="37"/>
      <c r="E230" s="38"/>
      <c r="F230" s="36"/>
      <c r="G230" s="39"/>
      <c r="H230" s="39"/>
      <c r="I230" s="39"/>
      <c r="J230" s="39"/>
      <c r="K230" s="39"/>
      <c r="L230" s="39"/>
      <c r="M230" s="39"/>
      <c r="N230" s="39"/>
      <c r="O230" s="1255"/>
      <c r="P230" s="2"/>
      <c r="S230" s="229"/>
      <c r="AK230" s="23"/>
    </row>
    <row r="231" spans="1:38" ht="12.75" customHeight="1" thickBot="1" x14ac:dyDescent="0.25">
      <c r="A231" s="741"/>
      <c r="B231" s="1325"/>
      <c r="C231" s="200"/>
      <c r="D231" s="6"/>
      <c r="E231" s="239"/>
      <c r="F231" s="239"/>
      <c r="G231" s="239"/>
      <c r="H231" s="239"/>
      <c r="I231" s="239"/>
      <c r="J231" s="239"/>
      <c r="K231" s="239"/>
      <c r="L231" s="239"/>
      <c r="M231" s="5"/>
      <c r="N231" s="5"/>
      <c r="O231" s="1309"/>
      <c r="P231" s="2"/>
      <c r="Q231" s="23"/>
      <c r="R231" s="23"/>
      <c r="S231" s="23"/>
      <c r="V231" s="23"/>
      <c r="W231" s="23"/>
      <c r="X231" s="27" t="s">
        <v>486</v>
      </c>
      <c r="Y231" s="23"/>
      <c r="Z231" s="23"/>
      <c r="AA231" s="23"/>
      <c r="AB231" s="23"/>
      <c r="AC231" s="23"/>
      <c r="AD231" s="23"/>
      <c r="AE231" s="23"/>
      <c r="AF231" s="23"/>
      <c r="AG231" s="23"/>
      <c r="AH231" s="23"/>
      <c r="AI231" s="23"/>
      <c r="AJ231" s="23"/>
    </row>
    <row r="232" spans="1:38" s="140" customFormat="1" ht="15" customHeight="1" thickBot="1" x14ac:dyDescent="0.25">
      <c r="A232" s="742"/>
      <c r="B232" s="1248"/>
      <c r="C232" s="391">
        <f>C197+1</f>
        <v>7</v>
      </c>
      <c r="D232" s="392"/>
      <c r="E232" s="1623" t="str">
        <f>IF(ISBLANK(G232),"",IF(INDEX(B_InstallationDescription!$M$156:$M$165,MATCH(S232,B_InstallationDescription!$E$156:$E$165,0))&gt;0,INDEX(B_InstallationDescription!$M$156:$M$165,MATCH(S232,B_InstallationDescription!$E$156:$E$165,0)),""))</f>
        <v/>
      </c>
      <c r="F232" s="1624"/>
      <c r="G232" s="1610"/>
      <c r="H232" s="1611"/>
      <c r="I232" s="1611"/>
      <c r="J232" s="1612"/>
      <c r="M232" s="338" t="str">
        <f>Translations!$B$686</f>
        <v>Bendras deginant iškastinį kurą išmestas ŠESD kiekis:</v>
      </c>
      <c r="N232" s="1000" t="str">
        <f>IF(G232="","",M244*M248*M249*10^-3*(1-M246)*S259*R250)</f>
        <v/>
      </c>
      <c r="O232" s="1314" t="s">
        <v>257</v>
      </c>
      <c r="P232" s="2"/>
      <c r="Q232" s="343" t="str">
        <f>EUconst_SumCO2 &amp; "_" &amp;E232</f>
        <v>SUM_CO2_</v>
      </c>
      <c r="R232" s="27" t="str">
        <f>IF(ISBLANK(G232),"",MATCH(G232,CNTR_MeasurementPoints,0))</f>
        <v/>
      </c>
      <c r="S232" s="27" t="str">
        <f>IF(ISBLANK(G232),"",INDEX(B_InstallationDescription!$E$156:$E$165,MATCH(G232,CNTR_MeasurementPoints,0)))</f>
        <v/>
      </c>
      <c r="T232" s="1017" t="str">
        <f>IF(ISBLANK(G232),"",MATCH(E232,EUconst_CEMSType,0))</f>
        <v/>
      </c>
      <c r="U232" s="407" t="b">
        <f>E232=INDEX(EUconst_CEMSType,3)</f>
        <v>0</v>
      </c>
      <c r="V232" s="515" t="b">
        <f>OR(E232=INDEX(EUconst_CEMSType,1),E232=INDEX(EUconst_CEMSType,2))</f>
        <v>0</v>
      </c>
      <c r="W232" s="30"/>
      <c r="X232" s="887">
        <f>M244</f>
        <v>0</v>
      </c>
      <c r="Y232" s="846">
        <f>M246</f>
        <v>0</v>
      </c>
      <c r="Z232" s="846">
        <f>M247</f>
        <v>0</v>
      </c>
      <c r="AA232" s="846">
        <f>M248</f>
        <v>0</v>
      </c>
      <c r="AB232" s="846">
        <f>M249</f>
        <v>0</v>
      </c>
      <c r="AC232" s="846" t="str">
        <f>M250</f>
        <v/>
      </c>
      <c r="AD232" s="846" t="str">
        <f>M252</f>
        <v/>
      </c>
      <c r="AE232" s="846" t="str">
        <f>R250</f>
        <v/>
      </c>
      <c r="AF232" s="846" t="str">
        <f>N232</f>
        <v/>
      </c>
      <c r="AG232" s="846" t="str">
        <f>N233</f>
        <v/>
      </c>
      <c r="AH232" s="846" t="str">
        <f>R234</f>
        <v/>
      </c>
      <c r="AI232" s="846">
        <f>R235</f>
        <v>0</v>
      </c>
      <c r="AJ232" s="846">
        <f>R236</f>
        <v>0</v>
      </c>
      <c r="AK232" s="30"/>
      <c r="AL232" s="32" t="b">
        <f>CNTR_MeasurementRelevant=EUconst_NotRelevant</f>
        <v>1</v>
      </c>
    </row>
    <row r="233" spans="1:38" s="382" customFormat="1" ht="15" customHeight="1" thickBot="1" x14ac:dyDescent="0.25">
      <c r="A233" s="741"/>
      <c r="B233" s="1280"/>
      <c r="C233" s="5"/>
      <c r="I233" s="24"/>
      <c r="J233" s="5"/>
      <c r="K233" s="5"/>
      <c r="L233" s="5"/>
      <c r="M233" s="337" t="str">
        <f>Translations!$B$687</f>
        <v>Bendras deginant biomasę išmestas ŠESD kiekis:</v>
      </c>
      <c r="N233" s="999" t="str">
        <f>IF(G232="","",M244*M248*M249*10^-3*(M246)*S259*R250)</f>
        <v/>
      </c>
      <c r="O233" s="1315" t="s">
        <v>257</v>
      </c>
      <c r="P233" s="2"/>
      <c r="Q233" s="344" t="str">
        <f>EUconst_SumBioCO2 &amp; "_" &amp; E232</f>
        <v>SUM_bioCO2_</v>
      </c>
      <c r="R233" s="23"/>
      <c r="S233" s="23"/>
      <c r="T233" s="23"/>
      <c r="U233" s="23"/>
      <c r="V233" s="23"/>
      <c r="W233" s="23"/>
      <c r="X233" s="833" t="s">
        <v>500</v>
      </c>
      <c r="Y233" s="833" t="s">
        <v>215</v>
      </c>
      <c r="Z233" s="833" t="s">
        <v>494</v>
      </c>
      <c r="AA233" s="833" t="s">
        <v>501</v>
      </c>
      <c r="AB233" s="833" t="s">
        <v>502</v>
      </c>
      <c r="AC233" s="833" t="s">
        <v>503</v>
      </c>
      <c r="AD233" s="833" t="s">
        <v>504</v>
      </c>
      <c r="AE233" s="833" t="s">
        <v>386</v>
      </c>
      <c r="AF233" s="833" t="s">
        <v>287</v>
      </c>
      <c r="AG233" s="833" t="s">
        <v>495</v>
      </c>
      <c r="AH233" s="833" t="s">
        <v>498</v>
      </c>
      <c r="AI233" s="833" t="s">
        <v>496</v>
      </c>
      <c r="AJ233" s="833" t="s">
        <v>497</v>
      </c>
      <c r="AK233" s="23"/>
      <c r="AL233" s="23"/>
    </row>
    <row r="234" spans="1:38" ht="13.5" thickBot="1" x14ac:dyDescent="0.25">
      <c r="A234" s="741"/>
      <c r="B234" s="1326"/>
      <c r="C234" s="798"/>
      <c r="D234" s="799"/>
      <c r="E234" s="797"/>
      <c r="F234" s="797"/>
      <c r="G234" s="797"/>
      <c r="H234" s="797"/>
      <c r="I234" s="797"/>
      <c r="J234" s="797"/>
      <c r="K234" s="797"/>
      <c r="L234" s="797"/>
      <c r="M234" s="797"/>
      <c r="N234" s="797"/>
      <c r="O234" s="1255"/>
      <c r="P234" s="2"/>
      <c r="Q234" s="343" t="str">
        <f>EUconst_SumNonSustBioCO2 &amp; "_" &amp; K231</f>
        <v>SUM_bioNonSustCO2_</v>
      </c>
      <c r="R234" s="698" t="str">
        <f>IF(G232="","",ROUND(M244*M248*M249*10^-3*(1-M246)*M247*S259*R250,0))</f>
        <v/>
      </c>
      <c r="Y234" s="23"/>
      <c r="Z234" s="23"/>
      <c r="AA234" s="23"/>
      <c r="AB234" s="23"/>
      <c r="AC234" s="23"/>
      <c r="AD234" s="23"/>
      <c r="AE234" s="23"/>
      <c r="AF234" s="23"/>
      <c r="AG234" s="23"/>
      <c r="AH234" s="23"/>
      <c r="AI234" s="23"/>
      <c r="AJ234" s="23"/>
      <c r="AK234" s="23"/>
      <c r="AL234" s="23"/>
    </row>
    <row r="235" spans="1:38" ht="13.5" thickBot="1" x14ac:dyDescent="0.25">
      <c r="A235" s="741"/>
      <c r="B235" s="1326"/>
      <c r="C235" s="798"/>
      <c r="D235" s="799"/>
      <c r="E235" s="797"/>
      <c r="F235" s="797"/>
      <c r="G235" s="797"/>
      <c r="H235" s="797"/>
      <c r="I235" s="797"/>
      <c r="J235" s="797"/>
      <c r="K235" s="797"/>
      <c r="L235" s="797"/>
      <c r="M235" s="494" t="str">
        <f>Translations!$B$688</f>
        <v>Bendra iškastinio kuro energetinė vertė:</v>
      </c>
      <c r="N235" s="1043"/>
      <c r="O235" s="1327" t="s">
        <v>279</v>
      </c>
      <c r="P235" s="2"/>
      <c r="Q235" s="343" t="str">
        <f>EUconst_SumEnergyIN &amp; "_" &amp; K231</f>
        <v>SUM_EnergyIN_</v>
      </c>
      <c r="R235" s="698">
        <f>N235</f>
        <v>0</v>
      </c>
      <c r="Y235" s="23"/>
      <c r="Z235" s="23"/>
      <c r="AA235" s="23"/>
      <c r="AB235" s="23"/>
      <c r="AC235" s="23"/>
      <c r="AD235" s="23"/>
      <c r="AE235" s="23"/>
      <c r="AF235" s="23"/>
      <c r="AG235" s="23"/>
      <c r="AH235" s="23"/>
      <c r="AI235" s="23"/>
      <c r="AJ235" s="23"/>
      <c r="AK235" s="23"/>
      <c r="AL235" s="32" t="b">
        <f>AL240</f>
        <v>1</v>
      </c>
    </row>
    <row r="236" spans="1:38" ht="13.5" thickBot="1" x14ac:dyDescent="0.25">
      <c r="A236" s="741"/>
      <c r="B236" s="1326"/>
      <c r="C236" s="798"/>
      <c r="D236" s="799"/>
      <c r="E236" s="797"/>
      <c r="F236" s="797"/>
      <c r="G236" s="797"/>
      <c r="H236" s="797"/>
      <c r="I236" s="797"/>
      <c r="J236" s="797"/>
      <c r="K236" s="797"/>
      <c r="L236" s="797"/>
      <c r="M236" s="337" t="str">
        <f>Translations!$B$689</f>
        <v>Bendra biomasės energetinė vertė:</v>
      </c>
      <c r="N236" s="1044"/>
      <c r="O236" s="1328" t="s">
        <v>279</v>
      </c>
      <c r="P236" s="2"/>
      <c r="Q236" s="343" t="str">
        <f>EUconst_SumBioEnergyIN &amp; "_" &amp; K231</f>
        <v>SUM_BioEnergyIN_</v>
      </c>
      <c r="R236" s="698">
        <f>N236</f>
        <v>0</v>
      </c>
      <c r="Y236" s="23"/>
      <c r="Z236" s="23"/>
      <c r="AA236" s="23"/>
      <c r="AB236" s="23"/>
      <c r="AC236" s="23"/>
      <c r="AD236" s="23"/>
      <c r="AE236" s="23"/>
      <c r="AF236" s="23"/>
      <c r="AG236" s="23"/>
      <c r="AH236" s="23"/>
      <c r="AI236" s="23"/>
      <c r="AJ236" s="23"/>
      <c r="AK236" s="23"/>
      <c r="AL236" s="32" t="b">
        <f>AL235</f>
        <v>1</v>
      </c>
    </row>
    <row r="237" spans="1:38" s="382" customFormat="1" ht="5.0999999999999996" customHeight="1" x14ac:dyDescent="0.2">
      <c r="A237" s="778"/>
      <c r="B237" s="1308"/>
      <c r="D237" s="151"/>
      <c r="K237" s="12"/>
      <c r="L237" s="12"/>
      <c r="M237" s="12"/>
      <c r="N237" s="12"/>
      <c r="O237" s="1329"/>
      <c r="P237" s="2"/>
      <c r="Q237" s="23"/>
      <c r="R237" s="23"/>
      <c r="S237" s="23"/>
      <c r="T237" s="23"/>
      <c r="U237" s="23"/>
      <c r="V237" s="23"/>
      <c r="W237" s="23"/>
      <c r="X237" s="23"/>
      <c r="Y237" s="23"/>
      <c r="Z237" s="23"/>
      <c r="AA237" s="23"/>
      <c r="AB237" s="23"/>
      <c r="AC237" s="23"/>
      <c r="AD237" s="23"/>
      <c r="AE237" s="23"/>
      <c r="AF237" s="23"/>
      <c r="AG237" s="23"/>
      <c r="AH237" s="23"/>
      <c r="AI237" s="23"/>
      <c r="AJ237" s="23"/>
      <c r="AK237" s="23"/>
      <c r="AL237" s="23"/>
    </row>
    <row r="238" spans="1:38" s="382" customFormat="1" ht="12.75" customHeight="1" x14ac:dyDescent="0.2">
      <c r="A238" s="778"/>
      <c r="B238" s="1308"/>
      <c r="D238" s="9" t="s">
        <v>1</v>
      </c>
      <c r="E238" s="1395" t="str">
        <f>Translations!$B$690</f>
        <v>Skaičiavimai</v>
      </c>
      <c r="F238" s="1395"/>
      <c r="G238" s="1395"/>
      <c r="H238" s="1395"/>
      <c r="I238" s="1395"/>
      <c r="J238" s="1395"/>
      <c r="K238" s="1395"/>
      <c r="L238" s="1395"/>
      <c r="M238" s="1395"/>
      <c r="N238" s="1395"/>
      <c r="O238" s="1329"/>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row>
    <row r="239" spans="1:38" s="382" customFormat="1" ht="5.0999999999999996" customHeight="1" thickBot="1" x14ac:dyDescent="0.25">
      <c r="A239" s="778"/>
      <c r="B239" s="1308"/>
      <c r="D239" s="151"/>
      <c r="K239" s="12"/>
      <c r="L239" s="12"/>
      <c r="M239" s="12"/>
      <c r="N239" s="12"/>
      <c r="O239" s="1329"/>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row>
    <row r="240" spans="1:38" s="382" customFormat="1" ht="12.75" customHeight="1" thickBot="1" x14ac:dyDescent="0.25">
      <c r="A240" s="778"/>
      <c r="B240" s="1308"/>
      <c r="D240" s="9"/>
      <c r="E240" s="399" t="str">
        <f>Translations!$B$691</f>
        <v>Informacija apie susijusius sukėliklius, jeigu taikytina:</v>
      </c>
      <c r="F240" s="399"/>
      <c r="G240" s="399"/>
      <c r="H240" s="399"/>
      <c r="I240" s="399"/>
      <c r="J240" s="1653" t="str">
        <f>Translations!$B$692</f>
        <v>Patvirtinamųjų skaičiavimų rezultatas (iškastinis kuras):</v>
      </c>
      <c r="K240" s="1653"/>
      <c r="L240" s="1653"/>
      <c r="M240" s="1653"/>
      <c r="N240" s="1194"/>
      <c r="O240" s="1309"/>
      <c r="P240" s="23"/>
      <c r="Q240" s="23"/>
      <c r="R240" s="23"/>
      <c r="S240" s="23"/>
      <c r="T240" s="23"/>
      <c r="U240" s="23"/>
      <c r="V240" s="23"/>
      <c r="W240" s="23"/>
      <c r="X240" s="23"/>
      <c r="Y240" s="23"/>
      <c r="Z240" s="23"/>
      <c r="AA240" s="23"/>
      <c r="AB240" s="23"/>
      <c r="AC240" s="23"/>
      <c r="AD240" s="23"/>
      <c r="AE240" s="23"/>
      <c r="AF240" s="23"/>
      <c r="AG240" s="23"/>
      <c r="AH240" s="23"/>
      <c r="AI240" s="23"/>
      <c r="AJ240" s="23"/>
      <c r="AK240" s="26" t="b">
        <f>IF(E232="",FALSE,MATCH(E232,EUconst_CEMSType,0)=2)</f>
        <v>0</v>
      </c>
      <c r="AL240" s="26" t="b">
        <f>OR(CNTR_MeasurementRelevant=EUconst_NotRelevant,AND(COUNTA(CNTR_ListRelevantSections)&gt;0,G232=""))</f>
        <v>1</v>
      </c>
    </row>
    <row r="241" spans="1:38" s="382" customFormat="1" x14ac:dyDescent="0.2">
      <c r="A241" s="778"/>
      <c r="B241" s="1308"/>
      <c r="D241" s="9"/>
      <c r="E241" s="1654"/>
      <c r="F241" s="1655"/>
      <c r="G241" s="1655"/>
      <c r="H241" s="1655"/>
      <c r="I241" s="1656"/>
      <c r="J241" s="1653" t="str">
        <f>Translations!$B$693</f>
        <v>Patvirtinamųjų skaičiavimų rezultatas (biomasė):</v>
      </c>
      <c r="K241" s="1653"/>
      <c r="L241" s="1653"/>
      <c r="M241" s="1653"/>
      <c r="N241" s="1195"/>
      <c r="O241" s="1309"/>
      <c r="P241" s="681"/>
      <c r="Q241" s="23"/>
      <c r="R241" s="23"/>
      <c r="S241" s="23"/>
      <c r="T241" s="23"/>
      <c r="U241" s="23"/>
      <c r="V241" s="23"/>
      <c r="W241" s="23"/>
      <c r="X241" s="23"/>
      <c r="Y241" s="23"/>
      <c r="Z241" s="23"/>
      <c r="AA241" s="23"/>
      <c r="AB241" s="23"/>
      <c r="AC241" s="23"/>
      <c r="AD241" s="23"/>
      <c r="AE241" s="23"/>
      <c r="AF241" s="23"/>
      <c r="AG241" s="23"/>
      <c r="AH241" s="23"/>
      <c r="AI241" s="23"/>
      <c r="AJ241" s="23"/>
      <c r="AK241" s="26" t="b">
        <f>AK240</f>
        <v>0</v>
      </c>
      <c r="AL241" s="26" t="b">
        <f>AL240</f>
        <v>1</v>
      </c>
    </row>
    <row r="242" spans="1:38" s="382" customFormat="1" ht="5.0999999999999996" customHeight="1" x14ac:dyDescent="0.2">
      <c r="A242" s="778"/>
      <c r="B242" s="1308"/>
      <c r="D242" s="9"/>
      <c r="E242" s="49"/>
      <c r="F242" s="49"/>
      <c r="G242" s="49"/>
      <c r="H242" s="49"/>
      <c r="I242" s="49"/>
      <c r="J242" s="49"/>
      <c r="K242" s="49"/>
      <c r="L242" s="49"/>
      <c r="M242" s="49"/>
      <c r="N242" s="49"/>
      <c r="O242" s="1309"/>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row>
    <row r="243" spans="1:38" s="382" customFormat="1" ht="12.75" customHeight="1" thickBot="1" x14ac:dyDescent="0.25">
      <c r="A243" s="778"/>
      <c r="B243" s="1308"/>
      <c r="I243" s="49"/>
      <c r="J243" s="49"/>
      <c r="K243" s="49"/>
      <c r="L243" s="793" t="str">
        <f>EUconst_Unit</f>
        <v>Vienetas</v>
      </c>
      <c r="M243" s="793"/>
      <c r="O243" s="1309"/>
      <c r="P243" s="681"/>
      <c r="Q243" s="23"/>
      <c r="R243" s="23"/>
      <c r="S243" s="23"/>
      <c r="T243" s="23"/>
      <c r="U243" s="23"/>
      <c r="V243" s="23"/>
      <c r="W243" s="23"/>
      <c r="X243" s="23"/>
      <c r="Y243" s="23"/>
      <c r="Z243" s="23"/>
      <c r="AA243" s="23"/>
      <c r="AB243" s="23"/>
      <c r="AC243" s="23"/>
      <c r="AD243" s="23"/>
      <c r="AE243" s="23"/>
      <c r="AF243" s="23"/>
      <c r="AG243" s="23"/>
      <c r="AH243" s="23"/>
      <c r="AI243" s="23"/>
      <c r="AJ243" s="23"/>
      <c r="AK243" s="23"/>
      <c r="AL243" s="23"/>
    </row>
    <row r="244" spans="1:38" s="382" customFormat="1" ht="12.75" customHeight="1" thickBot="1" x14ac:dyDescent="0.25">
      <c r="A244" s="778"/>
      <c r="B244" s="1308"/>
      <c r="E244" s="21" t="str">
        <f>Translations!$B$162</f>
        <v>Naudojama pakopa.</v>
      </c>
      <c r="F244" s="393"/>
      <c r="G244" s="402" t="s">
        <v>4</v>
      </c>
      <c r="H244" s="395" t="str">
        <f>Translations!$B$694</f>
        <v>ŠESD koncentracija (metinis valandinis vidurkis):</v>
      </c>
      <c r="I244" s="381"/>
      <c r="J244" s="381"/>
      <c r="K244" s="381"/>
      <c r="L244" s="678" t="str">
        <f>EUconst_gpNm3</f>
        <v>g/Nm3</v>
      </c>
      <c r="M244" s="1198"/>
      <c r="O244" s="1309"/>
      <c r="P244" s="23"/>
      <c r="Q244" s="2"/>
      <c r="R244" s="23"/>
      <c r="S244" s="23"/>
      <c r="T244" s="23"/>
      <c r="U244" s="23"/>
      <c r="V244" s="23"/>
      <c r="W244" s="23"/>
      <c r="X244" s="23"/>
      <c r="Y244" s="23"/>
      <c r="Z244" s="23"/>
      <c r="AA244" s="23"/>
      <c r="AB244" s="23"/>
      <c r="AC244" s="23"/>
      <c r="AD244" s="23"/>
      <c r="AE244" s="23"/>
      <c r="AF244" s="23"/>
      <c r="AG244" s="23"/>
      <c r="AH244" s="23"/>
      <c r="AI244" s="23"/>
      <c r="AJ244" s="23"/>
      <c r="AK244" s="23"/>
      <c r="AL244" s="26" t="b">
        <f>AL241</f>
        <v>1</v>
      </c>
    </row>
    <row r="245" spans="1:38" s="382" customFormat="1" ht="12.75" customHeight="1" thickBot="1" x14ac:dyDescent="0.25">
      <c r="A245" s="778"/>
      <c r="B245" s="1308"/>
      <c r="F245" s="472" t="str">
        <f>IF(OR(ISBLANK(F244),F244=EUconst_NoTier),"",IF(R246=EUconst_NA,EUconst_NA,IF(ISERROR(R246),"",R246)))</f>
        <v/>
      </c>
      <c r="G245" s="402"/>
      <c r="H245" s="395"/>
      <c r="I245" s="381"/>
      <c r="J245" s="381"/>
      <c r="K245" s="381"/>
      <c r="M245" s="151"/>
      <c r="O245" s="1309"/>
      <c r="P245" s="23"/>
      <c r="Q245" s="2"/>
      <c r="R245" s="684" t="s">
        <v>538</v>
      </c>
      <c r="S245" s="23"/>
      <c r="T245" s="23"/>
      <c r="U245" s="23"/>
      <c r="V245" s="23"/>
      <c r="W245" s="23"/>
      <c r="X245" s="23"/>
      <c r="Y245" s="23"/>
      <c r="Z245" s="23"/>
      <c r="AA245" s="23"/>
      <c r="AB245" s="23"/>
      <c r="AC245" s="23"/>
      <c r="AD245" s="23"/>
      <c r="AE245" s="23"/>
      <c r="AF245" s="23"/>
      <c r="AG245" s="23"/>
      <c r="AH245" s="23"/>
      <c r="AI245" s="23"/>
      <c r="AJ245" s="23"/>
      <c r="AK245" s="23"/>
      <c r="AL245" s="23"/>
    </row>
    <row r="246" spans="1:38" s="382" customFormat="1" ht="12.75" customHeight="1" x14ac:dyDescent="0.2">
      <c r="A246" s="778"/>
      <c r="B246" s="1308"/>
      <c r="D246" s="200"/>
      <c r="G246" s="402" t="s">
        <v>5</v>
      </c>
      <c r="H246" s="395" t="str">
        <f>Translations!$B$682</f>
        <v>Biomasės dalis:</v>
      </c>
      <c r="I246" s="290"/>
      <c r="J246" s="290"/>
      <c r="K246" s="290"/>
      <c r="L246" s="806" t="s">
        <v>258</v>
      </c>
      <c r="M246" s="807"/>
      <c r="O246" s="1309"/>
      <c r="P246" s="23"/>
      <c r="Q246" s="2"/>
      <c r="R246" s="43" t="str">
        <f>IF(F244="","",IF(F244=EUconst_NA,"",INDEX(EUwideConstants!$H$689:$M$691,MATCH(E232,EUwideConstants!$B$689:$B$691,0),MATCH(F244,CNTR_TierList,0))))</f>
        <v/>
      </c>
      <c r="S246" s="23"/>
      <c r="T246" s="23"/>
      <c r="U246" s="23"/>
      <c r="V246" s="23"/>
      <c r="W246" s="23"/>
      <c r="X246" s="23"/>
      <c r="Y246" s="23"/>
      <c r="Z246" s="23"/>
      <c r="AA246" s="23"/>
      <c r="AB246" s="23"/>
      <c r="AC246" s="23"/>
      <c r="AD246" s="23"/>
      <c r="AE246" s="23"/>
      <c r="AF246" s="23"/>
      <c r="AG246" s="23"/>
      <c r="AH246" s="23"/>
      <c r="AI246" s="23"/>
      <c r="AJ246" s="23"/>
      <c r="AK246" s="23"/>
      <c r="AL246" s="26" t="b">
        <f>AL244</f>
        <v>1</v>
      </c>
    </row>
    <row r="247" spans="1:38" s="382" customFormat="1" ht="12.75" customHeight="1" thickBot="1" x14ac:dyDescent="0.25">
      <c r="A247" s="778"/>
      <c r="B247" s="1308"/>
      <c r="D247" s="200"/>
      <c r="G247" s="402" t="s">
        <v>194</v>
      </c>
      <c r="H247" s="884" t="str">
        <f>Translations!$B$683</f>
        <v>netvarios biomasės dalis:</v>
      </c>
      <c r="I247" s="292"/>
      <c r="J247" s="292"/>
      <c r="K247" s="292"/>
      <c r="L247" s="885" t="s">
        <v>258</v>
      </c>
      <c r="M247" s="886"/>
      <c r="O247" s="1309"/>
      <c r="P247" s="23"/>
      <c r="Q247" s="2"/>
      <c r="R247" s="684"/>
      <c r="S247" s="23"/>
      <c r="T247" s="23"/>
      <c r="U247" s="23"/>
      <c r="V247" s="23"/>
      <c r="W247" s="23"/>
      <c r="X247" s="23"/>
      <c r="Y247" s="23"/>
      <c r="Z247" s="23"/>
      <c r="AA247" s="23"/>
      <c r="AB247" s="23"/>
      <c r="AC247" s="23"/>
      <c r="AD247" s="23"/>
      <c r="AE247" s="23"/>
      <c r="AF247" s="23"/>
      <c r="AG247" s="23"/>
      <c r="AH247" s="23"/>
      <c r="AI247" s="23"/>
      <c r="AJ247" s="23"/>
      <c r="AK247" s="23"/>
      <c r="AL247" s="26" t="b">
        <f>AL246</f>
        <v>1</v>
      </c>
    </row>
    <row r="248" spans="1:38" s="382" customFormat="1" ht="12.75" customHeight="1" x14ac:dyDescent="0.2">
      <c r="A248" s="778"/>
      <c r="B248" s="1308"/>
      <c r="E248" s="22" t="str">
        <f>Translations!$B$684</f>
        <v>VAP:</v>
      </c>
      <c r="F248" s="682" t="str">
        <f>IF(OR(G232="",F249&lt;&gt;""),"",IF(T232=2,298,1))</f>
        <v/>
      </c>
      <c r="G248" s="402" t="s">
        <v>195</v>
      </c>
      <c r="H248" s="397" t="str">
        <f>Translations!$B$695</f>
        <v>Veikimo valandos:</v>
      </c>
      <c r="I248" s="398"/>
      <c r="J248" s="398"/>
      <c r="K248" s="398"/>
      <c r="L248" s="679" t="str">
        <f>EUconst_hpa</f>
        <v>val./metai</v>
      </c>
      <c r="M248" s="811"/>
      <c r="O248" s="1309"/>
      <c r="P248" s="23"/>
      <c r="Q248" s="2"/>
      <c r="R248" s="23"/>
      <c r="S248" s="23"/>
      <c r="T248" s="23"/>
      <c r="U248" s="23"/>
      <c r="V248" s="23"/>
      <c r="W248" s="23"/>
      <c r="X248" s="23"/>
      <c r="Y248" s="23"/>
      <c r="Z248" s="23"/>
      <c r="AA248" s="23"/>
      <c r="AB248" s="23"/>
      <c r="AC248" s="23"/>
      <c r="AD248" s="23"/>
      <c r="AE248" s="23"/>
      <c r="AF248" s="23"/>
      <c r="AG248" s="23"/>
      <c r="AH248" s="23"/>
      <c r="AI248" s="23"/>
      <c r="AJ248" s="23"/>
      <c r="AK248" s="23"/>
      <c r="AL248" s="26" t="b">
        <f>AL246</f>
        <v>1</v>
      </c>
    </row>
    <row r="249" spans="1:38" s="382" customFormat="1" ht="12.75" customHeight="1" thickBot="1" x14ac:dyDescent="0.25">
      <c r="A249" s="778"/>
      <c r="B249" s="1308"/>
      <c r="D249" s="794"/>
      <c r="E249" s="687" t="str">
        <f>Translations!$B$696</f>
        <v>(CO2(e) tonos / ŠESD tonos)</v>
      </c>
      <c r="F249" s="683"/>
      <c r="G249" s="402" t="s">
        <v>196</v>
      </c>
      <c r="H249" s="396" t="str">
        <f>Translations!$B$697</f>
        <v>Kaminų dujų srautas (metinis valandinis vidurkis):</v>
      </c>
      <c r="I249" s="291"/>
      <c r="J249" s="291"/>
      <c r="K249" s="291"/>
      <c r="L249" s="680" t="str">
        <f>EUconst_Nm3ph</f>
        <v>1 000 Nm3/h</v>
      </c>
      <c r="M249" s="808"/>
      <c r="O249" s="1309"/>
      <c r="P249" s="23"/>
      <c r="Q249" s="2"/>
      <c r="R249" s="13" t="s">
        <v>386</v>
      </c>
      <c r="S249" s="23"/>
      <c r="T249" s="23"/>
      <c r="U249" s="23"/>
      <c r="V249" s="23"/>
      <c r="W249" s="23"/>
      <c r="X249" s="23"/>
      <c r="Y249" s="23"/>
      <c r="Z249" s="23"/>
      <c r="AA249" s="23"/>
      <c r="AB249" s="23"/>
      <c r="AC249" s="23"/>
      <c r="AD249" s="23"/>
      <c r="AE249" s="23"/>
      <c r="AF249" s="23"/>
      <c r="AG249" s="23"/>
      <c r="AH249" s="23"/>
      <c r="AI249" s="23"/>
      <c r="AJ249" s="23"/>
      <c r="AK249" s="23"/>
      <c r="AL249" s="26" t="b">
        <f>AL248</f>
        <v>1</v>
      </c>
    </row>
    <row r="250" spans="1:38" s="382" customFormat="1" ht="12.75" customHeight="1" thickBot="1" x14ac:dyDescent="0.25">
      <c r="A250" s="778"/>
      <c r="B250" s="1308"/>
      <c r="D250" s="794"/>
      <c r="G250" s="687" t="s">
        <v>197</v>
      </c>
      <c r="H250" s="395" t="str">
        <f>Translations!$B$698</f>
        <v>Kaminų dujų srautas (bendras metinis kiekis):</v>
      </c>
      <c r="I250" s="290"/>
      <c r="J250" s="290"/>
      <c r="K250" s="290"/>
      <c r="L250" s="678" t="str">
        <f>EUconst_kNm3pa</f>
        <v>1 000 Nm3/m.</v>
      </c>
      <c r="M250" s="809" t="str">
        <f>IF(COUNT(M248,M249)=2,M248*M249,"")</f>
        <v/>
      </c>
      <c r="O250" s="1309"/>
      <c r="P250" s="23"/>
      <c r="Q250" s="23"/>
      <c r="R250" s="43" t="str">
        <f>IF(F249="",F248,F249)</f>
        <v/>
      </c>
      <c r="S250" s="23"/>
      <c r="T250" s="23"/>
      <c r="U250" s="23"/>
      <c r="V250" s="23"/>
      <c r="W250" s="23"/>
      <c r="X250" s="23"/>
      <c r="Y250" s="23"/>
      <c r="Z250" s="23"/>
      <c r="AA250" s="23"/>
      <c r="AB250" s="23"/>
      <c r="AC250" s="23"/>
      <c r="AD250" s="23"/>
      <c r="AE250" s="23"/>
      <c r="AF250" s="23"/>
      <c r="AG250" s="23"/>
      <c r="AH250" s="23"/>
      <c r="AI250" s="23"/>
      <c r="AJ250" s="23"/>
      <c r="AK250" s="23"/>
      <c r="AL250" s="23"/>
    </row>
    <row r="251" spans="1:38" s="382" customFormat="1" ht="5.0999999999999996" customHeight="1" thickBot="1" x14ac:dyDescent="0.25">
      <c r="A251" s="778"/>
      <c r="B251" s="1308"/>
      <c r="D251" s="794"/>
      <c r="E251" s="200"/>
      <c r="F251" s="200"/>
      <c r="G251" s="200"/>
      <c r="H251" s="200"/>
      <c r="I251" s="200"/>
      <c r="J251" s="200"/>
      <c r="K251" s="200"/>
      <c r="L251" s="200"/>
      <c r="M251" s="6"/>
      <c r="O251" s="1309"/>
      <c r="P251" s="23"/>
      <c r="Q251" s="23"/>
      <c r="R251" s="684"/>
      <c r="S251" s="23"/>
      <c r="T251" s="23"/>
      <c r="U251" s="23"/>
      <c r="V251" s="23"/>
      <c r="W251" s="23"/>
      <c r="X251" s="23"/>
      <c r="Y251" s="23"/>
      <c r="Z251" s="23"/>
      <c r="AA251" s="23"/>
      <c r="AB251" s="23"/>
      <c r="AC251" s="23"/>
      <c r="AD251" s="23"/>
      <c r="AE251" s="23"/>
      <c r="AF251" s="23"/>
      <c r="AG251" s="23"/>
      <c r="AH251" s="23"/>
      <c r="AI251" s="23"/>
      <c r="AJ251" s="23"/>
      <c r="AK251" s="23"/>
      <c r="AL251" s="23"/>
    </row>
    <row r="252" spans="1:38" s="382" customFormat="1" ht="12.75" customHeight="1" thickBot="1" x14ac:dyDescent="0.25">
      <c r="A252" s="778"/>
      <c r="B252" s="1308"/>
      <c r="D252" s="794"/>
      <c r="E252" s="200"/>
      <c r="F252" s="200"/>
      <c r="G252" s="687" t="s">
        <v>198</v>
      </c>
      <c r="H252" s="395" t="str">
        <f>Translations!$B$699</f>
        <v>Metinis deginant iškastinį kurą išmestas ŠESD kiekis</v>
      </c>
      <c r="I252" s="290"/>
      <c r="J252" s="290"/>
      <c r="K252" s="290"/>
      <c r="L252" s="678" t="str">
        <f>EUconst_t</f>
        <v>t</v>
      </c>
      <c r="M252" s="810" t="str">
        <f>IF(G232="","",ROUND(M244*M248*M249*10^-3*(1-M246),0))</f>
        <v/>
      </c>
      <c r="O252" s="1309"/>
      <c r="P252" s="23"/>
      <c r="Q252" s="23"/>
      <c r="R252" s="684"/>
      <c r="S252" s="23"/>
      <c r="T252" s="23"/>
      <c r="U252" s="23"/>
      <c r="V252" s="23"/>
      <c r="W252" s="23"/>
      <c r="X252" s="23"/>
      <c r="Y252" s="23"/>
      <c r="Z252" s="23"/>
      <c r="AA252" s="23"/>
      <c r="AB252" s="23"/>
      <c r="AC252" s="23"/>
      <c r="AD252" s="23"/>
      <c r="AE252" s="23"/>
      <c r="AF252" s="23"/>
      <c r="AG252" s="23"/>
      <c r="AH252" s="23"/>
      <c r="AI252" s="23"/>
      <c r="AJ252" s="23"/>
      <c r="AK252" s="23"/>
      <c r="AL252" s="23"/>
    </row>
    <row r="253" spans="1:38" s="382" customFormat="1" ht="5.0999999999999996" customHeight="1" x14ac:dyDescent="0.2">
      <c r="A253" s="778"/>
      <c r="B253" s="1308"/>
      <c r="D253" s="794"/>
      <c r="E253" s="200"/>
      <c r="F253" s="200"/>
      <c r="G253" s="200"/>
      <c r="H253" s="200"/>
      <c r="I253" s="200"/>
      <c r="J253" s="200"/>
      <c r="K253" s="200"/>
      <c r="L253" s="200"/>
      <c r="M253" s="200"/>
      <c r="N253" s="200"/>
      <c r="O253" s="1309"/>
      <c r="P253" s="23"/>
      <c r="Q253" s="23"/>
      <c r="R253" s="684"/>
      <c r="S253" s="23"/>
      <c r="T253" s="23"/>
      <c r="U253" s="23"/>
      <c r="V253" s="23"/>
      <c r="W253" s="23"/>
      <c r="X253" s="23"/>
      <c r="Y253" s="23"/>
      <c r="Z253" s="23"/>
      <c r="AA253" s="23"/>
      <c r="AB253" s="23"/>
      <c r="AC253" s="23"/>
      <c r="AD253" s="23"/>
      <c r="AE253" s="23"/>
      <c r="AF253" s="23"/>
      <c r="AG253" s="23"/>
      <c r="AH253" s="23"/>
      <c r="AI253" s="23"/>
      <c r="AJ253" s="23"/>
      <c r="AK253" s="23"/>
      <c r="AL253" s="23"/>
    </row>
    <row r="254" spans="1:38" s="382" customFormat="1" ht="12.75" customHeight="1" x14ac:dyDescent="0.2">
      <c r="A254" s="778"/>
      <c r="B254" s="1308"/>
      <c r="D254" s="9" t="s">
        <v>2</v>
      </c>
      <c r="E254" s="1395" t="str">
        <f>Translations!$B$700</f>
        <v>Perduotasis / būdingasis CO2</v>
      </c>
      <c r="F254" s="1395"/>
      <c r="G254" s="1395"/>
      <c r="H254" s="1395"/>
      <c r="I254" s="1395"/>
      <c r="J254" s="1395"/>
      <c r="K254" s="1395"/>
      <c r="L254" s="1395"/>
      <c r="M254" s="1395"/>
      <c r="N254" s="1395"/>
      <c r="O254" s="1309"/>
      <c r="P254" s="681"/>
      <c r="Q254" s="23"/>
      <c r="R254" s="23"/>
      <c r="S254" s="23"/>
      <c r="T254" s="23"/>
      <c r="U254" s="23"/>
      <c r="V254" s="23"/>
      <c r="W254" s="23"/>
      <c r="X254" s="23"/>
      <c r="Y254" s="23"/>
      <c r="Z254" s="23"/>
      <c r="AA254" s="23"/>
      <c r="AB254" s="23"/>
      <c r="AC254" s="23"/>
      <c r="AD254" s="23"/>
      <c r="AE254" s="23"/>
      <c r="AF254" s="23"/>
      <c r="AG254" s="23"/>
      <c r="AH254" s="23"/>
      <c r="AI254" s="23"/>
      <c r="AJ254" s="23"/>
      <c r="AK254" s="23"/>
      <c r="AL254" s="23"/>
    </row>
    <row r="255" spans="1:38" s="382" customFormat="1" ht="5.0999999999999996" customHeight="1" x14ac:dyDescent="0.2">
      <c r="A255" s="778"/>
      <c r="B255" s="1308"/>
      <c r="D255" s="9"/>
      <c r="E255" s="49"/>
      <c r="F255" s="49"/>
      <c r="G255" s="49"/>
      <c r="H255" s="49"/>
      <c r="I255" s="49"/>
      <c r="J255" s="49"/>
      <c r="K255" s="49"/>
      <c r="L255" s="49"/>
      <c r="M255" s="49"/>
      <c r="N255" s="49"/>
      <c r="O255" s="1309"/>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row>
    <row r="256" spans="1:38" s="382" customFormat="1" ht="12.75" customHeight="1" x14ac:dyDescent="0.2">
      <c r="A256" s="778"/>
      <c r="B256" s="1308"/>
      <c r="D256" s="402" t="s">
        <v>4</v>
      </c>
      <c r="E256" s="404" t="str">
        <f>Translations!$B$170</f>
        <v>Įrenginio pavadinimas</v>
      </c>
      <c r="F256" s="381"/>
      <c r="G256" s="381"/>
      <c r="H256" s="381"/>
      <c r="I256" s="1645"/>
      <c r="J256" s="1645"/>
      <c r="K256" s="1645"/>
      <c r="L256" s="1645"/>
      <c r="M256" s="1645"/>
      <c r="N256" s="1645"/>
      <c r="O256" s="1309"/>
      <c r="P256" s="23"/>
      <c r="Q256" s="1053" t="str">
        <f>IF(I259="","",C232 &amp; "_" &amp; EUconst_CNTR_CCSInstName &amp; I259)</f>
        <v/>
      </c>
      <c r="R256" s="23"/>
      <c r="S256" s="23"/>
      <c r="T256" s="23"/>
      <c r="U256" s="23"/>
      <c r="V256" s="23"/>
      <c r="W256" s="23"/>
      <c r="X256" s="23"/>
      <c r="Y256" s="23"/>
      <c r="Z256" s="23"/>
      <c r="AA256" s="23"/>
      <c r="AB256" s="23"/>
      <c r="AC256" s="23"/>
      <c r="AD256" s="23"/>
      <c r="AE256" s="23"/>
      <c r="AF256" s="23"/>
      <c r="AG256" s="23"/>
      <c r="AH256" s="23"/>
      <c r="AI256" s="23"/>
      <c r="AJ256" s="23"/>
      <c r="AK256" s="23"/>
      <c r="AL256" s="26" t="b">
        <f>OR(CNTR_MeasurementRelevant=EUconst_NotRelevant,AND(COUNTA(CNTR_ListRelevantSections)&gt;0,OR(G232="",V232=TRUE)))</f>
        <v>1</v>
      </c>
    </row>
    <row r="257" spans="1:38" s="382" customFormat="1" ht="12.75" customHeight="1" x14ac:dyDescent="0.2">
      <c r="A257" s="778"/>
      <c r="B257" s="1308"/>
      <c r="D257" s="402" t="s">
        <v>5</v>
      </c>
      <c r="E257" s="404" t="str">
        <f>Translations!$B$79</f>
        <v>Veiklos vykdytojo pavadinimas</v>
      </c>
      <c r="F257" s="381"/>
      <c r="G257" s="381"/>
      <c r="H257" s="381"/>
      <c r="I257" s="1645"/>
      <c r="J257" s="1645"/>
      <c r="K257" s="1645"/>
      <c r="L257" s="1645"/>
      <c r="M257" s="1645"/>
      <c r="N257" s="1645"/>
      <c r="O257" s="1309"/>
      <c r="P257" s="23"/>
      <c r="Q257" s="1053" t="str">
        <f>IF(I259="","",C232 &amp; "_" &amp; EUconst_CNTR_CCSOpName &amp; I259)</f>
        <v/>
      </c>
      <c r="R257" s="23"/>
      <c r="S257" s="23"/>
      <c r="T257" s="23"/>
      <c r="U257" s="23"/>
      <c r="V257" s="23"/>
      <c r="W257" s="23"/>
      <c r="X257" s="23"/>
      <c r="Y257" s="23"/>
      <c r="Z257" s="23"/>
      <c r="AA257" s="23"/>
      <c r="AB257" s="23"/>
      <c r="AC257" s="23"/>
      <c r="AD257" s="23"/>
      <c r="AE257" s="23"/>
      <c r="AF257" s="23"/>
      <c r="AG257" s="23"/>
      <c r="AH257" s="23"/>
      <c r="AI257" s="23"/>
      <c r="AJ257" s="23"/>
      <c r="AK257" s="23"/>
      <c r="AL257" s="26" t="b">
        <f>AL256</f>
        <v>1</v>
      </c>
    </row>
    <row r="258" spans="1:38" s="382" customFormat="1" ht="12.75" customHeight="1" x14ac:dyDescent="0.2">
      <c r="A258" s="778"/>
      <c r="B258" s="1308"/>
      <c r="D258" s="402" t="s">
        <v>194</v>
      </c>
      <c r="E258" s="404" t="str">
        <f>Translations!$B$171</f>
        <v>Įrenginio unikalus ID</v>
      </c>
      <c r="F258" s="381"/>
      <c r="G258" s="381"/>
      <c r="H258" s="381"/>
      <c r="I258" s="1645"/>
      <c r="J258" s="1645"/>
      <c r="K258" s="1645"/>
      <c r="L258" s="1645"/>
      <c r="M258" s="1645"/>
      <c r="N258" s="1645"/>
      <c r="O258" s="1309"/>
      <c r="P258" s="23"/>
      <c r="Q258" s="1053" t="str">
        <f>IF(I259="","",C232 &amp; "_" &amp; EUconst_CNTR_CCSInstID &amp; I259)</f>
        <v/>
      </c>
      <c r="R258" s="23" t="s">
        <v>537</v>
      </c>
      <c r="S258" s="23"/>
      <c r="T258" s="23"/>
      <c r="U258" s="23"/>
      <c r="V258" s="23"/>
      <c r="W258" s="23"/>
      <c r="X258" s="23"/>
      <c r="Y258" s="23"/>
      <c r="Z258" s="23"/>
      <c r="AA258" s="23"/>
      <c r="AB258" s="23"/>
      <c r="AC258" s="23"/>
      <c r="AD258" s="23"/>
      <c r="AE258" s="23"/>
      <c r="AF258" s="23"/>
      <c r="AG258" s="23"/>
      <c r="AH258" s="23"/>
      <c r="AI258" s="23"/>
      <c r="AJ258" s="23"/>
      <c r="AK258" s="23"/>
      <c r="AL258" s="26" t="b">
        <f>AL257</f>
        <v>1</v>
      </c>
    </row>
    <row r="259" spans="1:38" s="382" customFormat="1" ht="12.75" customHeight="1" x14ac:dyDescent="0.2">
      <c r="A259" s="778"/>
      <c r="B259" s="1308"/>
      <c r="D259" s="402" t="s">
        <v>195</v>
      </c>
      <c r="E259" s="404" t="str">
        <f>Translations!$B$169</f>
        <v>Perdavimo tipas</v>
      </c>
      <c r="F259" s="381"/>
      <c r="G259" s="381"/>
      <c r="H259" s="381"/>
      <c r="I259" s="1645"/>
      <c r="J259" s="1645"/>
      <c r="K259" s="1645"/>
      <c r="L259" s="1645"/>
      <c r="M259" s="1645"/>
      <c r="N259" s="1645"/>
      <c r="O259" s="1309"/>
      <c r="P259" s="23"/>
      <c r="Q259" s="23"/>
      <c r="R259" s="26" t="str">
        <f>IF(I259="","",I259=INDEX(EUconst_CO2TransferTypes,5))</f>
        <v/>
      </c>
      <c r="S259" s="43">
        <f>IF(AND(R259=TRUE,AL259=FALSE),-1,1)</f>
        <v>1</v>
      </c>
      <c r="T259" s="23"/>
      <c r="U259" s="23"/>
      <c r="V259" s="23"/>
      <c r="W259" s="23"/>
      <c r="X259" s="23"/>
      <c r="Y259" s="23"/>
      <c r="Z259" s="23"/>
      <c r="AA259" s="23"/>
      <c r="AB259" s="23"/>
      <c r="AC259" s="23"/>
      <c r="AD259" s="23"/>
      <c r="AE259" s="23"/>
      <c r="AF259" s="23"/>
      <c r="AG259" s="23"/>
      <c r="AH259" s="23"/>
      <c r="AI259" s="23"/>
      <c r="AJ259" s="23"/>
      <c r="AK259" s="23"/>
      <c r="AL259" s="26" t="b">
        <f>AL258</f>
        <v>1</v>
      </c>
    </row>
    <row r="260" spans="1:38" s="382" customFormat="1" ht="5.0999999999999996" customHeight="1" x14ac:dyDescent="0.2">
      <c r="A260" s="778"/>
      <c r="B260" s="1308"/>
      <c r="D260" s="9"/>
      <c r="E260" s="49"/>
      <c r="F260" s="49"/>
      <c r="G260" s="49"/>
      <c r="H260" s="49"/>
      <c r="I260" s="49"/>
      <c r="J260" s="49"/>
      <c r="K260" s="49"/>
      <c r="L260" s="49"/>
      <c r="M260" s="49"/>
      <c r="N260" s="49"/>
      <c r="O260" s="1309"/>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row>
    <row r="261" spans="1:38" s="382" customFormat="1" ht="5.0999999999999996" customHeight="1" x14ac:dyDescent="0.2">
      <c r="A261" s="778"/>
      <c r="B261" s="1308"/>
      <c r="D261" s="9"/>
      <c r="E261" s="49"/>
      <c r="F261" s="49"/>
      <c r="G261" s="49"/>
      <c r="H261" s="49"/>
      <c r="I261" s="49"/>
      <c r="J261" s="49"/>
      <c r="K261" s="49"/>
      <c r="L261" s="49"/>
      <c r="M261" s="49"/>
      <c r="N261" s="49"/>
      <c r="O261" s="1309"/>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row>
    <row r="262" spans="1:38" s="382" customFormat="1" ht="12.75" customHeight="1" x14ac:dyDescent="0.2">
      <c r="A262" s="778"/>
      <c r="B262" s="1308"/>
      <c r="E262" s="1652" t="str">
        <f>Translations!$B$701</f>
        <v>Pastabos (pvz., patvirtinamųjų skaičiavimų aprašas arba ar trūksta didelės duomenų dalies):</v>
      </c>
      <c r="F262" s="1652"/>
      <c r="G262" s="1652"/>
      <c r="H262" s="1652"/>
      <c r="I262" s="1652"/>
      <c r="J262" s="1652"/>
      <c r="K262" s="1652"/>
      <c r="L262" s="1652"/>
      <c r="M262" s="1652"/>
      <c r="N262" s="1652"/>
      <c r="O262" s="1309"/>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row>
    <row r="263" spans="1:38" s="382" customFormat="1" ht="12.75" customHeight="1" x14ac:dyDescent="0.2">
      <c r="A263" s="778"/>
      <c r="B263" s="1308"/>
      <c r="D263" s="10"/>
      <c r="E263" s="1646"/>
      <c r="F263" s="1647"/>
      <c r="G263" s="1647"/>
      <c r="H263" s="1647"/>
      <c r="I263" s="1647"/>
      <c r="J263" s="1647"/>
      <c r="K263" s="1647"/>
      <c r="L263" s="1647"/>
      <c r="M263" s="1647"/>
      <c r="N263" s="1648"/>
      <c r="O263" s="1309"/>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6" t="b">
        <f>D_MeasurementBasedApproaches!AL249</f>
        <v>1</v>
      </c>
    </row>
    <row r="264" spans="1:38" s="382" customFormat="1" ht="12.75" customHeight="1" x14ac:dyDescent="0.2">
      <c r="A264" s="778"/>
      <c r="B264" s="1308"/>
      <c r="D264" s="10"/>
      <c r="E264" s="1649"/>
      <c r="F264" s="1650"/>
      <c r="G264" s="1650"/>
      <c r="H264" s="1650"/>
      <c r="I264" s="1650"/>
      <c r="J264" s="1650"/>
      <c r="K264" s="1650"/>
      <c r="L264" s="1650"/>
      <c r="M264" s="1650"/>
      <c r="N264" s="1651"/>
      <c r="O264" s="1309"/>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6" t="b">
        <f>AL263</f>
        <v>1</v>
      </c>
    </row>
    <row r="265" spans="1:38" ht="12.75" customHeight="1" thickBot="1" x14ac:dyDescent="0.25">
      <c r="A265" s="741"/>
      <c r="B265" s="1254"/>
      <c r="C265" s="36"/>
      <c r="D265" s="37"/>
      <c r="E265" s="38"/>
      <c r="F265" s="36"/>
      <c r="G265" s="39"/>
      <c r="H265" s="39"/>
      <c r="I265" s="39"/>
      <c r="J265" s="39"/>
      <c r="K265" s="39"/>
      <c r="L265" s="39"/>
      <c r="M265" s="39"/>
      <c r="N265" s="39"/>
      <c r="O265" s="1255"/>
      <c r="P265" s="2"/>
      <c r="S265" s="229"/>
      <c r="AK265" s="23"/>
    </row>
    <row r="266" spans="1:38" ht="12.75" customHeight="1" thickBot="1" x14ac:dyDescent="0.25">
      <c r="A266" s="741"/>
      <c r="B266" s="1325"/>
      <c r="C266" s="200"/>
      <c r="D266" s="6"/>
      <c r="E266" s="239"/>
      <c r="F266" s="239"/>
      <c r="G266" s="239"/>
      <c r="H266" s="239"/>
      <c r="I266" s="239"/>
      <c r="J266" s="239"/>
      <c r="K266" s="239"/>
      <c r="L266" s="239"/>
      <c r="M266" s="5"/>
      <c r="N266" s="5"/>
      <c r="O266" s="1309"/>
      <c r="P266" s="2"/>
      <c r="Q266" s="23"/>
      <c r="R266" s="23"/>
      <c r="S266" s="23"/>
      <c r="V266" s="23"/>
      <c r="W266" s="23"/>
      <c r="X266" s="27" t="s">
        <v>486</v>
      </c>
      <c r="Y266" s="23"/>
      <c r="Z266" s="23"/>
      <c r="AA266" s="23"/>
      <c r="AB266" s="23"/>
      <c r="AC266" s="23"/>
      <c r="AD266" s="23"/>
      <c r="AE266" s="23"/>
      <c r="AF266" s="23"/>
      <c r="AG266" s="23"/>
      <c r="AH266" s="23"/>
      <c r="AI266" s="23"/>
      <c r="AJ266" s="23"/>
    </row>
    <row r="267" spans="1:38" s="140" customFormat="1" ht="15" customHeight="1" thickBot="1" x14ac:dyDescent="0.25">
      <c r="A267" s="742"/>
      <c r="B267" s="1248"/>
      <c r="C267" s="391">
        <f>C232+1</f>
        <v>8</v>
      </c>
      <c r="D267" s="392"/>
      <c r="E267" s="1623" t="str">
        <f>IF(ISBLANK(G267),"",IF(INDEX(B_InstallationDescription!$M$156:$M$165,MATCH(S267,B_InstallationDescription!$E$156:$E$165,0))&gt;0,INDEX(B_InstallationDescription!$M$156:$M$165,MATCH(S267,B_InstallationDescription!$E$156:$E$165,0)),""))</f>
        <v/>
      </c>
      <c r="F267" s="1624"/>
      <c r="G267" s="1610"/>
      <c r="H267" s="1611"/>
      <c r="I267" s="1611"/>
      <c r="J267" s="1612"/>
      <c r="M267" s="338" t="str">
        <f>Translations!$B$686</f>
        <v>Bendras deginant iškastinį kurą išmestas ŠESD kiekis:</v>
      </c>
      <c r="N267" s="1000" t="str">
        <f>IF(G267="","",M279*M283*M284*10^-3*(1-M281)*S294*R285)</f>
        <v/>
      </c>
      <c r="O267" s="1314" t="s">
        <v>257</v>
      </c>
      <c r="P267" s="2"/>
      <c r="Q267" s="343" t="str">
        <f>EUconst_SumCO2 &amp; "_" &amp;E267</f>
        <v>SUM_CO2_</v>
      </c>
      <c r="R267" s="27" t="str">
        <f>IF(ISBLANK(G267),"",MATCH(G267,CNTR_MeasurementPoints,0))</f>
        <v/>
      </c>
      <c r="S267" s="27" t="str">
        <f>IF(ISBLANK(G267),"",INDEX(B_InstallationDescription!$E$156:$E$165,MATCH(G267,CNTR_MeasurementPoints,0)))</f>
        <v/>
      </c>
      <c r="T267" s="1017" t="str">
        <f>IF(ISBLANK(G267),"",MATCH(E267,EUconst_CEMSType,0))</f>
        <v/>
      </c>
      <c r="U267" s="407" t="b">
        <f>E267=INDEX(EUconst_CEMSType,3)</f>
        <v>0</v>
      </c>
      <c r="V267" s="515" t="b">
        <f>OR(E267=INDEX(EUconst_CEMSType,1),E267=INDEX(EUconst_CEMSType,2))</f>
        <v>0</v>
      </c>
      <c r="W267" s="30"/>
      <c r="X267" s="887">
        <f>M279</f>
        <v>0</v>
      </c>
      <c r="Y267" s="846">
        <f>M281</f>
        <v>0</v>
      </c>
      <c r="Z267" s="846">
        <f>M282</f>
        <v>0</v>
      </c>
      <c r="AA267" s="846">
        <f>M283</f>
        <v>0</v>
      </c>
      <c r="AB267" s="846">
        <f>M284</f>
        <v>0</v>
      </c>
      <c r="AC267" s="846" t="str">
        <f>M285</f>
        <v/>
      </c>
      <c r="AD267" s="846" t="str">
        <f>M287</f>
        <v/>
      </c>
      <c r="AE267" s="846" t="str">
        <f>R285</f>
        <v/>
      </c>
      <c r="AF267" s="846" t="str">
        <f>N267</f>
        <v/>
      </c>
      <c r="AG267" s="846" t="str">
        <f>N268</f>
        <v/>
      </c>
      <c r="AH267" s="846" t="str">
        <f>R269</f>
        <v/>
      </c>
      <c r="AI267" s="846">
        <f>R270</f>
        <v>0</v>
      </c>
      <c r="AJ267" s="846">
        <f>R271</f>
        <v>0</v>
      </c>
      <c r="AK267" s="30"/>
      <c r="AL267" s="32" t="b">
        <f>CNTR_MeasurementRelevant=EUconst_NotRelevant</f>
        <v>1</v>
      </c>
    </row>
    <row r="268" spans="1:38" s="382" customFormat="1" ht="15" customHeight="1" thickBot="1" x14ac:dyDescent="0.25">
      <c r="A268" s="741"/>
      <c r="B268" s="1280"/>
      <c r="C268" s="5"/>
      <c r="I268" s="24"/>
      <c r="J268" s="5"/>
      <c r="K268" s="5"/>
      <c r="L268" s="5"/>
      <c r="M268" s="337" t="str">
        <f>Translations!$B$687</f>
        <v>Bendras deginant biomasę išmestas ŠESD kiekis:</v>
      </c>
      <c r="N268" s="999" t="str">
        <f>IF(G267="","",M279*M283*M284*10^-3*(M281)*S294*R285)</f>
        <v/>
      </c>
      <c r="O268" s="1315" t="s">
        <v>257</v>
      </c>
      <c r="P268" s="2"/>
      <c r="Q268" s="344" t="str">
        <f>EUconst_SumBioCO2 &amp; "_" &amp; E267</f>
        <v>SUM_bioCO2_</v>
      </c>
      <c r="R268" s="23"/>
      <c r="S268" s="23"/>
      <c r="T268" s="23"/>
      <c r="U268" s="23"/>
      <c r="V268" s="23"/>
      <c r="W268" s="23"/>
      <c r="X268" s="833" t="s">
        <v>500</v>
      </c>
      <c r="Y268" s="833" t="s">
        <v>215</v>
      </c>
      <c r="Z268" s="833" t="s">
        <v>494</v>
      </c>
      <c r="AA268" s="833" t="s">
        <v>501</v>
      </c>
      <c r="AB268" s="833" t="s">
        <v>502</v>
      </c>
      <c r="AC268" s="833" t="s">
        <v>503</v>
      </c>
      <c r="AD268" s="833" t="s">
        <v>504</v>
      </c>
      <c r="AE268" s="833" t="s">
        <v>386</v>
      </c>
      <c r="AF268" s="833" t="s">
        <v>287</v>
      </c>
      <c r="AG268" s="833" t="s">
        <v>495</v>
      </c>
      <c r="AH268" s="833" t="s">
        <v>498</v>
      </c>
      <c r="AI268" s="833" t="s">
        <v>496</v>
      </c>
      <c r="AJ268" s="833" t="s">
        <v>497</v>
      </c>
      <c r="AK268" s="23"/>
      <c r="AL268" s="23"/>
    </row>
    <row r="269" spans="1:38" ht="13.5" thickBot="1" x14ac:dyDescent="0.25">
      <c r="A269" s="741"/>
      <c r="B269" s="1326"/>
      <c r="C269" s="798"/>
      <c r="D269" s="799"/>
      <c r="E269" s="797"/>
      <c r="F269" s="797"/>
      <c r="G269" s="797"/>
      <c r="H269" s="797"/>
      <c r="I269" s="797"/>
      <c r="J269" s="797"/>
      <c r="K269" s="797"/>
      <c r="L269" s="797"/>
      <c r="M269" s="797"/>
      <c r="N269" s="797"/>
      <c r="O269" s="1255"/>
      <c r="P269" s="2"/>
      <c r="Q269" s="343" t="str">
        <f>EUconst_SumNonSustBioCO2 &amp; "_" &amp; K266</f>
        <v>SUM_bioNonSustCO2_</v>
      </c>
      <c r="R269" s="698" t="str">
        <f>IF(G267="","",ROUND(M279*M283*M284*10^-3*(1-M281)*M282*S294*R285,0))</f>
        <v/>
      </c>
      <c r="Y269" s="23"/>
      <c r="Z269" s="23"/>
      <c r="AA269" s="23"/>
      <c r="AB269" s="23"/>
      <c r="AC269" s="23"/>
      <c r="AD269" s="23"/>
      <c r="AE269" s="23"/>
      <c r="AF269" s="23"/>
      <c r="AG269" s="23"/>
      <c r="AH269" s="23"/>
      <c r="AI269" s="23"/>
      <c r="AJ269" s="23"/>
      <c r="AK269" s="23"/>
      <c r="AL269" s="23"/>
    </row>
    <row r="270" spans="1:38" ht="13.5" thickBot="1" x14ac:dyDescent="0.25">
      <c r="A270" s="741"/>
      <c r="B270" s="1326"/>
      <c r="C270" s="798"/>
      <c r="D270" s="799"/>
      <c r="E270" s="797"/>
      <c r="F270" s="797"/>
      <c r="G270" s="797"/>
      <c r="H270" s="797"/>
      <c r="I270" s="797"/>
      <c r="J270" s="797"/>
      <c r="K270" s="797"/>
      <c r="L270" s="797"/>
      <c r="M270" s="494" t="str">
        <f>Translations!$B$688</f>
        <v>Bendra iškastinio kuro energetinė vertė:</v>
      </c>
      <c r="N270" s="1043"/>
      <c r="O270" s="1327" t="s">
        <v>279</v>
      </c>
      <c r="P270" s="2"/>
      <c r="Q270" s="343" t="str">
        <f>EUconst_SumEnergyIN &amp; "_" &amp; K266</f>
        <v>SUM_EnergyIN_</v>
      </c>
      <c r="R270" s="698">
        <f>N270</f>
        <v>0</v>
      </c>
      <c r="Y270" s="23"/>
      <c r="Z270" s="23"/>
      <c r="AA270" s="23"/>
      <c r="AB270" s="23"/>
      <c r="AC270" s="23"/>
      <c r="AD270" s="23"/>
      <c r="AE270" s="23"/>
      <c r="AF270" s="23"/>
      <c r="AG270" s="23"/>
      <c r="AH270" s="23"/>
      <c r="AI270" s="23"/>
      <c r="AJ270" s="23"/>
      <c r="AK270" s="23"/>
      <c r="AL270" s="32" t="b">
        <f>AL275</f>
        <v>1</v>
      </c>
    </row>
    <row r="271" spans="1:38" ht="13.5" thickBot="1" x14ac:dyDescent="0.25">
      <c r="A271" s="741"/>
      <c r="B271" s="1326"/>
      <c r="C271" s="798"/>
      <c r="D271" s="799"/>
      <c r="E271" s="797"/>
      <c r="F271" s="797"/>
      <c r="G271" s="797"/>
      <c r="H271" s="797"/>
      <c r="I271" s="797"/>
      <c r="J271" s="797"/>
      <c r="K271" s="797"/>
      <c r="L271" s="797"/>
      <c r="M271" s="337" t="str">
        <f>Translations!$B$689</f>
        <v>Bendra biomasės energetinė vertė:</v>
      </c>
      <c r="N271" s="1044"/>
      <c r="O271" s="1328" t="s">
        <v>279</v>
      </c>
      <c r="P271" s="2"/>
      <c r="Q271" s="343" t="str">
        <f>EUconst_SumBioEnergyIN &amp; "_" &amp; K266</f>
        <v>SUM_BioEnergyIN_</v>
      </c>
      <c r="R271" s="698">
        <f>N271</f>
        <v>0</v>
      </c>
      <c r="Y271" s="23"/>
      <c r="Z271" s="23"/>
      <c r="AA271" s="23"/>
      <c r="AB271" s="23"/>
      <c r="AC271" s="23"/>
      <c r="AD271" s="23"/>
      <c r="AE271" s="23"/>
      <c r="AF271" s="23"/>
      <c r="AG271" s="23"/>
      <c r="AH271" s="23"/>
      <c r="AI271" s="23"/>
      <c r="AJ271" s="23"/>
      <c r="AK271" s="23"/>
      <c r="AL271" s="32" t="b">
        <f>AL270</f>
        <v>1</v>
      </c>
    </row>
    <row r="272" spans="1:38" s="382" customFormat="1" ht="5.0999999999999996" customHeight="1" x14ac:dyDescent="0.2">
      <c r="A272" s="778"/>
      <c r="B272" s="1308"/>
      <c r="D272" s="151"/>
      <c r="K272" s="12"/>
      <c r="L272" s="12"/>
      <c r="M272" s="12"/>
      <c r="N272" s="12"/>
      <c r="O272" s="1329"/>
      <c r="P272" s="2"/>
      <c r="Q272" s="23"/>
      <c r="R272" s="23"/>
      <c r="S272" s="23"/>
      <c r="T272" s="23"/>
      <c r="U272" s="23"/>
      <c r="V272" s="23"/>
      <c r="W272" s="23"/>
      <c r="X272" s="23"/>
      <c r="Y272" s="23"/>
      <c r="Z272" s="23"/>
      <c r="AA272" s="23"/>
      <c r="AB272" s="23"/>
      <c r="AC272" s="23"/>
      <c r="AD272" s="23"/>
      <c r="AE272" s="23"/>
      <c r="AF272" s="23"/>
      <c r="AG272" s="23"/>
      <c r="AH272" s="23"/>
      <c r="AI272" s="23"/>
      <c r="AJ272" s="23"/>
      <c r="AK272" s="23"/>
      <c r="AL272" s="23"/>
    </row>
    <row r="273" spans="1:38" s="382" customFormat="1" ht="12.75" customHeight="1" x14ac:dyDescent="0.2">
      <c r="A273" s="778"/>
      <c r="B273" s="1308"/>
      <c r="D273" s="9" t="s">
        <v>1</v>
      </c>
      <c r="E273" s="1395" t="str">
        <f>Translations!$B$690</f>
        <v>Skaičiavimai</v>
      </c>
      <c r="F273" s="1395"/>
      <c r="G273" s="1395"/>
      <c r="H273" s="1395"/>
      <c r="I273" s="1395"/>
      <c r="J273" s="1395"/>
      <c r="K273" s="1395"/>
      <c r="L273" s="1395"/>
      <c r="M273" s="1395"/>
      <c r="N273" s="1395"/>
      <c r="O273" s="1329"/>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row>
    <row r="274" spans="1:38" s="382" customFormat="1" ht="5.0999999999999996" customHeight="1" thickBot="1" x14ac:dyDescent="0.25">
      <c r="A274" s="778"/>
      <c r="B274" s="1308"/>
      <c r="D274" s="151"/>
      <c r="K274" s="12"/>
      <c r="L274" s="12"/>
      <c r="M274" s="12"/>
      <c r="N274" s="12"/>
      <c r="O274" s="1329"/>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row>
    <row r="275" spans="1:38" s="382" customFormat="1" ht="12.75" customHeight="1" thickBot="1" x14ac:dyDescent="0.25">
      <c r="A275" s="778"/>
      <c r="B275" s="1308"/>
      <c r="D275" s="9"/>
      <c r="E275" s="399" t="str">
        <f>Translations!$B$691</f>
        <v>Informacija apie susijusius sukėliklius, jeigu taikytina:</v>
      </c>
      <c r="F275" s="399"/>
      <c r="G275" s="399"/>
      <c r="H275" s="399"/>
      <c r="I275" s="399"/>
      <c r="J275" s="1653" t="str">
        <f>Translations!$B$692</f>
        <v>Patvirtinamųjų skaičiavimų rezultatas (iškastinis kuras):</v>
      </c>
      <c r="K275" s="1653"/>
      <c r="L275" s="1653"/>
      <c r="M275" s="1653"/>
      <c r="N275" s="1194"/>
      <c r="O275" s="1309"/>
      <c r="P275" s="23"/>
      <c r="Q275" s="23"/>
      <c r="R275" s="23"/>
      <c r="S275" s="23"/>
      <c r="T275" s="23"/>
      <c r="U275" s="23"/>
      <c r="V275" s="23"/>
      <c r="W275" s="23"/>
      <c r="X275" s="23"/>
      <c r="Y275" s="23"/>
      <c r="Z275" s="23"/>
      <c r="AA275" s="23"/>
      <c r="AB275" s="23"/>
      <c r="AC275" s="23"/>
      <c r="AD275" s="23"/>
      <c r="AE275" s="23"/>
      <c r="AF275" s="23"/>
      <c r="AG275" s="23"/>
      <c r="AH275" s="23"/>
      <c r="AI275" s="23"/>
      <c r="AJ275" s="23"/>
      <c r="AK275" s="26" t="b">
        <f>IF(E267="",FALSE,MATCH(E267,EUconst_CEMSType,0)=2)</f>
        <v>0</v>
      </c>
      <c r="AL275" s="26" t="b">
        <f>OR(CNTR_MeasurementRelevant=EUconst_NotRelevant,AND(COUNTA(CNTR_ListRelevantSections)&gt;0,G267=""))</f>
        <v>1</v>
      </c>
    </row>
    <row r="276" spans="1:38" s="382" customFormat="1" x14ac:dyDescent="0.2">
      <c r="A276" s="778"/>
      <c r="B276" s="1308"/>
      <c r="D276" s="9"/>
      <c r="E276" s="1654"/>
      <c r="F276" s="1655"/>
      <c r="G276" s="1655"/>
      <c r="H276" s="1655"/>
      <c r="I276" s="1656"/>
      <c r="J276" s="1653" t="str">
        <f>Translations!$B$693</f>
        <v>Patvirtinamųjų skaičiavimų rezultatas (biomasė):</v>
      </c>
      <c r="K276" s="1653"/>
      <c r="L276" s="1653"/>
      <c r="M276" s="1653"/>
      <c r="N276" s="1195"/>
      <c r="O276" s="1309"/>
      <c r="P276" s="681"/>
      <c r="Q276" s="23"/>
      <c r="R276" s="23"/>
      <c r="S276" s="23"/>
      <c r="T276" s="23"/>
      <c r="U276" s="23"/>
      <c r="V276" s="23"/>
      <c r="W276" s="23"/>
      <c r="X276" s="23"/>
      <c r="Y276" s="23"/>
      <c r="Z276" s="23"/>
      <c r="AA276" s="23"/>
      <c r="AB276" s="23"/>
      <c r="AC276" s="23"/>
      <c r="AD276" s="23"/>
      <c r="AE276" s="23"/>
      <c r="AF276" s="23"/>
      <c r="AG276" s="23"/>
      <c r="AH276" s="23"/>
      <c r="AI276" s="23"/>
      <c r="AJ276" s="23"/>
      <c r="AK276" s="26" t="b">
        <f>AK275</f>
        <v>0</v>
      </c>
      <c r="AL276" s="26" t="b">
        <f>AL275</f>
        <v>1</v>
      </c>
    </row>
    <row r="277" spans="1:38" s="382" customFormat="1" ht="5.0999999999999996" customHeight="1" x14ac:dyDescent="0.2">
      <c r="A277" s="778"/>
      <c r="B277" s="1308"/>
      <c r="D277" s="9"/>
      <c r="E277" s="49"/>
      <c r="F277" s="49"/>
      <c r="G277" s="49"/>
      <c r="H277" s="49"/>
      <c r="I277" s="49"/>
      <c r="J277" s="49"/>
      <c r="K277" s="49"/>
      <c r="L277" s="49"/>
      <c r="M277" s="49"/>
      <c r="N277" s="49"/>
      <c r="O277" s="1309"/>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row>
    <row r="278" spans="1:38" s="382" customFormat="1" ht="12.75" customHeight="1" thickBot="1" x14ac:dyDescent="0.25">
      <c r="A278" s="778"/>
      <c r="B278" s="1308"/>
      <c r="I278" s="49"/>
      <c r="J278" s="49"/>
      <c r="K278" s="49"/>
      <c r="L278" s="793" t="str">
        <f>EUconst_Unit</f>
        <v>Vienetas</v>
      </c>
      <c r="M278" s="793"/>
      <c r="O278" s="1309"/>
      <c r="P278" s="681"/>
      <c r="Q278" s="23"/>
      <c r="R278" s="23"/>
      <c r="S278" s="23"/>
      <c r="T278" s="23"/>
      <c r="U278" s="23"/>
      <c r="V278" s="23"/>
      <c r="W278" s="23"/>
      <c r="X278" s="23"/>
      <c r="Y278" s="23"/>
      <c r="Z278" s="23"/>
      <c r="AA278" s="23"/>
      <c r="AB278" s="23"/>
      <c r="AC278" s="23"/>
      <c r="AD278" s="23"/>
      <c r="AE278" s="23"/>
      <c r="AF278" s="23"/>
      <c r="AG278" s="23"/>
      <c r="AH278" s="23"/>
      <c r="AI278" s="23"/>
      <c r="AJ278" s="23"/>
      <c r="AK278" s="23"/>
      <c r="AL278" s="23"/>
    </row>
    <row r="279" spans="1:38" s="382" customFormat="1" ht="12.75" customHeight="1" thickBot="1" x14ac:dyDescent="0.25">
      <c r="A279" s="778"/>
      <c r="B279" s="1308"/>
      <c r="E279" s="21" t="str">
        <f>Translations!$B$162</f>
        <v>Naudojama pakopa.</v>
      </c>
      <c r="F279" s="393"/>
      <c r="G279" s="402" t="s">
        <v>4</v>
      </c>
      <c r="H279" s="395" t="str">
        <f>Translations!$B$694</f>
        <v>ŠESD koncentracija (metinis valandinis vidurkis):</v>
      </c>
      <c r="I279" s="381"/>
      <c r="J279" s="381"/>
      <c r="K279" s="381"/>
      <c r="L279" s="678" t="str">
        <f>EUconst_gpNm3</f>
        <v>g/Nm3</v>
      </c>
      <c r="M279" s="1198"/>
      <c r="O279" s="1309"/>
      <c r="P279" s="23"/>
      <c r="Q279" s="2"/>
      <c r="R279" s="23"/>
      <c r="S279" s="23"/>
      <c r="T279" s="23"/>
      <c r="U279" s="23"/>
      <c r="V279" s="23"/>
      <c r="W279" s="23"/>
      <c r="X279" s="23"/>
      <c r="Y279" s="23"/>
      <c r="Z279" s="23"/>
      <c r="AA279" s="23"/>
      <c r="AB279" s="23"/>
      <c r="AC279" s="23"/>
      <c r="AD279" s="23"/>
      <c r="AE279" s="23"/>
      <c r="AF279" s="23"/>
      <c r="AG279" s="23"/>
      <c r="AH279" s="23"/>
      <c r="AI279" s="23"/>
      <c r="AJ279" s="23"/>
      <c r="AK279" s="23"/>
      <c r="AL279" s="26" t="b">
        <f>AL276</f>
        <v>1</v>
      </c>
    </row>
    <row r="280" spans="1:38" s="382" customFormat="1" ht="12.75" customHeight="1" thickBot="1" x14ac:dyDescent="0.25">
      <c r="A280" s="778"/>
      <c r="B280" s="1308"/>
      <c r="F280" s="472" t="str">
        <f>IF(OR(ISBLANK(F279),F279=EUconst_NoTier),"",IF(R281=EUconst_NA,EUconst_NA,IF(ISERROR(R281),"",R281)))</f>
        <v/>
      </c>
      <c r="G280" s="402"/>
      <c r="H280" s="395"/>
      <c r="I280" s="381"/>
      <c r="J280" s="381"/>
      <c r="K280" s="381"/>
      <c r="M280" s="151"/>
      <c r="O280" s="1309"/>
      <c r="P280" s="23"/>
      <c r="Q280" s="2"/>
      <c r="R280" s="684" t="s">
        <v>538</v>
      </c>
      <c r="S280" s="23"/>
      <c r="T280" s="23"/>
      <c r="U280" s="23"/>
      <c r="V280" s="23"/>
      <c r="W280" s="23"/>
      <c r="X280" s="23"/>
      <c r="Y280" s="23"/>
      <c r="Z280" s="23"/>
      <c r="AA280" s="23"/>
      <c r="AB280" s="23"/>
      <c r="AC280" s="23"/>
      <c r="AD280" s="23"/>
      <c r="AE280" s="23"/>
      <c r="AF280" s="23"/>
      <c r="AG280" s="23"/>
      <c r="AH280" s="23"/>
      <c r="AI280" s="23"/>
      <c r="AJ280" s="23"/>
      <c r="AK280" s="23"/>
      <c r="AL280" s="23"/>
    </row>
    <row r="281" spans="1:38" s="382" customFormat="1" ht="12.75" customHeight="1" x14ac:dyDescent="0.2">
      <c r="A281" s="778"/>
      <c r="B281" s="1308"/>
      <c r="D281" s="200"/>
      <c r="G281" s="402" t="s">
        <v>5</v>
      </c>
      <c r="H281" s="395" t="str">
        <f>Translations!$B$682</f>
        <v>Biomasės dalis:</v>
      </c>
      <c r="I281" s="290"/>
      <c r="J281" s="290"/>
      <c r="K281" s="290"/>
      <c r="L281" s="806" t="s">
        <v>258</v>
      </c>
      <c r="M281" s="807"/>
      <c r="O281" s="1309"/>
      <c r="P281" s="23"/>
      <c r="Q281" s="2"/>
      <c r="R281" s="43" t="str">
        <f>IF(F279="","",IF(F279=EUconst_NA,"",INDEX(EUwideConstants!$H$689:$M$691,MATCH(E267,EUwideConstants!$B$689:$B$691,0),MATCH(F279,CNTR_TierList,0))))</f>
        <v/>
      </c>
      <c r="S281" s="23"/>
      <c r="T281" s="23"/>
      <c r="U281" s="23"/>
      <c r="V281" s="23"/>
      <c r="W281" s="23"/>
      <c r="X281" s="23"/>
      <c r="Y281" s="23"/>
      <c r="Z281" s="23"/>
      <c r="AA281" s="23"/>
      <c r="AB281" s="23"/>
      <c r="AC281" s="23"/>
      <c r="AD281" s="23"/>
      <c r="AE281" s="23"/>
      <c r="AF281" s="23"/>
      <c r="AG281" s="23"/>
      <c r="AH281" s="23"/>
      <c r="AI281" s="23"/>
      <c r="AJ281" s="23"/>
      <c r="AK281" s="23"/>
      <c r="AL281" s="26" t="b">
        <f>AL279</f>
        <v>1</v>
      </c>
    </row>
    <row r="282" spans="1:38" s="382" customFormat="1" ht="12.75" customHeight="1" thickBot="1" x14ac:dyDescent="0.25">
      <c r="A282" s="778"/>
      <c r="B282" s="1308"/>
      <c r="D282" s="200"/>
      <c r="G282" s="402" t="s">
        <v>194</v>
      </c>
      <c r="H282" s="884" t="str">
        <f>Translations!$B$683</f>
        <v>netvarios biomasės dalis:</v>
      </c>
      <c r="I282" s="292"/>
      <c r="J282" s="292"/>
      <c r="K282" s="292"/>
      <c r="L282" s="885" t="s">
        <v>258</v>
      </c>
      <c r="M282" s="886"/>
      <c r="O282" s="1309"/>
      <c r="P282" s="23"/>
      <c r="Q282" s="2"/>
      <c r="R282" s="684"/>
      <c r="S282" s="23"/>
      <c r="T282" s="23"/>
      <c r="U282" s="23"/>
      <c r="V282" s="23"/>
      <c r="W282" s="23"/>
      <c r="X282" s="23"/>
      <c r="Y282" s="23"/>
      <c r="Z282" s="23"/>
      <c r="AA282" s="23"/>
      <c r="AB282" s="23"/>
      <c r="AC282" s="23"/>
      <c r="AD282" s="23"/>
      <c r="AE282" s="23"/>
      <c r="AF282" s="23"/>
      <c r="AG282" s="23"/>
      <c r="AH282" s="23"/>
      <c r="AI282" s="23"/>
      <c r="AJ282" s="23"/>
      <c r="AK282" s="23"/>
      <c r="AL282" s="26" t="b">
        <f>AL281</f>
        <v>1</v>
      </c>
    </row>
    <row r="283" spans="1:38" s="382" customFormat="1" ht="12.75" customHeight="1" x14ac:dyDescent="0.2">
      <c r="A283" s="778"/>
      <c r="B283" s="1308"/>
      <c r="E283" s="22" t="str">
        <f>Translations!$B$684</f>
        <v>VAP:</v>
      </c>
      <c r="F283" s="682" t="str">
        <f>IF(OR(G267="",F284&lt;&gt;""),"",IF(T267=2,298,1))</f>
        <v/>
      </c>
      <c r="G283" s="402" t="s">
        <v>195</v>
      </c>
      <c r="H283" s="397" t="str">
        <f>Translations!$B$695</f>
        <v>Veikimo valandos:</v>
      </c>
      <c r="I283" s="398"/>
      <c r="J283" s="398"/>
      <c r="K283" s="398"/>
      <c r="L283" s="679" t="str">
        <f>EUconst_hpa</f>
        <v>val./metai</v>
      </c>
      <c r="M283" s="811"/>
      <c r="O283" s="1309"/>
      <c r="P283" s="23"/>
      <c r="Q283" s="2"/>
      <c r="R283" s="23"/>
      <c r="S283" s="23"/>
      <c r="T283" s="23"/>
      <c r="U283" s="23"/>
      <c r="V283" s="23"/>
      <c r="W283" s="23"/>
      <c r="X283" s="23"/>
      <c r="Y283" s="23"/>
      <c r="Z283" s="23"/>
      <c r="AA283" s="23"/>
      <c r="AB283" s="23"/>
      <c r="AC283" s="23"/>
      <c r="AD283" s="23"/>
      <c r="AE283" s="23"/>
      <c r="AF283" s="23"/>
      <c r="AG283" s="23"/>
      <c r="AH283" s="23"/>
      <c r="AI283" s="23"/>
      <c r="AJ283" s="23"/>
      <c r="AK283" s="23"/>
      <c r="AL283" s="26" t="b">
        <f>AL281</f>
        <v>1</v>
      </c>
    </row>
    <row r="284" spans="1:38" s="382" customFormat="1" ht="12.75" customHeight="1" thickBot="1" x14ac:dyDescent="0.25">
      <c r="A284" s="778"/>
      <c r="B284" s="1308"/>
      <c r="D284" s="794"/>
      <c r="E284" s="687" t="str">
        <f>Translations!$B$696</f>
        <v>(CO2(e) tonos / ŠESD tonos)</v>
      </c>
      <c r="F284" s="683"/>
      <c r="G284" s="402" t="s">
        <v>196</v>
      </c>
      <c r="H284" s="396" t="str">
        <f>Translations!$B$697</f>
        <v>Kaminų dujų srautas (metinis valandinis vidurkis):</v>
      </c>
      <c r="I284" s="291"/>
      <c r="J284" s="291"/>
      <c r="K284" s="291"/>
      <c r="L284" s="680" t="str">
        <f>EUconst_Nm3ph</f>
        <v>1 000 Nm3/h</v>
      </c>
      <c r="M284" s="808"/>
      <c r="O284" s="1309"/>
      <c r="P284" s="23"/>
      <c r="Q284" s="2"/>
      <c r="R284" s="13" t="s">
        <v>386</v>
      </c>
      <c r="S284" s="23"/>
      <c r="T284" s="23"/>
      <c r="U284" s="23"/>
      <c r="V284" s="23"/>
      <c r="W284" s="23"/>
      <c r="X284" s="23"/>
      <c r="Y284" s="23"/>
      <c r="Z284" s="23"/>
      <c r="AA284" s="23"/>
      <c r="AB284" s="23"/>
      <c r="AC284" s="23"/>
      <c r="AD284" s="23"/>
      <c r="AE284" s="23"/>
      <c r="AF284" s="23"/>
      <c r="AG284" s="23"/>
      <c r="AH284" s="23"/>
      <c r="AI284" s="23"/>
      <c r="AJ284" s="23"/>
      <c r="AK284" s="23"/>
      <c r="AL284" s="26" t="b">
        <f>AL283</f>
        <v>1</v>
      </c>
    </row>
    <row r="285" spans="1:38" s="382" customFormat="1" ht="12.75" customHeight="1" thickBot="1" x14ac:dyDescent="0.25">
      <c r="A285" s="778"/>
      <c r="B285" s="1308"/>
      <c r="D285" s="794"/>
      <c r="G285" s="687" t="s">
        <v>197</v>
      </c>
      <c r="H285" s="395" t="str">
        <f>Translations!$B$698</f>
        <v>Kaminų dujų srautas (bendras metinis kiekis):</v>
      </c>
      <c r="I285" s="290"/>
      <c r="J285" s="290"/>
      <c r="K285" s="290"/>
      <c r="L285" s="678" t="str">
        <f>EUconst_kNm3pa</f>
        <v>1 000 Nm3/m.</v>
      </c>
      <c r="M285" s="809" t="str">
        <f>IF(COUNT(M283,M284)=2,M283*M284,"")</f>
        <v/>
      </c>
      <c r="O285" s="1309"/>
      <c r="P285" s="23"/>
      <c r="Q285" s="23"/>
      <c r="R285" s="43" t="str">
        <f>IF(F284="",F283,F284)</f>
        <v/>
      </c>
      <c r="S285" s="23"/>
      <c r="T285" s="23"/>
      <c r="U285" s="23"/>
      <c r="V285" s="23"/>
      <c r="W285" s="23"/>
      <c r="X285" s="23"/>
      <c r="Y285" s="23"/>
      <c r="Z285" s="23"/>
      <c r="AA285" s="23"/>
      <c r="AB285" s="23"/>
      <c r="AC285" s="23"/>
      <c r="AD285" s="23"/>
      <c r="AE285" s="23"/>
      <c r="AF285" s="23"/>
      <c r="AG285" s="23"/>
      <c r="AH285" s="23"/>
      <c r="AI285" s="23"/>
      <c r="AJ285" s="23"/>
      <c r="AK285" s="23"/>
      <c r="AL285" s="23"/>
    </row>
    <row r="286" spans="1:38" s="382" customFormat="1" ht="5.0999999999999996" customHeight="1" thickBot="1" x14ac:dyDescent="0.25">
      <c r="A286" s="778"/>
      <c r="B286" s="1308"/>
      <c r="D286" s="794"/>
      <c r="E286" s="200"/>
      <c r="F286" s="200"/>
      <c r="G286" s="200"/>
      <c r="H286" s="200"/>
      <c r="I286" s="200"/>
      <c r="J286" s="200"/>
      <c r="K286" s="200"/>
      <c r="L286" s="200"/>
      <c r="M286" s="6"/>
      <c r="O286" s="1309"/>
      <c r="P286" s="23"/>
      <c r="Q286" s="23"/>
      <c r="R286" s="684"/>
      <c r="S286" s="23"/>
      <c r="T286" s="23"/>
      <c r="U286" s="23"/>
      <c r="V286" s="23"/>
      <c r="W286" s="23"/>
      <c r="X286" s="23"/>
      <c r="Y286" s="23"/>
      <c r="Z286" s="23"/>
      <c r="AA286" s="23"/>
      <c r="AB286" s="23"/>
      <c r="AC286" s="23"/>
      <c r="AD286" s="23"/>
      <c r="AE286" s="23"/>
      <c r="AF286" s="23"/>
      <c r="AG286" s="23"/>
      <c r="AH286" s="23"/>
      <c r="AI286" s="23"/>
      <c r="AJ286" s="23"/>
      <c r="AK286" s="23"/>
      <c r="AL286" s="23"/>
    </row>
    <row r="287" spans="1:38" s="382" customFormat="1" ht="12.75" customHeight="1" thickBot="1" x14ac:dyDescent="0.25">
      <c r="A287" s="778"/>
      <c r="B287" s="1308"/>
      <c r="D287" s="794"/>
      <c r="E287" s="200"/>
      <c r="F287" s="200"/>
      <c r="G287" s="687" t="s">
        <v>198</v>
      </c>
      <c r="H287" s="395" t="str">
        <f>Translations!$B$699</f>
        <v>Metinis deginant iškastinį kurą išmestas ŠESD kiekis</v>
      </c>
      <c r="I287" s="290"/>
      <c r="J287" s="290"/>
      <c r="K287" s="290"/>
      <c r="L287" s="678" t="str">
        <f>EUconst_t</f>
        <v>t</v>
      </c>
      <c r="M287" s="810" t="str">
        <f>IF(G267="","",ROUND(M279*M283*M284*10^-3*(1-M281),0))</f>
        <v/>
      </c>
      <c r="O287" s="1309"/>
      <c r="P287" s="23"/>
      <c r="Q287" s="23"/>
      <c r="R287" s="684"/>
      <c r="S287" s="23"/>
      <c r="T287" s="23"/>
      <c r="U287" s="23"/>
      <c r="V287" s="23"/>
      <c r="W287" s="23"/>
      <c r="X287" s="23"/>
      <c r="Y287" s="23"/>
      <c r="Z287" s="23"/>
      <c r="AA287" s="23"/>
      <c r="AB287" s="23"/>
      <c r="AC287" s="23"/>
      <c r="AD287" s="23"/>
      <c r="AE287" s="23"/>
      <c r="AF287" s="23"/>
      <c r="AG287" s="23"/>
      <c r="AH287" s="23"/>
      <c r="AI287" s="23"/>
      <c r="AJ287" s="23"/>
      <c r="AK287" s="23"/>
      <c r="AL287" s="23"/>
    </row>
    <row r="288" spans="1:38" s="382" customFormat="1" ht="5.0999999999999996" customHeight="1" x14ac:dyDescent="0.2">
      <c r="A288" s="778"/>
      <c r="B288" s="1308"/>
      <c r="D288" s="794"/>
      <c r="E288" s="200"/>
      <c r="F288" s="200"/>
      <c r="G288" s="200"/>
      <c r="H288" s="200"/>
      <c r="I288" s="200"/>
      <c r="J288" s="200"/>
      <c r="K288" s="200"/>
      <c r="L288" s="200"/>
      <c r="M288" s="200"/>
      <c r="N288" s="200"/>
      <c r="O288" s="1309"/>
      <c r="P288" s="23"/>
      <c r="Q288" s="23"/>
      <c r="R288" s="684"/>
      <c r="S288" s="23"/>
      <c r="T288" s="23"/>
      <c r="U288" s="23"/>
      <c r="V288" s="23"/>
      <c r="W288" s="23"/>
      <c r="X288" s="23"/>
      <c r="Y288" s="23"/>
      <c r="Z288" s="23"/>
      <c r="AA288" s="23"/>
      <c r="AB288" s="23"/>
      <c r="AC288" s="23"/>
      <c r="AD288" s="23"/>
      <c r="AE288" s="23"/>
      <c r="AF288" s="23"/>
      <c r="AG288" s="23"/>
      <c r="AH288" s="23"/>
      <c r="AI288" s="23"/>
      <c r="AJ288" s="23"/>
      <c r="AK288" s="23"/>
      <c r="AL288" s="23"/>
    </row>
    <row r="289" spans="1:38" s="382" customFormat="1" ht="12.75" customHeight="1" x14ac:dyDescent="0.2">
      <c r="A289" s="778"/>
      <c r="B289" s="1308"/>
      <c r="D289" s="9" t="s">
        <v>2</v>
      </c>
      <c r="E289" s="1395" t="str">
        <f>Translations!$B$700</f>
        <v>Perduotasis / būdingasis CO2</v>
      </c>
      <c r="F289" s="1395"/>
      <c r="G289" s="1395"/>
      <c r="H289" s="1395"/>
      <c r="I289" s="1395"/>
      <c r="J289" s="1395"/>
      <c r="K289" s="1395"/>
      <c r="L289" s="1395"/>
      <c r="M289" s="1395"/>
      <c r="N289" s="1395"/>
      <c r="O289" s="1309"/>
      <c r="P289" s="681"/>
      <c r="Q289" s="23"/>
      <c r="R289" s="23"/>
      <c r="S289" s="23"/>
      <c r="T289" s="23"/>
      <c r="U289" s="23"/>
      <c r="V289" s="23"/>
      <c r="W289" s="23"/>
      <c r="X289" s="23"/>
      <c r="Y289" s="23"/>
      <c r="Z289" s="23"/>
      <c r="AA289" s="23"/>
      <c r="AB289" s="23"/>
      <c r="AC289" s="23"/>
      <c r="AD289" s="23"/>
      <c r="AE289" s="23"/>
      <c r="AF289" s="23"/>
      <c r="AG289" s="23"/>
      <c r="AH289" s="23"/>
      <c r="AI289" s="23"/>
      <c r="AJ289" s="23"/>
      <c r="AK289" s="23"/>
      <c r="AL289" s="23"/>
    </row>
    <row r="290" spans="1:38" s="382" customFormat="1" ht="5.0999999999999996" customHeight="1" x14ac:dyDescent="0.2">
      <c r="A290" s="778"/>
      <c r="B290" s="1308"/>
      <c r="D290" s="9"/>
      <c r="E290" s="49"/>
      <c r="F290" s="49"/>
      <c r="G290" s="49"/>
      <c r="H290" s="49"/>
      <c r="I290" s="49"/>
      <c r="J290" s="49"/>
      <c r="K290" s="49"/>
      <c r="L290" s="49"/>
      <c r="M290" s="49"/>
      <c r="N290" s="49"/>
      <c r="O290" s="1309"/>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row>
    <row r="291" spans="1:38" s="382" customFormat="1" ht="12.75" customHeight="1" x14ac:dyDescent="0.2">
      <c r="A291" s="778"/>
      <c r="B291" s="1308"/>
      <c r="D291" s="402" t="s">
        <v>4</v>
      </c>
      <c r="E291" s="404" t="str">
        <f>Translations!$B$170</f>
        <v>Įrenginio pavadinimas</v>
      </c>
      <c r="F291" s="381"/>
      <c r="G291" s="381"/>
      <c r="H291" s="381"/>
      <c r="I291" s="1645"/>
      <c r="J291" s="1645"/>
      <c r="K291" s="1645"/>
      <c r="L291" s="1645"/>
      <c r="M291" s="1645"/>
      <c r="N291" s="1645"/>
      <c r="O291" s="1309"/>
      <c r="P291" s="23"/>
      <c r="Q291" s="1053" t="str">
        <f>IF(I294="","",C267 &amp; "_" &amp; EUconst_CNTR_CCSInstName &amp; I294)</f>
        <v/>
      </c>
      <c r="R291" s="23"/>
      <c r="S291" s="23"/>
      <c r="T291" s="23"/>
      <c r="U291" s="23"/>
      <c r="V291" s="23"/>
      <c r="W291" s="23"/>
      <c r="X291" s="23"/>
      <c r="Y291" s="23"/>
      <c r="Z291" s="23"/>
      <c r="AA291" s="23"/>
      <c r="AB291" s="23"/>
      <c r="AC291" s="23"/>
      <c r="AD291" s="23"/>
      <c r="AE291" s="23"/>
      <c r="AF291" s="23"/>
      <c r="AG291" s="23"/>
      <c r="AH291" s="23"/>
      <c r="AI291" s="23"/>
      <c r="AJ291" s="23"/>
      <c r="AK291" s="23"/>
      <c r="AL291" s="26" t="b">
        <f>OR(CNTR_MeasurementRelevant=EUconst_NotRelevant,AND(COUNTA(CNTR_ListRelevantSections)&gt;0,OR(G267="",V267=TRUE)))</f>
        <v>1</v>
      </c>
    </row>
    <row r="292" spans="1:38" s="382" customFormat="1" ht="12.75" customHeight="1" x14ac:dyDescent="0.2">
      <c r="A292" s="778"/>
      <c r="B292" s="1308"/>
      <c r="D292" s="402" t="s">
        <v>5</v>
      </c>
      <c r="E292" s="404" t="str">
        <f>Translations!$B$79</f>
        <v>Veiklos vykdytojo pavadinimas</v>
      </c>
      <c r="F292" s="381"/>
      <c r="G292" s="381"/>
      <c r="H292" s="381"/>
      <c r="I292" s="1645"/>
      <c r="J292" s="1645"/>
      <c r="K292" s="1645"/>
      <c r="L292" s="1645"/>
      <c r="M292" s="1645"/>
      <c r="N292" s="1645"/>
      <c r="O292" s="1309"/>
      <c r="P292" s="23"/>
      <c r="Q292" s="1053" t="str">
        <f>IF(I294="","",C267 &amp; "_" &amp; EUconst_CNTR_CCSOpName &amp; I294)</f>
        <v/>
      </c>
      <c r="R292" s="23"/>
      <c r="S292" s="23"/>
      <c r="T292" s="23"/>
      <c r="U292" s="23"/>
      <c r="V292" s="23"/>
      <c r="W292" s="23"/>
      <c r="X292" s="23"/>
      <c r="Y292" s="23"/>
      <c r="Z292" s="23"/>
      <c r="AA292" s="23"/>
      <c r="AB292" s="23"/>
      <c r="AC292" s="23"/>
      <c r="AD292" s="23"/>
      <c r="AE292" s="23"/>
      <c r="AF292" s="23"/>
      <c r="AG292" s="23"/>
      <c r="AH292" s="23"/>
      <c r="AI292" s="23"/>
      <c r="AJ292" s="23"/>
      <c r="AK292" s="23"/>
      <c r="AL292" s="26" t="b">
        <f>AL291</f>
        <v>1</v>
      </c>
    </row>
    <row r="293" spans="1:38" s="382" customFormat="1" ht="12.75" customHeight="1" x14ac:dyDescent="0.2">
      <c r="A293" s="778"/>
      <c r="B293" s="1308"/>
      <c r="D293" s="402" t="s">
        <v>194</v>
      </c>
      <c r="E293" s="404" t="str">
        <f>Translations!$B$171</f>
        <v>Įrenginio unikalus ID</v>
      </c>
      <c r="F293" s="381"/>
      <c r="G293" s="381"/>
      <c r="H293" s="381"/>
      <c r="I293" s="1645"/>
      <c r="J293" s="1645"/>
      <c r="K293" s="1645"/>
      <c r="L293" s="1645"/>
      <c r="M293" s="1645"/>
      <c r="N293" s="1645"/>
      <c r="O293" s="1309"/>
      <c r="P293" s="23"/>
      <c r="Q293" s="1053" t="str">
        <f>IF(I294="","",C267 &amp; "_" &amp; EUconst_CNTR_CCSInstID &amp; I294)</f>
        <v/>
      </c>
      <c r="R293" s="23" t="s">
        <v>537</v>
      </c>
      <c r="S293" s="23"/>
      <c r="T293" s="23"/>
      <c r="U293" s="23"/>
      <c r="V293" s="23"/>
      <c r="W293" s="23"/>
      <c r="X293" s="23"/>
      <c r="Y293" s="23"/>
      <c r="Z293" s="23"/>
      <c r="AA293" s="23"/>
      <c r="AB293" s="23"/>
      <c r="AC293" s="23"/>
      <c r="AD293" s="23"/>
      <c r="AE293" s="23"/>
      <c r="AF293" s="23"/>
      <c r="AG293" s="23"/>
      <c r="AH293" s="23"/>
      <c r="AI293" s="23"/>
      <c r="AJ293" s="23"/>
      <c r="AK293" s="23"/>
      <c r="AL293" s="26" t="b">
        <f>AL292</f>
        <v>1</v>
      </c>
    </row>
    <row r="294" spans="1:38" s="382" customFormat="1" ht="12.75" customHeight="1" x14ac:dyDescent="0.2">
      <c r="A294" s="778"/>
      <c r="B294" s="1308"/>
      <c r="D294" s="402" t="s">
        <v>195</v>
      </c>
      <c r="E294" s="404" t="str">
        <f>Translations!$B$169</f>
        <v>Perdavimo tipas</v>
      </c>
      <c r="F294" s="381"/>
      <c r="G294" s="381"/>
      <c r="H294" s="381"/>
      <c r="I294" s="1645"/>
      <c r="J294" s="1645"/>
      <c r="K294" s="1645"/>
      <c r="L294" s="1645"/>
      <c r="M294" s="1645"/>
      <c r="N294" s="1645"/>
      <c r="O294" s="1309"/>
      <c r="P294" s="23"/>
      <c r="Q294" s="23"/>
      <c r="R294" s="26" t="str">
        <f>IF(I294="","",I294=INDEX(EUconst_CO2TransferTypes,5))</f>
        <v/>
      </c>
      <c r="S294" s="43">
        <f>IF(AND(R294=TRUE,AL294=FALSE),-1,1)</f>
        <v>1</v>
      </c>
      <c r="T294" s="23"/>
      <c r="U294" s="23"/>
      <c r="V294" s="23"/>
      <c r="W294" s="23"/>
      <c r="X294" s="23"/>
      <c r="Y294" s="23"/>
      <c r="Z294" s="23"/>
      <c r="AA294" s="23"/>
      <c r="AB294" s="23"/>
      <c r="AC294" s="23"/>
      <c r="AD294" s="23"/>
      <c r="AE294" s="23"/>
      <c r="AF294" s="23"/>
      <c r="AG294" s="23"/>
      <c r="AH294" s="23"/>
      <c r="AI294" s="23"/>
      <c r="AJ294" s="23"/>
      <c r="AK294" s="23"/>
      <c r="AL294" s="26" t="b">
        <f>AL293</f>
        <v>1</v>
      </c>
    </row>
    <row r="295" spans="1:38" s="382" customFormat="1" ht="5.0999999999999996" customHeight="1" x14ac:dyDescent="0.2">
      <c r="A295" s="778"/>
      <c r="B295" s="1308"/>
      <c r="D295" s="9"/>
      <c r="E295" s="49"/>
      <c r="F295" s="49"/>
      <c r="G295" s="49"/>
      <c r="H295" s="49"/>
      <c r="I295" s="49"/>
      <c r="J295" s="49"/>
      <c r="K295" s="49"/>
      <c r="L295" s="49"/>
      <c r="M295" s="49"/>
      <c r="N295" s="49"/>
      <c r="O295" s="1309"/>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row>
    <row r="296" spans="1:38" s="382" customFormat="1" ht="5.0999999999999996" customHeight="1" x14ac:dyDescent="0.2">
      <c r="A296" s="778"/>
      <c r="B296" s="1308"/>
      <c r="D296" s="9"/>
      <c r="E296" s="49"/>
      <c r="F296" s="49"/>
      <c r="G296" s="49"/>
      <c r="H296" s="49"/>
      <c r="I296" s="49"/>
      <c r="J296" s="49"/>
      <c r="K296" s="49"/>
      <c r="L296" s="49"/>
      <c r="M296" s="49"/>
      <c r="N296" s="49"/>
      <c r="O296" s="1309"/>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row>
    <row r="297" spans="1:38" s="382" customFormat="1" ht="12.75" customHeight="1" x14ac:dyDescent="0.2">
      <c r="A297" s="778"/>
      <c r="B297" s="1308"/>
      <c r="E297" s="1652" t="str">
        <f>Translations!$B$701</f>
        <v>Pastabos (pvz., patvirtinamųjų skaičiavimų aprašas arba ar trūksta didelės duomenų dalies):</v>
      </c>
      <c r="F297" s="1652"/>
      <c r="G297" s="1652"/>
      <c r="H297" s="1652"/>
      <c r="I297" s="1652"/>
      <c r="J297" s="1652"/>
      <c r="K297" s="1652"/>
      <c r="L297" s="1652"/>
      <c r="M297" s="1652"/>
      <c r="N297" s="1652"/>
      <c r="O297" s="1309"/>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row>
    <row r="298" spans="1:38" s="382" customFormat="1" ht="12.75" customHeight="1" x14ac:dyDescent="0.2">
      <c r="A298" s="778"/>
      <c r="B298" s="1308"/>
      <c r="D298" s="10"/>
      <c r="E298" s="1646"/>
      <c r="F298" s="1647"/>
      <c r="G298" s="1647"/>
      <c r="H298" s="1647"/>
      <c r="I298" s="1647"/>
      <c r="J298" s="1647"/>
      <c r="K298" s="1647"/>
      <c r="L298" s="1647"/>
      <c r="M298" s="1647"/>
      <c r="N298" s="1648"/>
      <c r="O298" s="1309"/>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6" t="b">
        <f>D_MeasurementBasedApproaches!AL284</f>
        <v>1</v>
      </c>
    </row>
    <row r="299" spans="1:38" s="382" customFormat="1" ht="12.75" customHeight="1" x14ac:dyDescent="0.2">
      <c r="A299" s="778"/>
      <c r="B299" s="1308"/>
      <c r="D299" s="10"/>
      <c r="E299" s="1649"/>
      <c r="F299" s="1650"/>
      <c r="G299" s="1650"/>
      <c r="H299" s="1650"/>
      <c r="I299" s="1650"/>
      <c r="J299" s="1650"/>
      <c r="K299" s="1650"/>
      <c r="L299" s="1650"/>
      <c r="M299" s="1650"/>
      <c r="N299" s="1651"/>
      <c r="O299" s="1309"/>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6" t="b">
        <f>AL298</f>
        <v>1</v>
      </c>
    </row>
    <row r="300" spans="1:38" ht="12.75" customHeight="1" thickBot="1" x14ac:dyDescent="0.25">
      <c r="A300" s="741"/>
      <c r="B300" s="1254"/>
      <c r="C300" s="36"/>
      <c r="D300" s="37"/>
      <c r="E300" s="38"/>
      <c r="F300" s="36"/>
      <c r="G300" s="39"/>
      <c r="H300" s="39"/>
      <c r="I300" s="39"/>
      <c r="J300" s="39"/>
      <c r="K300" s="39"/>
      <c r="L300" s="39"/>
      <c r="M300" s="39"/>
      <c r="N300" s="39"/>
      <c r="O300" s="1255"/>
      <c r="P300" s="2"/>
      <c r="S300" s="229"/>
      <c r="AK300" s="23"/>
    </row>
    <row r="301" spans="1:38" ht="12.75" customHeight="1" thickBot="1" x14ac:dyDescent="0.25">
      <c r="A301" s="741"/>
      <c r="B301" s="1325"/>
      <c r="C301" s="200"/>
      <c r="D301" s="6"/>
      <c r="E301" s="239"/>
      <c r="F301" s="239"/>
      <c r="G301" s="239"/>
      <c r="H301" s="239"/>
      <c r="I301" s="239"/>
      <c r="J301" s="239"/>
      <c r="K301" s="239"/>
      <c r="L301" s="239"/>
      <c r="M301" s="5"/>
      <c r="N301" s="5"/>
      <c r="O301" s="1309"/>
      <c r="P301" s="2"/>
      <c r="Q301" s="23"/>
      <c r="R301" s="23"/>
      <c r="S301" s="23"/>
      <c r="V301" s="23"/>
      <c r="W301" s="23"/>
      <c r="X301" s="27" t="s">
        <v>486</v>
      </c>
      <c r="Y301" s="23"/>
      <c r="Z301" s="23"/>
      <c r="AA301" s="23"/>
      <c r="AB301" s="23"/>
      <c r="AC301" s="23"/>
      <c r="AD301" s="23"/>
      <c r="AE301" s="23"/>
      <c r="AF301" s="23"/>
      <c r="AG301" s="23"/>
      <c r="AH301" s="23"/>
      <c r="AI301" s="23"/>
      <c r="AJ301" s="23"/>
    </row>
    <row r="302" spans="1:38" s="140" customFormat="1" ht="15" customHeight="1" thickBot="1" x14ac:dyDescent="0.25">
      <c r="A302" s="742"/>
      <c r="B302" s="1248"/>
      <c r="C302" s="391">
        <f>C267+1</f>
        <v>9</v>
      </c>
      <c r="D302" s="392"/>
      <c r="E302" s="1623" t="str">
        <f>IF(ISBLANK(G302),"",IF(INDEX(B_InstallationDescription!$M$156:$M$165,MATCH(S302,B_InstallationDescription!$E$156:$E$165,0))&gt;0,INDEX(B_InstallationDescription!$M$156:$M$165,MATCH(S302,B_InstallationDescription!$E$156:$E$165,0)),""))</f>
        <v/>
      </c>
      <c r="F302" s="1624"/>
      <c r="G302" s="1610"/>
      <c r="H302" s="1611"/>
      <c r="I302" s="1611"/>
      <c r="J302" s="1612"/>
      <c r="M302" s="338" t="str">
        <f>Translations!$B$686</f>
        <v>Bendras deginant iškastinį kurą išmestas ŠESD kiekis:</v>
      </c>
      <c r="N302" s="1000" t="str">
        <f>IF(G302="","",M314*M318*M319*10^-3*(1-M316)*S329*R320)</f>
        <v/>
      </c>
      <c r="O302" s="1314" t="s">
        <v>257</v>
      </c>
      <c r="P302" s="2"/>
      <c r="Q302" s="343" t="str">
        <f>EUconst_SumCO2 &amp; "_" &amp;E302</f>
        <v>SUM_CO2_</v>
      </c>
      <c r="R302" s="27" t="str">
        <f>IF(ISBLANK(G302),"",MATCH(G302,CNTR_MeasurementPoints,0))</f>
        <v/>
      </c>
      <c r="S302" s="27" t="str">
        <f>IF(ISBLANK(G302),"",INDEX(B_InstallationDescription!$E$156:$E$165,MATCH(G302,CNTR_MeasurementPoints,0)))</f>
        <v/>
      </c>
      <c r="T302" s="1017" t="str">
        <f>IF(ISBLANK(G302),"",MATCH(E302,EUconst_CEMSType,0))</f>
        <v/>
      </c>
      <c r="U302" s="407" t="b">
        <f>E302=INDEX(EUconst_CEMSType,3)</f>
        <v>0</v>
      </c>
      <c r="V302" s="515" t="b">
        <f>OR(E302=INDEX(EUconst_CEMSType,1),E302=INDEX(EUconst_CEMSType,2))</f>
        <v>0</v>
      </c>
      <c r="W302" s="30"/>
      <c r="X302" s="887">
        <f>M314</f>
        <v>0</v>
      </c>
      <c r="Y302" s="846">
        <f>M316</f>
        <v>0</v>
      </c>
      <c r="Z302" s="846">
        <f>M317</f>
        <v>0</v>
      </c>
      <c r="AA302" s="846">
        <f>M318</f>
        <v>0</v>
      </c>
      <c r="AB302" s="846">
        <f>M319</f>
        <v>0</v>
      </c>
      <c r="AC302" s="846" t="str">
        <f>M320</f>
        <v/>
      </c>
      <c r="AD302" s="846" t="str">
        <f>M322</f>
        <v/>
      </c>
      <c r="AE302" s="846" t="str">
        <f>R320</f>
        <v/>
      </c>
      <c r="AF302" s="846" t="str">
        <f>N302</f>
        <v/>
      </c>
      <c r="AG302" s="846" t="str">
        <f>N303</f>
        <v/>
      </c>
      <c r="AH302" s="846" t="str">
        <f>R304</f>
        <v/>
      </c>
      <c r="AI302" s="846">
        <f>R305</f>
        <v>0</v>
      </c>
      <c r="AJ302" s="846">
        <f>R306</f>
        <v>0</v>
      </c>
      <c r="AK302" s="30"/>
      <c r="AL302" s="32" t="b">
        <f>CNTR_MeasurementRelevant=EUconst_NotRelevant</f>
        <v>1</v>
      </c>
    </row>
    <row r="303" spans="1:38" s="382" customFormat="1" ht="15" customHeight="1" thickBot="1" x14ac:dyDescent="0.25">
      <c r="A303" s="741"/>
      <c r="B303" s="1280"/>
      <c r="C303" s="5"/>
      <c r="I303" s="24"/>
      <c r="J303" s="5"/>
      <c r="K303" s="5"/>
      <c r="L303" s="5"/>
      <c r="M303" s="337" t="str">
        <f>Translations!$B$687</f>
        <v>Bendras deginant biomasę išmestas ŠESD kiekis:</v>
      </c>
      <c r="N303" s="999" t="str">
        <f>IF(G302="","",M314*M318*M319*10^-3*(M316)*S329*R320)</f>
        <v/>
      </c>
      <c r="O303" s="1315" t="s">
        <v>257</v>
      </c>
      <c r="P303" s="2"/>
      <c r="Q303" s="344" t="str">
        <f>EUconst_SumBioCO2 &amp; "_" &amp; E302</f>
        <v>SUM_bioCO2_</v>
      </c>
      <c r="R303" s="23"/>
      <c r="S303" s="23"/>
      <c r="T303" s="23"/>
      <c r="U303" s="23"/>
      <c r="V303" s="23"/>
      <c r="W303" s="23"/>
      <c r="X303" s="833" t="s">
        <v>500</v>
      </c>
      <c r="Y303" s="833" t="s">
        <v>215</v>
      </c>
      <c r="Z303" s="833" t="s">
        <v>494</v>
      </c>
      <c r="AA303" s="833" t="s">
        <v>501</v>
      </c>
      <c r="AB303" s="833" t="s">
        <v>502</v>
      </c>
      <c r="AC303" s="833" t="s">
        <v>503</v>
      </c>
      <c r="AD303" s="833" t="s">
        <v>504</v>
      </c>
      <c r="AE303" s="833" t="s">
        <v>386</v>
      </c>
      <c r="AF303" s="833" t="s">
        <v>287</v>
      </c>
      <c r="AG303" s="833" t="s">
        <v>495</v>
      </c>
      <c r="AH303" s="833" t="s">
        <v>498</v>
      </c>
      <c r="AI303" s="833" t="s">
        <v>496</v>
      </c>
      <c r="AJ303" s="833" t="s">
        <v>497</v>
      </c>
      <c r="AK303" s="23"/>
      <c r="AL303" s="23"/>
    </row>
    <row r="304" spans="1:38" ht="13.5" thickBot="1" x14ac:dyDescent="0.25">
      <c r="A304" s="741"/>
      <c r="B304" s="1326"/>
      <c r="C304" s="798"/>
      <c r="D304" s="799"/>
      <c r="E304" s="797"/>
      <c r="F304" s="797"/>
      <c r="G304" s="797"/>
      <c r="H304" s="797"/>
      <c r="I304" s="797"/>
      <c r="J304" s="797"/>
      <c r="K304" s="797"/>
      <c r="L304" s="797"/>
      <c r="M304" s="797"/>
      <c r="N304" s="797"/>
      <c r="O304" s="1255"/>
      <c r="P304" s="2"/>
      <c r="Q304" s="343" t="str">
        <f>EUconst_SumNonSustBioCO2 &amp; "_" &amp; K301</f>
        <v>SUM_bioNonSustCO2_</v>
      </c>
      <c r="R304" s="698" t="str">
        <f>IF(G302="","",ROUND(M314*M318*M319*10^-3*(1-M316)*M317*S329*R320,0))</f>
        <v/>
      </c>
      <c r="Y304" s="23"/>
      <c r="Z304" s="23"/>
      <c r="AA304" s="23"/>
      <c r="AB304" s="23"/>
      <c r="AC304" s="23"/>
      <c r="AD304" s="23"/>
      <c r="AE304" s="23"/>
      <c r="AF304" s="23"/>
      <c r="AG304" s="23"/>
      <c r="AH304" s="23"/>
      <c r="AI304" s="23"/>
      <c r="AJ304" s="23"/>
      <c r="AK304" s="23"/>
      <c r="AL304" s="23"/>
    </row>
    <row r="305" spans="1:38" ht="13.5" thickBot="1" x14ac:dyDescent="0.25">
      <c r="A305" s="741"/>
      <c r="B305" s="1326"/>
      <c r="C305" s="798"/>
      <c r="D305" s="799"/>
      <c r="E305" s="797"/>
      <c r="F305" s="797"/>
      <c r="G305" s="797"/>
      <c r="H305" s="797"/>
      <c r="I305" s="797"/>
      <c r="J305" s="797"/>
      <c r="K305" s="797"/>
      <c r="L305" s="797"/>
      <c r="M305" s="494" t="str">
        <f>Translations!$B$688</f>
        <v>Bendra iškastinio kuro energetinė vertė:</v>
      </c>
      <c r="N305" s="1043"/>
      <c r="O305" s="1327" t="s">
        <v>279</v>
      </c>
      <c r="P305" s="2"/>
      <c r="Q305" s="343" t="str">
        <f>EUconst_SumEnergyIN &amp; "_" &amp; K301</f>
        <v>SUM_EnergyIN_</v>
      </c>
      <c r="R305" s="698">
        <f>N305</f>
        <v>0</v>
      </c>
      <c r="Y305" s="23"/>
      <c r="Z305" s="23"/>
      <c r="AA305" s="23"/>
      <c r="AB305" s="23"/>
      <c r="AC305" s="23"/>
      <c r="AD305" s="23"/>
      <c r="AE305" s="23"/>
      <c r="AF305" s="23"/>
      <c r="AG305" s="23"/>
      <c r="AH305" s="23"/>
      <c r="AI305" s="23"/>
      <c r="AJ305" s="23"/>
      <c r="AK305" s="23"/>
      <c r="AL305" s="32" t="b">
        <f>AL310</f>
        <v>1</v>
      </c>
    </row>
    <row r="306" spans="1:38" ht="13.5" thickBot="1" x14ac:dyDescent="0.25">
      <c r="A306" s="741"/>
      <c r="B306" s="1326"/>
      <c r="C306" s="798"/>
      <c r="D306" s="799"/>
      <c r="E306" s="797"/>
      <c r="F306" s="797"/>
      <c r="G306" s="797"/>
      <c r="H306" s="797"/>
      <c r="I306" s="797"/>
      <c r="J306" s="797"/>
      <c r="K306" s="797"/>
      <c r="L306" s="797"/>
      <c r="M306" s="337" t="str">
        <f>Translations!$B$689</f>
        <v>Bendra biomasės energetinė vertė:</v>
      </c>
      <c r="N306" s="1044"/>
      <c r="O306" s="1328" t="s">
        <v>279</v>
      </c>
      <c r="P306" s="2"/>
      <c r="Q306" s="343" t="str">
        <f>EUconst_SumBioEnergyIN &amp; "_" &amp; K301</f>
        <v>SUM_BioEnergyIN_</v>
      </c>
      <c r="R306" s="698">
        <f>N306</f>
        <v>0</v>
      </c>
      <c r="Y306" s="23"/>
      <c r="Z306" s="23"/>
      <c r="AA306" s="23"/>
      <c r="AB306" s="23"/>
      <c r="AC306" s="23"/>
      <c r="AD306" s="23"/>
      <c r="AE306" s="23"/>
      <c r="AF306" s="23"/>
      <c r="AG306" s="23"/>
      <c r="AH306" s="23"/>
      <c r="AI306" s="23"/>
      <c r="AJ306" s="23"/>
      <c r="AK306" s="23"/>
      <c r="AL306" s="32" t="b">
        <f>AL305</f>
        <v>1</v>
      </c>
    </row>
    <row r="307" spans="1:38" s="382" customFormat="1" ht="5.0999999999999996" customHeight="1" x14ac:dyDescent="0.2">
      <c r="A307" s="778"/>
      <c r="B307" s="1308"/>
      <c r="D307" s="151"/>
      <c r="K307" s="12"/>
      <c r="L307" s="12"/>
      <c r="M307" s="12"/>
      <c r="N307" s="12"/>
      <c r="O307" s="1329"/>
      <c r="P307" s="2"/>
      <c r="Q307" s="23"/>
      <c r="R307" s="23"/>
      <c r="S307" s="23"/>
      <c r="T307" s="23"/>
      <c r="U307" s="23"/>
      <c r="V307" s="23"/>
      <c r="W307" s="23"/>
      <c r="X307" s="23"/>
      <c r="Y307" s="23"/>
      <c r="Z307" s="23"/>
      <c r="AA307" s="23"/>
      <c r="AB307" s="23"/>
      <c r="AC307" s="23"/>
      <c r="AD307" s="23"/>
      <c r="AE307" s="23"/>
      <c r="AF307" s="23"/>
      <c r="AG307" s="23"/>
      <c r="AH307" s="23"/>
      <c r="AI307" s="23"/>
      <c r="AJ307" s="23"/>
      <c r="AK307" s="23"/>
      <c r="AL307" s="23"/>
    </row>
    <row r="308" spans="1:38" s="382" customFormat="1" ht="12.75" customHeight="1" x14ac:dyDescent="0.2">
      <c r="A308" s="778"/>
      <c r="B308" s="1308"/>
      <c r="D308" s="9" t="s">
        <v>1</v>
      </c>
      <c r="E308" s="1395" t="str">
        <f>Translations!$B$690</f>
        <v>Skaičiavimai</v>
      </c>
      <c r="F308" s="1395"/>
      <c r="G308" s="1395"/>
      <c r="H308" s="1395"/>
      <c r="I308" s="1395"/>
      <c r="J308" s="1395"/>
      <c r="K308" s="1395"/>
      <c r="L308" s="1395"/>
      <c r="M308" s="1395"/>
      <c r="N308" s="1395"/>
      <c r="O308" s="1329"/>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row>
    <row r="309" spans="1:38" s="382" customFormat="1" ht="5.0999999999999996" customHeight="1" thickBot="1" x14ac:dyDescent="0.25">
      <c r="A309" s="778"/>
      <c r="B309" s="1308"/>
      <c r="D309" s="151"/>
      <c r="K309" s="12"/>
      <c r="L309" s="12"/>
      <c r="M309" s="12"/>
      <c r="N309" s="12"/>
      <c r="O309" s="1329"/>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row>
    <row r="310" spans="1:38" s="382" customFormat="1" ht="12.75" customHeight="1" thickBot="1" x14ac:dyDescent="0.25">
      <c r="A310" s="778"/>
      <c r="B310" s="1308"/>
      <c r="D310" s="9"/>
      <c r="E310" s="399" t="str">
        <f>Translations!$B$691</f>
        <v>Informacija apie susijusius sukėliklius, jeigu taikytina:</v>
      </c>
      <c r="F310" s="399"/>
      <c r="G310" s="399"/>
      <c r="H310" s="399"/>
      <c r="I310" s="399"/>
      <c r="J310" s="1653" t="str">
        <f>Translations!$B$692</f>
        <v>Patvirtinamųjų skaičiavimų rezultatas (iškastinis kuras):</v>
      </c>
      <c r="K310" s="1653"/>
      <c r="L310" s="1653"/>
      <c r="M310" s="1653"/>
      <c r="N310" s="1194"/>
      <c r="O310" s="1309"/>
      <c r="P310" s="23"/>
      <c r="Q310" s="23"/>
      <c r="R310" s="23"/>
      <c r="S310" s="23"/>
      <c r="T310" s="23"/>
      <c r="U310" s="23"/>
      <c r="V310" s="23"/>
      <c r="W310" s="23"/>
      <c r="X310" s="23"/>
      <c r="Y310" s="23"/>
      <c r="Z310" s="23"/>
      <c r="AA310" s="23"/>
      <c r="AB310" s="23"/>
      <c r="AC310" s="23"/>
      <c r="AD310" s="23"/>
      <c r="AE310" s="23"/>
      <c r="AF310" s="23"/>
      <c r="AG310" s="23"/>
      <c r="AH310" s="23"/>
      <c r="AI310" s="23"/>
      <c r="AJ310" s="23"/>
      <c r="AK310" s="26" t="b">
        <f>IF(E302="",FALSE,MATCH(E302,EUconst_CEMSType,0)=2)</f>
        <v>0</v>
      </c>
      <c r="AL310" s="26" t="b">
        <f>OR(CNTR_MeasurementRelevant=EUconst_NotRelevant,AND(COUNTA(CNTR_ListRelevantSections)&gt;0,G302=""))</f>
        <v>1</v>
      </c>
    </row>
    <row r="311" spans="1:38" s="382" customFormat="1" x14ac:dyDescent="0.2">
      <c r="A311" s="778"/>
      <c r="B311" s="1308"/>
      <c r="D311" s="9"/>
      <c r="E311" s="1654"/>
      <c r="F311" s="1655"/>
      <c r="G311" s="1655"/>
      <c r="H311" s="1655"/>
      <c r="I311" s="1656"/>
      <c r="J311" s="1653" t="str">
        <f>Translations!$B$693</f>
        <v>Patvirtinamųjų skaičiavimų rezultatas (biomasė):</v>
      </c>
      <c r="K311" s="1653"/>
      <c r="L311" s="1653"/>
      <c r="M311" s="1653"/>
      <c r="N311" s="1195"/>
      <c r="O311" s="1309"/>
      <c r="P311" s="681"/>
      <c r="Q311" s="23"/>
      <c r="R311" s="23"/>
      <c r="S311" s="23"/>
      <c r="T311" s="23"/>
      <c r="U311" s="23"/>
      <c r="V311" s="23"/>
      <c r="W311" s="23"/>
      <c r="X311" s="23"/>
      <c r="Y311" s="23"/>
      <c r="Z311" s="23"/>
      <c r="AA311" s="23"/>
      <c r="AB311" s="23"/>
      <c r="AC311" s="23"/>
      <c r="AD311" s="23"/>
      <c r="AE311" s="23"/>
      <c r="AF311" s="23"/>
      <c r="AG311" s="23"/>
      <c r="AH311" s="23"/>
      <c r="AI311" s="23"/>
      <c r="AJ311" s="23"/>
      <c r="AK311" s="26" t="b">
        <f>AK310</f>
        <v>0</v>
      </c>
      <c r="AL311" s="26" t="b">
        <f>AL310</f>
        <v>1</v>
      </c>
    </row>
    <row r="312" spans="1:38" s="382" customFormat="1" ht="5.0999999999999996" customHeight="1" x14ac:dyDescent="0.2">
      <c r="A312" s="778"/>
      <c r="B312" s="1308"/>
      <c r="D312" s="9"/>
      <c r="E312" s="49"/>
      <c r="F312" s="49"/>
      <c r="G312" s="49"/>
      <c r="H312" s="49"/>
      <c r="I312" s="49"/>
      <c r="J312" s="49"/>
      <c r="K312" s="49"/>
      <c r="L312" s="49"/>
      <c r="M312" s="49"/>
      <c r="N312" s="49"/>
      <c r="O312" s="1309"/>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row>
    <row r="313" spans="1:38" s="382" customFormat="1" ht="12.75" customHeight="1" thickBot="1" x14ac:dyDescent="0.25">
      <c r="A313" s="778"/>
      <c r="B313" s="1308"/>
      <c r="I313" s="49"/>
      <c r="J313" s="49"/>
      <c r="K313" s="49"/>
      <c r="L313" s="793" t="str">
        <f>EUconst_Unit</f>
        <v>Vienetas</v>
      </c>
      <c r="M313" s="793"/>
      <c r="O313" s="1309"/>
      <c r="P313" s="681"/>
      <c r="Q313" s="23"/>
      <c r="R313" s="23"/>
      <c r="S313" s="23"/>
      <c r="T313" s="23"/>
      <c r="U313" s="23"/>
      <c r="V313" s="23"/>
      <c r="W313" s="23"/>
      <c r="X313" s="23"/>
      <c r="Y313" s="23"/>
      <c r="Z313" s="23"/>
      <c r="AA313" s="23"/>
      <c r="AB313" s="23"/>
      <c r="AC313" s="23"/>
      <c r="AD313" s="23"/>
      <c r="AE313" s="23"/>
      <c r="AF313" s="23"/>
      <c r="AG313" s="23"/>
      <c r="AH313" s="23"/>
      <c r="AI313" s="23"/>
      <c r="AJ313" s="23"/>
      <c r="AK313" s="23"/>
      <c r="AL313" s="23"/>
    </row>
    <row r="314" spans="1:38" s="382" customFormat="1" ht="12.75" customHeight="1" thickBot="1" x14ac:dyDescent="0.25">
      <c r="A314" s="778"/>
      <c r="B314" s="1308"/>
      <c r="E314" s="21" t="str">
        <f>Translations!$B$162</f>
        <v>Naudojama pakopa.</v>
      </c>
      <c r="F314" s="393"/>
      <c r="G314" s="402" t="s">
        <v>4</v>
      </c>
      <c r="H314" s="395" t="str">
        <f>Translations!$B$694</f>
        <v>ŠESD koncentracija (metinis valandinis vidurkis):</v>
      </c>
      <c r="I314" s="381"/>
      <c r="J314" s="381"/>
      <c r="K314" s="381"/>
      <c r="L314" s="678" t="str">
        <f>EUconst_gpNm3</f>
        <v>g/Nm3</v>
      </c>
      <c r="M314" s="1198"/>
      <c r="O314" s="1309"/>
      <c r="P314" s="23"/>
      <c r="Q314" s="2"/>
      <c r="R314" s="23"/>
      <c r="S314" s="23"/>
      <c r="T314" s="23"/>
      <c r="U314" s="23"/>
      <c r="V314" s="23"/>
      <c r="W314" s="23"/>
      <c r="X314" s="23"/>
      <c r="Y314" s="23"/>
      <c r="Z314" s="23"/>
      <c r="AA314" s="23"/>
      <c r="AB314" s="23"/>
      <c r="AC314" s="23"/>
      <c r="AD314" s="23"/>
      <c r="AE314" s="23"/>
      <c r="AF314" s="23"/>
      <c r="AG314" s="23"/>
      <c r="AH314" s="23"/>
      <c r="AI314" s="23"/>
      <c r="AJ314" s="23"/>
      <c r="AK314" s="23"/>
      <c r="AL314" s="26" t="b">
        <f>AL311</f>
        <v>1</v>
      </c>
    </row>
    <row r="315" spans="1:38" s="382" customFormat="1" ht="12.75" customHeight="1" thickBot="1" x14ac:dyDescent="0.25">
      <c r="A315" s="778"/>
      <c r="B315" s="1308"/>
      <c r="F315" s="472" t="str">
        <f>IF(OR(ISBLANK(F314),F314=EUconst_NoTier),"",IF(R316=EUconst_NA,EUconst_NA,IF(ISERROR(R316),"",R316)))</f>
        <v/>
      </c>
      <c r="G315" s="402"/>
      <c r="H315" s="395"/>
      <c r="I315" s="381"/>
      <c r="J315" s="381"/>
      <c r="K315" s="381"/>
      <c r="M315" s="151"/>
      <c r="O315" s="1309"/>
      <c r="P315" s="23"/>
      <c r="Q315" s="2"/>
      <c r="R315" s="684" t="s">
        <v>538</v>
      </c>
      <c r="S315" s="23"/>
      <c r="T315" s="23"/>
      <c r="U315" s="23"/>
      <c r="V315" s="23"/>
      <c r="W315" s="23"/>
      <c r="X315" s="23"/>
      <c r="Y315" s="23"/>
      <c r="Z315" s="23"/>
      <c r="AA315" s="23"/>
      <c r="AB315" s="23"/>
      <c r="AC315" s="23"/>
      <c r="AD315" s="23"/>
      <c r="AE315" s="23"/>
      <c r="AF315" s="23"/>
      <c r="AG315" s="23"/>
      <c r="AH315" s="23"/>
      <c r="AI315" s="23"/>
      <c r="AJ315" s="23"/>
      <c r="AK315" s="23"/>
      <c r="AL315" s="23"/>
    </row>
    <row r="316" spans="1:38" s="382" customFormat="1" ht="12.75" customHeight="1" x14ac:dyDescent="0.2">
      <c r="A316" s="778"/>
      <c r="B316" s="1308"/>
      <c r="D316" s="200"/>
      <c r="G316" s="402" t="s">
        <v>5</v>
      </c>
      <c r="H316" s="395" t="str">
        <f>Translations!$B$682</f>
        <v>Biomasės dalis:</v>
      </c>
      <c r="I316" s="290"/>
      <c r="J316" s="290"/>
      <c r="K316" s="290"/>
      <c r="L316" s="806" t="s">
        <v>258</v>
      </c>
      <c r="M316" s="807"/>
      <c r="O316" s="1309"/>
      <c r="P316" s="23"/>
      <c r="Q316" s="2"/>
      <c r="R316" s="43" t="str">
        <f>IF(F314="","",IF(F314=EUconst_NA,"",INDEX(EUwideConstants!$H$689:$M$691,MATCH(E302,EUwideConstants!$B$689:$B$691,0),MATCH(F314,CNTR_TierList,0))))</f>
        <v/>
      </c>
      <c r="S316" s="23"/>
      <c r="T316" s="23"/>
      <c r="U316" s="23"/>
      <c r="V316" s="23"/>
      <c r="W316" s="23"/>
      <c r="X316" s="23"/>
      <c r="Y316" s="23"/>
      <c r="Z316" s="23"/>
      <c r="AA316" s="23"/>
      <c r="AB316" s="23"/>
      <c r="AC316" s="23"/>
      <c r="AD316" s="23"/>
      <c r="AE316" s="23"/>
      <c r="AF316" s="23"/>
      <c r="AG316" s="23"/>
      <c r="AH316" s="23"/>
      <c r="AI316" s="23"/>
      <c r="AJ316" s="23"/>
      <c r="AK316" s="23"/>
      <c r="AL316" s="26" t="b">
        <f>AL314</f>
        <v>1</v>
      </c>
    </row>
    <row r="317" spans="1:38" s="382" customFormat="1" ht="12.75" customHeight="1" thickBot="1" x14ac:dyDescent="0.25">
      <c r="A317" s="778"/>
      <c r="B317" s="1308"/>
      <c r="D317" s="200"/>
      <c r="G317" s="402" t="s">
        <v>194</v>
      </c>
      <c r="H317" s="884" t="str">
        <f>Translations!$B$683</f>
        <v>netvarios biomasės dalis:</v>
      </c>
      <c r="I317" s="292"/>
      <c r="J317" s="292"/>
      <c r="K317" s="292"/>
      <c r="L317" s="885" t="s">
        <v>258</v>
      </c>
      <c r="M317" s="886"/>
      <c r="O317" s="1309"/>
      <c r="P317" s="23"/>
      <c r="Q317" s="2"/>
      <c r="R317" s="684"/>
      <c r="S317" s="23"/>
      <c r="T317" s="23"/>
      <c r="U317" s="23"/>
      <c r="V317" s="23"/>
      <c r="W317" s="23"/>
      <c r="X317" s="23"/>
      <c r="Y317" s="23"/>
      <c r="Z317" s="23"/>
      <c r="AA317" s="23"/>
      <c r="AB317" s="23"/>
      <c r="AC317" s="23"/>
      <c r="AD317" s="23"/>
      <c r="AE317" s="23"/>
      <c r="AF317" s="23"/>
      <c r="AG317" s="23"/>
      <c r="AH317" s="23"/>
      <c r="AI317" s="23"/>
      <c r="AJ317" s="23"/>
      <c r="AK317" s="23"/>
      <c r="AL317" s="26" t="b">
        <f>AL316</f>
        <v>1</v>
      </c>
    </row>
    <row r="318" spans="1:38" s="382" customFormat="1" ht="12.75" customHeight="1" x14ac:dyDescent="0.2">
      <c r="A318" s="778"/>
      <c r="B318" s="1308"/>
      <c r="E318" s="22" t="str">
        <f>Translations!$B$684</f>
        <v>VAP:</v>
      </c>
      <c r="F318" s="682" t="str">
        <f>IF(OR(G302="",F319&lt;&gt;""),"",IF(T302=2,298,1))</f>
        <v/>
      </c>
      <c r="G318" s="402" t="s">
        <v>195</v>
      </c>
      <c r="H318" s="397" t="str">
        <f>Translations!$B$695</f>
        <v>Veikimo valandos:</v>
      </c>
      <c r="I318" s="398"/>
      <c r="J318" s="398"/>
      <c r="K318" s="398"/>
      <c r="L318" s="679" t="str">
        <f>EUconst_hpa</f>
        <v>val./metai</v>
      </c>
      <c r="M318" s="811"/>
      <c r="O318" s="1309"/>
      <c r="P318" s="23"/>
      <c r="Q318" s="2"/>
      <c r="R318" s="23"/>
      <c r="S318" s="23"/>
      <c r="T318" s="23"/>
      <c r="U318" s="23"/>
      <c r="V318" s="23"/>
      <c r="W318" s="23"/>
      <c r="X318" s="23"/>
      <c r="Y318" s="23"/>
      <c r="Z318" s="23"/>
      <c r="AA318" s="23"/>
      <c r="AB318" s="23"/>
      <c r="AC318" s="23"/>
      <c r="AD318" s="23"/>
      <c r="AE318" s="23"/>
      <c r="AF318" s="23"/>
      <c r="AG318" s="23"/>
      <c r="AH318" s="23"/>
      <c r="AI318" s="23"/>
      <c r="AJ318" s="23"/>
      <c r="AK318" s="23"/>
      <c r="AL318" s="26" t="b">
        <f>AL316</f>
        <v>1</v>
      </c>
    </row>
    <row r="319" spans="1:38" s="382" customFormat="1" ht="12.75" customHeight="1" thickBot="1" x14ac:dyDescent="0.25">
      <c r="A319" s="778"/>
      <c r="B319" s="1308"/>
      <c r="D319" s="794"/>
      <c r="E319" s="687" t="str">
        <f>Translations!$B$696</f>
        <v>(CO2(e) tonos / ŠESD tonos)</v>
      </c>
      <c r="F319" s="683"/>
      <c r="G319" s="402" t="s">
        <v>196</v>
      </c>
      <c r="H319" s="396" t="str">
        <f>Translations!$B$697</f>
        <v>Kaminų dujų srautas (metinis valandinis vidurkis):</v>
      </c>
      <c r="I319" s="291"/>
      <c r="J319" s="291"/>
      <c r="K319" s="291"/>
      <c r="L319" s="680" t="str">
        <f>EUconst_Nm3ph</f>
        <v>1 000 Nm3/h</v>
      </c>
      <c r="M319" s="808"/>
      <c r="O319" s="1309"/>
      <c r="P319" s="23"/>
      <c r="Q319" s="2"/>
      <c r="R319" s="13" t="s">
        <v>386</v>
      </c>
      <c r="S319" s="23"/>
      <c r="T319" s="23"/>
      <c r="U319" s="23"/>
      <c r="V319" s="23"/>
      <c r="W319" s="23"/>
      <c r="X319" s="23"/>
      <c r="Y319" s="23"/>
      <c r="Z319" s="23"/>
      <c r="AA319" s="23"/>
      <c r="AB319" s="23"/>
      <c r="AC319" s="23"/>
      <c r="AD319" s="23"/>
      <c r="AE319" s="23"/>
      <c r="AF319" s="23"/>
      <c r="AG319" s="23"/>
      <c r="AH319" s="23"/>
      <c r="AI319" s="23"/>
      <c r="AJ319" s="23"/>
      <c r="AK319" s="23"/>
      <c r="AL319" s="26" t="b">
        <f>AL318</f>
        <v>1</v>
      </c>
    </row>
    <row r="320" spans="1:38" s="382" customFormat="1" ht="12.75" customHeight="1" thickBot="1" x14ac:dyDescent="0.25">
      <c r="A320" s="778"/>
      <c r="B320" s="1308"/>
      <c r="D320" s="794"/>
      <c r="G320" s="687" t="s">
        <v>197</v>
      </c>
      <c r="H320" s="395" t="str">
        <f>Translations!$B$698</f>
        <v>Kaminų dujų srautas (bendras metinis kiekis):</v>
      </c>
      <c r="I320" s="290"/>
      <c r="J320" s="290"/>
      <c r="K320" s="290"/>
      <c r="L320" s="678" t="str">
        <f>EUconst_kNm3pa</f>
        <v>1 000 Nm3/m.</v>
      </c>
      <c r="M320" s="809" t="str">
        <f>IF(COUNT(M318,M319)=2,M318*M319,"")</f>
        <v/>
      </c>
      <c r="O320" s="1309"/>
      <c r="P320" s="23"/>
      <c r="Q320" s="23"/>
      <c r="R320" s="43" t="str">
        <f>IF(F319="",F318,F319)</f>
        <v/>
      </c>
      <c r="S320" s="23"/>
      <c r="T320" s="23"/>
      <c r="U320" s="23"/>
      <c r="V320" s="23"/>
      <c r="W320" s="23"/>
      <c r="X320" s="23"/>
      <c r="Y320" s="23"/>
      <c r="Z320" s="23"/>
      <c r="AA320" s="23"/>
      <c r="AB320" s="23"/>
      <c r="AC320" s="23"/>
      <c r="AD320" s="23"/>
      <c r="AE320" s="23"/>
      <c r="AF320" s="23"/>
      <c r="AG320" s="23"/>
      <c r="AH320" s="23"/>
      <c r="AI320" s="23"/>
      <c r="AJ320" s="23"/>
      <c r="AK320" s="23"/>
      <c r="AL320" s="23"/>
    </row>
    <row r="321" spans="1:38" s="382" customFormat="1" ht="5.0999999999999996" customHeight="1" thickBot="1" x14ac:dyDescent="0.25">
      <c r="A321" s="778"/>
      <c r="B321" s="1308"/>
      <c r="D321" s="794"/>
      <c r="E321" s="200"/>
      <c r="F321" s="200"/>
      <c r="G321" s="200"/>
      <c r="H321" s="200"/>
      <c r="I321" s="200"/>
      <c r="J321" s="200"/>
      <c r="K321" s="200"/>
      <c r="L321" s="200"/>
      <c r="M321" s="6"/>
      <c r="O321" s="1309"/>
      <c r="P321" s="23"/>
      <c r="Q321" s="23"/>
      <c r="R321" s="684"/>
      <c r="S321" s="23"/>
      <c r="T321" s="23"/>
      <c r="U321" s="23"/>
      <c r="V321" s="23"/>
      <c r="W321" s="23"/>
      <c r="X321" s="23"/>
      <c r="Y321" s="23"/>
      <c r="Z321" s="23"/>
      <c r="AA321" s="23"/>
      <c r="AB321" s="23"/>
      <c r="AC321" s="23"/>
      <c r="AD321" s="23"/>
      <c r="AE321" s="23"/>
      <c r="AF321" s="23"/>
      <c r="AG321" s="23"/>
      <c r="AH321" s="23"/>
      <c r="AI321" s="23"/>
      <c r="AJ321" s="23"/>
      <c r="AK321" s="23"/>
      <c r="AL321" s="23"/>
    </row>
    <row r="322" spans="1:38" s="382" customFormat="1" ht="12.75" customHeight="1" thickBot="1" x14ac:dyDescent="0.25">
      <c r="A322" s="778"/>
      <c r="B322" s="1308"/>
      <c r="D322" s="794"/>
      <c r="E322" s="200"/>
      <c r="F322" s="200"/>
      <c r="G322" s="687" t="s">
        <v>198</v>
      </c>
      <c r="H322" s="395" t="str">
        <f>Translations!$B$699</f>
        <v>Metinis deginant iškastinį kurą išmestas ŠESD kiekis</v>
      </c>
      <c r="I322" s="290"/>
      <c r="J322" s="290"/>
      <c r="K322" s="290"/>
      <c r="L322" s="678" t="str">
        <f>EUconst_t</f>
        <v>t</v>
      </c>
      <c r="M322" s="810" t="str">
        <f>IF(G302="","",ROUND(M314*M318*M319*10^-3*(1-M316),0))</f>
        <v/>
      </c>
      <c r="O322" s="1309"/>
      <c r="P322" s="23"/>
      <c r="Q322" s="23"/>
      <c r="R322" s="684"/>
      <c r="S322" s="23"/>
      <c r="T322" s="23"/>
      <c r="U322" s="23"/>
      <c r="V322" s="23"/>
      <c r="W322" s="23"/>
      <c r="X322" s="23"/>
      <c r="Y322" s="23"/>
      <c r="Z322" s="23"/>
      <c r="AA322" s="23"/>
      <c r="AB322" s="23"/>
      <c r="AC322" s="23"/>
      <c r="AD322" s="23"/>
      <c r="AE322" s="23"/>
      <c r="AF322" s="23"/>
      <c r="AG322" s="23"/>
      <c r="AH322" s="23"/>
      <c r="AI322" s="23"/>
      <c r="AJ322" s="23"/>
      <c r="AK322" s="23"/>
      <c r="AL322" s="23"/>
    </row>
    <row r="323" spans="1:38" s="382" customFormat="1" ht="5.0999999999999996" customHeight="1" x14ac:dyDescent="0.2">
      <c r="A323" s="778"/>
      <c r="B323" s="1308"/>
      <c r="D323" s="794"/>
      <c r="E323" s="200"/>
      <c r="F323" s="200"/>
      <c r="G323" s="200"/>
      <c r="H323" s="200"/>
      <c r="I323" s="200"/>
      <c r="J323" s="200"/>
      <c r="K323" s="200"/>
      <c r="L323" s="200"/>
      <c r="M323" s="200"/>
      <c r="N323" s="200"/>
      <c r="O323" s="1309"/>
      <c r="P323" s="23"/>
      <c r="Q323" s="23"/>
      <c r="R323" s="684"/>
      <c r="S323" s="23"/>
      <c r="T323" s="23"/>
      <c r="U323" s="23"/>
      <c r="V323" s="23"/>
      <c r="W323" s="23"/>
      <c r="X323" s="23"/>
      <c r="Y323" s="23"/>
      <c r="Z323" s="23"/>
      <c r="AA323" s="23"/>
      <c r="AB323" s="23"/>
      <c r="AC323" s="23"/>
      <c r="AD323" s="23"/>
      <c r="AE323" s="23"/>
      <c r="AF323" s="23"/>
      <c r="AG323" s="23"/>
      <c r="AH323" s="23"/>
      <c r="AI323" s="23"/>
      <c r="AJ323" s="23"/>
      <c r="AK323" s="23"/>
      <c r="AL323" s="23"/>
    </row>
    <row r="324" spans="1:38" s="382" customFormat="1" ht="12.75" customHeight="1" x14ac:dyDescent="0.2">
      <c r="A324" s="778"/>
      <c r="B324" s="1308"/>
      <c r="D324" s="9" t="s">
        <v>2</v>
      </c>
      <c r="E324" s="1395" t="str">
        <f>Translations!$B$700</f>
        <v>Perduotasis / būdingasis CO2</v>
      </c>
      <c r="F324" s="1395"/>
      <c r="G324" s="1395"/>
      <c r="H324" s="1395"/>
      <c r="I324" s="1395"/>
      <c r="J324" s="1395"/>
      <c r="K324" s="1395"/>
      <c r="L324" s="1395"/>
      <c r="M324" s="1395"/>
      <c r="N324" s="1395"/>
      <c r="O324" s="1309"/>
      <c r="P324" s="681"/>
      <c r="Q324" s="23"/>
      <c r="R324" s="23"/>
      <c r="S324" s="23"/>
      <c r="T324" s="23"/>
      <c r="U324" s="23"/>
      <c r="V324" s="23"/>
      <c r="W324" s="23"/>
      <c r="X324" s="23"/>
      <c r="Y324" s="23"/>
      <c r="Z324" s="23"/>
      <c r="AA324" s="23"/>
      <c r="AB324" s="23"/>
      <c r="AC324" s="23"/>
      <c r="AD324" s="23"/>
      <c r="AE324" s="23"/>
      <c r="AF324" s="23"/>
      <c r="AG324" s="23"/>
      <c r="AH324" s="23"/>
      <c r="AI324" s="23"/>
      <c r="AJ324" s="23"/>
      <c r="AK324" s="23"/>
      <c r="AL324" s="23"/>
    </row>
    <row r="325" spans="1:38" s="382" customFormat="1" ht="5.0999999999999996" customHeight="1" x14ac:dyDescent="0.2">
      <c r="A325" s="778"/>
      <c r="B325" s="1308"/>
      <c r="D325" s="9"/>
      <c r="E325" s="49"/>
      <c r="F325" s="49"/>
      <c r="G325" s="49"/>
      <c r="H325" s="49"/>
      <c r="I325" s="49"/>
      <c r="J325" s="49"/>
      <c r="K325" s="49"/>
      <c r="L325" s="49"/>
      <c r="M325" s="49"/>
      <c r="N325" s="49"/>
      <c r="O325" s="1309"/>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row>
    <row r="326" spans="1:38" s="382" customFormat="1" ht="12.75" customHeight="1" x14ac:dyDescent="0.2">
      <c r="A326" s="778"/>
      <c r="B326" s="1308"/>
      <c r="D326" s="402" t="s">
        <v>4</v>
      </c>
      <c r="E326" s="404" t="str">
        <f>Translations!$B$170</f>
        <v>Įrenginio pavadinimas</v>
      </c>
      <c r="F326" s="381"/>
      <c r="G326" s="381"/>
      <c r="H326" s="381"/>
      <c r="I326" s="1645"/>
      <c r="J326" s="1645"/>
      <c r="K326" s="1645"/>
      <c r="L326" s="1645"/>
      <c r="M326" s="1645"/>
      <c r="N326" s="1645"/>
      <c r="O326" s="1309"/>
      <c r="P326" s="23"/>
      <c r="Q326" s="1053" t="str">
        <f>IF(I329="","",C302 &amp; "_" &amp; EUconst_CNTR_CCSInstName &amp; I329)</f>
        <v/>
      </c>
      <c r="R326" s="23"/>
      <c r="S326" s="23"/>
      <c r="T326" s="23"/>
      <c r="U326" s="23"/>
      <c r="V326" s="23"/>
      <c r="W326" s="23"/>
      <c r="X326" s="23"/>
      <c r="Y326" s="23"/>
      <c r="Z326" s="23"/>
      <c r="AA326" s="23"/>
      <c r="AB326" s="23"/>
      <c r="AC326" s="23"/>
      <c r="AD326" s="23"/>
      <c r="AE326" s="23"/>
      <c r="AF326" s="23"/>
      <c r="AG326" s="23"/>
      <c r="AH326" s="23"/>
      <c r="AI326" s="23"/>
      <c r="AJ326" s="23"/>
      <c r="AK326" s="23"/>
      <c r="AL326" s="26" t="b">
        <f>OR(CNTR_MeasurementRelevant=EUconst_NotRelevant,AND(COUNTA(CNTR_ListRelevantSections)&gt;0,OR(G302="",V302=TRUE)))</f>
        <v>1</v>
      </c>
    </row>
    <row r="327" spans="1:38" s="382" customFormat="1" ht="12.75" customHeight="1" x14ac:dyDescent="0.2">
      <c r="A327" s="778"/>
      <c r="B327" s="1308"/>
      <c r="D327" s="402" t="s">
        <v>5</v>
      </c>
      <c r="E327" s="404" t="str">
        <f>Translations!$B$79</f>
        <v>Veiklos vykdytojo pavadinimas</v>
      </c>
      <c r="F327" s="381"/>
      <c r="G327" s="381"/>
      <c r="H327" s="381"/>
      <c r="I327" s="1645"/>
      <c r="J327" s="1645"/>
      <c r="K327" s="1645"/>
      <c r="L327" s="1645"/>
      <c r="M327" s="1645"/>
      <c r="N327" s="1645"/>
      <c r="O327" s="1309"/>
      <c r="P327" s="23"/>
      <c r="Q327" s="1053" t="str">
        <f>IF(I329="","",C302 &amp; "_" &amp; EUconst_CNTR_CCSOpName &amp; I329)</f>
        <v/>
      </c>
      <c r="R327" s="23"/>
      <c r="S327" s="23"/>
      <c r="T327" s="23"/>
      <c r="U327" s="23"/>
      <c r="V327" s="23"/>
      <c r="W327" s="23"/>
      <c r="X327" s="23"/>
      <c r="Y327" s="23"/>
      <c r="Z327" s="23"/>
      <c r="AA327" s="23"/>
      <c r="AB327" s="23"/>
      <c r="AC327" s="23"/>
      <c r="AD327" s="23"/>
      <c r="AE327" s="23"/>
      <c r="AF327" s="23"/>
      <c r="AG327" s="23"/>
      <c r="AH327" s="23"/>
      <c r="AI327" s="23"/>
      <c r="AJ327" s="23"/>
      <c r="AK327" s="23"/>
      <c r="AL327" s="26" t="b">
        <f>AL326</f>
        <v>1</v>
      </c>
    </row>
    <row r="328" spans="1:38" s="382" customFormat="1" ht="12.75" customHeight="1" x14ac:dyDescent="0.2">
      <c r="A328" s="778"/>
      <c r="B328" s="1308"/>
      <c r="D328" s="402" t="s">
        <v>194</v>
      </c>
      <c r="E328" s="404" t="str">
        <f>Translations!$B$171</f>
        <v>Įrenginio unikalus ID</v>
      </c>
      <c r="F328" s="381"/>
      <c r="G328" s="381"/>
      <c r="H328" s="381"/>
      <c r="I328" s="1645"/>
      <c r="J328" s="1645"/>
      <c r="K328" s="1645"/>
      <c r="L328" s="1645"/>
      <c r="M328" s="1645"/>
      <c r="N328" s="1645"/>
      <c r="O328" s="1309"/>
      <c r="P328" s="23"/>
      <c r="Q328" s="1053" t="str">
        <f>IF(I329="","",C302 &amp; "_" &amp; EUconst_CNTR_CCSInstID &amp; I329)</f>
        <v/>
      </c>
      <c r="R328" s="23" t="s">
        <v>537</v>
      </c>
      <c r="S328" s="23"/>
      <c r="T328" s="23"/>
      <c r="U328" s="23"/>
      <c r="V328" s="23"/>
      <c r="W328" s="23"/>
      <c r="X328" s="23"/>
      <c r="Y328" s="23"/>
      <c r="Z328" s="23"/>
      <c r="AA328" s="23"/>
      <c r="AB328" s="23"/>
      <c r="AC328" s="23"/>
      <c r="AD328" s="23"/>
      <c r="AE328" s="23"/>
      <c r="AF328" s="23"/>
      <c r="AG328" s="23"/>
      <c r="AH328" s="23"/>
      <c r="AI328" s="23"/>
      <c r="AJ328" s="23"/>
      <c r="AK328" s="23"/>
      <c r="AL328" s="26" t="b">
        <f>AL327</f>
        <v>1</v>
      </c>
    </row>
    <row r="329" spans="1:38" s="382" customFormat="1" ht="12.75" customHeight="1" x14ac:dyDescent="0.2">
      <c r="A329" s="778"/>
      <c r="B329" s="1308"/>
      <c r="D329" s="402" t="s">
        <v>195</v>
      </c>
      <c r="E329" s="404" t="str">
        <f>Translations!$B$169</f>
        <v>Perdavimo tipas</v>
      </c>
      <c r="F329" s="381"/>
      <c r="G329" s="381"/>
      <c r="H329" s="381"/>
      <c r="I329" s="1645"/>
      <c r="J329" s="1645"/>
      <c r="K329" s="1645"/>
      <c r="L329" s="1645"/>
      <c r="M329" s="1645"/>
      <c r="N329" s="1645"/>
      <c r="O329" s="1309"/>
      <c r="P329" s="23"/>
      <c r="Q329" s="23"/>
      <c r="R329" s="26" t="str">
        <f>IF(I329="","",I329=INDEX(EUconst_CO2TransferTypes,5))</f>
        <v/>
      </c>
      <c r="S329" s="43">
        <f>IF(AND(R329=TRUE,AL329=FALSE),-1,1)</f>
        <v>1</v>
      </c>
      <c r="T329" s="23"/>
      <c r="U329" s="23"/>
      <c r="V329" s="23"/>
      <c r="W329" s="23"/>
      <c r="X329" s="23"/>
      <c r="Y329" s="23"/>
      <c r="Z329" s="23"/>
      <c r="AA329" s="23"/>
      <c r="AB329" s="23"/>
      <c r="AC329" s="23"/>
      <c r="AD329" s="23"/>
      <c r="AE329" s="23"/>
      <c r="AF329" s="23"/>
      <c r="AG329" s="23"/>
      <c r="AH329" s="23"/>
      <c r="AI329" s="23"/>
      <c r="AJ329" s="23"/>
      <c r="AK329" s="23"/>
      <c r="AL329" s="26" t="b">
        <f>AL328</f>
        <v>1</v>
      </c>
    </row>
    <row r="330" spans="1:38" s="382" customFormat="1" ht="5.0999999999999996" customHeight="1" x14ac:dyDescent="0.2">
      <c r="A330" s="778"/>
      <c r="B330" s="1308"/>
      <c r="D330" s="9"/>
      <c r="E330" s="49"/>
      <c r="F330" s="49"/>
      <c r="G330" s="49"/>
      <c r="H330" s="49"/>
      <c r="I330" s="49"/>
      <c r="J330" s="49"/>
      <c r="K330" s="49"/>
      <c r="L330" s="49"/>
      <c r="M330" s="49"/>
      <c r="N330" s="49"/>
      <c r="O330" s="1309"/>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row>
    <row r="331" spans="1:38" s="382" customFormat="1" ht="5.0999999999999996" customHeight="1" x14ac:dyDescent="0.2">
      <c r="A331" s="778"/>
      <c r="B331" s="1308"/>
      <c r="D331" s="9"/>
      <c r="E331" s="49"/>
      <c r="F331" s="49"/>
      <c r="G331" s="49"/>
      <c r="H331" s="49"/>
      <c r="I331" s="49"/>
      <c r="J331" s="49"/>
      <c r="K331" s="49"/>
      <c r="L331" s="49"/>
      <c r="M331" s="49"/>
      <c r="N331" s="49"/>
      <c r="O331" s="1309"/>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row>
    <row r="332" spans="1:38" s="382" customFormat="1" ht="12.75" customHeight="1" x14ac:dyDescent="0.2">
      <c r="A332" s="778"/>
      <c r="B332" s="1308"/>
      <c r="E332" s="1652" t="str">
        <f>Translations!$B$701</f>
        <v>Pastabos (pvz., patvirtinamųjų skaičiavimų aprašas arba ar trūksta didelės duomenų dalies):</v>
      </c>
      <c r="F332" s="1652"/>
      <c r="G332" s="1652"/>
      <c r="H332" s="1652"/>
      <c r="I332" s="1652"/>
      <c r="J332" s="1652"/>
      <c r="K332" s="1652"/>
      <c r="L332" s="1652"/>
      <c r="M332" s="1652"/>
      <c r="N332" s="1652"/>
      <c r="O332" s="1309"/>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row>
    <row r="333" spans="1:38" s="382" customFormat="1" ht="12.75" customHeight="1" x14ac:dyDescent="0.2">
      <c r="A333" s="778"/>
      <c r="B333" s="1308"/>
      <c r="D333" s="10"/>
      <c r="E333" s="1646"/>
      <c r="F333" s="1647"/>
      <c r="G333" s="1647"/>
      <c r="H333" s="1647"/>
      <c r="I333" s="1647"/>
      <c r="J333" s="1647"/>
      <c r="K333" s="1647"/>
      <c r="L333" s="1647"/>
      <c r="M333" s="1647"/>
      <c r="N333" s="1648"/>
      <c r="O333" s="1309"/>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6" t="b">
        <f>D_MeasurementBasedApproaches!AL319</f>
        <v>1</v>
      </c>
    </row>
    <row r="334" spans="1:38" s="382" customFormat="1" ht="12.75" customHeight="1" x14ac:dyDescent="0.2">
      <c r="A334" s="778"/>
      <c r="B334" s="1308"/>
      <c r="D334" s="10"/>
      <c r="E334" s="1649"/>
      <c r="F334" s="1650"/>
      <c r="G334" s="1650"/>
      <c r="H334" s="1650"/>
      <c r="I334" s="1650"/>
      <c r="J334" s="1650"/>
      <c r="K334" s="1650"/>
      <c r="L334" s="1650"/>
      <c r="M334" s="1650"/>
      <c r="N334" s="1651"/>
      <c r="O334" s="1309"/>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6" t="b">
        <f>AL333</f>
        <v>1</v>
      </c>
    </row>
    <row r="335" spans="1:38" ht="12.75" customHeight="1" thickBot="1" x14ac:dyDescent="0.25">
      <c r="A335" s="741"/>
      <c r="B335" s="1254"/>
      <c r="C335" s="36"/>
      <c r="D335" s="37"/>
      <c r="E335" s="38"/>
      <c r="F335" s="36"/>
      <c r="G335" s="39"/>
      <c r="H335" s="39"/>
      <c r="I335" s="39"/>
      <c r="J335" s="39"/>
      <c r="K335" s="39"/>
      <c r="L335" s="39"/>
      <c r="M335" s="39"/>
      <c r="N335" s="39"/>
      <c r="O335" s="1255"/>
      <c r="P335" s="2"/>
      <c r="S335" s="229"/>
      <c r="AK335" s="23"/>
    </row>
    <row r="336" spans="1:38" ht="12.75" customHeight="1" thickBot="1" x14ac:dyDescent="0.25">
      <c r="A336" s="741"/>
      <c r="B336" s="1325"/>
      <c r="C336" s="200"/>
      <c r="D336" s="6"/>
      <c r="E336" s="239"/>
      <c r="F336" s="239"/>
      <c r="G336" s="239"/>
      <c r="H336" s="239"/>
      <c r="I336" s="239"/>
      <c r="J336" s="239"/>
      <c r="K336" s="239"/>
      <c r="L336" s="239"/>
      <c r="M336" s="5"/>
      <c r="N336" s="5"/>
      <c r="O336" s="1309"/>
      <c r="P336" s="2"/>
      <c r="Q336" s="23"/>
      <c r="R336" s="23"/>
      <c r="S336" s="23"/>
      <c r="V336" s="23"/>
      <c r="W336" s="23"/>
      <c r="X336" s="27" t="s">
        <v>486</v>
      </c>
      <c r="Y336" s="23"/>
      <c r="Z336" s="23"/>
      <c r="AA336" s="23"/>
      <c r="AB336" s="23"/>
      <c r="AC336" s="23"/>
      <c r="AD336" s="23"/>
      <c r="AE336" s="23"/>
      <c r="AF336" s="23"/>
      <c r="AG336" s="23"/>
      <c r="AH336" s="23"/>
      <c r="AI336" s="23"/>
      <c r="AJ336" s="23"/>
    </row>
    <row r="337" spans="1:38" s="140" customFormat="1" ht="15" customHeight="1" thickBot="1" x14ac:dyDescent="0.25">
      <c r="A337" s="742"/>
      <c r="B337" s="1248"/>
      <c r="C337" s="391">
        <f>C302+1</f>
        <v>10</v>
      </c>
      <c r="D337" s="392"/>
      <c r="E337" s="1623" t="str">
        <f>IF(ISBLANK(G337),"",IF(INDEX(B_InstallationDescription!$M$156:$M$165,MATCH(S337,B_InstallationDescription!$E$156:$E$165,0))&gt;0,INDEX(B_InstallationDescription!$M$156:$M$165,MATCH(S337,B_InstallationDescription!$E$156:$E$165,0)),""))</f>
        <v/>
      </c>
      <c r="F337" s="1624"/>
      <c r="G337" s="1610"/>
      <c r="H337" s="1611"/>
      <c r="I337" s="1611"/>
      <c r="J337" s="1612"/>
      <c r="M337" s="338" t="str">
        <f>Translations!$B$686</f>
        <v>Bendras deginant iškastinį kurą išmestas ŠESD kiekis:</v>
      </c>
      <c r="N337" s="1000" t="str">
        <f>IF(G337="","",M349*M353*M354*10^-3*(1-M351)*S364*R355)</f>
        <v/>
      </c>
      <c r="O337" s="1314" t="s">
        <v>257</v>
      </c>
      <c r="P337" s="2"/>
      <c r="Q337" s="343" t="str">
        <f>EUconst_SumCO2 &amp; "_" &amp;E337</f>
        <v>SUM_CO2_</v>
      </c>
      <c r="R337" s="27" t="str">
        <f>IF(ISBLANK(G337),"",MATCH(G337,CNTR_MeasurementPoints,0))</f>
        <v/>
      </c>
      <c r="S337" s="27" t="str">
        <f>IF(ISBLANK(G337),"",INDEX(B_InstallationDescription!$E$156:$E$165,MATCH(G337,CNTR_MeasurementPoints,0)))</f>
        <v/>
      </c>
      <c r="T337" s="1017" t="str">
        <f>IF(ISBLANK(G337),"",MATCH(E337,EUconst_CEMSType,0))</f>
        <v/>
      </c>
      <c r="U337" s="407" t="b">
        <f>E337=INDEX(EUconst_CEMSType,3)</f>
        <v>0</v>
      </c>
      <c r="V337" s="515" t="b">
        <f>OR(E337=INDEX(EUconst_CEMSType,1),E337=INDEX(EUconst_CEMSType,2))</f>
        <v>0</v>
      </c>
      <c r="W337" s="30"/>
      <c r="X337" s="887">
        <f>M349</f>
        <v>0</v>
      </c>
      <c r="Y337" s="846">
        <f>M351</f>
        <v>0</v>
      </c>
      <c r="Z337" s="846">
        <f>M352</f>
        <v>0</v>
      </c>
      <c r="AA337" s="846">
        <f>M353</f>
        <v>0</v>
      </c>
      <c r="AB337" s="846">
        <f>M354</f>
        <v>0</v>
      </c>
      <c r="AC337" s="846" t="str">
        <f>M355</f>
        <v/>
      </c>
      <c r="AD337" s="846" t="str">
        <f>M357</f>
        <v/>
      </c>
      <c r="AE337" s="846" t="str">
        <f>R355</f>
        <v/>
      </c>
      <c r="AF337" s="846" t="str">
        <f>N337</f>
        <v/>
      </c>
      <c r="AG337" s="846" t="str">
        <f>N338</f>
        <v/>
      </c>
      <c r="AH337" s="846" t="str">
        <f>R339</f>
        <v/>
      </c>
      <c r="AI337" s="846">
        <f>R340</f>
        <v>0</v>
      </c>
      <c r="AJ337" s="846">
        <f>R341</f>
        <v>0</v>
      </c>
      <c r="AK337" s="30"/>
      <c r="AL337" s="32" t="b">
        <f>CNTR_MeasurementRelevant=EUconst_NotRelevant</f>
        <v>1</v>
      </c>
    </row>
    <row r="338" spans="1:38" s="382" customFormat="1" ht="15" customHeight="1" thickBot="1" x14ac:dyDescent="0.25">
      <c r="A338" s="741"/>
      <c r="B338" s="1280"/>
      <c r="C338" s="5"/>
      <c r="I338" s="24"/>
      <c r="J338" s="5"/>
      <c r="K338" s="5"/>
      <c r="L338" s="5"/>
      <c r="M338" s="337" t="str">
        <f>Translations!$B$687</f>
        <v>Bendras deginant biomasę išmestas ŠESD kiekis:</v>
      </c>
      <c r="N338" s="999" t="str">
        <f>IF(G337="","",M349*M353*M354*10^-3*(M351)*S364*R355)</f>
        <v/>
      </c>
      <c r="O338" s="1315" t="s">
        <v>257</v>
      </c>
      <c r="P338" s="2"/>
      <c r="Q338" s="344" t="str">
        <f>EUconst_SumBioCO2 &amp; "_" &amp; E337</f>
        <v>SUM_bioCO2_</v>
      </c>
      <c r="R338" s="23"/>
      <c r="S338" s="23"/>
      <c r="T338" s="23"/>
      <c r="U338" s="23"/>
      <c r="V338" s="23"/>
      <c r="W338" s="23"/>
      <c r="X338" s="833" t="s">
        <v>500</v>
      </c>
      <c r="Y338" s="833" t="s">
        <v>215</v>
      </c>
      <c r="Z338" s="833" t="s">
        <v>494</v>
      </c>
      <c r="AA338" s="833" t="s">
        <v>501</v>
      </c>
      <c r="AB338" s="833" t="s">
        <v>502</v>
      </c>
      <c r="AC338" s="833" t="s">
        <v>503</v>
      </c>
      <c r="AD338" s="833" t="s">
        <v>504</v>
      </c>
      <c r="AE338" s="833" t="s">
        <v>386</v>
      </c>
      <c r="AF338" s="833" t="s">
        <v>287</v>
      </c>
      <c r="AG338" s="833" t="s">
        <v>495</v>
      </c>
      <c r="AH338" s="833" t="s">
        <v>498</v>
      </c>
      <c r="AI338" s="833" t="s">
        <v>496</v>
      </c>
      <c r="AJ338" s="833" t="s">
        <v>497</v>
      </c>
      <c r="AK338" s="23"/>
      <c r="AL338" s="23"/>
    </row>
    <row r="339" spans="1:38" ht="13.5" thickBot="1" x14ac:dyDescent="0.25">
      <c r="A339" s="741"/>
      <c r="B339" s="1326"/>
      <c r="C339" s="798"/>
      <c r="D339" s="799"/>
      <c r="E339" s="797"/>
      <c r="F339" s="797"/>
      <c r="G339" s="797"/>
      <c r="H339" s="797"/>
      <c r="I339" s="797"/>
      <c r="J339" s="797"/>
      <c r="K339" s="797"/>
      <c r="L339" s="797"/>
      <c r="M339" s="797"/>
      <c r="N339" s="797"/>
      <c r="O339" s="1255"/>
      <c r="P339" s="2"/>
      <c r="Q339" s="343" t="str">
        <f>EUconst_SumNonSustBioCO2 &amp; "_" &amp; K336</f>
        <v>SUM_bioNonSustCO2_</v>
      </c>
      <c r="R339" s="698" t="str">
        <f>IF(G337="","",ROUND(M349*M353*M354*10^-3*(1-M351)*M352*S364*R355,0))</f>
        <v/>
      </c>
      <c r="Y339" s="23"/>
      <c r="Z339" s="23"/>
      <c r="AA339" s="23"/>
      <c r="AB339" s="23"/>
      <c r="AC339" s="23"/>
      <c r="AD339" s="23"/>
      <c r="AE339" s="23"/>
      <c r="AF339" s="23"/>
      <c r="AG339" s="23"/>
      <c r="AH339" s="23"/>
      <c r="AI339" s="23"/>
      <c r="AJ339" s="23"/>
      <c r="AK339" s="23"/>
      <c r="AL339" s="23"/>
    </row>
    <row r="340" spans="1:38" ht="13.5" thickBot="1" x14ac:dyDescent="0.25">
      <c r="A340" s="741"/>
      <c r="B340" s="1326"/>
      <c r="C340" s="798"/>
      <c r="D340" s="799"/>
      <c r="E340" s="797"/>
      <c r="F340" s="797"/>
      <c r="G340" s="797"/>
      <c r="H340" s="797"/>
      <c r="I340" s="797"/>
      <c r="J340" s="797"/>
      <c r="K340" s="797"/>
      <c r="L340" s="797"/>
      <c r="M340" s="494" t="str">
        <f>Translations!$B$688</f>
        <v>Bendra iškastinio kuro energetinė vertė:</v>
      </c>
      <c r="N340" s="1043"/>
      <c r="O340" s="1327" t="s">
        <v>279</v>
      </c>
      <c r="P340" s="2"/>
      <c r="Q340" s="343" t="str">
        <f>EUconst_SumEnergyIN &amp; "_" &amp; K336</f>
        <v>SUM_EnergyIN_</v>
      </c>
      <c r="R340" s="698">
        <f>N340</f>
        <v>0</v>
      </c>
      <c r="Y340" s="23"/>
      <c r="Z340" s="23"/>
      <c r="AA340" s="23"/>
      <c r="AB340" s="23"/>
      <c r="AC340" s="23"/>
      <c r="AD340" s="23"/>
      <c r="AE340" s="23"/>
      <c r="AF340" s="23"/>
      <c r="AG340" s="23"/>
      <c r="AH340" s="23"/>
      <c r="AI340" s="23"/>
      <c r="AJ340" s="23"/>
      <c r="AK340" s="23"/>
      <c r="AL340" s="32" t="b">
        <f>AL345</f>
        <v>1</v>
      </c>
    </row>
    <row r="341" spans="1:38" ht="13.5" thickBot="1" x14ac:dyDescent="0.25">
      <c r="A341" s="741"/>
      <c r="B341" s="1326"/>
      <c r="C341" s="798"/>
      <c r="D341" s="799"/>
      <c r="E341" s="797"/>
      <c r="F341" s="797"/>
      <c r="G341" s="797"/>
      <c r="H341" s="797"/>
      <c r="I341" s="797"/>
      <c r="J341" s="797"/>
      <c r="K341" s="797"/>
      <c r="L341" s="797"/>
      <c r="M341" s="337" t="str">
        <f>Translations!$B$689</f>
        <v>Bendra biomasės energetinė vertė:</v>
      </c>
      <c r="N341" s="1044"/>
      <c r="O341" s="1328" t="s">
        <v>279</v>
      </c>
      <c r="P341" s="2"/>
      <c r="Q341" s="343" t="str">
        <f>EUconst_SumBioEnergyIN &amp; "_" &amp; K336</f>
        <v>SUM_BioEnergyIN_</v>
      </c>
      <c r="R341" s="698">
        <f>N341</f>
        <v>0</v>
      </c>
      <c r="Y341" s="23"/>
      <c r="Z341" s="23"/>
      <c r="AA341" s="23"/>
      <c r="AB341" s="23"/>
      <c r="AC341" s="23"/>
      <c r="AD341" s="23"/>
      <c r="AE341" s="23"/>
      <c r="AF341" s="23"/>
      <c r="AG341" s="23"/>
      <c r="AH341" s="23"/>
      <c r="AI341" s="23"/>
      <c r="AJ341" s="23"/>
      <c r="AK341" s="23"/>
      <c r="AL341" s="32" t="b">
        <f>AL340</f>
        <v>1</v>
      </c>
    </row>
    <row r="342" spans="1:38" s="382" customFormat="1" ht="5.0999999999999996" customHeight="1" x14ac:dyDescent="0.2">
      <c r="A342" s="778"/>
      <c r="B342" s="1308"/>
      <c r="D342" s="151"/>
      <c r="K342" s="12"/>
      <c r="L342" s="12"/>
      <c r="M342" s="12"/>
      <c r="N342" s="12"/>
      <c r="O342" s="1329"/>
      <c r="P342" s="2"/>
      <c r="Q342" s="23"/>
      <c r="R342" s="23"/>
      <c r="S342" s="23"/>
      <c r="T342" s="23"/>
      <c r="U342" s="23"/>
      <c r="V342" s="23"/>
      <c r="W342" s="23"/>
      <c r="X342" s="23"/>
      <c r="Y342" s="23"/>
      <c r="Z342" s="23"/>
      <c r="AA342" s="23"/>
      <c r="AB342" s="23"/>
      <c r="AC342" s="23"/>
      <c r="AD342" s="23"/>
      <c r="AE342" s="23"/>
      <c r="AF342" s="23"/>
      <c r="AG342" s="23"/>
      <c r="AH342" s="23"/>
      <c r="AI342" s="23"/>
      <c r="AJ342" s="23"/>
      <c r="AK342" s="23"/>
      <c r="AL342" s="23"/>
    </row>
    <row r="343" spans="1:38" s="382" customFormat="1" ht="12.75" customHeight="1" x14ac:dyDescent="0.2">
      <c r="A343" s="778"/>
      <c r="B343" s="1308"/>
      <c r="D343" s="9" t="s">
        <v>1</v>
      </c>
      <c r="E343" s="1395" t="str">
        <f>Translations!$B$690</f>
        <v>Skaičiavimai</v>
      </c>
      <c r="F343" s="1395"/>
      <c r="G343" s="1395"/>
      <c r="H343" s="1395"/>
      <c r="I343" s="1395"/>
      <c r="J343" s="1395"/>
      <c r="K343" s="1395"/>
      <c r="L343" s="1395"/>
      <c r="M343" s="1395"/>
      <c r="N343" s="1395"/>
      <c r="O343" s="1329"/>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row>
    <row r="344" spans="1:38" s="382" customFormat="1" ht="5.0999999999999996" customHeight="1" thickBot="1" x14ac:dyDescent="0.25">
      <c r="A344" s="778"/>
      <c r="B344" s="1308"/>
      <c r="D344" s="151"/>
      <c r="K344" s="12"/>
      <c r="L344" s="12"/>
      <c r="M344" s="12"/>
      <c r="N344" s="12"/>
      <c r="O344" s="1329"/>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row>
    <row r="345" spans="1:38" s="382" customFormat="1" ht="12.75" customHeight="1" thickBot="1" x14ac:dyDescent="0.25">
      <c r="A345" s="778"/>
      <c r="B345" s="1308"/>
      <c r="D345" s="9"/>
      <c r="E345" s="399" t="str">
        <f>Translations!$B$691</f>
        <v>Informacija apie susijusius sukėliklius, jeigu taikytina:</v>
      </c>
      <c r="F345" s="399"/>
      <c r="G345" s="399"/>
      <c r="H345" s="399"/>
      <c r="I345" s="399"/>
      <c r="J345" s="1653" t="str">
        <f>Translations!$B$692</f>
        <v>Patvirtinamųjų skaičiavimų rezultatas (iškastinis kuras):</v>
      </c>
      <c r="K345" s="1653"/>
      <c r="L345" s="1653"/>
      <c r="M345" s="1653"/>
      <c r="N345" s="1194"/>
      <c r="O345" s="1309"/>
      <c r="P345" s="23"/>
      <c r="Q345" s="23"/>
      <c r="R345" s="23"/>
      <c r="S345" s="23"/>
      <c r="T345" s="23"/>
      <c r="U345" s="23"/>
      <c r="V345" s="23"/>
      <c r="W345" s="23"/>
      <c r="X345" s="23"/>
      <c r="Y345" s="23"/>
      <c r="Z345" s="23"/>
      <c r="AA345" s="23"/>
      <c r="AB345" s="23"/>
      <c r="AC345" s="23"/>
      <c r="AD345" s="23"/>
      <c r="AE345" s="23"/>
      <c r="AF345" s="23"/>
      <c r="AG345" s="23"/>
      <c r="AH345" s="23"/>
      <c r="AI345" s="23"/>
      <c r="AJ345" s="23"/>
      <c r="AK345" s="26" t="b">
        <f>IF(E337="",FALSE,MATCH(E337,EUconst_CEMSType,0)=2)</f>
        <v>0</v>
      </c>
      <c r="AL345" s="26" t="b">
        <f>OR(CNTR_MeasurementRelevant=EUconst_NotRelevant,AND(COUNTA(CNTR_ListRelevantSections)&gt;0,G337=""))</f>
        <v>1</v>
      </c>
    </row>
    <row r="346" spans="1:38" s="382" customFormat="1" x14ac:dyDescent="0.2">
      <c r="A346" s="778"/>
      <c r="B346" s="1308"/>
      <c r="D346" s="9"/>
      <c r="E346" s="1654"/>
      <c r="F346" s="1655"/>
      <c r="G346" s="1655"/>
      <c r="H346" s="1655"/>
      <c r="I346" s="1656"/>
      <c r="J346" s="1653" t="str">
        <f>Translations!$B$693</f>
        <v>Patvirtinamųjų skaičiavimų rezultatas (biomasė):</v>
      </c>
      <c r="K346" s="1653"/>
      <c r="L346" s="1653"/>
      <c r="M346" s="1653"/>
      <c r="N346" s="1195"/>
      <c r="O346" s="1309"/>
      <c r="P346" s="681"/>
      <c r="Q346" s="23"/>
      <c r="R346" s="23"/>
      <c r="S346" s="23"/>
      <c r="T346" s="23"/>
      <c r="U346" s="23"/>
      <c r="V346" s="23"/>
      <c r="W346" s="23"/>
      <c r="X346" s="23"/>
      <c r="Y346" s="23"/>
      <c r="Z346" s="23"/>
      <c r="AA346" s="23"/>
      <c r="AB346" s="23"/>
      <c r="AC346" s="23"/>
      <c r="AD346" s="23"/>
      <c r="AE346" s="23"/>
      <c r="AF346" s="23"/>
      <c r="AG346" s="23"/>
      <c r="AH346" s="23"/>
      <c r="AI346" s="23"/>
      <c r="AJ346" s="23"/>
      <c r="AK346" s="26" t="b">
        <f>AK345</f>
        <v>0</v>
      </c>
      <c r="AL346" s="26" t="b">
        <f>AL345</f>
        <v>1</v>
      </c>
    </row>
    <row r="347" spans="1:38" s="382" customFormat="1" ht="5.0999999999999996" customHeight="1" x14ac:dyDescent="0.2">
      <c r="A347" s="778"/>
      <c r="B347" s="1308"/>
      <c r="D347" s="9"/>
      <c r="E347" s="49"/>
      <c r="F347" s="49"/>
      <c r="G347" s="49"/>
      <c r="H347" s="49"/>
      <c r="I347" s="49"/>
      <c r="J347" s="49"/>
      <c r="K347" s="49"/>
      <c r="L347" s="49"/>
      <c r="M347" s="49"/>
      <c r="N347" s="49"/>
      <c r="O347" s="1309"/>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row>
    <row r="348" spans="1:38" s="382" customFormat="1" ht="12.75" customHeight="1" thickBot="1" x14ac:dyDescent="0.25">
      <c r="A348" s="778"/>
      <c r="B348" s="1308"/>
      <c r="I348" s="49"/>
      <c r="J348" s="49"/>
      <c r="K348" s="49"/>
      <c r="L348" s="793" t="str">
        <f>EUconst_Unit</f>
        <v>Vienetas</v>
      </c>
      <c r="M348" s="793"/>
      <c r="O348" s="1309"/>
      <c r="P348" s="681"/>
      <c r="Q348" s="23"/>
      <c r="R348" s="23"/>
      <c r="S348" s="23"/>
      <c r="T348" s="23"/>
      <c r="U348" s="23"/>
      <c r="V348" s="23"/>
      <c r="W348" s="23"/>
      <c r="X348" s="23"/>
      <c r="Y348" s="23"/>
      <c r="Z348" s="23"/>
      <c r="AA348" s="23"/>
      <c r="AB348" s="23"/>
      <c r="AC348" s="23"/>
      <c r="AD348" s="23"/>
      <c r="AE348" s="23"/>
      <c r="AF348" s="23"/>
      <c r="AG348" s="23"/>
      <c r="AH348" s="23"/>
      <c r="AI348" s="23"/>
      <c r="AJ348" s="23"/>
      <c r="AK348" s="23"/>
      <c r="AL348" s="23"/>
    </row>
    <row r="349" spans="1:38" s="382" customFormat="1" ht="12.75" customHeight="1" thickBot="1" x14ac:dyDescent="0.25">
      <c r="A349" s="778"/>
      <c r="B349" s="1308"/>
      <c r="E349" s="21" t="str">
        <f>Translations!$B$162</f>
        <v>Naudojama pakopa.</v>
      </c>
      <c r="F349" s="393"/>
      <c r="G349" s="402" t="s">
        <v>4</v>
      </c>
      <c r="H349" s="395" t="str">
        <f>Translations!$B$694</f>
        <v>ŠESD koncentracija (metinis valandinis vidurkis):</v>
      </c>
      <c r="I349" s="381"/>
      <c r="J349" s="381"/>
      <c r="K349" s="381"/>
      <c r="L349" s="678" t="str">
        <f>EUconst_gpNm3</f>
        <v>g/Nm3</v>
      </c>
      <c r="M349" s="1198"/>
      <c r="O349" s="1309"/>
      <c r="P349" s="23"/>
      <c r="Q349" s="2"/>
      <c r="R349" s="23"/>
      <c r="S349" s="23"/>
      <c r="T349" s="23"/>
      <c r="U349" s="23"/>
      <c r="V349" s="23"/>
      <c r="W349" s="23"/>
      <c r="X349" s="23"/>
      <c r="Y349" s="23"/>
      <c r="Z349" s="23"/>
      <c r="AA349" s="23"/>
      <c r="AB349" s="23"/>
      <c r="AC349" s="23"/>
      <c r="AD349" s="23"/>
      <c r="AE349" s="23"/>
      <c r="AF349" s="23"/>
      <c r="AG349" s="23"/>
      <c r="AH349" s="23"/>
      <c r="AI349" s="23"/>
      <c r="AJ349" s="23"/>
      <c r="AK349" s="23"/>
      <c r="AL349" s="26" t="b">
        <f>AL346</f>
        <v>1</v>
      </c>
    </row>
    <row r="350" spans="1:38" s="382" customFormat="1" ht="12.75" customHeight="1" thickBot="1" x14ac:dyDescent="0.25">
      <c r="A350" s="778"/>
      <c r="B350" s="1308"/>
      <c r="F350" s="472" t="str">
        <f>IF(OR(ISBLANK(F349),F349=EUconst_NoTier),"",IF(R351=EUconst_NA,EUconst_NA,IF(ISERROR(R351),"",R351)))</f>
        <v/>
      </c>
      <c r="G350" s="402"/>
      <c r="H350" s="395"/>
      <c r="I350" s="381"/>
      <c r="J350" s="381"/>
      <c r="K350" s="381"/>
      <c r="M350" s="151"/>
      <c r="O350" s="1309"/>
      <c r="P350" s="23"/>
      <c r="Q350" s="2"/>
      <c r="R350" s="684" t="s">
        <v>538</v>
      </c>
      <c r="S350" s="23"/>
      <c r="T350" s="23"/>
      <c r="U350" s="23"/>
      <c r="V350" s="23"/>
      <c r="W350" s="23"/>
      <c r="X350" s="23"/>
      <c r="Y350" s="23"/>
      <c r="Z350" s="23"/>
      <c r="AA350" s="23"/>
      <c r="AB350" s="23"/>
      <c r="AC350" s="23"/>
      <c r="AD350" s="23"/>
      <c r="AE350" s="23"/>
      <c r="AF350" s="23"/>
      <c r="AG350" s="23"/>
      <c r="AH350" s="23"/>
      <c r="AI350" s="23"/>
      <c r="AJ350" s="23"/>
      <c r="AK350" s="23"/>
      <c r="AL350" s="23"/>
    </row>
    <row r="351" spans="1:38" s="382" customFormat="1" ht="12.75" customHeight="1" x14ac:dyDescent="0.2">
      <c r="A351" s="778"/>
      <c r="B351" s="1308"/>
      <c r="D351" s="200"/>
      <c r="G351" s="402" t="s">
        <v>5</v>
      </c>
      <c r="H351" s="395" t="str">
        <f>Translations!$B$682</f>
        <v>Biomasės dalis:</v>
      </c>
      <c r="I351" s="290"/>
      <c r="J351" s="290"/>
      <c r="K351" s="290"/>
      <c r="L351" s="806" t="s">
        <v>258</v>
      </c>
      <c r="M351" s="807"/>
      <c r="O351" s="1309"/>
      <c r="P351" s="23"/>
      <c r="Q351" s="2"/>
      <c r="R351" s="43" t="str">
        <f>IF(F349="","",IF(F349=EUconst_NA,"",INDEX(EUwideConstants!$H$689:$M$691,MATCH(E337,EUwideConstants!$B$689:$B$691,0),MATCH(F349,CNTR_TierList,0))))</f>
        <v/>
      </c>
      <c r="S351" s="23"/>
      <c r="T351" s="23"/>
      <c r="U351" s="23"/>
      <c r="V351" s="23"/>
      <c r="W351" s="23"/>
      <c r="X351" s="23"/>
      <c r="Y351" s="23"/>
      <c r="Z351" s="23"/>
      <c r="AA351" s="23"/>
      <c r="AB351" s="23"/>
      <c r="AC351" s="23"/>
      <c r="AD351" s="23"/>
      <c r="AE351" s="23"/>
      <c r="AF351" s="23"/>
      <c r="AG351" s="23"/>
      <c r="AH351" s="23"/>
      <c r="AI351" s="23"/>
      <c r="AJ351" s="23"/>
      <c r="AK351" s="23"/>
      <c r="AL351" s="26" t="b">
        <f>AL349</f>
        <v>1</v>
      </c>
    </row>
    <row r="352" spans="1:38" s="382" customFormat="1" ht="12.75" customHeight="1" thickBot="1" x14ac:dyDescent="0.25">
      <c r="A352" s="778"/>
      <c r="B352" s="1308"/>
      <c r="D352" s="200"/>
      <c r="G352" s="402" t="s">
        <v>194</v>
      </c>
      <c r="H352" s="884" t="str">
        <f>Translations!$B$683</f>
        <v>netvarios biomasės dalis:</v>
      </c>
      <c r="I352" s="292"/>
      <c r="J352" s="292"/>
      <c r="K352" s="292"/>
      <c r="L352" s="885" t="s">
        <v>258</v>
      </c>
      <c r="M352" s="886"/>
      <c r="O352" s="1309"/>
      <c r="P352" s="23"/>
      <c r="Q352" s="2"/>
      <c r="R352" s="684"/>
      <c r="S352" s="23"/>
      <c r="T352" s="23"/>
      <c r="U352" s="23"/>
      <c r="V352" s="23"/>
      <c r="W352" s="23"/>
      <c r="X352" s="23"/>
      <c r="Y352" s="23"/>
      <c r="Z352" s="23"/>
      <c r="AA352" s="23"/>
      <c r="AB352" s="23"/>
      <c r="AC352" s="23"/>
      <c r="AD352" s="23"/>
      <c r="AE352" s="23"/>
      <c r="AF352" s="23"/>
      <c r="AG352" s="23"/>
      <c r="AH352" s="23"/>
      <c r="AI352" s="23"/>
      <c r="AJ352" s="23"/>
      <c r="AK352" s="23"/>
      <c r="AL352" s="26" t="b">
        <f>AL351</f>
        <v>1</v>
      </c>
    </row>
    <row r="353" spans="1:38" s="382" customFormat="1" ht="12.75" customHeight="1" x14ac:dyDescent="0.2">
      <c r="A353" s="778"/>
      <c r="B353" s="1308"/>
      <c r="E353" s="22" t="str">
        <f>Translations!$B$684</f>
        <v>VAP:</v>
      </c>
      <c r="F353" s="682" t="str">
        <f>IF(OR(G337="",F354&lt;&gt;""),"",IF(T337=2,298,1))</f>
        <v/>
      </c>
      <c r="G353" s="402" t="s">
        <v>195</v>
      </c>
      <c r="H353" s="397" t="str">
        <f>Translations!$B$695</f>
        <v>Veikimo valandos:</v>
      </c>
      <c r="I353" s="398"/>
      <c r="J353" s="398"/>
      <c r="K353" s="398"/>
      <c r="L353" s="679" t="str">
        <f>EUconst_hpa</f>
        <v>val./metai</v>
      </c>
      <c r="M353" s="811"/>
      <c r="O353" s="1309"/>
      <c r="P353" s="23"/>
      <c r="Q353" s="2"/>
      <c r="R353" s="23"/>
      <c r="S353" s="23"/>
      <c r="T353" s="23"/>
      <c r="U353" s="23"/>
      <c r="V353" s="23"/>
      <c r="W353" s="23"/>
      <c r="X353" s="23"/>
      <c r="Y353" s="23"/>
      <c r="Z353" s="23"/>
      <c r="AA353" s="23"/>
      <c r="AB353" s="23"/>
      <c r="AC353" s="23"/>
      <c r="AD353" s="23"/>
      <c r="AE353" s="23"/>
      <c r="AF353" s="23"/>
      <c r="AG353" s="23"/>
      <c r="AH353" s="23"/>
      <c r="AI353" s="23"/>
      <c r="AJ353" s="23"/>
      <c r="AK353" s="23"/>
      <c r="AL353" s="26" t="b">
        <f>AL351</f>
        <v>1</v>
      </c>
    </row>
    <row r="354" spans="1:38" s="382" customFormat="1" ht="12.75" customHeight="1" thickBot="1" x14ac:dyDescent="0.25">
      <c r="A354" s="778"/>
      <c r="B354" s="1308"/>
      <c r="D354" s="794"/>
      <c r="E354" s="687" t="str">
        <f>Translations!$B$696</f>
        <v>(CO2(e) tonos / ŠESD tonos)</v>
      </c>
      <c r="F354" s="683"/>
      <c r="G354" s="402" t="s">
        <v>196</v>
      </c>
      <c r="H354" s="396" t="str">
        <f>Translations!$B$697</f>
        <v>Kaminų dujų srautas (metinis valandinis vidurkis):</v>
      </c>
      <c r="I354" s="291"/>
      <c r="J354" s="291"/>
      <c r="K354" s="291"/>
      <c r="L354" s="680" t="str">
        <f>EUconst_Nm3ph</f>
        <v>1 000 Nm3/h</v>
      </c>
      <c r="M354" s="808"/>
      <c r="O354" s="1309"/>
      <c r="P354" s="23"/>
      <c r="Q354" s="2"/>
      <c r="R354" s="13" t="s">
        <v>386</v>
      </c>
      <c r="S354" s="23"/>
      <c r="T354" s="23"/>
      <c r="U354" s="23"/>
      <c r="V354" s="23"/>
      <c r="W354" s="23"/>
      <c r="X354" s="23"/>
      <c r="Y354" s="23"/>
      <c r="Z354" s="23"/>
      <c r="AA354" s="23"/>
      <c r="AB354" s="23"/>
      <c r="AC354" s="23"/>
      <c r="AD354" s="23"/>
      <c r="AE354" s="23"/>
      <c r="AF354" s="23"/>
      <c r="AG354" s="23"/>
      <c r="AH354" s="23"/>
      <c r="AI354" s="23"/>
      <c r="AJ354" s="23"/>
      <c r="AK354" s="23"/>
      <c r="AL354" s="26" t="b">
        <f>AL353</f>
        <v>1</v>
      </c>
    </row>
    <row r="355" spans="1:38" s="382" customFormat="1" ht="12.75" customHeight="1" thickBot="1" x14ac:dyDescent="0.25">
      <c r="A355" s="778"/>
      <c r="B355" s="1308"/>
      <c r="D355" s="794"/>
      <c r="G355" s="687" t="s">
        <v>197</v>
      </c>
      <c r="H355" s="395" t="str">
        <f>Translations!$B$698</f>
        <v>Kaminų dujų srautas (bendras metinis kiekis):</v>
      </c>
      <c r="I355" s="290"/>
      <c r="J355" s="290"/>
      <c r="K355" s="290"/>
      <c r="L355" s="678" t="str">
        <f>EUconst_kNm3pa</f>
        <v>1 000 Nm3/m.</v>
      </c>
      <c r="M355" s="809" t="str">
        <f>IF(COUNT(M353,M354)=2,M353*M354,"")</f>
        <v/>
      </c>
      <c r="O355" s="1309"/>
      <c r="P355" s="23"/>
      <c r="Q355" s="23"/>
      <c r="R355" s="43" t="str">
        <f>IF(F354="",F353,F354)</f>
        <v/>
      </c>
      <c r="S355" s="23"/>
      <c r="T355" s="23"/>
      <c r="U355" s="23"/>
      <c r="V355" s="23"/>
      <c r="W355" s="23"/>
      <c r="X355" s="23"/>
      <c r="Y355" s="23"/>
      <c r="Z355" s="23"/>
      <c r="AA355" s="23"/>
      <c r="AB355" s="23"/>
      <c r="AC355" s="23"/>
      <c r="AD355" s="23"/>
      <c r="AE355" s="23"/>
      <c r="AF355" s="23"/>
      <c r="AG355" s="23"/>
      <c r="AH355" s="23"/>
      <c r="AI355" s="23"/>
      <c r="AJ355" s="23"/>
      <c r="AK355" s="23"/>
      <c r="AL355" s="23"/>
    </row>
    <row r="356" spans="1:38" s="382" customFormat="1" ht="5.0999999999999996" customHeight="1" thickBot="1" x14ac:dyDescent="0.25">
      <c r="A356" s="778"/>
      <c r="B356" s="1308"/>
      <c r="D356" s="794"/>
      <c r="E356" s="200"/>
      <c r="F356" s="200"/>
      <c r="G356" s="200"/>
      <c r="H356" s="200"/>
      <c r="I356" s="200"/>
      <c r="J356" s="200"/>
      <c r="K356" s="200"/>
      <c r="L356" s="200"/>
      <c r="M356" s="6"/>
      <c r="O356" s="1309"/>
      <c r="P356" s="23"/>
      <c r="Q356" s="23"/>
      <c r="R356" s="684"/>
      <c r="S356" s="23"/>
      <c r="T356" s="23"/>
      <c r="U356" s="23"/>
      <c r="V356" s="23"/>
      <c r="W356" s="23"/>
      <c r="X356" s="23"/>
      <c r="Y356" s="23"/>
      <c r="Z356" s="23"/>
      <c r="AA356" s="23"/>
      <c r="AB356" s="23"/>
      <c r="AC356" s="23"/>
      <c r="AD356" s="23"/>
      <c r="AE356" s="23"/>
      <c r="AF356" s="23"/>
      <c r="AG356" s="23"/>
      <c r="AH356" s="23"/>
      <c r="AI356" s="23"/>
      <c r="AJ356" s="23"/>
      <c r="AK356" s="23"/>
      <c r="AL356" s="23"/>
    </row>
    <row r="357" spans="1:38" s="382" customFormat="1" ht="12.75" customHeight="1" thickBot="1" x14ac:dyDescent="0.25">
      <c r="A357" s="778"/>
      <c r="B357" s="1308"/>
      <c r="D357" s="794"/>
      <c r="E357" s="200"/>
      <c r="F357" s="200"/>
      <c r="G357" s="687" t="s">
        <v>198</v>
      </c>
      <c r="H357" s="395" t="str">
        <f>Translations!$B$699</f>
        <v>Metinis deginant iškastinį kurą išmestas ŠESD kiekis</v>
      </c>
      <c r="I357" s="290"/>
      <c r="J357" s="290"/>
      <c r="K357" s="290"/>
      <c r="L357" s="678" t="str">
        <f>EUconst_t</f>
        <v>t</v>
      </c>
      <c r="M357" s="810" t="str">
        <f>IF(G337="","",ROUND(M349*M353*M354*10^-3*(1-M351),0))</f>
        <v/>
      </c>
      <c r="O357" s="1309"/>
      <c r="P357" s="23"/>
      <c r="Q357" s="23"/>
      <c r="R357" s="684"/>
      <c r="S357" s="23"/>
      <c r="T357" s="23"/>
      <c r="U357" s="23"/>
      <c r="V357" s="23"/>
      <c r="W357" s="23"/>
      <c r="X357" s="23"/>
      <c r="Y357" s="23"/>
      <c r="Z357" s="23"/>
      <c r="AA357" s="23"/>
      <c r="AB357" s="23"/>
      <c r="AC357" s="23"/>
      <c r="AD357" s="23"/>
      <c r="AE357" s="23"/>
      <c r="AF357" s="23"/>
      <c r="AG357" s="23"/>
      <c r="AH357" s="23"/>
      <c r="AI357" s="23"/>
      <c r="AJ357" s="23"/>
      <c r="AK357" s="23"/>
      <c r="AL357" s="23"/>
    </row>
    <row r="358" spans="1:38" s="382" customFormat="1" ht="5.0999999999999996" customHeight="1" x14ac:dyDescent="0.2">
      <c r="A358" s="778"/>
      <c r="B358" s="1308"/>
      <c r="D358" s="794"/>
      <c r="E358" s="200"/>
      <c r="F358" s="200"/>
      <c r="G358" s="200"/>
      <c r="H358" s="200"/>
      <c r="I358" s="200"/>
      <c r="J358" s="200"/>
      <c r="K358" s="200"/>
      <c r="L358" s="200"/>
      <c r="M358" s="200"/>
      <c r="N358" s="200"/>
      <c r="O358" s="1309"/>
      <c r="P358" s="23"/>
      <c r="Q358" s="23"/>
      <c r="R358" s="684"/>
      <c r="S358" s="23"/>
      <c r="T358" s="23"/>
      <c r="U358" s="23"/>
      <c r="V358" s="23"/>
      <c r="W358" s="23"/>
      <c r="X358" s="23"/>
      <c r="Y358" s="23"/>
      <c r="Z358" s="23"/>
      <c r="AA358" s="23"/>
      <c r="AB358" s="23"/>
      <c r="AC358" s="23"/>
      <c r="AD358" s="23"/>
      <c r="AE358" s="23"/>
      <c r="AF358" s="23"/>
      <c r="AG358" s="23"/>
      <c r="AH358" s="23"/>
      <c r="AI358" s="23"/>
      <c r="AJ358" s="23"/>
      <c r="AK358" s="23"/>
      <c r="AL358" s="23"/>
    </row>
    <row r="359" spans="1:38" s="382" customFormat="1" ht="12.75" customHeight="1" x14ac:dyDescent="0.2">
      <c r="A359" s="778"/>
      <c r="B359" s="1308"/>
      <c r="D359" s="9" t="s">
        <v>2</v>
      </c>
      <c r="E359" s="1395" t="str">
        <f>Translations!$B$700</f>
        <v>Perduotasis / būdingasis CO2</v>
      </c>
      <c r="F359" s="1395"/>
      <c r="G359" s="1395"/>
      <c r="H359" s="1395"/>
      <c r="I359" s="1395"/>
      <c r="J359" s="1395"/>
      <c r="K359" s="1395"/>
      <c r="L359" s="1395"/>
      <c r="M359" s="1395"/>
      <c r="N359" s="1395"/>
      <c r="O359" s="1309"/>
      <c r="P359" s="681"/>
      <c r="Q359" s="23"/>
      <c r="R359" s="23"/>
      <c r="S359" s="23"/>
      <c r="T359" s="23"/>
      <c r="U359" s="23"/>
      <c r="V359" s="23"/>
      <c r="W359" s="23"/>
      <c r="X359" s="23"/>
      <c r="Y359" s="23"/>
      <c r="Z359" s="23"/>
      <c r="AA359" s="23"/>
      <c r="AB359" s="23"/>
      <c r="AC359" s="23"/>
      <c r="AD359" s="23"/>
      <c r="AE359" s="23"/>
      <c r="AF359" s="23"/>
      <c r="AG359" s="23"/>
      <c r="AH359" s="23"/>
      <c r="AI359" s="23"/>
      <c r="AJ359" s="23"/>
      <c r="AK359" s="23"/>
      <c r="AL359" s="23"/>
    </row>
    <row r="360" spans="1:38" s="382" customFormat="1" ht="5.0999999999999996" customHeight="1" x14ac:dyDescent="0.2">
      <c r="A360" s="778"/>
      <c r="B360" s="1308"/>
      <c r="D360" s="9"/>
      <c r="E360" s="49"/>
      <c r="F360" s="49"/>
      <c r="G360" s="49"/>
      <c r="H360" s="49"/>
      <c r="I360" s="49"/>
      <c r="J360" s="49"/>
      <c r="K360" s="49"/>
      <c r="L360" s="49"/>
      <c r="M360" s="49"/>
      <c r="N360" s="49"/>
      <c r="O360" s="1309"/>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row>
    <row r="361" spans="1:38" s="382" customFormat="1" ht="12.75" customHeight="1" x14ac:dyDescent="0.2">
      <c r="A361" s="778"/>
      <c r="B361" s="1308"/>
      <c r="D361" s="402" t="s">
        <v>4</v>
      </c>
      <c r="E361" s="404" t="str">
        <f>Translations!$B$170</f>
        <v>Įrenginio pavadinimas</v>
      </c>
      <c r="F361" s="381"/>
      <c r="G361" s="381"/>
      <c r="H361" s="381"/>
      <c r="I361" s="1645"/>
      <c r="J361" s="1645"/>
      <c r="K361" s="1645"/>
      <c r="L361" s="1645"/>
      <c r="M361" s="1645"/>
      <c r="N361" s="1645"/>
      <c r="O361" s="1309"/>
      <c r="P361" s="23"/>
      <c r="Q361" s="1053" t="str">
        <f>IF(I364="","",C337 &amp; "_" &amp; EUconst_CNTR_CCSInstName &amp; I364)</f>
        <v/>
      </c>
      <c r="R361" s="23"/>
      <c r="S361" s="23"/>
      <c r="T361" s="23"/>
      <c r="U361" s="23"/>
      <c r="V361" s="23"/>
      <c r="W361" s="23"/>
      <c r="X361" s="23"/>
      <c r="Y361" s="23"/>
      <c r="Z361" s="23"/>
      <c r="AA361" s="23"/>
      <c r="AB361" s="23"/>
      <c r="AC361" s="23"/>
      <c r="AD361" s="23"/>
      <c r="AE361" s="23"/>
      <c r="AF361" s="23"/>
      <c r="AG361" s="23"/>
      <c r="AH361" s="23"/>
      <c r="AI361" s="23"/>
      <c r="AJ361" s="23"/>
      <c r="AK361" s="23"/>
      <c r="AL361" s="26" t="b">
        <f>OR(CNTR_MeasurementRelevant=EUconst_NotRelevant,AND(COUNTA(CNTR_ListRelevantSections)&gt;0,OR(G337="",V337=TRUE)))</f>
        <v>1</v>
      </c>
    </row>
    <row r="362" spans="1:38" s="382" customFormat="1" ht="12.75" customHeight="1" x14ac:dyDescent="0.2">
      <c r="A362" s="778"/>
      <c r="B362" s="1308"/>
      <c r="D362" s="402" t="s">
        <v>5</v>
      </c>
      <c r="E362" s="404" t="str">
        <f>Translations!$B$79</f>
        <v>Veiklos vykdytojo pavadinimas</v>
      </c>
      <c r="F362" s="381"/>
      <c r="G362" s="381"/>
      <c r="H362" s="381"/>
      <c r="I362" s="1645"/>
      <c r="J362" s="1645"/>
      <c r="K362" s="1645"/>
      <c r="L362" s="1645"/>
      <c r="M362" s="1645"/>
      <c r="N362" s="1645"/>
      <c r="O362" s="1309"/>
      <c r="P362" s="23"/>
      <c r="Q362" s="1053" t="str">
        <f>IF(I364="","",C337 &amp; "_" &amp; EUconst_CNTR_CCSOpName &amp; I364)</f>
        <v/>
      </c>
      <c r="R362" s="23"/>
      <c r="S362" s="23"/>
      <c r="T362" s="23"/>
      <c r="U362" s="23"/>
      <c r="V362" s="23"/>
      <c r="W362" s="23"/>
      <c r="X362" s="23"/>
      <c r="Y362" s="23"/>
      <c r="Z362" s="23"/>
      <c r="AA362" s="23"/>
      <c r="AB362" s="23"/>
      <c r="AC362" s="23"/>
      <c r="AD362" s="23"/>
      <c r="AE362" s="23"/>
      <c r="AF362" s="23"/>
      <c r="AG362" s="23"/>
      <c r="AH362" s="23"/>
      <c r="AI362" s="23"/>
      <c r="AJ362" s="23"/>
      <c r="AK362" s="23"/>
      <c r="AL362" s="26" t="b">
        <f>AL361</f>
        <v>1</v>
      </c>
    </row>
    <row r="363" spans="1:38" s="382" customFormat="1" ht="12.75" customHeight="1" x14ac:dyDescent="0.2">
      <c r="A363" s="778"/>
      <c r="B363" s="1308"/>
      <c r="D363" s="402" t="s">
        <v>194</v>
      </c>
      <c r="E363" s="404" t="str">
        <f>Translations!$B$171</f>
        <v>Įrenginio unikalus ID</v>
      </c>
      <c r="F363" s="381"/>
      <c r="G363" s="381"/>
      <c r="H363" s="381"/>
      <c r="I363" s="1645"/>
      <c r="J363" s="1645"/>
      <c r="K363" s="1645"/>
      <c r="L363" s="1645"/>
      <c r="M363" s="1645"/>
      <c r="N363" s="1645"/>
      <c r="O363" s="1309"/>
      <c r="P363" s="23"/>
      <c r="Q363" s="1053" t="str">
        <f>IF(I364="","",C337 &amp; "_" &amp; EUconst_CNTR_CCSInstID &amp; I364)</f>
        <v/>
      </c>
      <c r="R363" s="23" t="s">
        <v>537</v>
      </c>
      <c r="S363" s="23"/>
      <c r="T363" s="23"/>
      <c r="U363" s="23"/>
      <c r="V363" s="23"/>
      <c r="W363" s="23"/>
      <c r="X363" s="23"/>
      <c r="Y363" s="23"/>
      <c r="Z363" s="23"/>
      <c r="AA363" s="23"/>
      <c r="AB363" s="23"/>
      <c r="AC363" s="23"/>
      <c r="AD363" s="23"/>
      <c r="AE363" s="23"/>
      <c r="AF363" s="23"/>
      <c r="AG363" s="23"/>
      <c r="AH363" s="23"/>
      <c r="AI363" s="23"/>
      <c r="AJ363" s="23"/>
      <c r="AK363" s="23"/>
      <c r="AL363" s="26" t="b">
        <f>AL362</f>
        <v>1</v>
      </c>
    </row>
    <row r="364" spans="1:38" s="382" customFormat="1" ht="12.75" customHeight="1" x14ac:dyDescent="0.2">
      <c r="A364" s="778"/>
      <c r="B364" s="1308"/>
      <c r="D364" s="402" t="s">
        <v>195</v>
      </c>
      <c r="E364" s="404" t="str">
        <f>Translations!$B$169</f>
        <v>Perdavimo tipas</v>
      </c>
      <c r="F364" s="381"/>
      <c r="G364" s="381"/>
      <c r="H364" s="381"/>
      <c r="I364" s="1645"/>
      <c r="J364" s="1645"/>
      <c r="K364" s="1645"/>
      <c r="L364" s="1645"/>
      <c r="M364" s="1645"/>
      <c r="N364" s="1645"/>
      <c r="O364" s="1309"/>
      <c r="P364" s="23"/>
      <c r="Q364" s="23"/>
      <c r="R364" s="26" t="str">
        <f>IF(I364="","",I364=INDEX(EUconst_CO2TransferTypes,5))</f>
        <v/>
      </c>
      <c r="S364" s="43">
        <f>IF(AND(R364=TRUE,AL364=FALSE),-1,1)</f>
        <v>1</v>
      </c>
      <c r="T364" s="23"/>
      <c r="U364" s="23"/>
      <c r="V364" s="23"/>
      <c r="W364" s="23"/>
      <c r="X364" s="23"/>
      <c r="Y364" s="23"/>
      <c r="Z364" s="23"/>
      <c r="AA364" s="23"/>
      <c r="AB364" s="23"/>
      <c r="AC364" s="23"/>
      <c r="AD364" s="23"/>
      <c r="AE364" s="23"/>
      <c r="AF364" s="23"/>
      <c r="AG364" s="23"/>
      <c r="AH364" s="23"/>
      <c r="AI364" s="23"/>
      <c r="AJ364" s="23"/>
      <c r="AK364" s="23"/>
      <c r="AL364" s="26" t="b">
        <f>AL363</f>
        <v>1</v>
      </c>
    </row>
    <row r="365" spans="1:38" s="382" customFormat="1" ht="5.0999999999999996" customHeight="1" x14ac:dyDescent="0.2">
      <c r="A365" s="778"/>
      <c r="B365" s="1308"/>
      <c r="D365" s="9"/>
      <c r="E365" s="49"/>
      <c r="F365" s="49"/>
      <c r="G365" s="49"/>
      <c r="H365" s="49"/>
      <c r="I365" s="49"/>
      <c r="J365" s="49"/>
      <c r="K365" s="49"/>
      <c r="L365" s="49"/>
      <c r="M365" s="49"/>
      <c r="N365" s="49"/>
      <c r="O365" s="1309"/>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row>
    <row r="366" spans="1:38" s="382" customFormat="1" ht="5.0999999999999996" customHeight="1" x14ac:dyDescent="0.2">
      <c r="A366" s="778"/>
      <c r="B366" s="1308"/>
      <c r="D366" s="9"/>
      <c r="E366" s="49"/>
      <c r="F366" s="49"/>
      <c r="G366" s="49"/>
      <c r="H366" s="49"/>
      <c r="I366" s="49"/>
      <c r="J366" s="49"/>
      <c r="K366" s="49"/>
      <c r="L366" s="49"/>
      <c r="M366" s="49"/>
      <c r="N366" s="49"/>
      <c r="O366" s="1309"/>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row>
    <row r="367" spans="1:38" s="382" customFormat="1" ht="12.75" customHeight="1" x14ac:dyDescent="0.2">
      <c r="A367" s="778"/>
      <c r="B367" s="1308"/>
      <c r="E367" s="1652" t="str">
        <f>Translations!$B$701</f>
        <v>Pastabos (pvz., patvirtinamųjų skaičiavimų aprašas arba ar trūksta didelės duomenų dalies):</v>
      </c>
      <c r="F367" s="1652"/>
      <c r="G367" s="1652"/>
      <c r="H367" s="1652"/>
      <c r="I367" s="1652"/>
      <c r="J367" s="1652"/>
      <c r="K367" s="1652"/>
      <c r="L367" s="1652"/>
      <c r="M367" s="1652"/>
      <c r="N367" s="1652"/>
      <c r="O367" s="1309"/>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row>
    <row r="368" spans="1:38" s="382" customFormat="1" ht="12.75" customHeight="1" x14ac:dyDescent="0.2">
      <c r="A368" s="778"/>
      <c r="B368" s="1308"/>
      <c r="D368" s="10"/>
      <c r="E368" s="1646"/>
      <c r="F368" s="1647"/>
      <c r="G368" s="1647"/>
      <c r="H368" s="1647"/>
      <c r="I368" s="1647"/>
      <c r="J368" s="1647"/>
      <c r="K368" s="1647"/>
      <c r="L368" s="1647"/>
      <c r="M368" s="1647"/>
      <c r="N368" s="1648"/>
      <c r="O368" s="1309"/>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6" t="b">
        <f>D_MeasurementBasedApproaches!AL354</f>
        <v>1</v>
      </c>
    </row>
    <row r="369" spans="1:39" s="382" customFormat="1" ht="12.75" customHeight="1" x14ac:dyDescent="0.2">
      <c r="A369" s="778"/>
      <c r="B369" s="1308"/>
      <c r="D369" s="10"/>
      <c r="E369" s="1649"/>
      <c r="F369" s="1650"/>
      <c r="G369" s="1650"/>
      <c r="H369" s="1650"/>
      <c r="I369" s="1650"/>
      <c r="J369" s="1650"/>
      <c r="K369" s="1650"/>
      <c r="L369" s="1650"/>
      <c r="M369" s="1650"/>
      <c r="N369" s="1651"/>
      <c r="O369" s="1309"/>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6" t="b">
        <f>AL368</f>
        <v>1</v>
      </c>
    </row>
    <row r="370" spans="1:39" ht="12.75" customHeight="1" thickBot="1" x14ac:dyDescent="0.25">
      <c r="A370" s="741"/>
      <c r="B370" s="1254"/>
      <c r="C370" s="36"/>
      <c r="D370" s="37"/>
      <c r="E370" s="38"/>
      <c r="F370" s="36"/>
      <c r="G370" s="39"/>
      <c r="H370" s="39"/>
      <c r="I370" s="39"/>
      <c r="J370" s="39"/>
      <c r="K370" s="39"/>
      <c r="L370" s="39"/>
      <c r="M370" s="39"/>
      <c r="N370" s="39"/>
      <c r="O370" s="1255"/>
      <c r="P370" s="2"/>
      <c r="S370" s="229"/>
      <c r="AK370" s="23"/>
    </row>
    <row r="371" spans="1:39" ht="12.75" customHeight="1" x14ac:dyDescent="0.2">
      <c r="A371" s="741"/>
      <c r="B371" s="1254"/>
      <c r="C371" s="200"/>
      <c r="D371" s="6"/>
      <c r="E371" s="200"/>
      <c r="F371" s="200"/>
      <c r="G371" s="200"/>
      <c r="H371" s="200"/>
      <c r="I371" s="200"/>
      <c r="J371" s="200"/>
      <c r="K371" s="200"/>
      <c r="L371" s="200"/>
      <c r="M371" s="200"/>
      <c r="N371" s="200"/>
      <c r="O371" s="1255"/>
      <c r="P371" s="2"/>
      <c r="S371" s="229"/>
    </row>
    <row r="372" spans="1:39" ht="15" customHeight="1" x14ac:dyDescent="0.2">
      <c r="A372" s="741"/>
      <c r="B372" s="1325"/>
      <c r="C372" s="260"/>
      <c r="D372" s="267"/>
      <c r="E372" s="260"/>
      <c r="F372" s="1425" t="str">
        <f>EUconst_MsgNextSheet</f>
        <v xml:space="preserve">&lt;&lt;&lt; Į kitą lapą pereisite paspaudę čia &gt;&gt;&gt; </v>
      </c>
      <c r="G372" s="1425"/>
      <c r="H372" s="1425"/>
      <c r="I372" s="1425"/>
      <c r="J372" s="1425"/>
      <c r="K372" s="1425"/>
      <c r="L372" s="1425"/>
      <c r="M372" s="260"/>
      <c r="N372" s="260"/>
      <c r="O372" s="1251"/>
      <c r="P372" s="2"/>
      <c r="S372" s="229"/>
    </row>
    <row r="373" spans="1:39" ht="13.5" thickBot="1" x14ac:dyDescent="0.25">
      <c r="A373" s="795"/>
      <c r="B373" s="1330"/>
      <c r="C373" s="1331"/>
      <c r="D373" s="1332"/>
      <c r="E373" s="1331"/>
      <c r="F373" s="1331"/>
      <c r="G373" s="1331"/>
      <c r="H373" s="1331"/>
      <c r="I373" s="1331"/>
      <c r="J373" s="1331"/>
      <c r="K373" s="1331"/>
      <c r="L373" s="1331"/>
      <c r="M373" s="1331"/>
      <c r="N373" s="1331"/>
      <c r="O373" s="1333"/>
      <c r="P373" s="269"/>
      <c r="Q373" s="269"/>
      <c r="R373" s="269"/>
      <c r="S373" s="269"/>
      <c r="T373" s="269"/>
      <c r="U373" s="269"/>
      <c r="V373" s="269"/>
      <c r="W373" s="269"/>
      <c r="X373" s="269"/>
      <c r="Y373" s="269"/>
      <c r="Z373" s="269"/>
      <c r="AA373" s="269"/>
      <c r="AB373" s="269"/>
      <c r="AC373" s="269"/>
      <c r="AD373" s="269"/>
      <c r="AE373" s="269"/>
      <c r="AF373" s="269"/>
      <c r="AG373" s="269"/>
      <c r="AH373" s="269"/>
      <c r="AI373" s="269"/>
      <c r="AJ373" s="269"/>
    </row>
    <row r="375" spans="1:39" x14ac:dyDescent="0.2">
      <c r="A375" s="56"/>
      <c r="B375" s="243"/>
      <c r="C375" s="243"/>
      <c r="D375" s="259"/>
      <c r="E375" s="259"/>
      <c r="F375" s="259"/>
      <c r="G375" s="259"/>
      <c r="H375" s="259"/>
      <c r="I375" s="259"/>
      <c r="J375" s="259"/>
      <c r="K375" s="243"/>
      <c r="L375" s="243"/>
      <c r="M375" s="243"/>
      <c r="N375" s="243"/>
      <c r="O375" s="259"/>
      <c r="P375" s="56"/>
      <c r="Q375" s="56"/>
      <c r="R375" s="56"/>
      <c r="S375" s="56"/>
      <c r="T375" s="56"/>
      <c r="U375" s="56"/>
      <c r="V375" s="56"/>
      <c r="W375" s="56"/>
      <c r="X375" s="56"/>
      <c r="Y375" s="56"/>
      <c r="Z375" s="56"/>
      <c r="AA375" s="56"/>
      <c r="AB375" s="56"/>
      <c r="AC375" s="56"/>
      <c r="AD375" s="56"/>
      <c r="AE375" s="56"/>
      <c r="AF375" s="56"/>
      <c r="AG375" s="56"/>
      <c r="AH375" s="56"/>
      <c r="AI375" s="56"/>
      <c r="AJ375" s="56"/>
      <c r="AK375" s="23"/>
      <c r="AL375" s="23"/>
      <c r="AM375" s="382"/>
    </row>
    <row r="376" spans="1:39" ht="12.75" hidden="1" customHeight="1" x14ac:dyDescent="0.2">
      <c r="A376" s="55" t="s">
        <v>85</v>
      </c>
      <c r="B376" s="55" t="s">
        <v>72</v>
      </c>
      <c r="C376" s="55" t="s">
        <v>72</v>
      </c>
      <c r="D376" s="55" t="s">
        <v>72</v>
      </c>
      <c r="E376" s="55" t="s">
        <v>72</v>
      </c>
      <c r="F376" s="55" t="s">
        <v>72</v>
      </c>
      <c r="G376" s="55" t="s">
        <v>72</v>
      </c>
      <c r="H376" s="55" t="s">
        <v>72</v>
      </c>
      <c r="I376" s="55" t="s">
        <v>72</v>
      </c>
      <c r="J376" s="55" t="s">
        <v>72</v>
      </c>
      <c r="K376" s="55" t="s">
        <v>72</v>
      </c>
      <c r="L376" s="55" t="s">
        <v>72</v>
      </c>
      <c r="M376" s="55" t="s">
        <v>72</v>
      </c>
      <c r="N376" s="55" t="s">
        <v>72</v>
      </c>
      <c r="O376" s="71" t="s">
        <v>72</v>
      </c>
      <c r="P376" s="71"/>
      <c r="Q376" s="55" t="s">
        <v>72</v>
      </c>
      <c r="R376" s="55" t="s">
        <v>72</v>
      </c>
      <c r="S376" s="55" t="s">
        <v>72</v>
      </c>
      <c r="T376" s="55"/>
      <c r="U376" s="55"/>
      <c r="V376" s="55"/>
      <c r="W376" s="55" t="s">
        <v>72</v>
      </c>
      <c r="X376" s="55" t="s">
        <v>72</v>
      </c>
      <c r="Y376" s="55"/>
      <c r="Z376" s="55"/>
      <c r="AA376" s="55"/>
      <c r="AB376" s="55"/>
      <c r="AC376" s="55"/>
      <c r="AD376" s="55"/>
      <c r="AE376" s="55"/>
      <c r="AF376" s="55"/>
      <c r="AG376" s="55"/>
      <c r="AH376" s="55"/>
      <c r="AI376" s="55"/>
      <c r="AJ376" s="55"/>
      <c r="AK376" s="55" t="s">
        <v>72</v>
      </c>
      <c r="AL376" s="55"/>
      <c r="AM376" s="194"/>
    </row>
    <row r="377" spans="1:39" ht="13.5" hidden="1" thickBot="1" x14ac:dyDescent="0.25">
      <c r="A377" s="47" t="s">
        <v>85</v>
      </c>
      <c r="B377" s="7"/>
      <c r="C377" s="7"/>
      <c r="D377" s="139"/>
      <c r="E377" s="7"/>
      <c r="F377" s="7"/>
      <c r="G377" s="7"/>
      <c r="H377" s="7"/>
      <c r="I377" s="7"/>
      <c r="J377" s="7"/>
      <c r="K377" s="7"/>
      <c r="L377" s="7"/>
      <c r="M377" s="7"/>
      <c r="N377" s="7"/>
      <c r="O377" s="7"/>
    </row>
    <row r="378" spans="1:39" ht="12.75" hidden="1" customHeight="1" x14ac:dyDescent="0.2">
      <c r="A378" s="47" t="s">
        <v>85</v>
      </c>
      <c r="B378" s="243"/>
      <c r="C378" s="243"/>
      <c r="D378" s="243"/>
      <c r="E378" s="243"/>
      <c r="F378" s="613"/>
      <c r="G378" s="614"/>
      <c r="H378" s="614"/>
      <c r="I378" s="614" t="s">
        <v>74</v>
      </c>
      <c r="J378" s="614"/>
      <c r="K378" s="614"/>
      <c r="L378" s="614"/>
      <c r="M378" s="624" t="s">
        <v>431</v>
      </c>
      <c r="N378" s="243"/>
      <c r="O378" s="260"/>
    </row>
    <row r="379" spans="1:39" s="196" customFormat="1" hidden="1" x14ac:dyDescent="0.2">
      <c r="A379" s="2" t="s">
        <v>85</v>
      </c>
      <c r="F379" s="615">
        <v>1</v>
      </c>
      <c r="G379" s="612" t="str">
        <f t="shared" ref="G379:G388" si="0">INDEX(CNTR_MeasurementPoints,F379)</f>
        <v>netaik.</v>
      </c>
      <c r="H379" s="612" t="str">
        <f>IF(G379=EUconst_NA,"",MAX($H$378:H378)+1)</f>
        <v/>
      </c>
      <c r="I379" s="621" t="str">
        <f>IF(COUNTIF($H$379:$H$388,F379)=0,"",INDEX($G$379:$G$388,MATCH(F379,$H$379:$H$388,0)))</f>
        <v/>
      </c>
      <c r="J379" s="612"/>
      <c r="K379" s="612"/>
      <c r="L379" s="612"/>
      <c r="M379" s="625" t="str">
        <f>IF(COUNT(H379:H388)=0,"","$I$"&amp;ROW(I379)&amp;":$I$"&amp; ROW(I379)-1+MAX(1,H379:H388))</f>
        <v/>
      </c>
      <c r="P379" s="197"/>
      <c r="Q379" s="197"/>
      <c r="R379" s="197"/>
      <c r="S379" s="197"/>
      <c r="T379" s="197"/>
      <c r="U379" s="197"/>
      <c r="V379" s="197"/>
      <c r="W379" s="197"/>
      <c r="X379" s="197"/>
      <c r="Y379" s="197"/>
      <c r="Z379" s="197"/>
      <c r="AA379" s="197"/>
      <c r="AB379" s="197"/>
      <c r="AC379" s="197"/>
      <c r="AD379" s="197"/>
      <c r="AE379" s="197"/>
      <c r="AF379" s="197"/>
      <c r="AG379" s="197"/>
      <c r="AH379" s="197"/>
      <c r="AI379" s="197"/>
      <c r="AJ379" s="197"/>
      <c r="AK379" s="197"/>
      <c r="AL379" s="197"/>
    </row>
    <row r="380" spans="1:39" s="196" customFormat="1" hidden="1" x14ac:dyDescent="0.2">
      <c r="A380" s="2" t="s">
        <v>85</v>
      </c>
      <c r="F380" s="616">
        <v>2</v>
      </c>
      <c r="G380" s="612" t="str">
        <f t="shared" si="0"/>
        <v>netaik.</v>
      </c>
      <c r="H380" s="611" t="str">
        <f>IF(G380=EUconst_NA,"",MAX($H$378:H379)+1)</f>
        <v/>
      </c>
      <c r="I380" s="622" t="str">
        <f t="shared" ref="I380:I388" si="1">IF(COUNTIF($H$379:$H$388,F380)=0,"",INDEX($G$379:$G$388,MATCH(F380,$H$379:$H$388,0)))</f>
        <v/>
      </c>
      <c r="J380" s="611"/>
      <c r="K380" s="611"/>
      <c r="L380" s="611"/>
      <c r="M380" s="617"/>
      <c r="P380" s="197"/>
      <c r="Q380" s="197"/>
      <c r="R380" s="197"/>
      <c r="S380" s="197"/>
      <c r="T380" s="197"/>
      <c r="U380" s="197"/>
      <c r="V380" s="197"/>
      <c r="W380" s="197"/>
      <c r="X380" s="197"/>
      <c r="Y380" s="197"/>
      <c r="Z380" s="197"/>
      <c r="AA380" s="197"/>
      <c r="AB380" s="197"/>
      <c r="AC380" s="197"/>
      <c r="AD380" s="197"/>
      <c r="AE380" s="197"/>
      <c r="AF380" s="197"/>
      <c r="AG380" s="197"/>
      <c r="AH380" s="197"/>
      <c r="AI380" s="197"/>
      <c r="AJ380" s="197"/>
      <c r="AK380" s="197"/>
      <c r="AL380" s="197"/>
    </row>
    <row r="381" spans="1:39" s="196" customFormat="1" hidden="1" x14ac:dyDescent="0.2">
      <c r="A381" s="2" t="s">
        <v>85</v>
      </c>
      <c r="F381" s="616">
        <v>3</v>
      </c>
      <c r="G381" s="612" t="str">
        <f t="shared" si="0"/>
        <v>netaik.</v>
      </c>
      <c r="H381" s="611" t="str">
        <f>IF(G381=EUconst_NA,"",MAX($H$378:H380)+1)</f>
        <v/>
      </c>
      <c r="I381" s="622" t="str">
        <f t="shared" si="1"/>
        <v/>
      </c>
      <c r="J381" s="611"/>
      <c r="K381" s="611"/>
      <c r="L381" s="611"/>
      <c r="M381" s="617"/>
      <c r="N381" s="7"/>
      <c r="P381" s="197"/>
      <c r="Q381" s="197"/>
      <c r="R381" s="197"/>
      <c r="S381" s="197"/>
      <c r="T381" s="197"/>
      <c r="U381" s="197"/>
      <c r="V381" s="197"/>
      <c r="W381" s="197"/>
      <c r="X381" s="197"/>
      <c r="Y381" s="197"/>
      <c r="Z381" s="197"/>
      <c r="AA381" s="197"/>
      <c r="AB381" s="197"/>
      <c r="AC381" s="197"/>
      <c r="AD381" s="197"/>
      <c r="AE381" s="197"/>
      <c r="AF381" s="197"/>
      <c r="AG381" s="197"/>
      <c r="AH381" s="197"/>
      <c r="AI381" s="197"/>
      <c r="AJ381" s="197"/>
      <c r="AK381" s="197"/>
      <c r="AL381" s="197"/>
    </row>
    <row r="382" spans="1:39" s="196" customFormat="1" hidden="1" x14ac:dyDescent="0.2">
      <c r="A382" s="2" t="s">
        <v>85</v>
      </c>
      <c r="F382" s="616">
        <v>4</v>
      </c>
      <c r="G382" s="612" t="str">
        <f t="shared" si="0"/>
        <v>netaik.</v>
      </c>
      <c r="H382" s="611" t="str">
        <f>IF(G382=EUconst_NA,"",MAX($H$378:H381)+1)</f>
        <v/>
      </c>
      <c r="I382" s="622" t="str">
        <f t="shared" si="1"/>
        <v/>
      </c>
      <c r="J382" s="611"/>
      <c r="K382" s="611"/>
      <c r="L382" s="611"/>
      <c r="M382" s="617"/>
      <c r="P382" s="197"/>
      <c r="Q382" s="197"/>
      <c r="R382" s="197"/>
      <c r="S382" s="197"/>
      <c r="T382" s="197"/>
      <c r="U382" s="197"/>
      <c r="V382" s="197"/>
      <c r="W382" s="197"/>
      <c r="X382" s="197"/>
      <c r="Y382" s="197"/>
      <c r="Z382" s="197"/>
      <c r="AA382" s="197"/>
      <c r="AB382" s="197"/>
      <c r="AC382" s="197"/>
      <c r="AD382" s="197"/>
      <c r="AE382" s="197"/>
      <c r="AF382" s="197"/>
      <c r="AG382" s="197"/>
      <c r="AH382" s="197"/>
      <c r="AI382" s="197"/>
      <c r="AJ382" s="197"/>
      <c r="AK382" s="197"/>
      <c r="AL382" s="197"/>
    </row>
    <row r="383" spans="1:39" s="196" customFormat="1" hidden="1" x14ac:dyDescent="0.2">
      <c r="A383" s="2" t="s">
        <v>85</v>
      </c>
      <c r="F383" s="616">
        <v>5</v>
      </c>
      <c r="G383" s="612" t="str">
        <f t="shared" si="0"/>
        <v>netaik.</v>
      </c>
      <c r="H383" s="611" t="str">
        <f>IF(G383=EUconst_NA,"",MAX($H$378:H382)+1)</f>
        <v/>
      </c>
      <c r="I383" s="622" t="str">
        <f t="shared" si="1"/>
        <v/>
      </c>
      <c r="J383" s="611"/>
      <c r="K383" s="611"/>
      <c r="L383" s="611"/>
      <c r="M383" s="617"/>
      <c r="P383" s="197"/>
      <c r="Q383" s="197"/>
      <c r="R383" s="197"/>
      <c r="S383" s="197"/>
      <c r="T383" s="197"/>
      <c r="U383" s="197"/>
      <c r="V383" s="197"/>
      <c r="W383" s="197"/>
      <c r="X383" s="197"/>
      <c r="Y383" s="197"/>
      <c r="Z383" s="197"/>
      <c r="AA383" s="197"/>
      <c r="AB383" s="197"/>
      <c r="AC383" s="197"/>
      <c r="AD383" s="197"/>
      <c r="AE383" s="197"/>
      <c r="AF383" s="197"/>
      <c r="AG383" s="197"/>
      <c r="AH383" s="197"/>
      <c r="AI383" s="197"/>
      <c r="AJ383" s="197"/>
      <c r="AK383" s="197"/>
      <c r="AL383" s="197"/>
    </row>
    <row r="384" spans="1:39" s="196" customFormat="1" hidden="1" x14ac:dyDescent="0.2">
      <c r="A384" s="2" t="s">
        <v>85</v>
      </c>
      <c r="F384" s="616">
        <v>6</v>
      </c>
      <c r="G384" s="612" t="str">
        <f t="shared" si="0"/>
        <v>netaik.</v>
      </c>
      <c r="H384" s="611" t="str">
        <f>IF(G384=EUconst_NA,"",MAX($H$378:H383)+1)</f>
        <v/>
      </c>
      <c r="I384" s="622" t="str">
        <f t="shared" si="1"/>
        <v/>
      </c>
      <c r="J384" s="611"/>
      <c r="K384" s="611"/>
      <c r="L384" s="611"/>
      <c r="M384" s="617"/>
      <c r="P384" s="197"/>
      <c r="Q384" s="197"/>
      <c r="R384" s="197"/>
      <c r="S384" s="197"/>
      <c r="T384" s="197"/>
      <c r="U384" s="197"/>
      <c r="V384" s="197"/>
      <c r="W384" s="197"/>
      <c r="X384" s="197"/>
      <c r="Y384" s="197"/>
      <c r="Z384" s="197"/>
      <c r="AA384" s="197"/>
      <c r="AB384" s="197"/>
      <c r="AC384" s="197"/>
      <c r="AD384" s="197"/>
      <c r="AE384" s="197"/>
      <c r="AF384" s="197"/>
      <c r="AG384" s="197"/>
      <c r="AH384" s="197"/>
      <c r="AI384" s="197"/>
      <c r="AJ384" s="197"/>
      <c r="AK384" s="197"/>
      <c r="AL384" s="197"/>
    </row>
    <row r="385" spans="1:38" s="196" customFormat="1" hidden="1" x14ac:dyDescent="0.2">
      <c r="A385" s="2" t="s">
        <v>85</v>
      </c>
      <c r="F385" s="616">
        <v>7</v>
      </c>
      <c r="G385" s="612" t="str">
        <f t="shared" si="0"/>
        <v>netaik.</v>
      </c>
      <c r="H385" s="611" t="str">
        <f>IF(G385=EUconst_NA,"",MAX($H$378:H384)+1)</f>
        <v/>
      </c>
      <c r="I385" s="622" t="str">
        <f t="shared" si="1"/>
        <v/>
      </c>
      <c r="J385" s="611"/>
      <c r="K385" s="611"/>
      <c r="L385" s="611"/>
      <c r="M385" s="617"/>
      <c r="P385" s="197"/>
      <c r="Q385" s="197"/>
      <c r="R385" s="197"/>
      <c r="S385" s="197"/>
      <c r="T385" s="197"/>
      <c r="U385" s="197"/>
      <c r="V385" s="197"/>
      <c r="W385" s="197"/>
      <c r="X385" s="197"/>
      <c r="Y385" s="197"/>
      <c r="Z385" s="197"/>
      <c r="AA385" s="197"/>
      <c r="AB385" s="197"/>
      <c r="AC385" s="197"/>
      <c r="AD385" s="197"/>
      <c r="AE385" s="197"/>
      <c r="AF385" s="197"/>
      <c r="AG385" s="197"/>
      <c r="AH385" s="197"/>
      <c r="AI385" s="197"/>
      <c r="AJ385" s="197"/>
      <c r="AK385" s="197"/>
      <c r="AL385" s="197"/>
    </row>
    <row r="386" spans="1:38" s="196" customFormat="1" hidden="1" x14ac:dyDescent="0.2">
      <c r="A386" s="2" t="s">
        <v>85</v>
      </c>
      <c r="F386" s="616">
        <v>8</v>
      </c>
      <c r="G386" s="612" t="str">
        <f t="shared" si="0"/>
        <v>netaik.</v>
      </c>
      <c r="H386" s="611" t="str">
        <f>IF(G386=EUconst_NA,"",MAX($H$378:H385)+1)</f>
        <v/>
      </c>
      <c r="I386" s="622" t="str">
        <f t="shared" si="1"/>
        <v/>
      </c>
      <c r="J386" s="611"/>
      <c r="K386" s="611"/>
      <c r="L386" s="611"/>
      <c r="M386" s="617"/>
      <c r="P386" s="197"/>
      <c r="Q386" s="197"/>
      <c r="R386" s="197"/>
      <c r="S386" s="197"/>
      <c r="T386" s="197"/>
      <c r="U386" s="197"/>
      <c r="V386" s="197"/>
      <c r="W386" s="197"/>
      <c r="X386" s="197"/>
      <c r="Y386" s="197"/>
      <c r="Z386" s="197"/>
      <c r="AA386" s="197"/>
      <c r="AB386" s="197"/>
      <c r="AC386" s="197"/>
      <c r="AD386" s="197"/>
      <c r="AE386" s="197"/>
      <c r="AF386" s="197"/>
      <c r="AG386" s="197"/>
      <c r="AH386" s="197"/>
      <c r="AI386" s="197"/>
      <c r="AJ386" s="197"/>
      <c r="AK386" s="197"/>
      <c r="AL386" s="197"/>
    </row>
    <row r="387" spans="1:38" s="196" customFormat="1" hidden="1" x14ac:dyDescent="0.2">
      <c r="A387" s="2" t="s">
        <v>85</v>
      </c>
      <c r="F387" s="616">
        <v>9</v>
      </c>
      <c r="G387" s="612" t="str">
        <f t="shared" si="0"/>
        <v>netaik.</v>
      </c>
      <c r="H387" s="611" t="str">
        <f>IF(G387=EUconst_NA,"",MAX($H$378:H386)+1)</f>
        <v/>
      </c>
      <c r="I387" s="622" t="str">
        <f t="shared" si="1"/>
        <v/>
      </c>
      <c r="J387" s="611"/>
      <c r="K387" s="611"/>
      <c r="L387" s="611"/>
      <c r="M387" s="617"/>
      <c r="P387" s="197"/>
      <c r="Q387" s="197"/>
      <c r="R387" s="197"/>
      <c r="S387" s="197"/>
      <c r="T387" s="197"/>
      <c r="U387" s="197"/>
      <c r="V387" s="197"/>
      <c r="W387" s="197"/>
      <c r="X387" s="197"/>
      <c r="Y387" s="197"/>
      <c r="Z387" s="197"/>
      <c r="AA387" s="197"/>
      <c r="AB387" s="197"/>
      <c r="AC387" s="197"/>
      <c r="AD387" s="197"/>
      <c r="AE387" s="197"/>
      <c r="AF387" s="197"/>
      <c r="AG387" s="197"/>
      <c r="AH387" s="197"/>
      <c r="AI387" s="197"/>
      <c r="AJ387" s="197"/>
      <c r="AK387" s="197"/>
      <c r="AL387" s="197"/>
    </row>
    <row r="388" spans="1:38" s="196" customFormat="1" ht="13.5" hidden="1" thickBot="1" x14ac:dyDescent="0.25">
      <c r="A388" s="2" t="s">
        <v>85</v>
      </c>
      <c r="F388" s="618">
        <v>10</v>
      </c>
      <c r="G388" s="634" t="str">
        <f t="shared" si="0"/>
        <v>netaik.</v>
      </c>
      <c r="H388" s="619" t="str">
        <f>IF(G388=EUconst_NA,"",MAX($H$378:H387)+1)</f>
        <v/>
      </c>
      <c r="I388" s="623" t="str">
        <f t="shared" si="1"/>
        <v/>
      </c>
      <c r="J388" s="619"/>
      <c r="K388" s="619"/>
      <c r="L388" s="619"/>
      <c r="M388" s="620"/>
      <c r="P388" s="197"/>
      <c r="Q388" s="197"/>
      <c r="R388" s="197"/>
      <c r="S388" s="197"/>
      <c r="T388" s="197"/>
      <c r="U388" s="197"/>
      <c r="V388" s="197"/>
      <c r="W388" s="197"/>
      <c r="X388" s="197"/>
      <c r="Y388" s="197"/>
      <c r="Z388" s="197"/>
      <c r="AA388" s="197"/>
      <c r="AB388" s="197"/>
      <c r="AC388" s="197"/>
      <c r="AD388" s="197"/>
      <c r="AE388" s="197"/>
      <c r="AF388" s="197"/>
      <c r="AG388" s="197"/>
      <c r="AH388" s="197"/>
      <c r="AI388" s="197"/>
      <c r="AJ388" s="197"/>
      <c r="AK388" s="197"/>
      <c r="AL388" s="197"/>
    </row>
    <row r="389" spans="1:38" hidden="1" x14ac:dyDescent="0.2">
      <c r="A389" s="47" t="s">
        <v>85</v>
      </c>
      <c r="B389" s="7"/>
      <c r="C389" s="7"/>
      <c r="D389" s="139"/>
      <c r="E389" s="7"/>
      <c r="F389" s="7"/>
      <c r="G389" s="7"/>
      <c r="H389" s="7"/>
      <c r="I389" s="7"/>
      <c r="J389" s="7"/>
      <c r="K389" s="7"/>
      <c r="L389" s="7"/>
      <c r="M389" s="7"/>
      <c r="N389" s="7"/>
      <c r="O389" s="7"/>
      <c r="P389" s="7"/>
      <c r="Q389" s="1"/>
      <c r="R389" s="1"/>
      <c r="S389" s="1"/>
      <c r="T389" s="1"/>
      <c r="U389" s="1"/>
      <c r="V389" s="1"/>
      <c r="W389" s="1"/>
      <c r="X389" s="1"/>
      <c r="Y389" s="1"/>
      <c r="Z389" s="1"/>
      <c r="AA389" s="1"/>
      <c r="AB389" s="1"/>
      <c r="AC389" s="1"/>
      <c r="AD389" s="1"/>
      <c r="AE389" s="1"/>
      <c r="AF389" s="1"/>
      <c r="AG389" s="1"/>
      <c r="AH389" s="1"/>
      <c r="AI389" s="1"/>
      <c r="AJ389" s="1"/>
      <c r="AK389" s="1"/>
      <c r="AL389" s="1"/>
    </row>
  </sheetData>
  <sheetProtection formatCells="0" formatColumns="0" formatRows="0"/>
  <mergeCells count="170">
    <mergeCell ref="F372:L372"/>
    <mergeCell ref="I46:N46"/>
    <mergeCell ref="G22:J22"/>
    <mergeCell ref="J31:M31"/>
    <mergeCell ref="E53:N53"/>
    <mergeCell ref="I48:N48"/>
    <mergeCell ref="E22:F22"/>
    <mergeCell ref="G4:H4"/>
    <mergeCell ref="J30:M30"/>
    <mergeCell ref="F17:N17"/>
    <mergeCell ref="K8:N8"/>
    <mergeCell ref="M4:N4"/>
    <mergeCell ref="I47:N47"/>
    <mergeCell ref="C6:K6"/>
    <mergeCell ref="F18:N18"/>
    <mergeCell ref="F14:N14"/>
    <mergeCell ref="G15:N15"/>
    <mergeCell ref="G16:N16"/>
    <mergeCell ref="E57:F57"/>
    <mergeCell ref="G57:J57"/>
    <mergeCell ref="E13:E14"/>
    <mergeCell ref="E17:E18"/>
    <mergeCell ref="F19:N19"/>
    <mergeCell ref="F13:N13"/>
    <mergeCell ref="B2:D4"/>
    <mergeCell ref="E54:N54"/>
    <mergeCell ref="L6:N6"/>
    <mergeCell ref="K2:L2"/>
    <mergeCell ref="I49:N49"/>
    <mergeCell ref="E4:F4"/>
    <mergeCell ref="I4:J4"/>
    <mergeCell ref="F12:N12"/>
    <mergeCell ref="I2:J2"/>
    <mergeCell ref="E52:N52"/>
    <mergeCell ref="E31:I31"/>
    <mergeCell ref="E44:N44"/>
    <mergeCell ref="E28:N28"/>
    <mergeCell ref="E92:F92"/>
    <mergeCell ref="G92:J92"/>
    <mergeCell ref="I81:N81"/>
    <mergeCell ref="I82:N82"/>
    <mergeCell ref="I83:N83"/>
    <mergeCell ref="I84:N84"/>
    <mergeCell ref="E63:N63"/>
    <mergeCell ref="G3:H3"/>
    <mergeCell ref="K3:L3"/>
    <mergeCell ref="M2:N2"/>
    <mergeCell ref="E87:N87"/>
    <mergeCell ref="E88:N88"/>
    <mergeCell ref="E89:N89"/>
    <mergeCell ref="I3:J3"/>
    <mergeCell ref="J65:M65"/>
    <mergeCell ref="E66:I66"/>
    <mergeCell ref="J66:M66"/>
    <mergeCell ref="E79:N79"/>
    <mergeCell ref="G2:H2"/>
    <mergeCell ref="M3:N3"/>
    <mergeCell ref="K4:L4"/>
    <mergeCell ref="E2:F2"/>
    <mergeCell ref="E3:F3"/>
    <mergeCell ref="I117:N117"/>
    <mergeCell ref="I118:N118"/>
    <mergeCell ref="I119:N119"/>
    <mergeCell ref="E122:N122"/>
    <mergeCell ref="E123:N123"/>
    <mergeCell ref="E124:N124"/>
    <mergeCell ref="E98:N98"/>
    <mergeCell ref="J100:M100"/>
    <mergeCell ref="E101:I101"/>
    <mergeCell ref="J101:M101"/>
    <mergeCell ref="E114:N114"/>
    <mergeCell ref="I116:N116"/>
    <mergeCell ref="E149:N149"/>
    <mergeCell ref="I151:N151"/>
    <mergeCell ref="I152:N152"/>
    <mergeCell ref="I153:N153"/>
    <mergeCell ref="I154:N154"/>
    <mergeCell ref="E157:N157"/>
    <mergeCell ref="E127:F127"/>
    <mergeCell ref="G127:J127"/>
    <mergeCell ref="E133:N133"/>
    <mergeCell ref="J135:M135"/>
    <mergeCell ref="E136:I136"/>
    <mergeCell ref="J136:M136"/>
    <mergeCell ref="E171:I171"/>
    <mergeCell ref="J171:M171"/>
    <mergeCell ref="E184:N184"/>
    <mergeCell ref="I186:N186"/>
    <mergeCell ref="I187:N187"/>
    <mergeCell ref="I188:N188"/>
    <mergeCell ref="E158:N158"/>
    <mergeCell ref="E159:N159"/>
    <mergeCell ref="E162:F162"/>
    <mergeCell ref="G162:J162"/>
    <mergeCell ref="E168:N168"/>
    <mergeCell ref="J170:M170"/>
    <mergeCell ref="E203:N203"/>
    <mergeCell ref="J205:M205"/>
    <mergeCell ref="E206:I206"/>
    <mergeCell ref="J206:M206"/>
    <mergeCell ref="E219:N219"/>
    <mergeCell ref="I221:N221"/>
    <mergeCell ref="I189:N189"/>
    <mergeCell ref="E192:N192"/>
    <mergeCell ref="E193:N193"/>
    <mergeCell ref="E194:N194"/>
    <mergeCell ref="E197:F197"/>
    <mergeCell ref="G197:J197"/>
    <mergeCell ref="E232:F232"/>
    <mergeCell ref="G232:J232"/>
    <mergeCell ref="E238:N238"/>
    <mergeCell ref="J240:M240"/>
    <mergeCell ref="E241:I241"/>
    <mergeCell ref="J241:M241"/>
    <mergeCell ref="I222:N222"/>
    <mergeCell ref="I223:N223"/>
    <mergeCell ref="I224:N224"/>
    <mergeCell ref="E227:N227"/>
    <mergeCell ref="E228:N228"/>
    <mergeCell ref="E229:N229"/>
    <mergeCell ref="E263:N263"/>
    <mergeCell ref="E264:N264"/>
    <mergeCell ref="E267:F267"/>
    <mergeCell ref="G267:J267"/>
    <mergeCell ref="E273:N273"/>
    <mergeCell ref="J275:M275"/>
    <mergeCell ref="E254:N254"/>
    <mergeCell ref="I256:N256"/>
    <mergeCell ref="I257:N257"/>
    <mergeCell ref="I258:N258"/>
    <mergeCell ref="I259:N259"/>
    <mergeCell ref="E262:N262"/>
    <mergeCell ref="I294:N294"/>
    <mergeCell ref="E297:N297"/>
    <mergeCell ref="E298:N298"/>
    <mergeCell ref="E299:N299"/>
    <mergeCell ref="E302:F302"/>
    <mergeCell ref="G302:J302"/>
    <mergeCell ref="E276:I276"/>
    <mergeCell ref="J276:M276"/>
    <mergeCell ref="E289:N289"/>
    <mergeCell ref="I291:N291"/>
    <mergeCell ref="I292:N292"/>
    <mergeCell ref="I293:N293"/>
    <mergeCell ref="I327:N327"/>
    <mergeCell ref="I328:N328"/>
    <mergeCell ref="I329:N329"/>
    <mergeCell ref="E332:N332"/>
    <mergeCell ref="E333:N333"/>
    <mergeCell ref="E334:N334"/>
    <mergeCell ref="E308:N308"/>
    <mergeCell ref="J310:M310"/>
    <mergeCell ref="E311:I311"/>
    <mergeCell ref="J311:M311"/>
    <mergeCell ref="E324:N324"/>
    <mergeCell ref="I326:N326"/>
    <mergeCell ref="E359:N359"/>
    <mergeCell ref="I361:N361"/>
    <mergeCell ref="E368:N368"/>
    <mergeCell ref="E369:N369"/>
    <mergeCell ref="I362:N362"/>
    <mergeCell ref="I363:N363"/>
    <mergeCell ref="I364:N364"/>
    <mergeCell ref="E367:N367"/>
    <mergeCell ref="E337:F337"/>
    <mergeCell ref="G337:J337"/>
    <mergeCell ref="E343:N343"/>
    <mergeCell ref="J345:M345"/>
    <mergeCell ref="E346:I346"/>
    <mergeCell ref="J346:M346"/>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3"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1" hidden="1" customWidth="1"/>
    <col min="2" max="4" width="5.7109375" style="1" customWidth="1"/>
    <col min="5" max="14" width="12.7109375" style="1" customWidth="1"/>
    <col min="15" max="15" width="7.7109375" style="200" customWidth="1"/>
    <col min="16" max="16" width="15.7109375" style="1" hidden="1" customWidth="1"/>
    <col min="17" max="25" width="12.7109375" style="45" hidden="1" customWidth="1"/>
    <col min="26" max="16384" width="11.42578125" style="1"/>
  </cols>
  <sheetData>
    <row r="1" spans="1:25" ht="13.5" hidden="1" thickBot="1" x14ac:dyDescent="0.25">
      <c r="A1" s="734" t="s">
        <v>85</v>
      </c>
      <c r="B1" s="735"/>
      <c r="C1" s="735"/>
      <c r="D1" s="738"/>
      <c r="E1" s="735"/>
      <c r="F1" s="735"/>
      <c r="G1" s="735"/>
      <c r="H1" s="735"/>
      <c r="I1" s="735"/>
      <c r="J1" s="735"/>
      <c r="K1" s="735"/>
      <c r="L1" s="735"/>
      <c r="M1" s="735"/>
      <c r="N1" s="735"/>
      <c r="O1" s="739"/>
      <c r="P1" s="1" t="s">
        <v>85</v>
      </c>
      <c r="Q1" s="45" t="s">
        <v>85</v>
      </c>
      <c r="R1" s="45" t="s">
        <v>85</v>
      </c>
      <c r="S1" s="45" t="s">
        <v>85</v>
      </c>
      <c r="T1" s="45" t="s">
        <v>85</v>
      </c>
      <c r="U1" s="45" t="s">
        <v>85</v>
      </c>
      <c r="V1" s="45" t="s">
        <v>85</v>
      </c>
      <c r="W1" s="45" t="s">
        <v>85</v>
      </c>
      <c r="X1" s="45" t="s">
        <v>85</v>
      </c>
      <c r="Y1" s="45" t="s">
        <v>85</v>
      </c>
    </row>
    <row r="2" spans="1:25" ht="24.95" customHeight="1" thickBot="1" x14ac:dyDescent="0.25">
      <c r="A2" s="740"/>
      <c r="B2" s="1476" t="str">
        <f>Translations!$B$702</f>
        <v>E. Fall-back approaches (Alternatyvūs metodai)</v>
      </c>
      <c r="C2" s="1637"/>
      <c r="D2" s="1638"/>
      <c r="E2" s="1488" t="str">
        <f>Translations!$B$23</f>
        <v>Naršymo laukas</v>
      </c>
      <c r="F2" s="1444"/>
      <c r="G2" s="1426" t="str">
        <f>Translations!$B$24</f>
        <v>Turinys</v>
      </c>
      <c r="H2" s="1427"/>
      <c r="I2" s="1426" t="str">
        <f>Translations!$B$25</f>
        <v>Ankstesnis lapas</v>
      </c>
      <c r="J2" s="1427"/>
      <c r="K2" s="1426" t="str">
        <f>Translations!$B$26</f>
        <v>Kitas lapas</v>
      </c>
      <c r="L2" s="1427"/>
      <c r="M2" s="1426"/>
      <c r="N2" s="1427"/>
      <c r="O2" s="827"/>
    </row>
    <row r="3" spans="1:25" ht="24.95" customHeight="1" x14ac:dyDescent="0.2">
      <c r="A3" s="740"/>
      <c r="B3" s="1639"/>
      <c r="C3" s="1640"/>
      <c r="D3" s="1641"/>
      <c r="E3" s="1431" t="str">
        <f>Translations!$B$27</f>
        <v>Lapo viršus</v>
      </c>
      <c r="F3" s="1431"/>
      <c r="G3" s="1431"/>
      <c r="H3" s="1431"/>
      <c r="I3" s="1431"/>
      <c r="J3" s="1431"/>
      <c r="K3" s="1431"/>
      <c r="L3" s="1431"/>
      <c r="M3" s="1431"/>
      <c r="N3" s="1431"/>
      <c r="O3" s="721"/>
    </row>
    <row r="4" spans="1:25" ht="24.95" customHeight="1" x14ac:dyDescent="0.2">
      <c r="A4" s="740"/>
      <c r="B4" s="1639"/>
      <c r="C4" s="1640"/>
      <c r="D4" s="1641"/>
      <c r="E4" s="1439" t="str">
        <f>Translations!$B$28</f>
        <v>Lapo galas</v>
      </c>
      <c r="F4" s="1439"/>
      <c r="G4" s="1662"/>
      <c r="H4" s="1439"/>
      <c r="I4" s="1439"/>
      <c r="J4" s="1439"/>
      <c r="K4" s="1439"/>
      <c r="L4" s="1439"/>
      <c r="M4" s="1439"/>
      <c r="N4" s="1439"/>
      <c r="O4" s="721"/>
    </row>
    <row r="5" spans="1:25" ht="12.75" customHeight="1" thickBot="1" x14ac:dyDescent="0.25">
      <c r="A5" s="741"/>
      <c r="B5" s="1241"/>
      <c r="C5" s="1322"/>
      <c r="D5" s="1245"/>
      <c r="E5" s="1244"/>
      <c r="F5" s="1245"/>
      <c r="G5" s="1245"/>
      <c r="H5" s="1245"/>
      <c r="I5" s="1244"/>
      <c r="J5" s="1244"/>
      <c r="K5" s="1244"/>
      <c r="L5" s="1244"/>
      <c r="M5" s="1246"/>
      <c r="N5" s="1246"/>
      <c r="O5" s="1247"/>
    </row>
    <row r="6" spans="1:25" s="138" customFormat="1" ht="25.5" customHeight="1" thickBot="1" x14ac:dyDescent="0.25">
      <c r="A6" s="742"/>
      <c r="B6" s="1248"/>
      <c r="C6" s="1492" t="str">
        <f>Translations!$B$703</f>
        <v>E. Alternatyvūs metodai</v>
      </c>
      <c r="D6" s="1492"/>
      <c r="E6" s="1492"/>
      <c r="F6" s="1492"/>
      <c r="G6" s="1492"/>
      <c r="H6" s="1492"/>
      <c r="I6" s="1492"/>
      <c r="J6" s="1492"/>
      <c r="K6" s="1492"/>
      <c r="L6" s="1642" t="str">
        <f>IF(CNTR_InstHasFallBack=TRUE,EUconst_Relevant,IF(COUNTA(CNTR_ListRelevantSections)&gt;0,EUconst_NotRelevant,EUconst_Relevant))</f>
        <v>nesvarbu</v>
      </c>
      <c r="M6" s="1643"/>
      <c r="N6" s="1644"/>
      <c r="O6" s="1305"/>
      <c r="Q6" s="929" t="s">
        <v>89</v>
      </c>
      <c r="R6" s="238"/>
      <c r="S6" s="238"/>
      <c r="T6" s="238"/>
      <c r="U6" s="238"/>
      <c r="V6" s="238"/>
      <c r="W6" s="238"/>
      <c r="X6" s="238"/>
      <c r="Y6" s="238"/>
    </row>
    <row r="7" spans="1:25" s="138" customFormat="1" ht="5.0999999999999996" customHeight="1" x14ac:dyDescent="0.2">
      <c r="A7" s="742"/>
      <c r="B7" s="1248"/>
      <c r="C7" s="743"/>
      <c r="D7" s="744"/>
      <c r="E7" s="743"/>
      <c r="F7" s="743"/>
      <c r="G7" s="743"/>
      <c r="H7" s="743"/>
      <c r="I7" s="743"/>
      <c r="J7" s="743"/>
      <c r="K7" s="743"/>
      <c r="L7" s="150"/>
      <c r="M7" s="150"/>
      <c r="N7" s="150"/>
      <c r="O7" s="1305"/>
      <c r="Q7" s="238"/>
      <c r="R7" s="238"/>
      <c r="S7" s="238"/>
      <c r="T7" s="238"/>
      <c r="U7" s="238"/>
      <c r="V7" s="238"/>
      <c r="W7" s="238"/>
      <c r="X7" s="238"/>
      <c r="Y7" s="238"/>
    </row>
    <row r="8" spans="1:25" x14ac:dyDescent="0.2">
      <c r="A8" s="741"/>
      <c r="B8" s="1250"/>
      <c r="C8" s="200"/>
      <c r="D8" s="6"/>
      <c r="E8" s="200"/>
      <c r="F8" s="200"/>
      <c r="G8" s="200"/>
      <c r="H8" s="200"/>
      <c r="I8" s="200"/>
      <c r="J8" s="200"/>
      <c r="K8" s="1572" t="str">
        <f>IF(L6=EUconst_NotRelevant,HYPERLINK("#JUMP_14",EUconst_MsgNextSheet),HYPERLINK("",EUconst_MsgEnterThisSection))</f>
        <v xml:space="preserve">&lt;&lt;&lt; Į kitą lapą pereisite paspaudę čia &gt;&gt;&gt; </v>
      </c>
      <c r="L8" s="1572"/>
      <c r="M8" s="1572"/>
      <c r="N8" s="1572"/>
      <c r="O8" s="1251"/>
    </row>
    <row r="9" spans="1:25" ht="5.0999999999999996" customHeight="1" x14ac:dyDescent="0.2">
      <c r="A9" s="791"/>
      <c r="B9" s="1323"/>
      <c r="C9" s="9"/>
      <c r="D9" s="792"/>
      <c r="E9" s="258"/>
      <c r="F9" s="195"/>
      <c r="G9" s="258"/>
      <c r="H9" s="258"/>
      <c r="I9" s="258"/>
      <c r="J9" s="258"/>
      <c r="K9" s="258"/>
      <c r="L9" s="258"/>
      <c r="M9" s="258"/>
      <c r="N9" s="258"/>
      <c r="O9" s="1324"/>
    </row>
    <row r="10" spans="1:25" s="28" customFormat="1" ht="18.75" customHeight="1" x14ac:dyDescent="0.2">
      <c r="A10" s="777"/>
      <c r="B10" s="1306"/>
      <c r="C10" s="708">
        <v>10</v>
      </c>
      <c r="D10" s="1592" t="str">
        <f>Translations!$B$704</f>
        <v>Išmetamųjų ŠESD kiekio nustatymas taikant alternatyvius metodus</v>
      </c>
      <c r="E10" s="1592"/>
      <c r="F10" s="1592"/>
      <c r="G10" s="1592"/>
      <c r="H10" s="1592"/>
      <c r="I10" s="1592"/>
      <c r="J10" s="1592"/>
      <c r="K10" s="1592"/>
      <c r="L10" s="1592"/>
      <c r="M10" s="1592"/>
      <c r="N10" s="1592"/>
      <c r="O10" s="1276"/>
      <c r="P10" s="1"/>
      <c r="Q10" s="56"/>
      <c r="R10" s="56"/>
      <c r="S10" s="56"/>
      <c r="T10" s="58"/>
      <c r="U10" s="58"/>
      <c r="V10" s="58"/>
      <c r="W10" s="58"/>
      <c r="X10" s="58"/>
      <c r="Y10" s="58"/>
    </row>
    <row r="11" spans="1:25" s="28" customFormat="1" ht="12.75" customHeight="1" x14ac:dyDescent="0.2">
      <c r="A11" s="777"/>
      <c r="B11" s="1306"/>
      <c r="C11" s="798"/>
      <c r="D11" s="798"/>
      <c r="E11" s="798"/>
      <c r="F11" s="798"/>
      <c r="G11" s="798"/>
      <c r="H11" s="798"/>
      <c r="I11" s="798"/>
      <c r="J11" s="798"/>
      <c r="K11" s="798"/>
      <c r="L11" s="798"/>
      <c r="M11" s="798"/>
      <c r="N11" s="798"/>
      <c r="O11" s="1276"/>
      <c r="P11" s="1"/>
      <c r="Q11" s="56"/>
      <c r="R11" s="56"/>
      <c r="S11" s="56"/>
      <c r="T11" s="58"/>
      <c r="U11" s="58"/>
      <c r="V11" s="58"/>
      <c r="W11" s="58"/>
      <c r="X11" s="58"/>
      <c r="Y11" s="58"/>
    </row>
    <row r="12" spans="1:25" s="382" customFormat="1" ht="12.75" customHeight="1" x14ac:dyDescent="0.2">
      <c r="A12" s="778"/>
      <c r="B12" s="1308"/>
      <c r="C12" s="140"/>
      <c r="D12" s="1658" t="str">
        <f>Translations!$B$686</f>
        <v>Bendras deginant iškastinį kurą išmestas ŠESD kiekis:</v>
      </c>
      <c r="E12" s="1658"/>
      <c r="F12" s="1617" t="str">
        <f>Translations!$B$705</f>
        <v>Ši vertė turėtų būti susijusi su visu išmetamųjų ŠESD kiekiu, atitinkančiu šias sąlygas:</v>
      </c>
      <c r="G12" s="1617"/>
      <c r="H12" s="1617"/>
      <c r="I12" s="1617"/>
      <c r="J12" s="1617"/>
      <c r="K12" s="1617"/>
      <c r="L12" s="1617"/>
      <c r="M12" s="1617"/>
      <c r="N12" s="1617"/>
      <c r="O12" s="1309"/>
      <c r="P12" s="1"/>
      <c r="Q12" s="149"/>
      <c r="R12" s="149"/>
      <c r="S12" s="23"/>
      <c r="T12" s="23"/>
      <c r="U12" s="23"/>
      <c r="V12" s="23"/>
      <c r="W12" s="23"/>
      <c r="X12" s="23"/>
      <c r="Y12" s="23"/>
    </row>
    <row r="13" spans="1:25" s="382" customFormat="1" ht="24" customHeight="1" x14ac:dyDescent="0.2">
      <c r="A13" s="778"/>
      <c r="B13" s="1308"/>
      <c r="C13" s="140"/>
      <c r="D13" s="1659"/>
      <c r="E13" s="1659"/>
      <c r="F13" s="235" t="s">
        <v>258</v>
      </c>
      <c r="G13" s="1570" t="str">
        <f>Translations!$B$706</f>
        <v>išmetamųjų ŠESD šaltinis yra iškastinis kuras arba medžiagos, įskaitant iškastinio kuro dalį mišriose medžiagose, sudarytose iš iškastinio kuro ir biomasės;</v>
      </c>
      <c r="H13" s="1570"/>
      <c r="I13" s="1570"/>
      <c r="J13" s="1570"/>
      <c r="K13" s="1570"/>
      <c r="L13" s="1570"/>
      <c r="M13" s="1570"/>
      <c r="N13" s="1570"/>
      <c r="O13" s="1309"/>
      <c r="P13" s="1"/>
      <c r="Q13" s="149"/>
      <c r="R13" s="149"/>
      <c r="S13" s="23"/>
      <c r="T13" s="23"/>
      <c r="U13" s="23"/>
      <c r="V13" s="23"/>
      <c r="W13" s="23"/>
      <c r="X13" s="23"/>
      <c r="Y13" s="23"/>
    </row>
    <row r="14" spans="1:25" s="382" customFormat="1" ht="12.75" customHeight="1" x14ac:dyDescent="0.2">
      <c r="A14" s="778"/>
      <c r="B14" s="1308"/>
      <c r="C14" s="140"/>
      <c r="D14" s="926"/>
      <c r="E14" s="230"/>
      <c r="F14" s="233" t="s">
        <v>258</v>
      </c>
      <c r="G14" s="1570" t="str">
        <f>Translations!$B$707</f>
        <v>išmetamųjų ŠESD šaltinis yra biomasė, kuriai taikomi tvarumo kriterijai ir kuri tų kriterijų neatitinka.</v>
      </c>
      <c r="H14" s="1570"/>
      <c r="I14" s="1570"/>
      <c r="J14" s="1570"/>
      <c r="K14" s="1570"/>
      <c r="L14" s="1570"/>
      <c r="M14" s="1570"/>
      <c r="N14" s="1570"/>
      <c r="O14" s="1309"/>
      <c r="P14" s="1"/>
      <c r="Q14" s="149"/>
      <c r="R14" s="149"/>
      <c r="S14" s="23"/>
      <c r="T14" s="23"/>
      <c r="U14" s="23"/>
      <c r="V14" s="23"/>
      <c r="W14" s="23"/>
      <c r="X14" s="23"/>
      <c r="Y14" s="23"/>
    </row>
    <row r="15" spans="1:25" s="382" customFormat="1" ht="12.75" customHeight="1" x14ac:dyDescent="0.2">
      <c r="A15" s="778"/>
      <c r="B15" s="1308"/>
      <c r="C15" s="140"/>
      <c r="D15" s="1658" t="str">
        <f>Translations!$B$687</f>
        <v>Bendras deginant biomasę išmestas ŠESD kiekis:</v>
      </c>
      <c r="E15" s="1658"/>
      <c r="F15" s="1617" t="str">
        <f>Translations!$B$643</f>
        <v>Ši vertė turėtų būti susijusi su visa biomase, atitinkančia šias sąlygas:</v>
      </c>
      <c r="G15" s="1617"/>
      <c r="H15" s="1617"/>
      <c r="I15" s="1617"/>
      <c r="J15" s="1617"/>
      <c r="K15" s="1617"/>
      <c r="L15" s="1617"/>
      <c r="M15" s="1617"/>
      <c r="N15" s="1617"/>
      <c r="O15" s="1309"/>
      <c r="P15" s="1"/>
      <c r="Q15" s="149"/>
      <c r="R15" s="149"/>
      <c r="S15" s="23"/>
      <c r="T15" s="23"/>
      <c r="U15" s="23"/>
      <c r="V15" s="23"/>
      <c r="W15" s="23"/>
      <c r="X15" s="23"/>
      <c r="Y15" s="23"/>
    </row>
    <row r="16" spans="1:25" s="382" customFormat="1" ht="21.75" customHeight="1" x14ac:dyDescent="0.2">
      <c r="A16" s="778"/>
      <c r="B16" s="1308"/>
      <c r="C16" s="140"/>
      <c r="D16" s="1659"/>
      <c r="E16" s="1659"/>
      <c r="F16" s="235" t="s">
        <v>258</v>
      </c>
      <c r="G16" s="1570" t="str">
        <f>Translations!$B$644</f>
        <v>jai netaikomi tvarumo kriterijai (pvz., jeigu tai kietasis kuras) ARBA</v>
      </c>
      <c r="H16" s="1570"/>
      <c r="I16" s="1570"/>
      <c r="J16" s="1570"/>
      <c r="K16" s="1570"/>
      <c r="L16" s="1570"/>
      <c r="M16" s="1570"/>
      <c r="N16" s="1570"/>
      <c r="O16" s="1309"/>
      <c r="P16" s="1"/>
      <c r="Q16" s="149"/>
      <c r="R16" s="149"/>
      <c r="S16" s="23"/>
      <c r="T16" s="23"/>
      <c r="U16" s="23"/>
      <c r="V16" s="23"/>
      <c r="W16" s="23"/>
      <c r="X16" s="23"/>
      <c r="Y16" s="23"/>
    </row>
    <row r="17" spans="1:25" s="382" customFormat="1" ht="17.25" customHeight="1" x14ac:dyDescent="0.2">
      <c r="A17" s="778"/>
      <c r="B17" s="1308"/>
      <c r="C17" s="140"/>
      <c r="D17" s="926"/>
      <c r="E17" s="230"/>
      <c r="F17" s="233" t="s">
        <v>258</v>
      </c>
      <c r="G17" s="1615" t="str">
        <f>Translations!$B$645</f>
        <v>jai taikomi tvarumo kriterijai ir ji tuos kriterijus atitinka.</v>
      </c>
      <c r="H17" s="1615"/>
      <c r="I17" s="1615"/>
      <c r="J17" s="1615"/>
      <c r="K17" s="1615"/>
      <c r="L17" s="1615"/>
      <c r="M17" s="1615"/>
      <c r="N17" s="1615"/>
      <c r="O17" s="1309"/>
      <c r="P17" s="1"/>
      <c r="Q17" s="149"/>
      <c r="R17" s="149"/>
      <c r="S17" s="23"/>
      <c r="T17" s="23"/>
      <c r="U17" s="23"/>
      <c r="V17" s="23"/>
      <c r="W17" s="23"/>
      <c r="X17" s="23"/>
      <c r="Y17" s="23"/>
    </row>
    <row r="18" spans="1:25" s="382" customFormat="1" ht="25.5" customHeight="1" x14ac:dyDescent="0.2">
      <c r="A18" s="778"/>
      <c r="B18" s="1308"/>
      <c r="C18" s="140"/>
      <c r="D18" s="1665" t="str">
        <f>Translations!$B$688</f>
        <v>Bendra iškastinio kuro energetinė vertė:</v>
      </c>
      <c r="E18" s="1664"/>
      <c r="F18" s="1632" t="str">
        <f>Translations!$B$708</f>
        <v>Ši vertė turėtų būti susijusi tik su iškastinio kuro išteklių, įtraukiamų skaičiuojant „bendrą deginant biomasę išmestą ŠESD kiekį“, energetine verte.</v>
      </c>
      <c r="G18" s="1632"/>
      <c r="H18" s="1632"/>
      <c r="I18" s="1632"/>
      <c r="J18" s="1632"/>
      <c r="K18" s="1632"/>
      <c r="L18" s="1632"/>
      <c r="M18" s="1632"/>
      <c r="N18" s="1632"/>
      <c r="O18" s="1309"/>
      <c r="P18" s="1"/>
      <c r="Q18" s="149"/>
      <c r="R18" s="149"/>
      <c r="S18" s="23"/>
      <c r="T18" s="23"/>
      <c r="U18" s="23"/>
      <c r="V18" s="23"/>
      <c r="W18" s="23"/>
      <c r="X18" s="23"/>
      <c r="Y18" s="23"/>
    </row>
    <row r="19" spans="1:25" s="382" customFormat="1" ht="25.5" customHeight="1" x14ac:dyDescent="0.2">
      <c r="A19" s="778"/>
      <c r="B19" s="1308"/>
      <c r="C19" s="140"/>
      <c r="D19" s="1664" t="str">
        <f>Translations!$B$689</f>
        <v>Bendra biomasės energetinė vertė:</v>
      </c>
      <c r="E19" s="1664"/>
      <c r="F19" s="1632" t="str">
        <f>Translations!$B$709</f>
        <v>Ši vertė turėtų būti susijusi tik su biomasės, įtraukiamos skaičiuojant „bendrą deginant biomasę išmestą ŠESD kiekį“, t. y. ne biomasės, kuriai taikomi tvarumo kriterijai ir kuri tų kriterijų neatitinka, energetine verte.</v>
      </c>
      <c r="G19" s="1632"/>
      <c r="H19" s="1632"/>
      <c r="I19" s="1632"/>
      <c r="J19" s="1632"/>
      <c r="K19" s="1632"/>
      <c r="L19" s="1632"/>
      <c r="M19" s="1632"/>
      <c r="N19" s="1632"/>
      <c r="O19" s="1309"/>
      <c r="P19" s="1"/>
      <c r="Q19" s="149"/>
      <c r="R19" s="149"/>
      <c r="S19" s="23"/>
      <c r="T19" s="23"/>
      <c r="U19" s="23"/>
      <c r="V19" s="23"/>
      <c r="W19" s="23"/>
      <c r="X19" s="23"/>
      <c r="Y19" s="23"/>
    </row>
    <row r="20" spans="1:25" s="382" customFormat="1" ht="38.85" customHeight="1" x14ac:dyDescent="0.2">
      <c r="A20" s="778"/>
      <c r="B20" s="1308"/>
      <c r="C20" s="140"/>
      <c r="D20" s="1664" t="str">
        <f>Translations!$B$710</f>
        <v>Bendras deginant netvarią biomasę išmestas ŠESD kiekis:</v>
      </c>
      <c r="E20" s="1664"/>
      <c r="F20" s="1632" t="str">
        <f>Translations!$B$649</f>
        <v>Ši vertė turėtų būti susijusi tik su tokia biomase, kuriai taikomi tvarumo kriterijai ir kuri tų kriterijų neatitinka.</v>
      </c>
      <c r="G20" s="1632"/>
      <c r="H20" s="1632"/>
      <c r="I20" s="1632"/>
      <c r="J20" s="1632"/>
      <c r="K20" s="1632"/>
      <c r="L20" s="1632"/>
      <c r="M20" s="1632"/>
      <c r="N20" s="1632"/>
      <c r="O20" s="1309"/>
      <c r="P20" s="1"/>
      <c r="Q20" s="149"/>
      <c r="R20" s="149"/>
      <c r="S20" s="23"/>
      <c r="T20" s="23"/>
      <c r="U20" s="23"/>
      <c r="V20" s="23"/>
      <c r="W20" s="23"/>
      <c r="X20" s="23"/>
      <c r="Y20" s="23"/>
    </row>
    <row r="21" spans="1:25" ht="12.75" customHeight="1" thickBot="1" x14ac:dyDescent="0.25">
      <c r="A21" s="741"/>
      <c r="B21" s="1326"/>
      <c r="C21" s="709"/>
      <c r="D21" s="491"/>
      <c r="E21" s="38"/>
      <c r="F21" s="36"/>
      <c r="G21" s="39"/>
      <c r="H21" s="39"/>
      <c r="I21" s="39"/>
      <c r="J21" s="39"/>
      <c r="K21" s="39"/>
      <c r="L21" s="39"/>
      <c r="M21" s="39"/>
      <c r="N21" s="39"/>
      <c r="O21" s="1324"/>
    </row>
    <row r="22" spans="1:25" ht="12.75" customHeight="1" thickBot="1" x14ac:dyDescent="0.25">
      <c r="A22" s="741"/>
      <c r="B22" s="1326"/>
      <c r="C22" s="798"/>
      <c r="D22" s="799"/>
      <c r="E22" s="797"/>
      <c r="F22" s="797"/>
      <c r="G22" s="797"/>
      <c r="H22" s="797"/>
      <c r="I22" s="797"/>
      <c r="J22" s="797"/>
      <c r="K22" s="797"/>
      <c r="L22" s="797"/>
      <c r="M22" s="797"/>
      <c r="N22" s="797"/>
      <c r="O22" s="1324"/>
      <c r="S22" s="27" t="s">
        <v>486</v>
      </c>
      <c r="T22" s="23"/>
      <c r="U22" s="23"/>
      <c r="V22" s="23"/>
      <c r="W22" s="23"/>
    </row>
    <row r="23" spans="1:25" ht="13.5" thickBot="1" x14ac:dyDescent="0.25">
      <c r="A23" s="741"/>
      <c r="B23" s="1326"/>
      <c r="C23" s="798"/>
      <c r="D23" s="799"/>
      <c r="E23" s="399" t="str">
        <f>Translations!$B$691</f>
        <v>Informacija apie susijusius sukėliklius, jeigu taikytina:</v>
      </c>
      <c r="F23" s="399"/>
      <c r="G23" s="399"/>
      <c r="H23" s="399"/>
      <c r="I23" s="399"/>
      <c r="J23" s="797"/>
      <c r="K23" s="797"/>
      <c r="L23" s="797"/>
      <c r="M23" s="338" t="str">
        <f>Translations!$B$686</f>
        <v>Bendras deginant iškastinį kurą išmestas ŠESD kiekis:</v>
      </c>
      <c r="N23" s="1002"/>
      <c r="O23" s="1314" t="s">
        <v>257</v>
      </c>
      <c r="Q23" s="343" t="str">
        <f>EUconst_SumCO2 &amp; "_" &amp; EUconst_FallBack</f>
        <v>SUM_CO2_Alternatyvus metodas</v>
      </c>
      <c r="S23" s="887">
        <f>N23</f>
        <v>0</v>
      </c>
      <c r="T23" s="846">
        <f>N24</f>
        <v>0</v>
      </c>
      <c r="U23" s="846">
        <f>R29</f>
        <v>0</v>
      </c>
      <c r="V23" s="846">
        <f>R26</f>
        <v>0</v>
      </c>
      <c r="W23" s="846">
        <f>R27</f>
        <v>0</v>
      </c>
      <c r="Y23" s="213" t="b">
        <f>CNTR_FallBackRelevant=EUconst_NotRelevant</f>
        <v>1</v>
      </c>
    </row>
    <row r="24" spans="1:25" ht="13.5" thickBot="1" x14ac:dyDescent="0.25">
      <c r="A24" s="741"/>
      <c r="B24" s="1326"/>
      <c r="C24" s="798"/>
      <c r="D24" s="799"/>
      <c r="E24" s="1654"/>
      <c r="F24" s="1655"/>
      <c r="G24" s="1655"/>
      <c r="H24" s="1655"/>
      <c r="I24" s="1656"/>
      <c r="J24" s="797"/>
      <c r="K24" s="797"/>
      <c r="L24" s="797"/>
      <c r="M24" s="337" t="str">
        <f>Translations!$B$687</f>
        <v>Bendras deginant biomasę išmestas ŠESD kiekis:</v>
      </c>
      <c r="N24" s="1003"/>
      <c r="O24" s="1315" t="s">
        <v>257</v>
      </c>
      <c r="Q24" s="344" t="str">
        <f>EUconst_SumBioCO2 &amp; "_" &amp; EUconst_FallBack</f>
        <v>SUM_bioCO2_Alternatyvus metodas</v>
      </c>
      <c r="S24" s="833" t="s">
        <v>287</v>
      </c>
      <c r="T24" s="833" t="s">
        <v>495</v>
      </c>
      <c r="U24" s="833" t="s">
        <v>498</v>
      </c>
      <c r="V24" s="833" t="s">
        <v>496</v>
      </c>
      <c r="W24" s="833" t="s">
        <v>497</v>
      </c>
      <c r="Y24" s="227" t="b">
        <f>Y23</f>
        <v>1</v>
      </c>
    </row>
    <row r="25" spans="1:25" ht="5.0999999999999996" customHeight="1" thickBot="1" x14ac:dyDescent="0.25">
      <c r="A25" s="741"/>
      <c r="B25" s="1326"/>
      <c r="C25" s="798"/>
      <c r="D25" s="797"/>
      <c r="E25" s="797"/>
      <c r="F25" s="797"/>
      <c r="G25" s="797"/>
      <c r="H25" s="797"/>
      <c r="I25" s="797"/>
      <c r="J25" s="797"/>
      <c r="K25" s="797"/>
      <c r="L25" s="797"/>
      <c r="M25" s="797"/>
      <c r="N25" s="797"/>
      <c r="O25" s="1315"/>
      <c r="U25" s="484"/>
      <c r="V25" s="484"/>
      <c r="W25" s="484"/>
    </row>
    <row r="26" spans="1:25" ht="13.5" thickBot="1" x14ac:dyDescent="0.25">
      <c r="A26" s="741"/>
      <c r="B26" s="1326"/>
      <c r="C26" s="798"/>
      <c r="D26" s="799"/>
      <c r="E26" s="797"/>
      <c r="F26" s="797"/>
      <c r="G26" s="797"/>
      <c r="H26" s="797"/>
      <c r="I26" s="797"/>
      <c r="J26" s="797"/>
      <c r="K26" s="797"/>
      <c r="L26" s="797"/>
      <c r="M26" s="494" t="str">
        <f>Translations!$B$688</f>
        <v>Bendra iškastinio kuro energetinė vertė:</v>
      </c>
      <c r="N26" s="888"/>
      <c r="O26" s="1327" t="s">
        <v>279</v>
      </c>
      <c r="Q26" s="343" t="str">
        <f>EUconst_SumEnergyIN &amp; "_" &amp; K22</f>
        <v>SUM_EnergyIN_</v>
      </c>
      <c r="R26" s="698">
        <f>N26</f>
        <v>0</v>
      </c>
      <c r="Y26" s="227" t="b">
        <f>Y29</f>
        <v>1</v>
      </c>
    </row>
    <row r="27" spans="1:25" ht="13.5" thickBot="1" x14ac:dyDescent="0.25">
      <c r="A27" s="741"/>
      <c r="B27" s="1326"/>
      <c r="C27" s="798"/>
      <c r="D27" s="799"/>
      <c r="E27" s="797"/>
      <c r="F27" s="797"/>
      <c r="G27" s="797"/>
      <c r="H27" s="797"/>
      <c r="I27" s="797"/>
      <c r="J27" s="797"/>
      <c r="K27" s="797"/>
      <c r="L27" s="797"/>
      <c r="M27" s="337" t="str">
        <f>Translations!$B$689</f>
        <v>Bendra biomasės energetinė vertė:</v>
      </c>
      <c r="N27" s="920"/>
      <c r="O27" s="1328" t="s">
        <v>279</v>
      </c>
      <c r="Q27" s="343" t="str">
        <f>EUconst_SumBioEnergyIN &amp; "_" &amp; K22</f>
        <v>SUM_BioEnergyIN_</v>
      </c>
      <c r="R27" s="698">
        <f>N27</f>
        <v>0</v>
      </c>
      <c r="Y27" s="227" t="b">
        <f>Y26</f>
        <v>1</v>
      </c>
    </row>
    <row r="28" spans="1:25" ht="5.0999999999999996" customHeight="1" thickBot="1" x14ac:dyDescent="0.25">
      <c r="A28" s="741"/>
      <c r="B28" s="1326"/>
      <c r="C28" s="798"/>
      <c r="D28" s="797"/>
      <c r="E28" s="797"/>
      <c r="F28" s="797"/>
      <c r="G28" s="797"/>
      <c r="H28" s="797"/>
      <c r="I28" s="797"/>
      <c r="J28" s="797"/>
      <c r="K28" s="797"/>
      <c r="L28" s="797"/>
      <c r="M28" s="797"/>
      <c r="N28" s="797"/>
      <c r="O28" s="1315"/>
      <c r="U28" s="484"/>
      <c r="V28" s="484"/>
      <c r="W28" s="484"/>
    </row>
    <row r="29" spans="1:25" ht="13.5" thickBot="1" x14ac:dyDescent="0.25">
      <c r="A29" s="741"/>
      <c r="B29" s="1326"/>
      <c r="C29" s="798"/>
      <c r="D29" s="799"/>
      <c r="E29" s="797"/>
      <c r="F29" s="797"/>
      <c r="G29" s="797"/>
      <c r="H29" s="797"/>
      <c r="I29" s="797"/>
      <c r="J29" s="797"/>
      <c r="K29" s="797"/>
      <c r="L29" s="797"/>
      <c r="M29" s="337" t="str">
        <f>Translations!$B$710</f>
        <v>Bendras deginant netvarią biomasę išmestas ŠESD kiekis:</v>
      </c>
      <c r="N29" s="919"/>
      <c r="O29" s="1315" t="s">
        <v>257</v>
      </c>
      <c r="Q29" s="343" t="str">
        <f>EUconst_SumNonSustBioCO2 &amp; "_" &amp; K22</f>
        <v>SUM_bioNonSustCO2_</v>
      </c>
      <c r="R29" s="698">
        <f>N29</f>
        <v>0</v>
      </c>
      <c r="Y29" s="227" t="b">
        <f>Y24</f>
        <v>1</v>
      </c>
    </row>
    <row r="30" spans="1:25" x14ac:dyDescent="0.2">
      <c r="A30" s="741"/>
      <c r="B30" s="1326"/>
      <c r="C30" s="798"/>
      <c r="D30" s="799"/>
      <c r="E30" s="797"/>
      <c r="F30" s="797"/>
      <c r="G30" s="797"/>
      <c r="H30" s="797"/>
      <c r="I30" s="797"/>
      <c r="J30" s="797"/>
      <c r="K30" s="797"/>
      <c r="L30" s="797"/>
      <c r="M30" s="797"/>
      <c r="N30" s="797"/>
      <c r="O30" s="1315"/>
    </row>
    <row r="31" spans="1:25" x14ac:dyDescent="0.2">
      <c r="A31" s="741"/>
      <c r="B31" s="1326"/>
      <c r="C31" s="798"/>
      <c r="D31" s="799"/>
      <c r="E31" s="1663" t="str">
        <f>Translations!$B$711</f>
        <v>Taikyto alternatyvaus metodo aprašas:</v>
      </c>
      <c r="F31" s="1663"/>
      <c r="G31" s="1663"/>
      <c r="H31" s="1663"/>
      <c r="I31" s="1663"/>
      <c r="J31" s="1663"/>
      <c r="K31" s="1663"/>
      <c r="L31" s="1663"/>
      <c r="M31" s="1663"/>
      <c r="N31" s="1663"/>
      <c r="O31" s="1324"/>
    </row>
    <row r="32" spans="1:25" x14ac:dyDescent="0.2">
      <c r="A32" s="741"/>
      <c r="B32" s="1326"/>
      <c r="C32" s="798"/>
      <c r="D32" s="799"/>
      <c r="E32" s="1666"/>
      <c r="F32" s="1667"/>
      <c r="G32" s="1667"/>
      <c r="H32" s="1667"/>
      <c r="I32" s="1667"/>
      <c r="J32" s="1667"/>
      <c r="K32" s="1667"/>
      <c r="L32" s="1667"/>
      <c r="M32" s="1667"/>
      <c r="N32" s="1668"/>
      <c r="O32" s="1324"/>
      <c r="Y32" s="213" t="b">
        <f>Y24</f>
        <v>1</v>
      </c>
    </row>
    <row r="33" spans="1:25" x14ac:dyDescent="0.2">
      <c r="A33" s="741"/>
      <c r="B33" s="1326"/>
      <c r="C33" s="798"/>
      <c r="D33" s="799"/>
      <c r="E33" s="1669"/>
      <c r="F33" s="1670"/>
      <c r="G33" s="1670"/>
      <c r="H33" s="1670"/>
      <c r="I33" s="1670"/>
      <c r="J33" s="1670"/>
      <c r="K33" s="1670"/>
      <c r="L33" s="1670"/>
      <c r="M33" s="1670"/>
      <c r="N33" s="1671"/>
      <c r="O33" s="1324"/>
      <c r="Q33" s="628"/>
      <c r="Y33" s="213" t="b">
        <f>Y32</f>
        <v>1</v>
      </c>
    </row>
    <row r="34" spans="1:25" x14ac:dyDescent="0.2">
      <c r="A34" s="741"/>
      <c r="B34" s="1326"/>
      <c r="C34" s="798"/>
      <c r="D34" s="799"/>
      <c r="E34" s="1669"/>
      <c r="F34" s="1670"/>
      <c r="G34" s="1670"/>
      <c r="H34" s="1670"/>
      <c r="I34" s="1670"/>
      <c r="J34" s="1670"/>
      <c r="K34" s="1670"/>
      <c r="L34" s="1670"/>
      <c r="M34" s="1670"/>
      <c r="N34" s="1671"/>
      <c r="O34" s="1324"/>
      <c r="Y34" s="213" t="b">
        <f t="shared" ref="Y34:Y47" si="0">Y33</f>
        <v>1</v>
      </c>
    </row>
    <row r="35" spans="1:25" x14ac:dyDescent="0.2">
      <c r="A35" s="741"/>
      <c r="B35" s="1326"/>
      <c r="C35" s="798"/>
      <c r="D35" s="799"/>
      <c r="E35" s="1669"/>
      <c r="F35" s="1670"/>
      <c r="G35" s="1670"/>
      <c r="H35" s="1670"/>
      <c r="I35" s="1670"/>
      <c r="J35" s="1670"/>
      <c r="K35" s="1670"/>
      <c r="L35" s="1670"/>
      <c r="M35" s="1670"/>
      <c r="N35" s="1671"/>
      <c r="O35" s="1324"/>
      <c r="Y35" s="213" t="b">
        <f t="shared" si="0"/>
        <v>1</v>
      </c>
    </row>
    <row r="36" spans="1:25" x14ac:dyDescent="0.2">
      <c r="A36" s="741"/>
      <c r="B36" s="1326"/>
      <c r="C36" s="798"/>
      <c r="D36" s="799"/>
      <c r="E36" s="1669"/>
      <c r="F36" s="1670"/>
      <c r="G36" s="1670"/>
      <c r="H36" s="1670"/>
      <c r="I36" s="1670"/>
      <c r="J36" s="1670"/>
      <c r="K36" s="1670"/>
      <c r="L36" s="1670"/>
      <c r="M36" s="1670"/>
      <c r="N36" s="1671"/>
      <c r="O36" s="1324"/>
      <c r="Y36" s="213" t="b">
        <f t="shared" si="0"/>
        <v>1</v>
      </c>
    </row>
    <row r="37" spans="1:25" x14ac:dyDescent="0.2">
      <c r="A37" s="741"/>
      <c r="B37" s="1326"/>
      <c r="C37" s="798"/>
      <c r="D37" s="799"/>
      <c r="E37" s="1669"/>
      <c r="F37" s="1670"/>
      <c r="G37" s="1670"/>
      <c r="H37" s="1670"/>
      <c r="I37" s="1670"/>
      <c r="J37" s="1670"/>
      <c r="K37" s="1670"/>
      <c r="L37" s="1670"/>
      <c r="M37" s="1670"/>
      <c r="N37" s="1671"/>
      <c r="O37" s="1324"/>
      <c r="Y37" s="213" t="b">
        <f t="shared" si="0"/>
        <v>1</v>
      </c>
    </row>
    <row r="38" spans="1:25" x14ac:dyDescent="0.2">
      <c r="A38" s="741"/>
      <c r="B38" s="1326"/>
      <c r="C38" s="798"/>
      <c r="D38" s="799"/>
      <c r="E38" s="1669"/>
      <c r="F38" s="1670"/>
      <c r="G38" s="1670"/>
      <c r="H38" s="1670"/>
      <c r="I38" s="1670"/>
      <c r="J38" s="1670"/>
      <c r="K38" s="1670"/>
      <c r="L38" s="1670"/>
      <c r="M38" s="1670"/>
      <c r="N38" s="1671"/>
      <c r="O38" s="1324"/>
      <c r="Y38" s="213" t="b">
        <f t="shared" si="0"/>
        <v>1</v>
      </c>
    </row>
    <row r="39" spans="1:25" x14ac:dyDescent="0.2">
      <c r="A39" s="741"/>
      <c r="B39" s="1326"/>
      <c r="C39" s="798"/>
      <c r="D39" s="799"/>
      <c r="E39" s="1669"/>
      <c r="F39" s="1670"/>
      <c r="G39" s="1670"/>
      <c r="H39" s="1670"/>
      <c r="I39" s="1670"/>
      <c r="J39" s="1670"/>
      <c r="K39" s="1670"/>
      <c r="L39" s="1670"/>
      <c r="M39" s="1670"/>
      <c r="N39" s="1671"/>
      <c r="O39" s="1324"/>
      <c r="Y39" s="213" t="b">
        <f t="shared" si="0"/>
        <v>1</v>
      </c>
    </row>
    <row r="40" spans="1:25" x14ac:dyDescent="0.2">
      <c r="A40" s="741"/>
      <c r="B40" s="1326"/>
      <c r="C40" s="798"/>
      <c r="D40" s="799"/>
      <c r="E40" s="1669"/>
      <c r="F40" s="1670"/>
      <c r="G40" s="1670"/>
      <c r="H40" s="1670"/>
      <c r="I40" s="1670"/>
      <c r="J40" s="1670"/>
      <c r="K40" s="1670"/>
      <c r="L40" s="1670"/>
      <c r="M40" s="1670"/>
      <c r="N40" s="1671"/>
      <c r="O40" s="1324"/>
      <c r="Y40" s="213" t="b">
        <f t="shared" si="0"/>
        <v>1</v>
      </c>
    </row>
    <row r="41" spans="1:25" x14ac:dyDescent="0.2">
      <c r="A41" s="741"/>
      <c r="B41" s="1326"/>
      <c r="C41" s="798"/>
      <c r="D41" s="799"/>
      <c r="E41" s="1669"/>
      <c r="F41" s="1670"/>
      <c r="G41" s="1670"/>
      <c r="H41" s="1670"/>
      <c r="I41" s="1670"/>
      <c r="J41" s="1670"/>
      <c r="K41" s="1670"/>
      <c r="L41" s="1670"/>
      <c r="M41" s="1670"/>
      <c r="N41" s="1671"/>
      <c r="O41" s="1324"/>
      <c r="Y41" s="213" t="b">
        <f t="shared" si="0"/>
        <v>1</v>
      </c>
    </row>
    <row r="42" spans="1:25" x14ac:dyDescent="0.2">
      <c r="A42" s="741"/>
      <c r="B42" s="1326"/>
      <c r="C42" s="798"/>
      <c r="D42" s="799"/>
      <c r="E42" s="1669"/>
      <c r="F42" s="1670"/>
      <c r="G42" s="1670"/>
      <c r="H42" s="1670"/>
      <c r="I42" s="1670"/>
      <c r="J42" s="1670"/>
      <c r="K42" s="1670"/>
      <c r="L42" s="1670"/>
      <c r="M42" s="1670"/>
      <c r="N42" s="1671"/>
      <c r="O42" s="1324"/>
      <c r="Y42" s="213" t="b">
        <f t="shared" si="0"/>
        <v>1</v>
      </c>
    </row>
    <row r="43" spans="1:25" x14ac:dyDescent="0.2">
      <c r="A43" s="741"/>
      <c r="B43" s="1326"/>
      <c r="C43" s="798"/>
      <c r="D43" s="799"/>
      <c r="E43" s="1669"/>
      <c r="F43" s="1670"/>
      <c r="G43" s="1670"/>
      <c r="H43" s="1670"/>
      <c r="I43" s="1670"/>
      <c r="J43" s="1670"/>
      <c r="K43" s="1670"/>
      <c r="L43" s="1670"/>
      <c r="M43" s="1670"/>
      <c r="N43" s="1671"/>
      <c r="O43" s="1324"/>
      <c r="Y43" s="213" t="b">
        <f t="shared" si="0"/>
        <v>1</v>
      </c>
    </row>
    <row r="44" spans="1:25" x14ac:dyDescent="0.2">
      <c r="A44" s="741"/>
      <c r="B44" s="1326"/>
      <c r="C44" s="798"/>
      <c r="D44" s="799"/>
      <c r="E44" s="1669"/>
      <c r="F44" s="1670"/>
      <c r="G44" s="1670"/>
      <c r="H44" s="1670"/>
      <c r="I44" s="1670"/>
      <c r="J44" s="1670"/>
      <c r="K44" s="1670"/>
      <c r="L44" s="1670"/>
      <c r="M44" s="1670"/>
      <c r="N44" s="1671"/>
      <c r="O44" s="1324"/>
      <c r="Y44" s="213" t="b">
        <f t="shared" si="0"/>
        <v>1</v>
      </c>
    </row>
    <row r="45" spans="1:25" x14ac:dyDescent="0.2">
      <c r="A45" s="741"/>
      <c r="B45" s="1326"/>
      <c r="C45" s="798"/>
      <c r="D45" s="799"/>
      <c r="E45" s="1669"/>
      <c r="F45" s="1670"/>
      <c r="G45" s="1670"/>
      <c r="H45" s="1670"/>
      <c r="I45" s="1670"/>
      <c r="J45" s="1670"/>
      <c r="K45" s="1670"/>
      <c r="L45" s="1670"/>
      <c r="M45" s="1670"/>
      <c r="N45" s="1671"/>
      <c r="O45" s="1324"/>
      <c r="Y45" s="213" t="b">
        <f t="shared" si="0"/>
        <v>1</v>
      </c>
    </row>
    <row r="46" spans="1:25" x14ac:dyDescent="0.2">
      <c r="A46" s="741"/>
      <c r="B46" s="1326"/>
      <c r="C46" s="798"/>
      <c r="D46" s="799"/>
      <c r="E46" s="1669"/>
      <c r="F46" s="1670"/>
      <c r="G46" s="1670"/>
      <c r="H46" s="1670"/>
      <c r="I46" s="1670"/>
      <c r="J46" s="1670"/>
      <c r="K46" s="1670"/>
      <c r="L46" s="1670"/>
      <c r="M46" s="1670"/>
      <c r="N46" s="1671"/>
      <c r="O46" s="1324"/>
      <c r="Y46" s="213" t="b">
        <f t="shared" si="0"/>
        <v>1</v>
      </c>
    </row>
    <row r="47" spans="1:25" x14ac:dyDescent="0.2">
      <c r="A47" s="741"/>
      <c r="B47" s="1326"/>
      <c r="C47" s="798"/>
      <c r="D47" s="799"/>
      <c r="E47" s="1672"/>
      <c r="F47" s="1673"/>
      <c r="G47" s="1673"/>
      <c r="H47" s="1673"/>
      <c r="I47" s="1673"/>
      <c r="J47" s="1673"/>
      <c r="K47" s="1673"/>
      <c r="L47" s="1673"/>
      <c r="M47" s="1673"/>
      <c r="N47" s="1674"/>
      <c r="O47" s="1324"/>
      <c r="Y47" s="213" t="b">
        <f t="shared" si="0"/>
        <v>1</v>
      </c>
    </row>
    <row r="48" spans="1:25" x14ac:dyDescent="0.2">
      <c r="A48" s="741"/>
      <c r="B48" s="1326"/>
      <c r="C48" s="259"/>
      <c r="D48" s="259"/>
      <c r="E48" s="259"/>
      <c r="F48" s="259"/>
      <c r="G48" s="259"/>
      <c r="H48" s="259"/>
      <c r="I48" s="259"/>
      <c r="J48" s="259"/>
      <c r="K48" s="259"/>
      <c r="L48" s="259"/>
      <c r="M48" s="259"/>
      <c r="N48" s="259"/>
      <c r="O48" s="1324"/>
    </row>
    <row r="49" spans="1:25" x14ac:dyDescent="0.2">
      <c r="A49" s="741"/>
      <c r="B49" s="1326"/>
      <c r="C49" s="259"/>
      <c r="D49" s="259"/>
      <c r="E49" s="335" t="str">
        <f>Translations!$B$712</f>
        <v>Metinis neapibrėžties įvertinimas:</v>
      </c>
      <c r="F49" s="259"/>
      <c r="G49" s="259"/>
      <c r="H49" s="259"/>
      <c r="I49" s="259"/>
      <c r="J49" s="259"/>
      <c r="K49" s="259"/>
      <c r="L49" s="259"/>
      <c r="M49" s="259"/>
      <c r="N49" s="259"/>
      <c r="O49" s="1324"/>
    </row>
    <row r="50" spans="1:25" ht="25.5" customHeight="1" x14ac:dyDescent="0.2">
      <c r="A50" s="741"/>
      <c r="B50" s="1326"/>
      <c r="C50" s="259"/>
      <c r="D50" s="259"/>
      <c r="E50" s="1483"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83"/>
      <c r="G50" s="1483"/>
      <c r="H50" s="1483"/>
      <c r="I50" s="1483"/>
      <c r="J50" s="1483"/>
      <c r="K50" s="1483"/>
      <c r="L50" s="1483"/>
      <c r="M50" s="1483"/>
      <c r="N50" s="1483"/>
      <c r="O50" s="1324"/>
    </row>
    <row r="51" spans="1:25" x14ac:dyDescent="0.2">
      <c r="A51" s="741"/>
      <c r="B51" s="1326"/>
      <c r="C51" s="259"/>
      <c r="D51" s="259"/>
      <c r="E51" s="1454" t="str">
        <f>Translations!$B$714</f>
        <v xml:space="preserve">Pridėkite šį neapibrėžties vertinimą, aiškiai nurodydami, kodėl bent vieno sukėliklio arba taršos šaltinio atveju galima nepasiekti I pakopos. </v>
      </c>
      <c r="F51" s="1454"/>
      <c r="G51" s="1454"/>
      <c r="H51" s="1454"/>
      <c r="I51" s="1454"/>
      <c r="J51" s="1454"/>
      <c r="K51" s="1454"/>
      <c r="L51" s="1454"/>
      <c r="M51" s="1454"/>
      <c r="N51" s="1454"/>
      <c r="O51" s="1324"/>
    </row>
    <row r="52" spans="1:25" x14ac:dyDescent="0.2">
      <c r="A52" s="741"/>
      <c r="B52" s="1326"/>
      <c r="C52" s="259"/>
      <c r="D52" s="259"/>
      <c r="E52" s="1678" t="str">
        <f>Translations!$B$715</f>
        <v>Nuoroda į rinkmeną, kurioje pateiktas neapibrėžties vertinimas.</v>
      </c>
      <c r="F52" s="1678"/>
      <c r="G52" s="1678"/>
      <c r="H52" s="1678"/>
      <c r="I52" s="1678"/>
      <c r="J52" s="1679"/>
      <c r="K52" s="1675"/>
      <c r="L52" s="1676"/>
      <c r="M52" s="1676"/>
      <c r="N52" s="1677"/>
      <c r="O52" s="1324"/>
      <c r="Y52" s="213" t="b">
        <f>Y47</f>
        <v>1</v>
      </c>
    </row>
    <row r="53" spans="1:25" ht="13.5" thickBot="1" x14ac:dyDescent="0.25">
      <c r="A53" s="741"/>
      <c r="B53" s="1326"/>
      <c r="C53" s="709"/>
      <c r="D53" s="491"/>
      <c r="E53" s="38"/>
      <c r="F53" s="36"/>
      <c r="G53" s="39"/>
      <c r="H53" s="39"/>
      <c r="I53" s="39"/>
      <c r="J53" s="39"/>
      <c r="K53" s="39"/>
      <c r="L53" s="39"/>
      <c r="M53" s="39"/>
      <c r="N53" s="39"/>
      <c r="O53" s="1324"/>
    </row>
    <row r="54" spans="1:25" x14ac:dyDescent="0.2">
      <c r="A54" s="741"/>
      <c r="B54" s="1326"/>
      <c r="C54" s="259"/>
      <c r="D54" s="259"/>
      <c r="E54" s="259"/>
      <c r="F54" s="259"/>
      <c r="G54" s="259"/>
      <c r="H54" s="259"/>
      <c r="I54" s="259"/>
      <c r="J54" s="259"/>
      <c r="K54" s="259"/>
      <c r="L54" s="259"/>
      <c r="M54" s="259"/>
      <c r="N54" s="259"/>
      <c r="O54" s="1324"/>
    </row>
    <row r="55" spans="1:25" ht="15" customHeight="1" x14ac:dyDescent="0.2">
      <c r="A55" s="757"/>
      <c r="B55" s="1325"/>
      <c r="C55" s="260"/>
      <c r="D55" s="267"/>
      <c r="E55" s="260"/>
      <c r="F55" s="1425" t="str">
        <f>EUconst_MsgNextSheet</f>
        <v xml:space="preserve">&lt;&lt;&lt; Į kitą lapą pereisite paspaudę čia &gt;&gt;&gt; </v>
      </c>
      <c r="G55" s="1425"/>
      <c r="H55" s="1425"/>
      <c r="I55" s="1425"/>
      <c r="J55" s="1425"/>
      <c r="K55" s="1425"/>
      <c r="L55" s="1425"/>
      <c r="M55" s="260"/>
      <c r="N55" s="260"/>
      <c r="O55" s="1324"/>
    </row>
    <row r="56" spans="1:25" ht="13.5" thickBot="1" x14ac:dyDescent="0.25">
      <c r="A56" s="768"/>
      <c r="B56" s="1334"/>
      <c r="C56" s="1286"/>
      <c r="D56" s="1286"/>
      <c r="E56" s="1286"/>
      <c r="F56" s="1286"/>
      <c r="G56" s="1286"/>
      <c r="H56" s="1286"/>
      <c r="I56" s="1286"/>
      <c r="J56" s="1286"/>
      <c r="K56" s="1286"/>
      <c r="L56" s="1286"/>
      <c r="M56" s="1286"/>
      <c r="N56" s="1286"/>
      <c r="O56" s="1335"/>
    </row>
  </sheetData>
  <sheetProtection formatCells="0" formatColumns="0" formatRows="0"/>
  <mergeCells count="42">
    <mergeCell ref="E51:N51"/>
    <mergeCell ref="K52:N52"/>
    <mergeCell ref="E52:J52"/>
    <mergeCell ref="D20:E20"/>
    <mergeCell ref="F20:N20"/>
    <mergeCell ref="E24:I24"/>
    <mergeCell ref="G17:N17"/>
    <mergeCell ref="G16:N16"/>
    <mergeCell ref="D15:E16"/>
    <mergeCell ref="E32:N47"/>
    <mergeCell ref="E50:N50"/>
    <mergeCell ref="F55:L55"/>
    <mergeCell ref="B2:D4"/>
    <mergeCell ref="K2:L2"/>
    <mergeCell ref="E3:F3"/>
    <mergeCell ref="M2:N2"/>
    <mergeCell ref="G3:H3"/>
    <mergeCell ref="I4:J4"/>
    <mergeCell ref="K4:L4"/>
    <mergeCell ref="G2:H2"/>
    <mergeCell ref="E31:N31"/>
    <mergeCell ref="D19:E19"/>
    <mergeCell ref="F19:N19"/>
    <mergeCell ref="G13:N13"/>
    <mergeCell ref="G14:N14"/>
    <mergeCell ref="D18:E18"/>
    <mergeCell ref="F18:N18"/>
    <mergeCell ref="C6:K6"/>
    <mergeCell ref="L6:N6"/>
    <mergeCell ref="K8:N8"/>
    <mergeCell ref="D10:N10"/>
    <mergeCell ref="F15:N15"/>
    <mergeCell ref="D12:E13"/>
    <mergeCell ref="F12:N12"/>
    <mergeCell ref="E4:F4"/>
    <mergeCell ref="E2:F2"/>
    <mergeCell ref="G4:H4"/>
    <mergeCell ref="M4:N4"/>
    <mergeCell ref="M3:N3"/>
    <mergeCell ref="I2:J2"/>
    <mergeCell ref="K3:L3"/>
    <mergeCell ref="I3:J3"/>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1" hidden="1" customWidth="1"/>
    <col min="2" max="4" width="5.7109375" style="1" customWidth="1"/>
    <col min="5" max="9" width="12.7109375" style="1" customWidth="1"/>
    <col min="10" max="10" width="33.5703125" style="1" customWidth="1"/>
    <col min="11" max="14" width="12.7109375" style="1" customWidth="1"/>
    <col min="15" max="15" width="7.7109375" style="200" customWidth="1"/>
    <col min="16" max="16" width="46.28515625" style="1" hidden="1" customWidth="1"/>
    <col min="17" max="17" width="15.85546875" style="1" hidden="1" customWidth="1"/>
    <col min="18" max="62" width="11.42578125" style="1" hidden="1" customWidth="1"/>
    <col min="63" max="63" width="2.7109375" style="1" hidden="1" customWidth="1"/>
    <col min="64" max="16384" width="11.42578125" style="1058"/>
  </cols>
  <sheetData>
    <row r="1" spans="1:75" ht="13.5" hidden="1" thickBot="1" x14ac:dyDescent="0.25">
      <c r="A1" s="55" t="s">
        <v>85</v>
      </c>
      <c r="B1" s="759"/>
      <c r="C1" s="735"/>
      <c r="D1" s="738"/>
      <c r="E1" s="735"/>
      <c r="F1" s="735"/>
      <c r="G1" s="735"/>
      <c r="H1" s="735"/>
      <c r="I1" s="735"/>
      <c r="J1" s="735"/>
      <c r="K1" s="735"/>
      <c r="L1" s="735"/>
      <c r="M1" s="735"/>
      <c r="N1" s="735"/>
      <c r="O1" s="739"/>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row>
    <row r="2" spans="1:75" ht="24.95" customHeight="1" thickBot="1" x14ac:dyDescent="0.25">
      <c r="A2" s="55"/>
      <c r="B2" s="1476" t="str">
        <f>Translations!$B$716</f>
        <v>F. PFC emissions (Išmetamas PFC kiekis)</v>
      </c>
      <c r="C2" s="1637"/>
      <c r="D2" s="1638"/>
      <c r="E2" s="1488" t="str">
        <f>Translations!$B$23</f>
        <v>Naršymo laukas</v>
      </c>
      <c r="F2" s="1444"/>
      <c r="G2" s="1426" t="str">
        <f>Translations!$B$24</f>
        <v>Turinys</v>
      </c>
      <c r="H2" s="1427"/>
      <c r="I2" s="1426" t="str">
        <f>Translations!$B$25</f>
        <v>Ankstesnis lapas</v>
      </c>
      <c r="J2" s="1427"/>
      <c r="K2" s="1426" t="str">
        <f>Translations!$B$26</f>
        <v>Kitas lapas</v>
      </c>
      <c r="L2" s="1427"/>
      <c r="M2" s="1426"/>
      <c r="N2" s="1427"/>
      <c r="O2" s="721"/>
      <c r="P2" s="15"/>
      <c r="Q2" s="56"/>
      <c r="R2" s="56"/>
      <c r="S2" s="56"/>
      <c r="T2" s="56"/>
      <c r="U2" s="56"/>
      <c r="V2" s="56"/>
      <c r="W2" s="56"/>
    </row>
    <row r="3" spans="1:75" ht="24.95" customHeight="1" x14ac:dyDescent="0.2">
      <c r="A3" s="55"/>
      <c r="B3" s="1639"/>
      <c r="C3" s="1640"/>
      <c r="D3" s="1641"/>
      <c r="E3" s="1431" t="str">
        <f>Translations!$B$27</f>
        <v>Lapo viršus</v>
      </c>
      <c r="F3" s="1431"/>
      <c r="G3" s="1704" t="str">
        <f>Translations!$B$8</f>
        <v>Išmetamo PFC kiekio nustatymas</v>
      </c>
      <c r="H3" s="1705"/>
      <c r="I3" s="1706" t="str">
        <f>EUwideConstants!$A$138</f>
        <v>PFC</v>
      </c>
      <c r="J3" s="1707"/>
      <c r="K3" s="1702"/>
      <c r="L3" s="1703"/>
      <c r="M3" s="1431"/>
      <c r="N3" s="1431"/>
      <c r="O3" s="721"/>
      <c r="P3" s="15"/>
      <c r="Q3" s="56"/>
      <c r="R3" s="56"/>
      <c r="S3" s="56"/>
      <c r="T3" s="56"/>
      <c r="U3" s="1101" t="s">
        <v>595</v>
      </c>
      <c r="V3" s="832" t="str">
        <f>ADDRESS(ROW($B$5),COLUMN($B$5)) &amp; ":" &amp; ADDRESS(IF(CNTR_PFCRelevant=EUconst_NotRelevant,ROW(P58),ROW(P346))+ROW($P$88)-ROW($P$58),COLUMN($O$5))</f>
        <v>$B$5:$O$88</v>
      </c>
      <c r="W3" s="56"/>
    </row>
    <row r="4" spans="1:75" ht="24.95" customHeight="1" x14ac:dyDescent="0.2">
      <c r="A4" s="55"/>
      <c r="B4" s="1639"/>
      <c r="C4" s="1640"/>
      <c r="D4" s="1641"/>
      <c r="E4" s="1439" t="str">
        <f>Translations!$B$28</f>
        <v>Lapo galas</v>
      </c>
      <c r="F4" s="1439"/>
      <c r="G4" s="1708"/>
      <c r="H4" s="1439"/>
      <c r="I4" s="1439"/>
      <c r="J4" s="1439"/>
      <c r="K4" s="1439"/>
      <c r="L4" s="1709"/>
      <c r="M4" s="1439"/>
      <c r="N4" s="1439"/>
      <c r="O4" s="721"/>
      <c r="P4" s="15"/>
      <c r="Q4" s="56"/>
      <c r="R4" s="56"/>
      <c r="S4" s="56"/>
      <c r="T4" s="56"/>
      <c r="U4" s="56"/>
      <c r="V4" s="56"/>
      <c r="W4" s="56"/>
    </row>
    <row r="5" spans="1:75" ht="12.75" customHeight="1" thickBot="1" x14ac:dyDescent="0.25">
      <c r="A5" s="56"/>
      <c r="B5" s="1241"/>
      <c r="C5" s="1322"/>
      <c r="D5" s="1245"/>
      <c r="E5" s="1244"/>
      <c r="F5" s="1245"/>
      <c r="G5" s="1245"/>
      <c r="H5" s="1245"/>
      <c r="I5" s="1244"/>
      <c r="J5" s="1244"/>
      <c r="K5" s="1244"/>
      <c r="L5" s="1244"/>
      <c r="M5" s="1246"/>
      <c r="N5" s="1246"/>
      <c r="O5" s="1247"/>
      <c r="P5" s="15"/>
      <c r="Q5" s="56"/>
      <c r="R5" s="56"/>
      <c r="S5" s="56"/>
      <c r="T5" s="56"/>
      <c r="U5" s="56"/>
      <c r="V5" s="56"/>
      <c r="W5" s="56"/>
    </row>
    <row r="6" spans="1:75" s="1059" customFormat="1" ht="25.5" customHeight="1" thickBot="1" x14ac:dyDescent="0.25">
      <c r="A6" s="58"/>
      <c r="B6" s="1248"/>
      <c r="C6" s="1492" t="str">
        <f>Translations!$B$501</f>
        <v>F. Gaminant pirminį aliuminį išmetamo PFC kiekio nustatymas</v>
      </c>
      <c r="D6" s="1492"/>
      <c r="E6" s="1492"/>
      <c r="F6" s="1492"/>
      <c r="G6" s="1492"/>
      <c r="H6" s="1492"/>
      <c r="I6" s="1492"/>
      <c r="J6" s="1492"/>
      <c r="K6" s="1492"/>
      <c r="L6" s="1642" t="str">
        <f>IF(CNTR_InstHasPFC=TRUE,EUconst_Relevant,IF(COUNTA(CNTR_ListRelevantSections)&gt;0,EUconst_NotRelevant,EUconst_Relevant))</f>
        <v>nesvarbu</v>
      </c>
      <c r="M6" s="1643"/>
      <c r="N6" s="1644"/>
      <c r="O6" s="1305"/>
      <c r="P6" s="33"/>
      <c r="Q6" s="813" t="s">
        <v>467</v>
      </c>
      <c r="R6" s="177"/>
      <c r="S6" s="177"/>
      <c r="T6" s="177"/>
      <c r="U6" s="177"/>
      <c r="V6" s="177"/>
      <c r="W6" s="177"/>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9" customFormat="1" ht="5.0999999999999996" customHeight="1" x14ac:dyDescent="0.2">
      <c r="A7" s="58"/>
      <c r="B7" s="1248"/>
      <c r="C7" s="743"/>
      <c r="D7" s="744"/>
      <c r="E7" s="743"/>
      <c r="F7" s="743"/>
      <c r="G7" s="743"/>
      <c r="H7" s="743"/>
      <c r="I7" s="743"/>
      <c r="J7" s="743"/>
      <c r="K7" s="743"/>
      <c r="L7" s="150"/>
      <c r="M7" s="150"/>
      <c r="N7" s="150"/>
      <c r="O7" s="1305"/>
      <c r="P7" s="33"/>
      <c r="Q7" s="177"/>
      <c r="R7" s="177"/>
      <c r="S7" s="177"/>
      <c r="T7" s="177"/>
      <c r="U7" s="177"/>
      <c r="V7" s="177"/>
      <c r="W7" s="177"/>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
      <c r="A8" s="56"/>
      <c r="B8" s="1250"/>
      <c r="C8" s="200"/>
      <c r="D8" s="6"/>
      <c r="E8" s="200"/>
      <c r="F8" s="200"/>
      <c r="G8" s="200"/>
      <c r="H8" s="200"/>
      <c r="I8" s="200"/>
      <c r="J8" s="200"/>
      <c r="K8" s="1714" t="str">
        <f>IF(L6=EUconst_NotRelevant,HYPERLINK("#JUMP_DG",EUconst_MsgNextSheet),HYPERLINK("",EUconst_MsgEnterThisSection))</f>
        <v xml:space="preserve">&lt;&lt;&lt; Į kitą lapą pereisite paspaudę čia &gt;&gt;&gt; </v>
      </c>
      <c r="L8" s="1714"/>
      <c r="M8" s="1714"/>
      <c r="N8" s="1714"/>
      <c r="O8" s="1251"/>
      <c r="P8" s="56"/>
      <c r="Q8" s="56"/>
      <c r="R8" s="56"/>
      <c r="S8" s="56"/>
      <c r="T8" s="56"/>
      <c r="U8" s="56"/>
      <c r="V8" s="56"/>
      <c r="W8" s="56"/>
      <c r="X8" s="243"/>
      <c r="Y8" s="243"/>
      <c r="Z8" s="243"/>
      <c r="AA8" s="243"/>
    </row>
    <row r="9" spans="1:75" ht="5.0999999999999996" customHeight="1" x14ac:dyDescent="0.2">
      <c r="A9" s="145"/>
      <c r="B9" s="1323"/>
      <c r="C9" s="9"/>
      <c r="D9" s="792"/>
      <c r="E9" s="258"/>
      <c r="F9" s="195"/>
      <c r="G9" s="258"/>
      <c r="H9" s="258"/>
      <c r="I9" s="258"/>
      <c r="J9" s="258"/>
      <c r="K9" s="258"/>
      <c r="L9" s="258"/>
      <c r="M9" s="258"/>
      <c r="N9" s="258"/>
      <c r="O9" s="1324"/>
      <c r="P9" s="56"/>
      <c r="Q9" s="56"/>
      <c r="R9" s="56"/>
      <c r="S9" s="56"/>
      <c r="T9" s="56"/>
      <c r="U9" s="56"/>
      <c r="V9" s="56"/>
      <c r="W9" s="56"/>
      <c r="X9" s="243"/>
      <c r="Y9" s="243"/>
      <c r="Z9" s="243"/>
      <c r="AA9" s="243"/>
    </row>
    <row r="10" spans="1:75" s="1060" customFormat="1" ht="18.75" customHeight="1" x14ac:dyDescent="0.2">
      <c r="A10" s="777"/>
      <c r="B10" s="1306"/>
      <c r="C10" s="708">
        <v>11</v>
      </c>
      <c r="D10" s="1592" t="str">
        <f>Translations!$B$163</f>
        <v>Sukėliklių, kurie turi būti stebimi dėl PFC, sąrašas:</v>
      </c>
      <c r="E10" s="1592"/>
      <c r="F10" s="1592"/>
      <c r="G10" s="1592"/>
      <c r="H10" s="1592"/>
      <c r="I10" s="1592"/>
      <c r="J10" s="1592"/>
      <c r="K10" s="1592"/>
      <c r="L10" s="1592"/>
      <c r="M10" s="1592"/>
      <c r="N10" s="1592"/>
      <c r="O10" s="1276"/>
      <c r="P10" s="383"/>
      <c r="Q10" s="56"/>
      <c r="R10" s="56"/>
      <c r="S10" s="58"/>
      <c r="T10" s="58"/>
      <c r="U10" s="58"/>
      <c r="V10" s="58"/>
      <c r="W10" s="58"/>
      <c r="X10" s="58"/>
      <c r="Y10" s="58"/>
      <c r="Z10" s="58"/>
      <c r="AA10" s="58"/>
      <c r="AB10" s="58"/>
      <c r="AC10" s="58"/>
      <c r="AD10" s="58"/>
      <c r="AE10" s="58"/>
      <c r="AF10" s="58"/>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1058"/>
      <c r="BM10" s="1058"/>
      <c r="BN10" s="1058"/>
      <c r="BO10" s="1058"/>
      <c r="BP10" s="1058"/>
      <c r="BQ10" s="1058"/>
      <c r="BR10" s="1058"/>
      <c r="BS10" s="1058"/>
      <c r="BT10" s="1058"/>
      <c r="BU10" s="1058"/>
      <c r="BV10" s="1058"/>
      <c r="BW10" s="1058"/>
    </row>
    <row r="11" spans="1:75" ht="5.0999999999999996" customHeight="1" x14ac:dyDescent="0.2">
      <c r="A11" s="56"/>
      <c r="B11" s="1325"/>
      <c r="C11" s="263"/>
      <c r="D11" s="261"/>
      <c r="E11" s="262"/>
      <c r="F11" s="262"/>
      <c r="G11" s="262"/>
      <c r="H11" s="262"/>
      <c r="I11" s="262"/>
      <c r="J11" s="262"/>
      <c r="K11" s="262"/>
      <c r="L11" s="262"/>
      <c r="M11" s="262"/>
      <c r="N11" s="262"/>
      <c r="O11" s="1336"/>
      <c r="P11" s="56"/>
      <c r="Q11" s="56"/>
      <c r="R11" s="56"/>
      <c r="S11" s="56"/>
      <c r="T11" s="56"/>
      <c r="U11" s="56"/>
      <c r="V11" s="56"/>
      <c r="W11" s="56"/>
      <c r="X11" s="243"/>
      <c r="Y11" s="243"/>
      <c r="Z11" s="243"/>
      <c r="AA11" s="243"/>
    </row>
    <row r="12" spans="1:75" ht="25.5" customHeight="1" x14ac:dyDescent="0.2">
      <c r="A12" s="56"/>
      <c r="B12" s="1325"/>
      <c r="C12" s="260"/>
      <c r="D12" s="1700"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700"/>
      <c r="F12" s="1700"/>
      <c r="G12" s="1700"/>
      <c r="H12" s="1700"/>
      <c r="I12" s="1700"/>
      <c r="J12" s="1700"/>
      <c r="K12" s="1700"/>
      <c r="L12" s="1700"/>
      <c r="M12" s="1700"/>
      <c r="N12" s="1700"/>
      <c r="O12" s="1235"/>
      <c r="P12" s="56"/>
      <c r="Q12" s="56"/>
      <c r="R12" s="56"/>
      <c r="S12" s="56"/>
      <c r="T12" s="56"/>
      <c r="U12" s="56"/>
      <c r="V12" s="56"/>
      <c r="W12" s="56"/>
      <c r="X12" s="243"/>
      <c r="Y12" s="243"/>
      <c r="Z12" s="243"/>
      <c r="AA12" s="243"/>
    </row>
    <row r="13" spans="1:75" ht="25.5" customHeight="1" x14ac:dyDescent="0.2">
      <c r="A13" s="56"/>
      <c r="B13" s="1325"/>
      <c r="C13" s="260"/>
      <c r="D13" s="1700"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700"/>
      <c r="F13" s="1700"/>
      <c r="G13" s="1700"/>
      <c r="H13" s="1700"/>
      <c r="I13" s="1700"/>
      <c r="J13" s="1700"/>
      <c r="K13" s="1700"/>
      <c r="L13" s="1700"/>
      <c r="M13" s="1700"/>
      <c r="N13" s="1700"/>
      <c r="O13" s="1235"/>
      <c r="P13" s="56"/>
      <c r="Q13" s="56"/>
      <c r="R13" s="56"/>
      <c r="S13" s="56"/>
      <c r="T13" s="56"/>
      <c r="U13" s="56"/>
      <c r="V13" s="56"/>
      <c r="W13" s="56"/>
      <c r="X13" s="243"/>
      <c r="Y13" s="243"/>
      <c r="Z13" s="243"/>
      <c r="AA13" s="243"/>
    </row>
    <row r="14" spans="1:75" ht="25.5" customHeight="1" x14ac:dyDescent="0.2">
      <c r="A14" s="56"/>
      <c r="B14" s="1325"/>
      <c r="C14" s="260"/>
      <c r="D14" s="1700"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700"/>
      <c r="F14" s="1700"/>
      <c r="G14" s="1700"/>
      <c r="H14" s="1700"/>
      <c r="I14" s="1700"/>
      <c r="J14" s="1700"/>
      <c r="K14" s="1700"/>
      <c r="L14" s="1700"/>
      <c r="M14" s="1700"/>
      <c r="N14" s="1700"/>
      <c r="O14" s="1235"/>
      <c r="P14" s="56"/>
      <c r="Q14" s="56"/>
      <c r="R14" s="56"/>
      <c r="S14" s="56"/>
      <c r="T14" s="56"/>
      <c r="U14" s="56"/>
      <c r="V14" s="56"/>
      <c r="W14" s="56"/>
      <c r="X14" s="243"/>
      <c r="Y14" s="243"/>
      <c r="Z14" s="243"/>
      <c r="AA14" s="243"/>
    </row>
    <row r="15" spans="1:75" x14ac:dyDescent="0.2">
      <c r="A15" s="56"/>
      <c r="B15" s="1325"/>
      <c r="C15" s="260"/>
      <c r="D15" s="1700" t="str">
        <f>Translations!$B$164</f>
        <v>Šis sąrašas bus naudojamas tolesniame skirsnyje nustatant kitus kiekvieno sukėliklio duomenis.</v>
      </c>
      <c r="E15" s="1700"/>
      <c r="F15" s="1700"/>
      <c r="G15" s="1700"/>
      <c r="H15" s="1700"/>
      <c r="I15" s="1700"/>
      <c r="J15" s="1700"/>
      <c r="K15" s="1700"/>
      <c r="L15" s="1700"/>
      <c r="M15" s="1700"/>
      <c r="N15" s="1700"/>
      <c r="O15" s="1235"/>
      <c r="P15" s="56"/>
      <c r="Q15" s="56"/>
      <c r="R15" s="56"/>
      <c r="S15" s="56"/>
      <c r="T15" s="56"/>
      <c r="U15" s="56"/>
      <c r="V15" s="56"/>
      <c r="W15" s="56"/>
      <c r="X15" s="243"/>
      <c r="Y15" s="243"/>
      <c r="Z15" s="243"/>
      <c r="AA15" s="243"/>
    </row>
    <row r="16" spans="1:75" ht="5.0999999999999996" customHeight="1" x14ac:dyDescent="0.2">
      <c r="A16" s="56"/>
      <c r="B16" s="1325"/>
      <c r="C16" s="260"/>
      <c r="D16" s="262"/>
      <c r="E16" s="262"/>
      <c r="F16" s="262"/>
      <c r="G16" s="262"/>
      <c r="H16" s="262"/>
      <c r="I16" s="262"/>
      <c r="J16" s="262"/>
      <c r="K16" s="259"/>
      <c r="L16" s="259"/>
      <c r="M16" s="259"/>
      <c r="N16" s="259"/>
      <c r="O16" s="1235"/>
      <c r="P16" s="56"/>
      <c r="Q16" s="56"/>
      <c r="R16" s="56"/>
      <c r="S16" s="56"/>
      <c r="T16" s="56"/>
      <c r="U16" s="56"/>
      <c r="V16" s="56"/>
      <c r="W16" s="56"/>
      <c r="X16" s="243"/>
      <c r="Y16" s="243"/>
      <c r="Z16" s="243"/>
      <c r="AA16" s="243"/>
    </row>
    <row r="17" spans="1:75" ht="12.75" customHeight="1" thickBot="1" x14ac:dyDescent="0.25">
      <c r="A17" s="56"/>
      <c r="B17" s="1325"/>
      <c r="C17" s="260"/>
      <c r="D17" s="264"/>
      <c r="E17" s="1710" t="str">
        <f>Translations!$B$129</f>
        <v>Sukėliklio pavadinimas</v>
      </c>
      <c r="F17" s="1711"/>
      <c r="G17" s="1712"/>
      <c r="H17" s="1713" t="str">
        <f>Translations!$B$130</f>
        <v>Sukėliklio tipas</v>
      </c>
      <c r="I17" s="1713"/>
      <c r="J17" s="1713"/>
      <c r="K17" s="1713"/>
      <c r="L17" s="1701" t="str">
        <f>Translations!$B$165</f>
        <v>Elektrolizės vonios tipas</v>
      </c>
      <c r="M17" s="1701"/>
      <c r="N17" s="1701"/>
      <c r="O17" s="1235"/>
      <c r="P17" s="56"/>
      <c r="Q17" s="56"/>
      <c r="R17" s="56"/>
      <c r="S17" s="56"/>
      <c r="T17" s="55" t="s">
        <v>464</v>
      </c>
      <c r="U17" s="56" t="s">
        <v>328</v>
      </c>
      <c r="V17" s="56"/>
      <c r="W17" s="56"/>
      <c r="X17" s="243"/>
      <c r="Y17" s="243"/>
      <c r="Z17" s="243"/>
      <c r="AA17" s="243"/>
    </row>
    <row r="18" spans="1:75" ht="13.15" customHeight="1" x14ac:dyDescent="0.2">
      <c r="A18" s="56"/>
      <c r="B18" s="1325"/>
      <c r="C18" s="260"/>
      <c r="D18" s="176" t="str">
        <f>IF(COUNTIF(CNTR_CheckPFC,S18)=0,"",INDEX(B_InstallationDescription!$D$71:$D$145,MATCH(S18,CNTR_CheckPFC,0)))</f>
        <v/>
      </c>
      <c r="E18" s="1697" t="str">
        <f>IF(D18="","",INDEX(B_InstallationDescription!$Y$71:$Y$145,MATCH(D18,B_InstallationDescription!$D$71:$D$145,0)))</f>
        <v/>
      </c>
      <c r="F18" s="1698"/>
      <c r="G18" s="1699"/>
      <c r="H18" s="1696" t="str">
        <f>IF(D18="","",INDEX(B_InstallationDescription!$E$71:$E$145,MATCH(D18,B_InstallationDescription!$D$71:$D$145,0)))</f>
        <v/>
      </c>
      <c r="I18" s="1696"/>
      <c r="J18" s="1696"/>
      <c r="K18" s="1696"/>
      <c r="L18" s="1695" t="str">
        <f>IF(E18="","",INDEX(B_InstallationDescription!$I$71:$I$145,MATCH(D18,B_InstallationDescription!$D$71:$D$145,0)))</f>
        <v/>
      </c>
      <c r="M18" s="1695"/>
      <c r="N18" s="1695"/>
      <c r="O18" s="1235"/>
      <c r="P18" s="668"/>
      <c r="Q18" s="56"/>
      <c r="R18" s="56"/>
      <c r="S18" s="630">
        <v>1</v>
      </c>
      <c r="T18" s="631" t="str">
        <f t="shared" ref="T18:T27" si="0">IF(D18="",EUconst_NA,E18)</f>
        <v>netaik.</v>
      </c>
      <c r="U18" s="645" t="str">
        <f t="shared" ref="U18:U27" si="1">IF(D18="","",IF(MATCH(H18,EUConst_TierActivityListNames,0)=41,1,2))</f>
        <v/>
      </c>
      <c r="V18" s="56"/>
      <c r="W18" s="56"/>
      <c r="X18" s="243"/>
      <c r="Y18" s="243"/>
      <c r="Z18" s="243"/>
      <c r="AA18" s="243"/>
    </row>
    <row r="19" spans="1:75" x14ac:dyDescent="0.2">
      <c r="A19" s="56"/>
      <c r="B19" s="1325"/>
      <c r="C19" s="260"/>
      <c r="D19" s="176" t="str">
        <f>IF(COUNTIF(CNTR_CheckPFC,S19)=0,"",INDEX(B_InstallationDescription!$D$71:$D$145,MATCH(S19,CNTR_CheckPFC,0)))</f>
        <v/>
      </c>
      <c r="E19" s="1697" t="str">
        <f>IF(D19="","",INDEX(B_InstallationDescription!$Y$71:$Y$145,MATCH(D19,B_InstallationDescription!$D$71:$D$145,0)))</f>
        <v/>
      </c>
      <c r="F19" s="1698"/>
      <c r="G19" s="1699"/>
      <c r="H19" s="1696" t="str">
        <f>IF(D19="","",INDEX(B_InstallationDescription!$E$71:$E$145,MATCH(D19,B_InstallationDescription!$D$71:$D$145,0)))</f>
        <v/>
      </c>
      <c r="I19" s="1696"/>
      <c r="J19" s="1696"/>
      <c r="K19" s="1696"/>
      <c r="L19" s="1695" t="str">
        <f>IF(E19="","",INDEX(B_InstallationDescription!$I$71:$I$145,MATCH(D19,B_InstallationDescription!$D$71:$D$145,0)))</f>
        <v/>
      </c>
      <c r="M19" s="1695"/>
      <c r="N19" s="1695"/>
      <c r="O19" s="1235"/>
      <c r="P19" s="668"/>
      <c r="Q19" s="56"/>
      <c r="R19" s="56"/>
      <c r="S19" s="630">
        <v>2</v>
      </c>
      <c r="T19" s="632" t="str">
        <f t="shared" si="0"/>
        <v>netaik.</v>
      </c>
      <c r="U19" s="646" t="str">
        <f t="shared" si="1"/>
        <v/>
      </c>
      <c r="V19" s="56"/>
      <c r="W19" s="56"/>
      <c r="X19" s="243"/>
      <c r="Y19" s="243"/>
      <c r="Z19" s="243"/>
      <c r="AA19" s="243"/>
    </row>
    <row r="20" spans="1:75" x14ac:dyDescent="0.2">
      <c r="A20" s="56"/>
      <c r="B20" s="1325"/>
      <c r="C20" s="260"/>
      <c r="D20" s="176" t="str">
        <f>IF(COUNTIF(CNTR_CheckPFC,S20)=0,"",INDEX(B_InstallationDescription!$D$71:$D$145,MATCH(S20,CNTR_CheckPFC,0)))</f>
        <v/>
      </c>
      <c r="E20" s="1697" t="str">
        <f>IF(D20="","",INDEX(B_InstallationDescription!$Y$71:$Y$145,MATCH(D20,B_InstallationDescription!$D$71:$D$145,0)))</f>
        <v/>
      </c>
      <c r="F20" s="1698"/>
      <c r="G20" s="1699"/>
      <c r="H20" s="1696" t="str">
        <f>IF(D20="","",INDEX(B_InstallationDescription!$E$71:$E$145,MATCH(D20,B_InstallationDescription!$D$71:$D$145,0)))</f>
        <v/>
      </c>
      <c r="I20" s="1696"/>
      <c r="J20" s="1696"/>
      <c r="K20" s="1696"/>
      <c r="L20" s="1695" t="str">
        <f>IF(E20="","",INDEX(B_InstallationDescription!$I$71:$I$145,MATCH(D20,B_InstallationDescription!$D$71:$D$145,0)))</f>
        <v/>
      </c>
      <c r="M20" s="1695"/>
      <c r="N20" s="1695"/>
      <c r="O20" s="1235"/>
      <c r="P20" s="56"/>
      <c r="Q20" s="56"/>
      <c r="R20" s="56"/>
      <c r="S20" s="630">
        <v>3</v>
      </c>
      <c r="T20" s="632" t="str">
        <f t="shared" si="0"/>
        <v>netaik.</v>
      </c>
      <c r="U20" s="646" t="str">
        <f t="shared" si="1"/>
        <v/>
      </c>
      <c r="V20" s="56"/>
      <c r="W20" s="56"/>
      <c r="X20" s="243"/>
      <c r="Y20" s="243"/>
      <c r="Z20" s="243"/>
      <c r="AA20" s="243"/>
    </row>
    <row r="21" spans="1:75" x14ac:dyDescent="0.2">
      <c r="A21" s="56"/>
      <c r="B21" s="1325"/>
      <c r="C21" s="260"/>
      <c r="D21" s="176" t="str">
        <f>IF(COUNTIF(CNTR_CheckPFC,S21)=0,"",INDEX(B_InstallationDescription!$D$71:$D$145,MATCH(S21,CNTR_CheckPFC,0)))</f>
        <v/>
      </c>
      <c r="E21" s="1697" t="str">
        <f>IF(D21="","",INDEX(B_InstallationDescription!$Y$71:$Y$145,MATCH(D21,B_InstallationDescription!$D$71:$D$145,0)))</f>
        <v/>
      </c>
      <c r="F21" s="1698"/>
      <c r="G21" s="1699"/>
      <c r="H21" s="1696" t="str">
        <f>IF(D21="","",INDEX(B_InstallationDescription!$E$71:$E$145,MATCH(D21,B_InstallationDescription!$D$71:$D$145,0)))</f>
        <v/>
      </c>
      <c r="I21" s="1696"/>
      <c r="J21" s="1696"/>
      <c r="K21" s="1696"/>
      <c r="L21" s="1695" t="str">
        <f>IF(E21="","",INDEX(B_InstallationDescription!$I$71:$I$145,MATCH(D21,B_InstallationDescription!$D$71:$D$145,0)))</f>
        <v/>
      </c>
      <c r="M21" s="1695"/>
      <c r="N21" s="1695"/>
      <c r="O21" s="1235"/>
      <c r="P21" s="56"/>
      <c r="Q21" s="56"/>
      <c r="R21" s="56"/>
      <c r="S21" s="630">
        <v>4</v>
      </c>
      <c r="T21" s="632" t="str">
        <f t="shared" si="0"/>
        <v>netaik.</v>
      </c>
      <c r="U21" s="646" t="str">
        <f t="shared" si="1"/>
        <v/>
      </c>
      <c r="V21" s="56"/>
      <c r="W21" s="56"/>
      <c r="X21" s="243"/>
      <c r="Y21" s="243"/>
      <c r="Z21" s="243"/>
      <c r="AA21" s="243"/>
    </row>
    <row r="22" spans="1:75" x14ac:dyDescent="0.2">
      <c r="A22" s="56"/>
      <c r="B22" s="1325"/>
      <c r="C22" s="260"/>
      <c r="D22" s="176" t="str">
        <f>IF(COUNTIF(CNTR_CheckPFC,S22)=0,"",INDEX(B_InstallationDescription!$D$71:$D$145,MATCH(S22,CNTR_CheckPFC,0)))</f>
        <v/>
      </c>
      <c r="E22" s="1697" t="str">
        <f>IF(D22="","",INDEX(B_InstallationDescription!$Y$71:$Y$145,MATCH(D22,B_InstallationDescription!$D$71:$D$145,0)))</f>
        <v/>
      </c>
      <c r="F22" s="1698"/>
      <c r="G22" s="1699"/>
      <c r="H22" s="1696" t="str">
        <f>IF(D22="","",INDEX(B_InstallationDescription!$E$71:$E$145,MATCH(D22,B_InstallationDescription!$D$71:$D$145,0)))</f>
        <v/>
      </c>
      <c r="I22" s="1696"/>
      <c r="J22" s="1696"/>
      <c r="K22" s="1696"/>
      <c r="L22" s="1695" t="str">
        <f>IF(E22="","",INDEX(B_InstallationDescription!$I$71:$I$145,MATCH(D22,B_InstallationDescription!$D$71:$D$145,0)))</f>
        <v/>
      </c>
      <c r="M22" s="1695"/>
      <c r="N22" s="1695"/>
      <c r="O22" s="1235"/>
      <c r="P22" s="55"/>
      <c r="Q22" s="56"/>
      <c r="R22" s="56"/>
      <c r="S22" s="630">
        <v>5</v>
      </c>
      <c r="T22" s="632" t="str">
        <f t="shared" si="0"/>
        <v>netaik.</v>
      </c>
      <c r="U22" s="646" t="str">
        <f t="shared" si="1"/>
        <v/>
      </c>
      <c r="V22" s="56"/>
      <c r="W22" s="56"/>
      <c r="X22" s="243"/>
      <c r="Y22" s="243"/>
      <c r="Z22" s="243"/>
      <c r="AA22" s="243"/>
    </row>
    <row r="23" spans="1:75" x14ac:dyDescent="0.2">
      <c r="A23" s="56"/>
      <c r="B23" s="1325"/>
      <c r="C23" s="260"/>
      <c r="D23" s="176" t="str">
        <f>IF(COUNTIF(CNTR_CheckPFC,S23)=0,"",INDEX(B_InstallationDescription!$D$71:$D$145,MATCH(S23,CNTR_CheckPFC,0)))</f>
        <v/>
      </c>
      <c r="E23" s="1697" t="str">
        <f>IF(D23="","",INDEX(B_InstallationDescription!$Y$71:$Y$145,MATCH(D23,B_InstallationDescription!$D$71:$D$145,0)))</f>
        <v/>
      </c>
      <c r="F23" s="1698"/>
      <c r="G23" s="1699"/>
      <c r="H23" s="1696" t="str">
        <f>IF(D23="","",INDEX(B_InstallationDescription!$E$71:$E$145,MATCH(D23,B_InstallationDescription!$D$71:$D$145,0)))</f>
        <v/>
      </c>
      <c r="I23" s="1696"/>
      <c r="J23" s="1696"/>
      <c r="K23" s="1696"/>
      <c r="L23" s="1695" t="str">
        <f>IF(E23="","",INDEX(B_InstallationDescription!$I$71:$I$145,MATCH(D23,B_InstallationDescription!$D$71:$D$145,0)))</f>
        <v/>
      </c>
      <c r="M23" s="1695"/>
      <c r="N23" s="1695"/>
      <c r="O23" s="1235"/>
      <c r="P23" s="56"/>
      <c r="Q23" s="56"/>
      <c r="R23" s="56"/>
      <c r="S23" s="630">
        <v>6</v>
      </c>
      <c r="T23" s="632" t="str">
        <f t="shared" si="0"/>
        <v>netaik.</v>
      </c>
      <c r="U23" s="646" t="str">
        <f t="shared" si="1"/>
        <v/>
      </c>
      <c r="V23" s="56"/>
      <c r="W23" s="56"/>
      <c r="X23" s="243"/>
      <c r="Y23" s="243"/>
      <c r="Z23" s="243"/>
      <c r="AA23" s="243"/>
    </row>
    <row r="24" spans="1:75" x14ac:dyDescent="0.2">
      <c r="A24" s="56"/>
      <c r="B24" s="1325"/>
      <c r="C24" s="260"/>
      <c r="D24" s="176" t="str">
        <f>IF(COUNTIF(CNTR_CheckPFC,S24)=0,"",INDEX(B_InstallationDescription!$D$71:$D$145,MATCH(S24,CNTR_CheckPFC,0)))</f>
        <v/>
      </c>
      <c r="E24" s="1697" t="str">
        <f>IF(D24="","",INDEX(B_InstallationDescription!$Y$71:$Y$145,MATCH(D24,B_InstallationDescription!$D$71:$D$145,0)))</f>
        <v/>
      </c>
      <c r="F24" s="1698"/>
      <c r="G24" s="1699"/>
      <c r="H24" s="1696" t="str">
        <f>IF(D24="","",INDEX(B_InstallationDescription!$E$71:$E$145,MATCH(D24,B_InstallationDescription!$D$71:$D$145,0)))</f>
        <v/>
      </c>
      <c r="I24" s="1696"/>
      <c r="J24" s="1696"/>
      <c r="K24" s="1696"/>
      <c r="L24" s="1695" t="str">
        <f>IF(E24="","",INDEX(B_InstallationDescription!$I$71:$I$145,MATCH(D24,B_InstallationDescription!$D$71:$D$145,0)))</f>
        <v/>
      </c>
      <c r="M24" s="1695"/>
      <c r="N24" s="1695"/>
      <c r="O24" s="1235"/>
      <c r="P24" s="56"/>
      <c r="Q24" s="56"/>
      <c r="R24" s="56"/>
      <c r="S24" s="630">
        <v>7</v>
      </c>
      <c r="T24" s="632" t="str">
        <f t="shared" si="0"/>
        <v>netaik.</v>
      </c>
      <c r="U24" s="646" t="str">
        <f t="shared" si="1"/>
        <v/>
      </c>
      <c r="V24" s="56"/>
      <c r="W24" s="56"/>
      <c r="X24" s="243"/>
      <c r="Y24" s="243"/>
      <c r="Z24" s="243"/>
      <c r="AA24" s="243"/>
    </row>
    <row r="25" spans="1:75" x14ac:dyDescent="0.2">
      <c r="A25" s="56"/>
      <c r="B25" s="1325"/>
      <c r="C25" s="260"/>
      <c r="D25" s="176" t="str">
        <f>IF(COUNTIF(CNTR_CheckPFC,S25)=0,"",INDEX(B_InstallationDescription!$D$71:$D$145,MATCH(S25,CNTR_CheckPFC,0)))</f>
        <v/>
      </c>
      <c r="E25" s="1697" t="str">
        <f>IF(D25="","",INDEX(B_InstallationDescription!$Y$71:$Y$145,MATCH(D25,B_InstallationDescription!$D$71:$D$145,0)))</f>
        <v/>
      </c>
      <c r="F25" s="1698"/>
      <c r="G25" s="1699"/>
      <c r="H25" s="1696" t="str">
        <f>IF(D25="","",INDEX(B_InstallationDescription!$E$71:$E$145,MATCH(D25,B_InstallationDescription!$D$71:$D$145,0)))</f>
        <v/>
      </c>
      <c r="I25" s="1696"/>
      <c r="J25" s="1696"/>
      <c r="K25" s="1696"/>
      <c r="L25" s="1695" t="str">
        <f>IF(E25="","",INDEX(B_InstallationDescription!$I$71:$I$145,MATCH(D25,B_InstallationDescription!$D$71:$D$145,0)))</f>
        <v/>
      </c>
      <c r="M25" s="1695"/>
      <c r="N25" s="1695"/>
      <c r="O25" s="1235"/>
      <c r="P25" s="56"/>
      <c r="Q25" s="56"/>
      <c r="R25" s="56"/>
      <c r="S25" s="630">
        <v>8</v>
      </c>
      <c r="T25" s="632" t="str">
        <f t="shared" si="0"/>
        <v>netaik.</v>
      </c>
      <c r="U25" s="646" t="str">
        <f t="shared" si="1"/>
        <v/>
      </c>
      <c r="V25" s="56"/>
      <c r="W25" s="56"/>
      <c r="X25" s="243"/>
      <c r="Y25" s="243"/>
      <c r="Z25" s="243"/>
      <c r="AA25" s="243"/>
    </row>
    <row r="26" spans="1:75" x14ac:dyDescent="0.2">
      <c r="A26" s="56"/>
      <c r="B26" s="1325"/>
      <c r="C26" s="260"/>
      <c r="D26" s="176" t="str">
        <f>IF(COUNTIF(CNTR_CheckPFC,S26)=0,"",INDEX(B_InstallationDescription!$D$71:$D$145,MATCH(S26,CNTR_CheckPFC,0)))</f>
        <v/>
      </c>
      <c r="E26" s="1697" t="str">
        <f>IF(D26="","",INDEX(B_InstallationDescription!$Y$71:$Y$145,MATCH(D26,B_InstallationDescription!$D$71:$D$145,0)))</f>
        <v/>
      </c>
      <c r="F26" s="1698"/>
      <c r="G26" s="1699"/>
      <c r="H26" s="1696" t="str">
        <f>IF(D26="","",INDEX(B_InstallationDescription!$E$71:$E$145,MATCH(D26,B_InstallationDescription!$D$71:$D$145,0)))</f>
        <v/>
      </c>
      <c r="I26" s="1696"/>
      <c r="J26" s="1696"/>
      <c r="K26" s="1696"/>
      <c r="L26" s="1695" t="str">
        <f>IF(E26="","",INDEX(B_InstallationDescription!$I$71:$I$145,MATCH(D26,B_InstallationDescription!$D$71:$D$145,0)))</f>
        <v/>
      </c>
      <c r="M26" s="1695"/>
      <c r="N26" s="1695"/>
      <c r="O26" s="1235"/>
      <c r="P26" s="56"/>
      <c r="Q26" s="56"/>
      <c r="R26" s="56"/>
      <c r="S26" s="630">
        <v>9</v>
      </c>
      <c r="T26" s="632" t="str">
        <f t="shared" si="0"/>
        <v>netaik.</v>
      </c>
      <c r="U26" s="646" t="str">
        <f t="shared" si="1"/>
        <v/>
      </c>
      <c r="V26" s="56"/>
      <c r="W26" s="56"/>
      <c r="X26" s="243"/>
      <c r="Y26" s="243"/>
      <c r="Z26" s="243"/>
      <c r="AA26" s="243"/>
    </row>
    <row r="27" spans="1:75" ht="13.5" thickBot="1" x14ac:dyDescent="0.25">
      <c r="A27" s="56"/>
      <c r="B27" s="1325"/>
      <c r="C27" s="260"/>
      <c r="D27" s="176" t="str">
        <f>IF(COUNTIF(CNTR_CheckPFC,S27)=0,"",INDEX(B_InstallationDescription!$D$71:$D$145,MATCH(S27,CNTR_CheckPFC,0)))</f>
        <v/>
      </c>
      <c r="E27" s="1697" t="str">
        <f>IF(D27="","",INDEX(B_InstallationDescription!$Y$71:$Y$145,MATCH(D27,B_InstallationDescription!$D$71:$D$145,0)))</f>
        <v/>
      </c>
      <c r="F27" s="1698"/>
      <c r="G27" s="1699"/>
      <c r="H27" s="1696" t="str">
        <f>IF(D27="","",INDEX(B_InstallationDescription!$E$71:$E$145,MATCH(D27,B_InstallationDescription!$D$71:$D$145,0)))</f>
        <v/>
      </c>
      <c r="I27" s="1696"/>
      <c r="J27" s="1696"/>
      <c r="K27" s="1696"/>
      <c r="L27" s="1695" t="str">
        <f>IF(E27="","",INDEX(B_InstallationDescription!$I$71:$I$145,MATCH(D27,B_InstallationDescription!$D$71:$D$145,0)))</f>
        <v/>
      </c>
      <c r="M27" s="1695"/>
      <c r="N27" s="1695"/>
      <c r="O27" s="1235"/>
      <c r="P27" s="56"/>
      <c r="Q27" s="56"/>
      <c r="R27" s="56"/>
      <c r="S27" s="630">
        <v>10</v>
      </c>
      <c r="T27" s="633" t="str">
        <f t="shared" si="0"/>
        <v>netaik.</v>
      </c>
      <c r="U27" s="647" t="str">
        <f t="shared" si="1"/>
        <v/>
      </c>
      <c r="V27" s="56"/>
      <c r="W27" s="56"/>
      <c r="X27" s="243"/>
      <c r="Y27" s="243"/>
      <c r="Z27" s="243"/>
      <c r="AA27" s="243"/>
    </row>
    <row r="28" spans="1:75" x14ac:dyDescent="0.2">
      <c r="A28" s="56"/>
      <c r="B28" s="1325"/>
      <c r="C28" s="260"/>
      <c r="D28" s="258"/>
      <c r="E28" s="258"/>
      <c r="F28" s="258"/>
      <c r="G28" s="258"/>
      <c r="H28" s="258"/>
      <c r="I28" s="258"/>
      <c r="J28" s="258"/>
      <c r="K28" s="259"/>
      <c r="L28" s="259"/>
      <c r="M28" s="259"/>
      <c r="N28" s="259"/>
      <c r="O28" s="1235"/>
      <c r="P28" s="56"/>
      <c r="Q28" s="56"/>
      <c r="R28" s="56"/>
      <c r="S28" s="56"/>
      <c r="T28" s="56"/>
      <c r="U28" s="56"/>
      <c r="V28" s="56"/>
      <c r="W28" s="56"/>
      <c r="X28" s="243"/>
      <c r="Y28" s="243"/>
      <c r="Z28" s="243"/>
      <c r="AA28" s="243"/>
    </row>
    <row r="29" spans="1:75" s="1060" customFormat="1" ht="18.75" customHeight="1" x14ac:dyDescent="0.2">
      <c r="A29" s="777"/>
      <c r="B29" s="1306"/>
      <c r="C29" s="708">
        <v>12</v>
      </c>
      <c r="D29" s="1592" t="str">
        <f>Translations!$B$720</f>
        <v>Išmetamųjų PFC sukėlikliai</v>
      </c>
      <c r="E29" s="1592"/>
      <c r="F29" s="1592"/>
      <c r="G29" s="1592"/>
      <c r="H29" s="1592"/>
      <c r="I29" s="1592"/>
      <c r="J29" s="1592"/>
      <c r="K29" s="1592"/>
      <c r="L29" s="1592"/>
      <c r="M29" s="1592"/>
      <c r="N29" s="1592"/>
      <c r="O29" s="1276"/>
      <c r="P29" s="383"/>
      <c r="Q29" s="56"/>
      <c r="R29" s="56"/>
      <c r="S29" s="56"/>
      <c r="T29" s="56"/>
      <c r="U29" s="56"/>
      <c r="V29" s="58"/>
      <c r="W29" s="58"/>
      <c r="X29" s="58"/>
      <c r="Y29" s="58"/>
      <c r="Z29" s="58"/>
      <c r="AA29" s="58"/>
      <c r="AB29" s="58"/>
      <c r="AC29" s="58"/>
      <c r="AD29" s="58"/>
      <c r="AE29" s="58"/>
      <c r="AF29" s="58"/>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1058"/>
      <c r="BM29" s="1058"/>
      <c r="BN29" s="1058"/>
      <c r="BO29" s="1058"/>
      <c r="BP29" s="1058"/>
      <c r="BQ29" s="1058"/>
      <c r="BR29" s="1058"/>
      <c r="BS29" s="1058"/>
      <c r="BT29" s="1058"/>
      <c r="BU29" s="1058"/>
      <c r="BV29" s="1058"/>
      <c r="BW29" s="1058"/>
    </row>
    <row r="30" spans="1:75" ht="5.0999999999999996" customHeight="1" x14ac:dyDescent="0.2">
      <c r="A30" s="56"/>
      <c r="B30" s="1306"/>
      <c r="C30" s="260"/>
      <c r="D30" s="258"/>
      <c r="E30" s="258"/>
      <c r="F30" s="258"/>
      <c r="G30" s="258"/>
      <c r="H30" s="258"/>
      <c r="I30" s="258"/>
      <c r="J30" s="258"/>
      <c r="K30" s="259"/>
      <c r="L30" s="259"/>
      <c r="M30" s="259"/>
      <c r="N30" s="259"/>
      <c r="O30" s="1235"/>
      <c r="P30" s="56"/>
      <c r="Q30" s="56"/>
      <c r="R30" s="56"/>
      <c r="S30" s="56"/>
      <c r="T30" s="56"/>
      <c r="U30" s="56"/>
      <c r="V30" s="56"/>
      <c r="W30" s="56"/>
      <c r="X30" s="243"/>
      <c r="Y30" s="243"/>
      <c r="Z30" s="243"/>
      <c r="AA30" s="243"/>
    </row>
    <row r="31" spans="1:75" ht="25.5" customHeight="1" x14ac:dyDescent="0.2">
      <c r="A31" s="757"/>
      <c r="B31" s="1306"/>
      <c r="C31" s="486"/>
      <c r="D31" s="9"/>
      <c r="E31" s="1614" t="str">
        <f>Translations!$B$620</f>
        <v>Svarbu! Nuoseklumo sumetimais sukėliklius įveskite tokia pat eilės tvarka, kaip pateikta 7 dalies b punkte ir Jūsų naujausiame patvirtintame stebėsenos plane (tokia pat eilės tvarka ir naudodami tokius pat identifikatorius).</v>
      </c>
      <c r="F31" s="1614"/>
      <c r="G31" s="1614"/>
      <c r="H31" s="1614"/>
      <c r="I31" s="1614"/>
      <c r="J31" s="1614"/>
      <c r="K31" s="1614"/>
      <c r="L31" s="1614"/>
      <c r="M31" s="1614"/>
      <c r="N31" s="1614"/>
      <c r="O31" s="1307"/>
      <c r="P31" s="383"/>
      <c r="Q31" s="383"/>
      <c r="R31" s="383"/>
      <c r="S31" s="56"/>
      <c r="T31" s="56"/>
      <c r="U31" s="58"/>
      <c r="V31" s="58"/>
      <c r="W31" s="58"/>
      <c r="X31" s="58"/>
      <c r="Y31" s="58"/>
      <c r="Z31" s="58"/>
      <c r="AA31" s="58"/>
      <c r="AB31" s="58"/>
      <c r="AC31" s="58"/>
      <c r="AD31" s="58"/>
      <c r="AE31" s="58"/>
      <c r="AF31" s="58"/>
      <c r="AG31" s="58"/>
      <c r="AH31" s="58"/>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row>
    <row r="32" spans="1:75" ht="5.0999999999999996" customHeight="1" x14ac:dyDescent="0.2">
      <c r="A32" s="847"/>
      <c r="B32" s="1306"/>
      <c r="C32" s="486"/>
      <c r="D32" s="9"/>
      <c r="E32" s="1045"/>
      <c r="F32" s="1045"/>
      <c r="G32" s="1045"/>
      <c r="H32" s="1045"/>
      <c r="I32" s="1045"/>
      <c r="J32" s="1045"/>
      <c r="K32" s="1045"/>
      <c r="L32" s="1045"/>
      <c r="M32" s="1045"/>
      <c r="N32" s="1045"/>
      <c r="O32" s="1307"/>
      <c r="P32" s="383"/>
      <c r="Q32" s="383"/>
      <c r="R32" s="383"/>
      <c r="S32" s="56"/>
      <c r="T32" s="56"/>
      <c r="U32" s="58"/>
      <c r="V32" s="58"/>
      <c r="W32" s="58"/>
      <c r="X32" s="58"/>
      <c r="Y32" s="58"/>
      <c r="Z32" s="58"/>
      <c r="AA32" s="58"/>
      <c r="AB32" s="58"/>
      <c r="AC32" s="58"/>
      <c r="AD32" s="58"/>
      <c r="AE32" s="58"/>
      <c r="AF32" s="58"/>
      <c r="AG32" s="58"/>
      <c r="AH32" s="58"/>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row>
    <row r="33" spans="1:63" s="1061" customFormat="1" ht="15" customHeight="1" x14ac:dyDescent="0.2">
      <c r="A33" s="23"/>
      <c r="B33" s="1306"/>
      <c r="C33" s="382"/>
      <c r="D33" s="781"/>
      <c r="E33" s="1633" t="str">
        <f>Translations!$B$621</f>
        <v>Santrumpos:</v>
      </c>
      <c r="F33" s="1633"/>
      <c r="G33" s="1633"/>
      <c r="H33" s="1633"/>
      <c r="I33" s="1633"/>
      <c r="J33" s="1633"/>
      <c r="K33" s="1633"/>
      <c r="L33" s="1633"/>
      <c r="M33" s="1633"/>
      <c r="N33" s="1633"/>
      <c r="O33" s="1309"/>
      <c r="P33" s="25"/>
      <c r="Q33" s="25"/>
      <c r="R33" s="25"/>
      <c r="S33" s="56"/>
      <c r="T33" s="56"/>
      <c r="U33" s="56"/>
      <c r="V33" s="25"/>
      <c r="W33" s="2"/>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row>
    <row r="34" spans="1:63" ht="12.75" customHeight="1" x14ac:dyDescent="0.2">
      <c r="A34" s="56"/>
      <c r="B34" s="1250"/>
      <c r="C34" s="200"/>
      <c r="D34" s="200"/>
      <c r="E34" s="231" t="str">
        <f>Translations!$B$622</f>
        <v>VD:</v>
      </c>
      <c r="F34" s="1632" t="str">
        <f>Translations!$B$721</f>
        <v>Veiklos duomenys – per metus pagaminamas pirminio aliuminio kiekis.</v>
      </c>
      <c r="G34" s="1632"/>
      <c r="H34" s="1632"/>
      <c r="I34" s="1632"/>
      <c r="J34" s="1632"/>
      <c r="K34" s="1632"/>
      <c r="L34" s="1632"/>
      <c r="M34" s="1632"/>
      <c r="N34" s="1632"/>
      <c r="O34" s="1310"/>
      <c r="P34" s="25"/>
      <c r="Q34" s="7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row>
    <row r="35" spans="1:63" ht="12.75" customHeight="1" x14ac:dyDescent="0.2">
      <c r="A35" s="56"/>
      <c r="B35" s="1250"/>
      <c r="C35" s="200"/>
      <c r="D35" s="200"/>
      <c r="E35" s="231" t="str">
        <f>Translations!$B$722</f>
        <v>A. Dažnis</v>
      </c>
      <c r="F35" s="1632" t="str">
        <f>Translations!$B$723</f>
        <v>Anodinių efektų dažnis (anodinių efektų skaičius vienoje elektrolizės vonioje per parą)</v>
      </c>
      <c r="G35" s="1632"/>
      <c r="H35" s="1632"/>
      <c r="I35" s="1632"/>
      <c r="J35" s="1632"/>
      <c r="K35" s="1632"/>
      <c r="L35" s="1632"/>
      <c r="M35" s="1632"/>
      <c r="N35" s="1632"/>
      <c r="O35" s="1310"/>
      <c r="P35" s="25"/>
      <c r="Q35" s="7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row>
    <row r="36" spans="1:63" s="1062" customFormat="1" ht="12.75" customHeight="1" x14ac:dyDescent="0.2">
      <c r="A36" s="66"/>
      <c r="B36" s="1280"/>
      <c r="C36" s="5"/>
      <c r="D36" s="5"/>
      <c r="E36" s="232" t="str">
        <f>Translations!$B$724</f>
        <v>A. Trukmė</v>
      </c>
      <c r="F36" s="1632" t="str">
        <f>Translations!$B$725</f>
        <v>Vidutinė anodinių efektų trukmė (anodinių efektų trukmės minutėmis ir dažnio santykis)</v>
      </c>
      <c r="G36" s="1632"/>
      <c r="H36" s="1632"/>
      <c r="I36" s="1632"/>
      <c r="J36" s="1632"/>
      <c r="K36" s="1632"/>
      <c r="L36" s="1632"/>
      <c r="M36" s="1632"/>
      <c r="N36" s="1632"/>
      <c r="O36" s="1311"/>
      <c r="P36" s="25"/>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62" customFormat="1" ht="12.75" customHeight="1" x14ac:dyDescent="0.2">
      <c r="A37" s="66"/>
      <c r="B37" s="1280"/>
      <c r="C37" s="5"/>
      <c r="D37" s="5"/>
      <c r="E37" s="232" t="str">
        <f>Translations!$B$726</f>
        <v>A. NITF(CF4)</v>
      </c>
      <c r="F37" s="1632" t="str">
        <f>Translations!$B$727</f>
        <v>Išmetamųjų teršalų faktorius pagal nuolydžio metodą.</v>
      </c>
      <c r="G37" s="1632"/>
      <c r="H37" s="1632"/>
      <c r="I37" s="1632"/>
      <c r="J37" s="1632"/>
      <c r="K37" s="1632"/>
      <c r="L37" s="1632"/>
      <c r="M37" s="1632"/>
      <c r="N37" s="1632"/>
      <c r="O37" s="1311"/>
      <c r="P37" s="25"/>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62" customFormat="1" ht="12.75" customHeight="1" x14ac:dyDescent="0.2">
      <c r="A38" s="66"/>
      <c r="B38" s="1280"/>
      <c r="C38" s="5"/>
      <c r="D38" s="5"/>
      <c r="E38" s="232" t="str">
        <f>Translations!$B$728</f>
        <v>B. AEV</v>
      </c>
      <c r="F38" s="1632" t="str">
        <f>Translations!$B$729</f>
        <v>Vienos elektrolizės vonios anodinio efekto viršįtampis.</v>
      </c>
      <c r="G38" s="1632"/>
      <c r="H38" s="1632"/>
      <c r="I38" s="1632"/>
      <c r="J38" s="1632"/>
      <c r="K38" s="1632"/>
      <c r="L38" s="1632"/>
      <c r="M38" s="1632"/>
      <c r="N38" s="1632"/>
      <c r="O38" s="1311"/>
      <c r="P38" s="25"/>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62" customFormat="1" ht="12.75" customHeight="1" x14ac:dyDescent="0.2">
      <c r="A39" s="66"/>
      <c r="B39" s="1280"/>
      <c r="C39" s="5"/>
      <c r="D39" s="5"/>
      <c r="E39" s="232" t="str">
        <f>Translations!$B$730</f>
        <v>B. EN</v>
      </c>
      <c r="F39" s="1632" t="str">
        <f>Translations!$B$731</f>
        <v>Vidutinis esamas našumas.</v>
      </c>
      <c r="G39" s="1632"/>
      <c r="H39" s="1632"/>
      <c r="I39" s="1632"/>
      <c r="J39" s="1632"/>
      <c r="K39" s="1632"/>
      <c r="L39" s="1632"/>
      <c r="M39" s="1632"/>
      <c r="N39" s="1632"/>
      <c r="O39" s="1311"/>
      <c r="P39" s="25"/>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62" customFormat="1" ht="12.75" customHeight="1" x14ac:dyDescent="0.2">
      <c r="A40" s="66"/>
      <c r="B40" s="1280"/>
      <c r="C40" s="5"/>
      <c r="D40" s="5"/>
      <c r="E40" s="232" t="str">
        <f>Translations!$B$732</f>
        <v>B. VĮK</v>
      </c>
      <c r="F40" s="1632" t="str">
        <f>Translations!$B$733</f>
        <v>Viršįtampio koeficientas (išmetamųjų teršalų faktorius).</v>
      </c>
      <c r="G40" s="1632"/>
      <c r="H40" s="1632"/>
      <c r="I40" s="1632"/>
      <c r="J40" s="1632"/>
      <c r="K40" s="1632"/>
      <c r="L40" s="1632"/>
      <c r="M40" s="1632"/>
      <c r="N40" s="1632"/>
      <c r="O40" s="1311"/>
      <c r="P40" s="25"/>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
      <c r="A41" s="56"/>
      <c r="B41" s="1250"/>
      <c r="C41" s="200"/>
      <c r="D41" s="200"/>
      <c r="E41" s="231" t="str">
        <f>Translations!$B$734</f>
        <v>F(C2F6)</v>
      </c>
      <c r="F41" s="1632" t="str">
        <f>Translations!$B$735</f>
        <v>C2F6 svorio dalis.</v>
      </c>
      <c r="G41" s="1632"/>
      <c r="H41" s="1632"/>
      <c r="I41" s="1632"/>
      <c r="J41" s="1632"/>
      <c r="K41" s="1632"/>
      <c r="L41" s="1632"/>
      <c r="M41" s="1632"/>
      <c r="N41" s="1632"/>
      <c r="O41" s="1310"/>
      <c r="P41" s="25"/>
      <c r="Q41" s="7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row>
    <row r="42" spans="1:63" ht="12.75" customHeight="1" x14ac:dyDescent="0.2">
      <c r="A42" s="56"/>
      <c r="B42" s="1250"/>
      <c r="C42" s="200"/>
      <c r="D42" s="200"/>
      <c r="E42" s="231" t="str">
        <f>Translations!$B$736</f>
        <v>VAP(CF4)</v>
      </c>
      <c r="F42" s="1632" t="str">
        <f>Translations!$B$737</f>
        <v>CF4 visuotinio atšilimo potencialas.</v>
      </c>
      <c r="G42" s="1632"/>
      <c r="H42" s="1632"/>
      <c r="I42" s="1632"/>
      <c r="J42" s="1632"/>
      <c r="K42" s="1632"/>
      <c r="L42" s="1632"/>
      <c r="M42" s="1632"/>
      <c r="N42" s="1632"/>
      <c r="O42" s="1310"/>
      <c r="P42" s="25"/>
      <c r="Q42" s="7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row>
    <row r="43" spans="1:63" s="1061" customFormat="1" ht="12.75" customHeight="1" x14ac:dyDescent="0.2">
      <c r="A43" s="23"/>
      <c r="B43" s="1280"/>
      <c r="C43" s="5"/>
      <c r="D43" s="31"/>
      <c r="E43" s="231" t="str">
        <f>Translations!$B$738</f>
        <v>VAP(C2F6)</v>
      </c>
      <c r="F43" s="1632" t="str">
        <f>Translations!$B$739</f>
        <v>C2F6 visuotinio atšilimo potencialas.</v>
      </c>
      <c r="G43" s="1632"/>
      <c r="H43" s="1632"/>
      <c r="I43" s="1632"/>
      <c r="J43" s="1632"/>
      <c r="K43" s="1632"/>
      <c r="L43" s="1632"/>
      <c r="M43" s="1632"/>
      <c r="N43" s="1632"/>
      <c r="O43" s="1281"/>
      <c r="P43" s="25"/>
      <c r="Q43" s="14"/>
      <c r="R43" s="25"/>
      <c r="S43" s="25"/>
      <c r="T43" s="23"/>
      <c r="U43" s="23"/>
      <c r="V43" s="25"/>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row>
    <row r="44" spans="1:63" s="1061" customFormat="1" ht="15" customHeight="1" x14ac:dyDescent="0.2">
      <c r="A44" s="23"/>
      <c r="B44" s="1308"/>
      <c r="C44" s="382"/>
      <c r="D44" s="781"/>
      <c r="E44" s="781"/>
      <c r="F44" s="781"/>
      <c r="G44" s="781"/>
      <c r="H44" s="781"/>
      <c r="I44" s="781"/>
      <c r="J44" s="781"/>
      <c r="K44" s="781"/>
      <c r="L44" s="781"/>
      <c r="M44" s="781"/>
      <c r="N44" s="781"/>
      <c r="O44" s="1309"/>
      <c r="P44" s="25"/>
      <c r="Q44" s="25"/>
      <c r="R44" s="25"/>
      <c r="S44" s="25"/>
      <c r="T44" s="23"/>
      <c r="U44" s="23"/>
      <c r="V44" s="25"/>
      <c r="W44" s="2"/>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row>
    <row r="45" spans="1:63" s="1061" customFormat="1" ht="15" customHeight="1" x14ac:dyDescent="0.2">
      <c r="A45" s="23"/>
      <c r="B45" s="1308"/>
      <c r="C45" s="382"/>
      <c r="D45" s="779"/>
      <c r="E45" s="1577" t="str">
        <f>Translations!$B$650</f>
        <v>Apskaičiavimo faktorių pakopos:</v>
      </c>
      <c r="F45" s="1577"/>
      <c r="G45" s="1577"/>
      <c r="H45" s="1577"/>
      <c r="I45" s="1577"/>
      <c r="J45" s="1577"/>
      <c r="K45" s="1577"/>
      <c r="L45" s="1577"/>
      <c r="M45" s="1577"/>
      <c r="N45" s="1577"/>
      <c r="O45" s="1309"/>
      <c r="P45" s="25"/>
      <c r="Q45" s="25"/>
      <c r="R45" s="25"/>
      <c r="S45" s="25"/>
      <c r="T45" s="23"/>
      <c r="U45" s="23"/>
      <c r="V45" s="25"/>
      <c r="W45" s="2"/>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row>
    <row r="46" spans="1:63" s="1061" customFormat="1" ht="5.0999999999999996" customHeight="1" x14ac:dyDescent="0.2">
      <c r="A46" s="23"/>
      <c r="B46" s="1308"/>
      <c r="C46" s="382"/>
      <c r="D46" s="781"/>
      <c r="E46" s="781"/>
      <c r="F46" s="781"/>
      <c r="G46" s="781"/>
      <c r="H46" s="781"/>
      <c r="I46" s="781"/>
      <c r="J46" s="781"/>
      <c r="K46" s="781"/>
      <c r="L46" s="781"/>
      <c r="M46" s="781"/>
      <c r="N46" s="781"/>
      <c r="O46" s="1309"/>
      <c r="P46" s="25"/>
      <c r="Q46" s="25"/>
      <c r="R46" s="25"/>
      <c r="S46" s="25"/>
      <c r="T46" s="23"/>
      <c r="U46" s="23"/>
      <c r="V46" s="25"/>
      <c r="W46" s="2"/>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row>
    <row r="47" spans="1:63" s="1061" customFormat="1" ht="25.5" customHeight="1" x14ac:dyDescent="0.2">
      <c r="A47" s="23"/>
      <c r="B47" s="1308"/>
      <c r="C47" s="382"/>
      <c r="D47" s="9"/>
      <c r="E47" s="1570" t="str">
        <f>Translations!$B$651</f>
        <v>Pagal 30 straipsnio 1 dalį apskaičiavimo faktoriai gali būti nustatomi kaip numatytosios vertės arba laboratorinės analizės būdu. Tai, kuris variantas turėtų būti taikomas, priklauso nuo taikomos pakopos.</v>
      </c>
      <c r="F47" s="1570"/>
      <c r="G47" s="1570"/>
      <c r="H47" s="1570"/>
      <c r="I47" s="1570"/>
      <c r="J47" s="1570"/>
      <c r="K47" s="1570"/>
      <c r="L47" s="1570"/>
      <c r="M47" s="1570"/>
      <c r="N47" s="1570"/>
      <c r="O47" s="1309"/>
      <c r="P47" s="25"/>
      <c r="Q47" s="25"/>
      <c r="R47" s="25"/>
      <c r="S47" s="25"/>
      <c r="T47" s="23"/>
      <c r="U47" s="23"/>
      <c r="V47" s="25"/>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row>
    <row r="48" spans="1:63" s="1061" customFormat="1" ht="12.75" customHeight="1" x14ac:dyDescent="0.2">
      <c r="A48" s="23"/>
      <c r="B48" s="1308"/>
      <c r="C48" s="382"/>
      <c r="D48" s="9"/>
      <c r="E48" s="1615" t="str">
        <f>Translations!$B$652</f>
        <v>Galima rinktis iš šių pakopų kategorijų (pagal rekomendacinį dokumentą Nr. 1):</v>
      </c>
      <c r="F48" s="1615"/>
      <c r="G48" s="1615"/>
      <c r="H48" s="1615"/>
      <c r="I48" s="1615"/>
      <c r="J48" s="1615"/>
      <c r="K48" s="1615"/>
      <c r="L48" s="1615"/>
      <c r="M48" s="1615"/>
      <c r="N48" s="1615"/>
      <c r="O48" s="1309"/>
      <c r="P48" s="25"/>
      <c r="Q48" s="25"/>
      <c r="R48" s="25"/>
      <c r="S48" s="25"/>
      <c r="T48" s="23"/>
      <c r="U48" s="23"/>
      <c r="V48" s="25"/>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row>
    <row r="49" spans="1:63" ht="25.5" customHeight="1" x14ac:dyDescent="0.2">
      <c r="A49" s="56"/>
      <c r="B49" s="1250"/>
      <c r="C49" s="200"/>
      <c r="D49" s="200"/>
      <c r="E49" s="231" t="str">
        <f>Translations!$B$740</f>
        <v>A metodas, I tipas</v>
      </c>
      <c r="F49" s="1632" t="str">
        <f>Translations!$B$741</f>
        <v>I tipo numatytoji vertė: SAR IV priedo 8 skirsnio 1 lentelėje konkrečioms technologijoms nustatyti išmetamųjų teršalų faktoriai.</v>
      </c>
      <c r="G49" s="1632"/>
      <c r="H49" s="1632"/>
      <c r="I49" s="1632"/>
      <c r="J49" s="1632"/>
      <c r="K49" s="1632"/>
      <c r="L49" s="1632"/>
      <c r="M49" s="1632"/>
      <c r="N49" s="1632"/>
      <c r="O49" s="1310"/>
      <c r="P49" s="75"/>
      <c r="Q49" s="7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row>
    <row r="50" spans="1:63" ht="25.5" customHeight="1" x14ac:dyDescent="0.2">
      <c r="A50" s="56"/>
      <c r="B50" s="1250"/>
      <c r="C50" s="200"/>
      <c r="D50" s="200"/>
      <c r="E50" s="231" t="str">
        <f>Translations!$B$742</f>
        <v>B metodas, I tipas</v>
      </c>
      <c r="F50" s="1632" t="str">
        <f>Translations!$B$743</f>
        <v>I tipo numatytoji vertė: SAR IV priedo 8 skirsnio 2 lentelėje konkrečioms technologijoms nustatyti išmetamųjų teršalų faktoriai.</v>
      </c>
      <c r="G50" s="1632"/>
      <c r="H50" s="1632"/>
      <c r="I50" s="1632"/>
      <c r="J50" s="1632"/>
      <c r="K50" s="1632"/>
      <c r="L50" s="1632"/>
      <c r="M50" s="1632"/>
      <c r="N50" s="1632"/>
      <c r="O50" s="1310"/>
      <c r="P50" s="75"/>
      <c r="Q50" s="7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row>
    <row r="51" spans="1:63" ht="25.5" customHeight="1" x14ac:dyDescent="0.2">
      <c r="A51" s="56"/>
      <c r="B51" s="1250"/>
      <c r="C51" s="200"/>
      <c r="D51" s="200"/>
      <c r="E51" s="231" t="str">
        <f>Translations!$B$744</f>
        <v>Konkretus ITF</v>
      </c>
      <c r="F51" s="1632"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32"/>
      <c r="H51" s="1632"/>
      <c r="I51" s="1632"/>
      <c r="J51" s="1632"/>
      <c r="K51" s="1632"/>
      <c r="L51" s="1632"/>
      <c r="M51" s="1632"/>
      <c r="N51" s="1632"/>
      <c r="O51" s="1310"/>
      <c r="P51" s="75"/>
      <c r="Q51" s="7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row>
    <row r="52" spans="1:63" ht="12.75" customHeight="1" x14ac:dyDescent="0.2">
      <c r="A52" s="56"/>
      <c r="B52" s="1254"/>
      <c r="C52" s="200"/>
      <c r="D52" s="200"/>
      <c r="E52" s="200"/>
      <c r="F52" s="200"/>
      <c r="G52" s="200"/>
      <c r="H52" s="200"/>
      <c r="I52" s="200"/>
      <c r="J52" s="200"/>
      <c r="K52" s="200"/>
      <c r="L52" s="200"/>
      <c r="M52" s="200"/>
      <c r="N52" s="200"/>
      <c r="O52" s="1255"/>
      <c r="P52" s="383"/>
      <c r="Q52" s="56"/>
      <c r="R52" s="56"/>
      <c r="S52" s="73"/>
      <c r="T52" s="56"/>
      <c r="U52" s="56"/>
      <c r="V52" s="73"/>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row>
    <row r="53" spans="1:63" s="1061" customFormat="1" ht="15" customHeight="1" x14ac:dyDescent="0.2">
      <c r="A53" s="23"/>
      <c r="B53" s="1308"/>
      <c r="C53" s="382"/>
      <c r="D53" s="779"/>
      <c r="E53" s="1633" t="str">
        <f>Translations!$B$662</f>
        <v>Pranešimai apie klaidas:</v>
      </c>
      <c r="F53" s="1633"/>
      <c r="G53" s="1633"/>
      <c r="H53" s="1633"/>
      <c r="I53" s="1633"/>
      <c r="J53" s="1633"/>
      <c r="K53" s="1633"/>
      <c r="L53" s="1633"/>
      <c r="M53" s="1633"/>
      <c r="N53" s="1633"/>
      <c r="O53" s="1309"/>
      <c r="P53" s="25"/>
      <c r="Q53" s="25"/>
      <c r="R53" s="25"/>
      <c r="S53" s="25"/>
      <c r="T53" s="23"/>
      <c r="U53" s="23"/>
      <c r="V53" s="25"/>
      <c r="W53" s="2"/>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row>
    <row r="54" spans="1:63" ht="25.5" customHeight="1" x14ac:dyDescent="0.2">
      <c r="A54" s="56"/>
      <c r="B54" s="1250"/>
      <c r="C54" s="200"/>
      <c r="D54" s="200"/>
      <c r="E54" s="231" t="str">
        <f>EUconst_ERR_Incomplete</f>
        <v>Nebaigta!</v>
      </c>
      <c r="F54" s="1632" t="str">
        <f>Translations!$B$663</f>
        <v>Šis pranešimas apie klaidą reiškia, kad įrašai šioje eilutėje yra privalomi, bet jų nėra.</v>
      </c>
      <c r="G54" s="1632"/>
      <c r="H54" s="1632"/>
      <c r="I54" s="1632"/>
      <c r="J54" s="1632"/>
      <c r="K54" s="1632"/>
      <c r="L54" s="1632"/>
      <c r="M54" s="1632"/>
      <c r="N54" s="1632"/>
      <c r="O54" s="1310"/>
      <c r="P54" s="25"/>
      <c r="Q54" s="7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row>
    <row r="55" spans="1:63" ht="25.5" customHeight="1" x14ac:dyDescent="0.2">
      <c r="A55" s="56"/>
      <c r="B55" s="1250"/>
      <c r="C55" s="200"/>
      <c r="D55" s="200"/>
      <c r="E55" s="231" t="str">
        <f>EUconst_ERR_Inconsistent</f>
        <v>Nenuoseklu!</v>
      </c>
      <c r="F55" s="1632" t="str">
        <f>Translations!$B$746</f>
        <v>Šis pranešimas apie klaidą reiškia, kad įrašai nenuoseklūs. Galimos neatitiktys gali būti susijusios su duomenų įvedimu faktoriams, kurie neaktualūs šiems sukėlikliams, arba procentinėmis vertėmis, viršijančiomis 100 proc.</v>
      </c>
      <c r="G55" s="1632"/>
      <c r="H55" s="1632"/>
      <c r="I55" s="1632"/>
      <c r="J55" s="1632"/>
      <c r="K55" s="1632"/>
      <c r="L55" s="1632"/>
      <c r="M55" s="1632"/>
      <c r="N55" s="1632"/>
      <c r="O55" s="1310"/>
      <c r="P55" s="25"/>
      <c r="Q55" s="7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row>
    <row r="56" spans="1:63" ht="12.75" customHeight="1" collapsed="1" thickBot="1" x14ac:dyDescent="0.25">
      <c r="A56" s="55"/>
      <c r="B56" s="1254"/>
      <c r="C56" s="36"/>
      <c r="D56" s="37"/>
      <c r="E56" s="38"/>
      <c r="F56" s="36"/>
      <c r="G56" s="39"/>
      <c r="H56" s="39"/>
      <c r="I56" s="39"/>
      <c r="J56" s="39"/>
      <c r="K56" s="39"/>
      <c r="L56" s="39"/>
      <c r="M56" s="39"/>
      <c r="N56" s="39"/>
      <c r="O56" s="1235"/>
      <c r="P56" s="383"/>
      <c r="Q56" s="56"/>
      <c r="R56" s="56"/>
      <c r="S56" s="73"/>
      <c r="T56" s="23"/>
      <c r="U56" s="56"/>
      <c r="V56" s="56"/>
      <c r="W56" s="56"/>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row>
    <row r="57" spans="1:63" s="1060" customFormat="1" ht="12.75" customHeight="1" thickBot="1" x14ac:dyDescent="0.25">
      <c r="A57" s="482"/>
      <c r="B57" s="1312"/>
      <c r="C57" s="486"/>
      <c r="D57" s="178"/>
      <c r="E57" s="487"/>
      <c r="F57" s="486"/>
      <c r="G57" s="478"/>
      <c r="H57" s="478"/>
      <c r="I57" s="478"/>
      <c r="J57" s="478"/>
      <c r="K57" s="486"/>
      <c r="L57" s="478"/>
      <c r="M57" s="478"/>
      <c r="N57" s="478"/>
      <c r="O57" s="1313"/>
      <c r="P57" s="485"/>
      <c r="Q57" s="76"/>
      <c r="R57" s="76"/>
      <c r="S57" s="58"/>
      <c r="T57" s="23"/>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23"/>
    </row>
    <row r="58" spans="1:63" s="1063" customFormat="1" ht="15" customHeight="1" thickBot="1" x14ac:dyDescent="0.25">
      <c r="A58" s="58"/>
      <c r="B58" s="1248"/>
      <c r="C58" s="608">
        <v>1</v>
      </c>
      <c r="D58" s="334"/>
      <c r="E58" s="1610"/>
      <c r="F58" s="1611"/>
      <c r="G58" s="1611"/>
      <c r="H58" s="1611"/>
      <c r="I58" s="1611"/>
      <c r="J58" s="1612"/>
      <c r="K58" s="140"/>
      <c r="L58" s="140"/>
      <c r="M58" s="494" t="str">
        <f>Translations!$B$747</f>
        <v>Išmetamųjų teršalų kiekis:</v>
      </c>
      <c r="N58" s="998" t="str">
        <f>IF(COUNT(L80:L81,L83)=3,(L80+L81)/L83,"")</f>
        <v/>
      </c>
      <c r="O58" s="1314" t="s">
        <v>257</v>
      </c>
      <c r="P58" s="485"/>
      <c r="Q58" s="343" t="str">
        <f>EUconst_SumCO2 &amp; "_" &amp; EUconst_ProcessPFC</f>
        <v>SUM_CO2_Išmetamas PFC kiekis</v>
      </c>
      <c r="R58" s="27" t="str">
        <f>IF(ISBLANK(E58),"",MATCH(E58,CNTR_SourceStreamNames,0))</f>
        <v/>
      </c>
      <c r="S58" s="609" t="str">
        <f>IF(ISBLANK(E58),"",INDEX(B_InstallationDescription!$D$71:$D$145,MATCH(E58,CNTR_SourceStreamNames,0)))</f>
        <v/>
      </c>
      <c r="T58" s="500" t="s">
        <v>387</v>
      </c>
      <c r="U58" s="677" t="s">
        <v>67</v>
      </c>
      <c r="V58" s="58"/>
      <c r="W58" s="58"/>
      <c r="X58" s="58"/>
      <c r="Y58" s="58"/>
      <c r="Z58" s="58"/>
      <c r="AA58" s="58"/>
      <c r="AB58" s="333"/>
      <c r="AC58" s="333"/>
      <c r="AD58" s="333"/>
      <c r="AE58" s="333"/>
      <c r="AF58" s="333"/>
      <c r="AG58" s="333"/>
      <c r="AH58" s="333"/>
      <c r="AI58" s="333"/>
      <c r="AJ58" s="333"/>
      <c r="AK58" s="333"/>
      <c r="AL58" s="333"/>
      <c r="AM58" s="333"/>
      <c r="AN58" s="333"/>
      <c r="AO58" s="333"/>
      <c r="AP58" s="333"/>
      <c r="AQ58" s="333"/>
      <c r="AR58" s="333"/>
      <c r="AS58" s="866">
        <f>K64</f>
        <v>0</v>
      </c>
      <c r="AT58" s="833">
        <f>AE66</f>
        <v>0</v>
      </c>
      <c r="AU58" s="833">
        <f>AE67</f>
        <v>0</v>
      </c>
      <c r="AV58" s="833">
        <f>AE68</f>
        <v>0</v>
      </c>
      <c r="AW58" s="833">
        <f>AE69</f>
        <v>0</v>
      </c>
      <c r="AX58" s="833">
        <f>AE70</f>
        <v>0</v>
      </c>
      <c r="AY58" s="833">
        <f>AE71</f>
        <v>0</v>
      </c>
      <c r="AZ58" s="833">
        <f>AE72</f>
        <v>0</v>
      </c>
      <c r="BA58" s="867" t="str">
        <f>L74</f>
        <v/>
      </c>
      <c r="BB58" s="867" t="str">
        <f>L75</f>
        <v/>
      </c>
      <c r="BC58" s="833">
        <f>AE77</f>
        <v>7390</v>
      </c>
      <c r="BD58" s="833">
        <f>AE78</f>
        <v>12200</v>
      </c>
      <c r="BE58" s="866" t="str">
        <f>L80</f>
        <v/>
      </c>
      <c r="BF58" s="866" t="str">
        <f>L81</f>
        <v/>
      </c>
      <c r="BG58" s="868">
        <f>L83</f>
        <v>0</v>
      </c>
      <c r="BH58" s="866" t="str">
        <f>N58</f>
        <v/>
      </c>
      <c r="BI58" s="333"/>
      <c r="BJ58" s="515" t="b">
        <f>CNTR_PFCRelevant=EUconst_NotRelevant</f>
        <v>1</v>
      </c>
      <c r="BK58" s="23"/>
    </row>
    <row r="59" spans="1:63" s="1063" customFormat="1" ht="15" customHeight="1" thickBot="1" x14ac:dyDescent="0.25">
      <c r="A59" s="58"/>
      <c r="B59" s="1248"/>
      <c r="C59" s="164"/>
      <c r="D59" s="164"/>
      <c r="E59" s="1625" t="str">
        <f>IF(E58="","",IF(INDEX(B_InstallationDescription!$E$71:$E$145,MATCH(S58,B_InstallationDescription!$D$71:$D$145,0))&gt;0,INDEX(B_InstallationDescription!$E$71:$E$145,MATCH(S58,B_InstallationDescription!$D$71:$D$145,0)),""))</f>
        <v/>
      </c>
      <c r="F59" s="1626"/>
      <c r="G59" s="1626"/>
      <c r="H59" s="1626"/>
      <c r="I59" s="1626"/>
      <c r="J59" s="1627"/>
      <c r="K59" s="140"/>
      <c r="L59" s="140"/>
      <c r="M59" s="141"/>
      <c r="N59" s="141"/>
      <c r="O59" s="1305"/>
      <c r="P59" s="485"/>
      <c r="Q59" s="30"/>
      <c r="R59" s="27" t="s">
        <v>91</v>
      </c>
      <c r="S59" s="30"/>
      <c r="T59" s="569" t="b">
        <v>1</v>
      </c>
      <c r="U59" s="509" t="str">
        <f>IF(E59="","",INDEX(CNTR_PFCMethod,MATCH(E58,CNTR_PFCSourceStreamNames,0)))</f>
        <v/>
      </c>
      <c r="V59" s="30"/>
      <c r="W59" s="485"/>
      <c r="X59" s="30"/>
      <c r="Y59" s="30"/>
      <c r="Z59" s="30"/>
      <c r="AA59" s="30"/>
      <c r="AB59" s="333"/>
      <c r="AC59" s="27" t="s">
        <v>303</v>
      </c>
      <c r="AD59" s="30"/>
      <c r="AE59" s="30"/>
      <c r="AF59" s="30"/>
      <c r="AG59" s="30"/>
      <c r="AH59" s="30"/>
      <c r="AI59" s="27" t="s">
        <v>310</v>
      </c>
      <c r="AJ59" s="30"/>
      <c r="AK59" s="30"/>
      <c r="AL59" s="30"/>
      <c r="AM59" s="30"/>
      <c r="AN59" s="27" t="s">
        <v>217</v>
      </c>
      <c r="AO59" s="30"/>
      <c r="AP59" s="30"/>
      <c r="AQ59" s="30"/>
      <c r="AR59" s="865" t="s">
        <v>486</v>
      </c>
      <c r="AS59" s="834" t="s">
        <v>218</v>
      </c>
      <c r="AT59" s="834" t="s">
        <v>454</v>
      </c>
      <c r="AU59" s="834" t="s">
        <v>455</v>
      </c>
      <c r="AV59" s="834" t="s">
        <v>447</v>
      </c>
      <c r="AW59" s="834" t="s">
        <v>443</v>
      </c>
      <c r="AX59" s="834" t="s">
        <v>444</v>
      </c>
      <c r="AY59" s="834" t="s">
        <v>445</v>
      </c>
      <c r="AZ59" s="834" t="s">
        <v>446</v>
      </c>
      <c r="BA59" s="834" t="s">
        <v>436</v>
      </c>
      <c r="BB59" s="834" t="s">
        <v>437</v>
      </c>
      <c r="BC59" s="834" t="s">
        <v>434</v>
      </c>
      <c r="BD59" s="834" t="s">
        <v>435</v>
      </c>
      <c r="BE59" s="834" t="s">
        <v>436</v>
      </c>
      <c r="BF59" s="834" t="s">
        <v>437</v>
      </c>
      <c r="BG59" s="834" t="s">
        <v>337</v>
      </c>
      <c r="BH59" s="833" t="s">
        <v>287</v>
      </c>
      <c r="BI59" s="30"/>
      <c r="BJ59" s="30"/>
      <c r="BK59" s="23"/>
    </row>
    <row r="60" spans="1:63" s="1063" customFormat="1" ht="5.0999999999999996" customHeight="1" x14ac:dyDescent="0.2">
      <c r="A60" s="58"/>
      <c r="B60" s="1248"/>
      <c r="C60" s="164"/>
      <c r="D60" s="164"/>
      <c r="E60" s="164"/>
      <c r="F60" s="164"/>
      <c r="G60" s="164"/>
      <c r="H60" s="140"/>
      <c r="I60" s="140"/>
      <c r="J60" s="140"/>
      <c r="K60" s="140"/>
      <c r="L60" s="140"/>
      <c r="M60" s="141"/>
      <c r="N60" s="141"/>
      <c r="O60" s="1305"/>
      <c r="P60" s="33"/>
      <c r="Q60" s="30"/>
      <c r="R60" s="480"/>
      <c r="S60" s="30"/>
      <c r="T60" s="30"/>
      <c r="U60" s="30"/>
      <c r="V60" s="30"/>
      <c r="W60" s="485"/>
      <c r="X60" s="30"/>
      <c r="Y60" s="30"/>
      <c r="Z60" s="30"/>
      <c r="AA60" s="30"/>
      <c r="AB60" s="333"/>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23"/>
    </row>
    <row r="61" spans="1:63" s="1063" customFormat="1" ht="12.75" customHeight="1" x14ac:dyDescent="0.2">
      <c r="A61" s="58"/>
      <c r="B61" s="1248"/>
      <c r="C61" s="164"/>
      <c r="D61" s="164"/>
      <c r="E61" s="1628" t="str">
        <f>IF(E58="","",HYPERLINK("#JUMP_14",EUconst_FurtherGuidancePoint1))</f>
        <v/>
      </c>
      <c r="F61" s="1628"/>
      <c r="G61" s="1628"/>
      <c r="H61" s="1628"/>
      <c r="I61" s="1628"/>
      <c r="J61" s="1628"/>
      <c r="K61" s="1628"/>
      <c r="L61" s="1628"/>
      <c r="M61" s="141"/>
      <c r="N61" s="141"/>
      <c r="O61" s="1305"/>
      <c r="P61" s="33"/>
      <c r="Q61" s="30"/>
      <c r="R61" s="480"/>
      <c r="S61" s="30"/>
      <c r="T61" s="30"/>
      <c r="U61" s="30"/>
      <c r="V61" s="30"/>
      <c r="W61" s="485"/>
      <c r="X61" s="30"/>
      <c r="Y61" s="30"/>
      <c r="Z61" s="30"/>
      <c r="AA61" s="30"/>
      <c r="AB61" s="333"/>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23"/>
    </row>
    <row r="62" spans="1:63" s="1063" customFormat="1" ht="5.0999999999999996" customHeight="1" x14ac:dyDescent="0.2">
      <c r="A62" s="58"/>
      <c r="B62" s="1248"/>
      <c r="C62" s="164"/>
      <c r="D62" s="164"/>
      <c r="E62" s="164"/>
      <c r="F62" s="164"/>
      <c r="G62" s="164"/>
      <c r="H62" s="140"/>
      <c r="I62" s="140"/>
      <c r="J62" s="140"/>
      <c r="K62" s="140"/>
      <c r="L62" s="140"/>
      <c r="M62" s="141"/>
      <c r="N62" s="141"/>
      <c r="O62" s="1305"/>
      <c r="P62" s="33"/>
      <c r="Q62" s="30"/>
      <c r="R62" s="480"/>
      <c r="S62" s="30"/>
      <c r="T62" s="30"/>
      <c r="U62" s="30"/>
      <c r="V62" s="30"/>
      <c r="W62" s="485"/>
      <c r="X62" s="30"/>
      <c r="Y62" s="30"/>
      <c r="Z62" s="30"/>
      <c r="AA62" s="30"/>
      <c r="AB62" s="333"/>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23"/>
    </row>
    <row r="63" spans="1:63" s="1063" customFormat="1" ht="12.75" customHeight="1" thickBot="1" x14ac:dyDescent="0.25">
      <c r="A63" s="58"/>
      <c r="B63" s="1248"/>
      <c r="C63" s="164"/>
      <c r="D63" s="164"/>
      <c r="E63" s="164"/>
      <c r="F63" s="497" t="str">
        <f>Translations!$B$333</f>
        <v>Pakopa</v>
      </c>
      <c r="G63" s="1613" t="str">
        <f>Translations!$B$672</f>
        <v>pakopos aprašas</v>
      </c>
      <c r="H63" s="1613"/>
      <c r="I63" s="1608" t="str">
        <f>Translations!$B$158</f>
        <v>Vienetas</v>
      </c>
      <c r="J63" s="1608"/>
      <c r="K63" s="1608" t="str">
        <f>Translations!$B$673</f>
        <v>Vertė</v>
      </c>
      <c r="L63" s="1608"/>
      <c r="M63" s="498" t="str">
        <f>Translations!$B$610</f>
        <v>klaida</v>
      </c>
      <c r="N63" s="140"/>
      <c r="O63" s="1305"/>
      <c r="P63" s="499"/>
      <c r="Q63" s="30"/>
      <c r="R63" s="480"/>
      <c r="S63" s="30"/>
      <c r="T63" s="500" t="s">
        <v>298</v>
      </c>
      <c r="U63" s="30"/>
      <c r="V63" s="30"/>
      <c r="W63" s="485" t="s">
        <v>560</v>
      </c>
      <c r="X63" s="485" t="s">
        <v>313</v>
      </c>
      <c r="Y63" s="30"/>
      <c r="Z63" s="30"/>
      <c r="AA63" s="496" t="s">
        <v>304</v>
      </c>
      <c r="AB63" s="333"/>
      <c r="AC63" s="483" t="s">
        <v>301</v>
      </c>
      <c r="AD63" s="495" t="s">
        <v>563</v>
      </c>
      <c r="AE63" s="495" t="s">
        <v>562</v>
      </c>
      <c r="AF63" s="501"/>
      <c r="AG63" s="501"/>
      <c r="AH63" s="30"/>
      <c r="AI63" s="483"/>
      <c r="AJ63" s="483"/>
      <c r="AK63" s="483"/>
      <c r="AL63" s="483"/>
      <c r="AM63" s="483"/>
      <c r="AN63" s="30"/>
      <c r="AO63" s="30"/>
      <c r="AP63" s="30"/>
      <c r="AQ63" s="30"/>
      <c r="AR63" s="30"/>
      <c r="AS63" s="30"/>
      <c r="AT63" s="30"/>
      <c r="AU63" s="30"/>
      <c r="AV63" s="30"/>
      <c r="AW63" s="30"/>
      <c r="AX63" s="30"/>
      <c r="AY63" s="30"/>
      <c r="AZ63" s="30"/>
      <c r="BA63" s="30"/>
      <c r="BB63" s="30"/>
      <c r="BC63" s="30"/>
      <c r="BD63" s="30"/>
      <c r="BE63" s="30"/>
      <c r="BF63" s="30"/>
      <c r="BG63" s="30"/>
      <c r="BH63" s="30"/>
      <c r="BI63" s="30"/>
      <c r="BJ63" s="484" t="s">
        <v>259</v>
      </c>
      <c r="BK63" s="23"/>
    </row>
    <row r="64" spans="1:63" s="1063" customFormat="1" ht="12.75" customHeight="1" thickBot="1" x14ac:dyDescent="0.25">
      <c r="A64" s="58"/>
      <c r="B64" s="1248"/>
      <c r="C64" s="783" t="s">
        <v>4</v>
      </c>
      <c r="D64" s="503" t="str">
        <f>Translations!$B$622</f>
        <v>VD:</v>
      </c>
      <c r="E64" s="504"/>
      <c r="F64" s="393"/>
      <c r="G64" s="1603" t="str">
        <f>IF(OR(ISBLANK(F64),F64=EUconst_NoTier),"",IF(X64=0,EUconst_NA,IF(ISERROR(X64),"",X64)))</f>
        <v/>
      </c>
      <c r="H64" s="1604"/>
      <c r="I64" s="1687" t="str">
        <f>EUconst_t</f>
        <v>t</v>
      </c>
      <c r="J64" s="1688"/>
      <c r="K64" s="1693"/>
      <c r="L64" s="1694"/>
      <c r="M64" s="700" t="str">
        <f>IF(AND(E59&lt;&gt;"",OR(F64="",K64=""),W64&lt;&gt;EUconst_NA),EUconst_ERR_Incomplete,IF(COUNTIF(AI64:AL64,TRUE)&gt;0,EUconst_ERR_Inconsistent,""))</f>
        <v/>
      </c>
      <c r="N64" s="140"/>
      <c r="O64" s="1305"/>
      <c r="P64" s="635"/>
      <c r="Q64" s="30"/>
      <c r="R64" s="505" t="str">
        <f>EUconst_CNTR_ActivityData&amp;E59</f>
        <v>ActivityData_</v>
      </c>
      <c r="S64" s="488"/>
      <c r="T64" s="505" t="str">
        <f>IF(E58="","",INDEX(B_InstallationDescription!$I$71:$I$145,MATCH(S58,B_InstallationDescription!$D$71:$D$145,0)))</f>
        <v/>
      </c>
      <c r="U64" s="30"/>
      <c r="V64" s="488"/>
      <c r="W64" s="506" t="str">
        <f>IF(E59="","",INDEX(EUwideConstants!$N:$N,MATCH(R64,EUwideConstants!$Q:$Q,0)))</f>
        <v/>
      </c>
      <c r="X64" s="507" t="str">
        <f>IF(ISBLANK(F64),"",IF(F64=EUconst_NA,"",INDEX(EUwideConstants!$H:$M,MATCH(R64,EUwideConstants!$Q:$Q,0),MATCH(F64,CNTR_TierList,0))))</f>
        <v/>
      </c>
      <c r="Y64" s="508" t="s">
        <v>299</v>
      </c>
      <c r="Z64" s="495"/>
      <c r="AA64" s="509" t="b">
        <f>E58&lt;&gt;""</f>
        <v>0</v>
      </c>
      <c r="AB64" s="333"/>
      <c r="AC64" s="496"/>
      <c r="AD64" s="30"/>
      <c r="AE64" s="509">
        <f>IF(W64=EUconst_NA,1,IF(COUNT(K64:L64)=0,0,IF(L64="",K64,L64)))</f>
        <v>0</v>
      </c>
      <c r="AF64" s="501" t="s">
        <v>306</v>
      </c>
      <c r="AG64" s="501" t="s">
        <v>306</v>
      </c>
      <c r="AH64" s="30"/>
      <c r="AI64" s="30"/>
      <c r="AJ64" s="30"/>
      <c r="AK64" s="30" t="s">
        <v>536</v>
      </c>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515" t="b">
        <f>OR(CNTR_PFCRelevant=EUconst_NotRelevant,AND(COUNTA(CNTR_ListRelevantSections)&gt;0,E58=""))</f>
        <v>1</v>
      </c>
      <c r="BK64" s="23"/>
    </row>
    <row r="65" spans="1:63" s="1063" customFormat="1" ht="5.0999999999999996" customHeight="1" thickBot="1" x14ac:dyDescent="0.25">
      <c r="A65" s="58"/>
      <c r="B65" s="1248"/>
      <c r="C65" s="783"/>
      <c r="D65" s="298"/>
      <c r="E65" s="140"/>
      <c r="F65" s="141"/>
      <c r="G65" s="141"/>
      <c r="H65" s="141" t="s">
        <v>233</v>
      </c>
      <c r="I65" s="516"/>
      <c r="J65" s="516"/>
      <c r="K65" s="141"/>
      <c r="L65" s="141"/>
      <c r="M65" s="701"/>
      <c r="N65" s="140"/>
      <c r="O65" s="1305"/>
      <c r="P65" s="33"/>
      <c r="Q65" s="30"/>
      <c r="R65" s="153"/>
      <c r="S65" s="488"/>
      <c r="T65" s="30"/>
      <c r="U65" s="30"/>
      <c r="V65" s="488"/>
      <c r="W65" s="517"/>
      <c r="X65" s="30"/>
      <c r="Y65" s="30"/>
      <c r="Z65" s="30"/>
      <c r="AA65" s="30"/>
      <c r="AB65" s="333"/>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484"/>
      <c r="BK65" s="23"/>
    </row>
    <row r="66" spans="1:63" s="1063" customFormat="1" ht="12.75" customHeight="1" thickBot="1" x14ac:dyDescent="0.25">
      <c r="A66" s="58"/>
      <c r="B66" s="1248"/>
      <c r="C66" s="783" t="s">
        <v>5</v>
      </c>
      <c r="D66" s="503" t="str">
        <f>Translations!$B$722</f>
        <v>A. Dažnis</v>
      </c>
      <c r="E66" s="504"/>
      <c r="F66" s="518"/>
      <c r="G66" s="1603" t="str">
        <f t="shared" ref="G66:G72" si="2">IF(OR(ISBLANK(F66),F66=EUconst_NoTier),"",IF(X66=0,EUconst_NotApplicable,IF(ISERROR(X66),"",X66)))</f>
        <v/>
      </c>
      <c r="H66" s="1609"/>
      <c r="I66" s="1683" t="str">
        <f>IF(W66=EUconst_NA,"",INDEX(PFCUnits,1))</f>
        <v>1/(vienoje elektrolizės vonioje per parą)</v>
      </c>
      <c r="J66" s="1684"/>
      <c r="K66" s="669" t="str">
        <f t="shared" ref="K66:K72" si="3">IF(L66="",AD66,"")</f>
        <v/>
      </c>
      <c r="L66" s="685"/>
      <c r="M66" s="700" t="str">
        <f>IF(AND(E59&lt;&gt;"",OR(F66="",L66=""),W66&lt;&gt;EUconst_NA),EUconst_ERR_Incomplete,IF(COUNTIF(AI66:AL66,TRUE)&gt;0,EUconst_ERR_Inconsistent,""))</f>
        <v/>
      </c>
      <c r="N66" s="486"/>
      <c r="O66" s="1305"/>
      <c r="P66" s="33"/>
      <c r="Q66" s="30"/>
      <c r="R66" s="521" t="str">
        <f>R64</f>
        <v>ActivityData_</v>
      </c>
      <c r="S66" s="488"/>
      <c r="T66" s="648" t="str">
        <f>T64</f>
        <v/>
      </c>
      <c r="U66" s="30"/>
      <c r="V66" s="488">
        <v>1</v>
      </c>
      <c r="W66" s="663" t="str">
        <f>IF(E59="","",IF(U59&lt;&gt;V66,EUconst_NA,INDEX(EUwideConstants!$N:$N,MATCH(R66,EUwideConstants!$Q:$Q,0))))</f>
        <v/>
      </c>
      <c r="X66" s="524" t="str">
        <f>IF(ISBLANK(F66),"",IF(F66=EUconst_NA,"",INDEX(EUwideConstants!$H:$M,MATCH(R66,EUwideConstants!$Q:$Q,0),MATCH(F66,CNTR_TierList,0))))</f>
        <v/>
      </c>
      <c r="Y66" s="30"/>
      <c r="Z66" s="30"/>
      <c r="AA66" s="526" t="b">
        <f>AND(AA64,W66&lt;&gt;EUconst_NA)</f>
        <v>0</v>
      </c>
      <c r="AB66" s="333"/>
      <c r="AC66" s="666" t="str">
        <f>IF(AA66=TRUE,IF(COUNTIF(MSPara_SourceStreamCategory,T66)=0,"",INDEX(MSPara_CalcFactorsMatrix,MATCH(T66,MSPara_SourceStreamCategory,0),MATCH(#REF!&amp;"_"&amp;1,MSPara_CalcFactors,0))),"")</f>
        <v/>
      </c>
      <c r="AD66" s="666" t="str">
        <f>""</f>
        <v/>
      </c>
      <c r="AE66" s="525">
        <f t="shared" ref="AE66:AE72" si="4">IF(AA66=TRUE,IF(COUNT(K66:L66)=0,0,IF(L66="",K66,L66)),0)</f>
        <v>0</v>
      </c>
      <c r="AF66" s="525" t="b">
        <f>AND(AA66=TRUE,OR(AND(F66&lt;&gt;"",NOT(ISNUMBER(Y66))),L66&lt;&gt;"",F66="",AD66=""))</f>
        <v>0</v>
      </c>
      <c r="AG66" s="525" t="b">
        <f t="shared" ref="AG66:AG72" si="5">AND(AA66=TRUE,NOT(AF66))</f>
        <v>0</v>
      </c>
      <c r="AH66" s="30"/>
      <c r="AI66" s="30"/>
      <c r="AJ66" s="30"/>
      <c r="AK66" s="525" t="b">
        <f t="shared" ref="AK66:AK72" si="6">AND(L66&lt;&gt;"",W66=EUconst_NA)</f>
        <v>0</v>
      </c>
      <c r="AL66" s="30"/>
      <c r="AM66" s="30"/>
      <c r="AN66" s="30"/>
      <c r="AO66" s="484" t="s">
        <v>384</v>
      </c>
      <c r="AP66" s="484" t="s">
        <v>385</v>
      </c>
      <c r="AQ66" s="30"/>
      <c r="AR66" s="30"/>
      <c r="AS66" s="30"/>
      <c r="AT66" s="30"/>
      <c r="AU66" s="30"/>
      <c r="AV66" s="30"/>
      <c r="AW66" s="30"/>
      <c r="AX66" s="30"/>
      <c r="AY66" s="30"/>
      <c r="AZ66" s="30"/>
      <c r="BA66" s="30"/>
      <c r="BB66" s="30"/>
      <c r="BC66" s="30"/>
      <c r="BD66" s="30"/>
      <c r="BE66" s="30"/>
      <c r="BF66" s="30"/>
      <c r="BG66" s="30"/>
      <c r="BH66" s="30"/>
      <c r="BI66" s="30"/>
      <c r="BJ66" s="525" t="b">
        <f>OR(BJ64,W66=EUconst_NA)</f>
        <v>1</v>
      </c>
      <c r="BK66" s="23"/>
    </row>
    <row r="67" spans="1:63" s="1063" customFormat="1" ht="12.75" customHeight="1" thickBot="1" x14ac:dyDescent="0.25">
      <c r="A67" s="58"/>
      <c r="B67" s="1248"/>
      <c r="C67" s="783" t="s">
        <v>194</v>
      </c>
      <c r="D67" s="503" t="str">
        <f>Translations!$B$724</f>
        <v>A. Trukmė</v>
      </c>
      <c r="E67" s="504"/>
      <c r="F67" s="636"/>
      <c r="G67" s="1603" t="str">
        <f>IF(OR(ISBLANK(F67),F67=EUconst_NoTier),"",IF(X67=0,EUconst_NotApplicable,IF(ISERROR(X67),"",X67)))</f>
        <v/>
      </c>
      <c r="H67" s="1609"/>
      <c r="I67" s="1691" t="str">
        <f>IF(W67=EUconst_NA,"",INDEX(PFCUnits,2))</f>
        <v>min.</v>
      </c>
      <c r="J67" s="1692"/>
      <c r="K67" s="670" t="str">
        <f t="shared" si="3"/>
        <v/>
      </c>
      <c r="L67" s="686"/>
      <c r="M67" s="700" t="str">
        <f>IF(AND(E59&lt;&gt;"",OR(F67="",L67=""),W67&lt;&gt;EUconst_NA),EUconst_ERR_Incomplete,IF(COUNTIF(AI67:AL67,TRUE)&gt;0,EUconst_ERR_Inconsistent,""))</f>
        <v/>
      </c>
      <c r="N67" s="486"/>
      <c r="O67" s="1305"/>
      <c r="P67" s="33"/>
      <c r="Q67" s="30"/>
      <c r="R67" s="543" t="str">
        <f>R66</f>
        <v>ActivityData_</v>
      </c>
      <c r="S67" s="488"/>
      <c r="T67" s="649" t="str">
        <f t="shared" ref="T67:T72" si="7">T66</f>
        <v/>
      </c>
      <c r="U67" s="30"/>
      <c r="V67" s="488">
        <v>1</v>
      </c>
      <c r="W67" s="662" t="str">
        <f>IF(E59="","",IF(U59&lt;&gt;V67,EUconst_NA,INDEX(EUwideConstants!$N:$N,MATCH(R67,EUwideConstants!$Q:$Q,0))))</f>
        <v/>
      </c>
      <c r="X67" s="546" t="str">
        <f>IF(ISBLANK(F67),"",IF(F67=EUconst_NA,"",INDEX(EUwideConstants!$H:$M,MATCH(R67,EUwideConstants!$Q:$Q,0),MATCH(F67,CNTR_TierList,0))))</f>
        <v/>
      </c>
      <c r="Y67" s="30"/>
      <c r="Z67" s="30"/>
      <c r="AA67" s="548" t="b">
        <f>AND(AA64,W67&lt;&gt;EUconst_NA)</f>
        <v>0</v>
      </c>
      <c r="AB67" s="333"/>
      <c r="AC67" s="667" t="str">
        <f>IF(AA67=TRUE,IF(COUNTIF(MSPara_SourceStreamCategory,T67)=0,"",INDEX(MSPara_CalcFactorsMatrix,MATCH(T67,MSPara_SourceStreamCategory,0),MATCH(#REF!&amp;"_"&amp;1,MSPara_CalcFactors,0))),"")</f>
        <v/>
      </c>
      <c r="AD67" s="667" t="str">
        <f>""</f>
        <v/>
      </c>
      <c r="AE67" s="651">
        <f t="shared" si="4"/>
        <v>0</v>
      </c>
      <c r="AF67" s="651" t="b">
        <f>AND(AA67=TRUE,OR(AND(F67&lt;&gt;"",NOT(ISNUMBER(Y67))),L67&lt;&gt;"",F67="",AD67=""))</f>
        <v>0</v>
      </c>
      <c r="AG67" s="651" t="b">
        <f t="shared" si="5"/>
        <v>0</v>
      </c>
      <c r="AH67" s="30"/>
      <c r="AI67" s="30"/>
      <c r="AJ67" s="30"/>
      <c r="AK67" s="651" t="b">
        <f t="shared" si="6"/>
        <v>0</v>
      </c>
      <c r="AL67" s="30"/>
      <c r="AM67" s="30"/>
      <c r="AN67" s="538" t="s">
        <v>440</v>
      </c>
      <c r="AO67" s="537" t="str">
        <f>IF(ISNUMBER(U59),AE64*AE66*AE67*AE68/1000,"")</f>
        <v/>
      </c>
      <c r="AP67" s="515" t="str">
        <f>IF(ISNUMBER(U59),AE64*(AE69/IF(AE70=0,0.01,AE70))*AE71/1000,"")</f>
        <v/>
      </c>
      <c r="AQ67" s="30"/>
      <c r="AR67" s="30"/>
      <c r="AS67" s="30"/>
      <c r="AT67" s="30"/>
      <c r="AU67" s="30"/>
      <c r="AV67" s="30"/>
      <c r="AW67" s="30"/>
      <c r="AX67" s="30"/>
      <c r="AY67" s="30"/>
      <c r="AZ67" s="30"/>
      <c r="BA67" s="30"/>
      <c r="BB67" s="30"/>
      <c r="BC67" s="30"/>
      <c r="BD67" s="30"/>
      <c r="BE67" s="30"/>
      <c r="BF67" s="30"/>
      <c r="BG67" s="30"/>
      <c r="BH67" s="30"/>
      <c r="BI67" s="30"/>
      <c r="BJ67" s="651" t="b">
        <f>OR(BJ64,W67=EUconst_NA)</f>
        <v>1</v>
      </c>
      <c r="BK67" s="23"/>
    </row>
    <row r="68" spans="1:63" s="1063" customFormat="1" ht="12.75" customHeight="1" thickBot="1" x14ac:dyDescent="0.25">
      <c r="A68" s="58"/>
      <c r="B68" s="1248"/>
      <c r="C68" s="783" t="s">
        <v>195</v>
      </c>
      <c r="D68" s="643" t="str">
        <f>Translations!$B$726</f>
        <v>A. NITF(CF4)</v>
      </c>
      <c r="E68" s="644"/>
      <c r="F68" s="539"/>
      <c r="G68" s="1689" t="str">
        <f t="shared" si="2"/>
        <v/>
      </c>
      <c r="H68" s="1690"/>
      <c r="I68" s="1691" t="str">
        <f>IF(W68=EUconst_NA,"",INDEX(PFCUnits,3))</f>
        <v>(kg CF4/t Al)/(min./vienoje elektrolizės vonioje per parą)</v>
      </c>
      <c r="J68" s="1692"/>
      <c r="K68" s="671" t="str">
        <f t="shared" si="3"/>
        <v/>
      </c>
      <c r="L68" s="674"/>
      <c r="M68" s="702" t="str">
        <f>IF(AND(E59&lt;&gt;"",OR(F68="",COUNT(K68:L68)=0),W68&lt;&gt;EUconst_NA),EUconst_ERR_Incomplete,IF(COUNTIF(AI68:AL68,TRUE)&gt;0,EUconst_ERR_Inconsistent,""))</f>
        <v/>
      </c>
      <c r="N68" s="140"/>
      <c r="O68" s="1305"/>
      <c r="P68" s="33"/>
      <c r="Q68" s="30"/>
      <c r="R68" s="543" t="str">
        <f>EUconst_CNTR_EF&amp;$E59</f>
        <v>EF_</v>
      </c>
      <c r="S68" s="488"/>
      <c r="T68" s="649" t="str">
        <f t="shared" si="7"/>
        <v/>
      </c>
      <c r="U68" s="30"/>
      <c r="V68" s="488">
        <v>1</v>
      </c>
      <c r="W68" s="662" t="str">
        <f>IF(E59="","",IF(U59&lt;&gt;V68,EUconst_NA,INDEX(EUwideConstants!$N:$N,MATCH(R68,EUwideConstants!$Q:$Q,0))))</f>
        <v/>
      </c>
      <c r="X68" s="546" t="str">
        <f>IF(ISBLANK(F68),"",IF(F68=EUconst_NA,"",INDEX(EUwideConstants!$H:$M,MATCH(R68,EUwideConstants!$Q:$Q,0),MATCH(F68,CNTR_TierList,0))))</f>
        <v/>
      </c>
      <c r="Y68" s="580" t="str">
        <f>IF(COUNTIF(EUconst_DefaultValues,X68)&gt;0,MATCH(X68,EUconst_DefaultValues,0),"")</f>
        <v/>
      </c>
      <c r="Z68" s="30"/>
      <c r="AA68" s="548" t="b">
        <f>AND(AA64,W68&lt;&gt;EUconst_NA)</f>
        <v>0</v>
      </c>
      <c r="AB68" s="333"/>
      <c r="AC68" s="651" t="str">
        <f>IF(AA68=TRUE,IF(T68="","",INDEX(MSPara_PFCMethA,MATCH(T68,PFCCellTypes,0),1)),"")</f>
        <v/>
      </c>
      <c r="AD68" s="651" t="str">
        <f>IF(AND(Y68&lt;&gt;"",ISNUMBER(AC68)),AC68,"")</f>
        <v/>
      </c>
      <c r="AE68" s="651">
        <f t="shared" si="4"/>
        <v>0</v>
      </c>
      <c r="AF68" s="651" t="b">
        <f>AND(AA68=TRUE,OR(AND(F68&lt;&gt;"",NOT(ISNUMBER(Y68))),L68&lt;&gt;"",F68="",AD68=""))</f>
        <v>0</v>
      </c>
      <c r="AG68" s="651" t="b">
        <f t="shared" si="5"/>
        <v>0</v>
      </c>
      <c r="AH68" s="30"/>
      <c r="AI68" s="30"/>
      <c r="AJ68" s="30"/>
      <c r="AK68" s="651" t="b">
        <f t="shared" si="6"/>
        <v>0</v>
      </c>
      <c r="AL68" s="30"/>
      <c r="AM68" s="30"/>
      <c r="AN68" s="538" t="s">
        <v>441</v>
      </c>
      <c r="AO68" s="537">
        <f>IF(AND(ISNUMBER(AO67),AO67&gt;0),AO67*AE72,0)</f>
        <v>0</v>
      </c>
      <c r="AP68" s="515">
        <f>IF(AND(ISNUMBER(AP67),AP67&gt;0),AP67*AE72,0)</f>
        <v>0</v>
      </c>
      <c r="AQ68" s="30"/>
      <c r="AR68" s="30"/>
      <c r="AS68" s="30"/>
      <c r="AT68" s="30"/>
      <c r="AU68" s="30"/>
      <c r="AV68" s="30"/>
      <c r="AW68" s="30"/>
      <c r="AX68" s="30"/>
      <c r="AY68" s="30"/>
      <c r="AZ68" s="30"/>
      <c r="BA68" s="30"/>
      <c r="BB68" s="30"/>
      <c r="BC68" s="30"/>
      <c r="BD68" s="30"/>
      <c r="BE68" s="30"/>
      <c r="BF68" s="30"/>
      <c r="BG68" s="30"/>
      <c r="BH68" s="30"/>
      <c r="BI68" s="30"/>
      <c r="BJ68" s="651" t="b">
        <f>OR(BJ64,W68=EUconst_NA)</f>
        <v>1</v>
      </c>
      <c r="BK68" s="23"/>
    </row>
    <row r="69" spans="1:63" s="1063" customFormat="1" ht="12.75" customHeight="1" thickBot="1" x14ac:dyDescent="0.25">
      <c r="A69" s="58"/>
      <c r="B69" s="1248"/>
      <c r="C69" s="783" t="s">
        <v>196</v>
      </c>
      <c r="D69" s="641" t="str">
        <f>Translations!$B$728</f>
        <v>B. AEV</v>
      </c>
      <c r="E69" s="642"/>
      <c r="F69" s="636"/>
      <c r="G69" s="1681" t="str">
        <f t="shared" si="2"/>
        <v/>
      </c>
      <c r="H69" s="1682"/>
      <c r="I69" s="1691" t="str">
        <f>IF(W69=EUconst_NA,"",INDEX(PFCUnits,4))</f>
        <v>mV</v>
      </c>
      <c r="J69" s="1692"/>
      <c r="K69" s="670" t="str">
        <f t="shared" si="3"/>
        <v/>
      </c>
      <c r="L69" s="686"/>
      <c r="M69" s="703" t="str">
        <f>IF(AND(E59&lt;&gt;"",OR(F69="",L69=""),W69&lt;&gt;EUconst_NA),EUconst_ERR_Incomplete,IF(COUNTIF(AI69:AL69,TRUE)&gt;0,EUconst_ERR_Inconsistent,""))</f>
        <v/>
      </c>
      <c r="N69" s="140"/>
      <c r="O69" s="1305"/>
      <c r="P69" s="635"/>
      <c r="Q69" s="30"/>
      <c r="R69" s="543" t="str">
        <f>R64</f>
        <v>ActivityData_</v>
      </c>
      <c r="S69" s="488"/>
      <c r="T69" s="649" t="str">
        <f t="shared" si="7"/>
        <v/>
      </c>
      <c r="U69" s="30"/>
      <c r="V69" s="488">
        <v>2</v>
      </c>
      <c r="W69" s="662" t="str">
        <f>IF(E59="","",IF(U59&lt;&gt;V69,EUconst_NA,INDEX(EUwideConstants!$N:$N,MATCH(R69,EUwideConstants!$Q:$Q,0))))</f>
        <v/>
      </c>
      <c r="X69" s="546" t="str">
        <f>IF(ISBLANK(F69),"",IF(F69=EUconst_NA,"",INDEX(EUwideConstants!$H:$M,MATCH(R69,EUwideConstants!$Q:$Q,0),MATCH(F69,CNTR_TierList,0))))</f>
        <v/>
      </c>
      <c r="Y69" s="30"/>
      <c r="Z69" s="30"/>
      <c r="AA69" s="548" t="b">
        <f>AND(AA64,W69&lt;&gt;EUconst_NA)</f>
        <v>0</v>
      </c>
      <c r="AB69" s="333"/>
      <c r="AC69" s="667"/>
      <c r="AD69" s="667" t="str">
        <f>""</f>
        <v/>
      </c>
      <c r="AE69" s="651">
        <f t="shared" si="4"/>
        <v>0</v>
      </c>
      <c r="AF69" s="651" t="b">
        <f>AND(AA69=TRUE,OR(ISNUMBER(L69),NOT(ISNUMBER(Y69))))</f>
        <v>0</v>
      </c>
      <c r="AG69" s="651" t="b">
        <f t="shared" si="5"/>
        <v>0</v>
      </c>
      <c r="AH69" s="30"/>
      <c r="AI69" s="30"/>
      <c r="AJ69" s="30"/>
      <c r="AK69" s="651" t="b">
        <f t="shared" si="6"/>
        <v>0</v>
      </c>
      <c r="AL69" s="30"/>
      <c r="AM69" s="30"/>
      <c r="AN69" s="538" t="s">
        <v>440</v>
      </c>
      <c r="AO69" s="537" t="str">
        <f>IF(ISNUMBER(AO67),AO67*AE77,"")</f>
        <v/>
      </c>
      <c r="AP69" s="515" t="str">
        <f>IF(ISNUMBER(AP67),AP67*AE77,"")</f>
        <v/>
      </c>
      <c r="AQ69" s="30"/>
      <c r="AR69" s="30"/>
      <c r="AS69" s="30"/>
      <c r="AT69" s="30"/>
      <c r="AU69" s="30"/>
      <c r="AV69" s="30"/>
      <c r="AW69" s="30"/>
      <c r="AX69" s="30"/>
      <c r="AY69" s="30"/>
      <c r="AZ69" s="30"/>
      <c r="BA69" s="30"/>
      <c r="BB69" s="30"/>
      <c r="BC69" s="30"/>
      <c r="BD69" s="30"/>
      <c r="BE69" s="30"/>
      <c r="BF69" s="30"/>
      <c r="BG69" s="30"/>
      <c r="BH69" s="30"/>
      <c r="BI69" s="30"/>
      <c r="BJ69" s="651" t="b">
        <f>OR(BJ64,W69=EUconst_NA)</f>
        <v>1</v>
      </c>
      <c r="BK69" s="23"/>
    </row>
    <row r="70" spans="1:63" s="1063" customFormat="1" ht="12.75" customHeight="1" thickBot="1" x14ac:dyDescent="0.25">
      <c r="A70" s="58"/>
      <c r="B70" s="1248"/>
      <c r="C70" s="753" t="s">
        <v>197</v>
      </c>
      <c r="D70" s="503" t="str">
        <f>Translations!$B$730</f>
        <v>B. EN</v>
      </c>
      <c r="E70" s="504"/>
      <c r="F70" s="539"/>
      <c r="G70" s="1603" t="str">
        <f t="shared" si="2"/>
        <v/>
      </c>
      <c r="H70" s="1604"/>
      <c r="I70" s="1691" t="str">
        <f>IF(W70=EUconst_NA,"","-")</f>
        <v>-</v>
      </c>
      <c r="J70" s="1692"/>
      <c r="K70" s="672" t="str">
        <f t="shared" si="3"/>
        <v/>
      </c>
      <c r="L70" s="562"/>
      <c r="M70" s="700" t="str">
        <f>IF(AND(E59&lt;&gt;"",OR(F70="",L70=""),W70&lt;&gt;EUconst_NA),EUconst_ERR_Incomplete,IF(COUNTIF(AI70:AL70,TRUE)&gt;0,EUconst_ERR_Inconsistent,""))</f>
        <v/>
      </c>
      <c r="N70" s="140"/>
      <c r="O70" s="1305"/>
      <c r="P70" s="635"/>
      <c r="Q70" s="30"/>
      <c r="R70" s="543" t="str">
        <f>R69</f>
        <v>ActivityData_</v>
      </c>
      <c r="S70" s="488"/>
      <c r="T70" s="649" t="str">
        <f t="shared" si="7"/>
        <v/>
      </c>
      <c r="U70" s="30"/>
      <c r="V70" s="488">
        <v>2</v>
      </c>
      <c r="W70" s="662" t="str">
        <f>IF(E59="","",IF(U59&lt;&gt;V70,EUconst_NA,INDEX(EUwideConstants!$N:$N,MATCH(R70,EUwideConstants!$Q:$Q,0))))</f>
        <v/>
      </c>
      <c r="X70" s="546" t="str">
        <f>IF(ISBLANK(F70),"",IF(F70=EUconst_NA,"",INDEX(EUwideConstants!$H:$M,MATCH(R70,EUwideConstants!$Q:$Q,0),MATCH(F70,CNTR_TierList,0))))</f>
        <v/>
      </c>
      <c r="Y70" s="30"/>
      <c r="Z70" s="30"/>
      <c r="AA70" s="548" t="b">
        <f>AND(AA64,W70&lt;&gt;EUconst_NA)</f>
        <v>0</v>
      </c>
      <c r="AB70" s="333"/>
      <c r="AC70" s="667"/>
      <c r="AD70" s="667" t="str">
        <f>""</f>
        <v/>
      </c>
      <c r="AE70" s="651">
        <f t="shared" si="4"/>
        <v>0</v>
      </c>
      <c r="AF70" s="651" t="b">
        <f>AND(AA70=TRUE,OR(ISNUMBER(L70),NOT(ISNUMBER(Y70))))</f>
        <v>0</v>
      </c>
      <c r="AG70" s="651" t="b">
        <f t="shared" si="5"/>
        <v>0</v>
      </c>
      <c r="AH70" s="30"/>
      <c r="AI70" s="30"/>
      <c r="AJ70" s="30"/>
      <c r="AK70" s="699" t="b">
        <f t="shared" si="6"/>
        <v>0</v>
      </c>
      <c r="AL70" s="515" t="b">
        <f>L70&gt;100%</f>
        <v>0</v>
      </c>
      <c r="AM70" s="30"/>
      <c r="AN70" s="538" t="s">
        <v>441</v>
      </c>
      <c r="AO70" s="537">
        <f>IF(ISNUMBER(AO68),AO68*AE78,"")</f>
        <v>0</v>
      </c>
      <c r="AP70" s="515">
        <f>IF(ISNUMBER(AP68),AP68*AE78,"")</f>
        <v>0</v>
      </c>
      <c r="AQ70" s="30"/>
      <c r="AR70" s="30"/>
      <c r="AS70" s="30"/>
      <c r="AT70" s="30"/>
      <c r="AU70" s="30"/>
      <c r="AV70" s="30"/>
      <c r="AW70" s="30"/>
      <c r="AX70" s="30"/>
      <c r="AY70" s="30"/>
      <c r="AZ70" s="30"/>
      <c r="BA70" s="30"/>
      <c r="BB70" s="30"/>
      <c r="BC70" s="30"/>
      <c r="BD70" s="30"/>
      <c r="BE70" s="30"/>
      <c r="BF70" s="30"/>
      <c r="BG70" s="30"/>
      <c r="BH70" s="30"/>
      <c r="BI70" s="30"/>
      <c r="BJ70" s="651" t="b">
        <f>OR(BJ64,W70=EUconst_NA)</f>
        <v>1</v>
      </c>
      <c r="BK70" s="23"/>
    </row>
    <row r="71" spans="1:63" s="1063" customFormat="1" ht="12.75" customHeight="1" thickBot="1" x14ac:dyDescent="0.25">
      <c r="A71" s="58"/>
      <c r="B71" s="1248"/>
      <c r="C71" s="783" t="s">
        <v>198</v>
      </c>
      <c r="D71" s="643" t="str">
        <f>Translations!$B$732</f>
        <v>B. VĮK</v>
      </c>
      <c r="E71" s="644"/>
      <c r="F71" s="539"/>
      <c r="G71" s="1689" t="str">
        <f t="shared" si="2"/>
        <v/>
      </c>
      <c r="H71" s="1690"/>
      <c r="I71" s="1691" t="str">
        <f>IF(W71=EUconst_NA,"",INDEX(PFCUnits,6))</f>
        <v>(kg CF4)/(t Al mV)</v>
      </c>
      <c r="J71" s="1692"/>
      <c r="K71" s="672" t="str">
        <f t="shared" si="3"/>
        <v/>
      </c>
      <c r="L71" s="675"/>
      <c r="M71" s="702" t="str">
        <f>IF(AND(E59&lt;&gt;"",OR(F71="",COUNT(K71:L71)=0),W71&lt;&gt;EUconst_NA),EUconst_ERR_Incomplete,IF(COUNTIF(AI71:AL71,TRUE)&gt;0,EUconst_ERR_Inconsistent,""))</f>
        <v/>
      </c>
      <c r="N71" s="140"/>
      <c r="O71" s="1305"/>
      <c r="P71" s="33"/>
      <c r="Q71" s="30"/>
      <c r="R71" s="543" t="str">
        <f>EUconst_CNTR_EF&amp;E59</f>
        <v>EF_</v>
      </c>
      <c r="S71" s="488"/>
      <c r="T71" s="649" t="str">
        <f t="shared" si="7"/>
        <v/>
      </c>
      <c r="U71" s="30"/>
      <c r="V71" s="488">
        <v>2</v>
      </c>
      <c r="W71" s="662" t="str">
        <f>IF(E59="","",IF(U59&lt;&gt;V71,EUconst_NA,INDEX(EUwideConstants!$N:$N,MATCH(R71,EUwideConstants!$Q:$Q,0))))</f>
        <v/>
      </c>
      <c r="X71" s="546" t="str">
        <f>IF(ISBLANK(F71),"",IF(F71=EUconst_NA,"",INDEX(EUwideConstants!$H:$M,MATCH(R71,EUwideConstants!$Q:$Q,0),MATCH(F71,CNTR_TierList,0))))</f>
        <v/>
      </c>
      <c r="Y71" s="580" t="str">
        <f>IF(COUNTIF(EUconst_DefaultValues,X71)&gt;0,MATCH(X71,EUconst_DefaultValues,0),"")</f>
        <v/>
      </c>
      <c r="Z71" s="30"/>
      <c r="AA71" s="548" t="b">
        <f>AND(AA64,W71&lt;&gt;EUconst_NA)</f>
        <v>0</v>
      </c>
      <c r="AB71" s="333"/>
      <c r="AC71" s="651" t="str">
        <f>IF(AA71=TRUE,IF(T71="","",INDEX(MSPara_PFCMethB,MATCH(T71,PFCCellTypes,0),1)),"")</f>
        <v/>
      </c>
      <c r="AD71" s="651" t="str">
        <f>IF(AND(Y71&lt;&gt;"",ISNUMBER(AC71)),AC71,"")</f>
        <v/>
      </c>
      <c r="AE71" s="651">
        <f t="shared" si="4"/>
        <v>0</v>
      </c>
      <c r="AF71" s="651" t="b">
        <f>AND(AA71=TRUE,OR(AND(F71&lt;&gt;"",NOT(ISNUMBER(Y71))),L71&lt;&gt;"",F71="",AD71=""))</f>
        <v>0</v>
      </c>
      <c r="AG71" s="651" t="b">
        <f t="shared" si="5"/>
        <v>0</v>
      </c>
      <c r="AH71" s="30"/>
      <c r="AI71" s="30"/>
      <c r="AJ71" s="30"/>
      <c r="AK71" s="651" t="b">
        <f t="shared" si="6"/>
        <v>0</v>
      </c>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651" t="b">
        <f>OR(BJ64,W71=EUconst_NA)</f>
        <v>1</v>
      </c>
      <c r="BK71" s="23"/>
    </row>
    <row r="72" spans="1:63" s="1063" customFormat="1" ht="12.75" customHeight="1" thickBot="1" x14ac:dyDescent="0.25">
      <c r="A72" s="58"/>
      <c r="B72" s="1248"/>
      <c r="C72" s="783" t="s">
        <v>324</v>
      </c>
      <c r="D72" s="641" t="str">
        <f>Translations!$B$734</f>
        <v>F(C2F6)</v>
      </c>
      <c r="E72" s="642"/>
      <c r="F72" s="588"/>
      <c r="G72" s="1681" t="str">
        <f t="shared" si="2"/>
        <v/>
      </c>
      <c r="H72" s="1682"/>
      <c r="I72" s="1685" t="str">
        <f>IF(W72=EUconst_NA,"",INDEX(PFCUnits,7))</f>
        <v>t C2F6/t CF4</v>
      </c>
      <c r="J72" s="1686"/>
      <c r="K72" s="673" t="str">
        <f t="shared" si="3"/>
        <v/>
      </c>
      <c r="L72" s="676"/>
      <c r="M72" s="703" t="str">
        <f>IF(AND(E59&lt;&gt;"",OR(F72="",COUNT(K72:L72)=0),W72&lt;&gt;EUconst_NA),EUconst_ERR_Incomplete,IF(COUNTIF(AI72:AL72,TRUE)&gt;0,EUconst_ERR_Inconsistent,""))</f>
        <v/>
      </c>
      <c r="N72" s="140"/>
      <c r="O72" s="1305"/>
      <c r="P72" s="33"/>
      <c r="Q72" s="30"/>
      <c r="R72" s="590" t="str">
        <f>EUconst_CNTR_EF&amp;E59</f>
        <v>EF_</v>
      </c>
      <c r="S72" s="488"/>
      <c r="T72" s="650" t="str">
        <f t="shared" si="7"/>
        <v/>
      </c>
      <c r="U72" s="30"/>
      <c r="V72" s="488" t="str">
        <f>""</f>
        <v/>
      </c>
      <c r="W72" s="664" t="str">
        <f>W64</f>
        <v/>
      </c>
      <c r="X72" s="592" t="str">
        <f>IF(ISBLANK(F72),"",IF(F72=EUconst_NA,"",INDEX(EUwideConstants!$H:$M,MATCH(R72,EUwideConstants!$Q:$Q,0),MATCH(F72,CNTR_TierList,0))))</f>
        <v/>
      </c>
      <c r="Y72" s="580" t="str">
        <f>IF(COUNTIF(EUconst_DefaultValues,X72)&gt;0,MATCH(X72,EUconst_DefaultValues,0),"")</f>
        <v/>
      </c>
      <c r="Z72" s="30"/>
      <c r="AA72" s="665" t="b">
        <f>AND(AA64,W72&lt;&gt;EUconst_NA)</f>
        <v>0</v>
      </c>
      <c r="AB72" s="333"/>
      <c r="AC72" s="573" t="str">
        <f>IF(AA72=TRUE,IF(T72="","",INDEX(MSPara_PFCMethA,MATCH(T72,PFCCellTypes,0),2)),"")</f>
        <v/>
      </c>
      <c r="AD72" s="573" t="str">
        <f>IF(AND(Y72&lt;&gt;"",ISNUMBER(AC72)),AC72,"")</f>
        <v/>
      </c>
      <c r="AE72" s="573">
        <f t="shared" si="4"/>
        <v>0</v>
      </c>
      <c r="AF72" s="573" t="b">
        <f>AND(AA72=TRUE,OR(AND(F72&lt;&gt;"",NOT(ISNUMBER(Y72))),L72&lt;&gt;"",F72="",AD72=""))</f>
        <v>0</v>
      </c>
      <c r="AG72" s="573" t="b">
        <f t="shared" si="5"/>
        <v>0</v>
      </c>
      <c r="AH72" s="30"/>
      <c r="AI72" s="30"/>
      <c r="AJ72" s="30"/>
      <c r="AK72" s="573" t="b">
        <f t="shared" si="6"/>
        <v>0</v>
      </c>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573" t="b">
        <f>OR(BJ64,W72=EUconst_NA)</f>
        <v>1</v>
      </c>
      <c r="BK72" s="23"/>
    </row>
    <row r="73" spans="1:63" s="1063" customFormat="1" ht="5.0999999999999996" customHeight="1" thickBot="1" x14ac:dyDescent="0.25">
      <c r="A73" s="58"/>
      <c r="B73" s="1248"/>
      <c r="C73" s="164"/>
      <c r="D73" s="178"/>
      <c r="E73" s="140"/>
      <c r="F73" s="140"/>
      <c r="G73" s="140"/>
      <c r="H73" s="140"/>
      <c r="I73" s="140"/>
      <c r="J73" s="140"/>
      <c r="K73" s="140"/>
      <c r="L73" s="140"/>
      <c r="M73" s="695"/>
      <c r="N73" s="140"/>
      <c r="O73" s="1305"/>
      <c r="P73" s="33"/>
      <c r="Q73" s="172"/>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23"/>
    </row>
    <row r="74" spans="1:63" s="1063" customFormat="1" ht="12.75" customHeight="1" x14ac:dyDescent="0.2">
      <c r="A74" s="58"/>
      <c r="B74" s="1248"/>
      <c r="C74" s="753" t="s">
        <v>325</v>
      </c>
      <c r="D74" s="637" t="str">
        <f>Translations!$B$748</f>
        <v>Išmestas CF4 kiekis</v>
      </c>
      <c r="E74" s="638"/>
      <c r="F74" s="504"/>
      <c r="G74" s="504"/>
      <c r="H74" s="504"/>
      <c r="I74" s="1683" t="str">
        <f>EUconst_t</f>
        <v>t</v>
      </c>
      <c r="J74" s="1684"/>
      <c r="K74" s="504"/>
      <c r="L74" s="917" t="str">
        <f>IF(ISNUMBER(U59),INDEX(AO67:AP67,U59),"")</f>
        <v/>
      </c>
      <c r="M74" s="695"/>
      <c r="N74" s="140"/>
      <c r="O74" s="1305"/>
      <c r="P74" s="33"/>
      <c r="Q74" s="172"/>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23"/>
    </row>
    <row r="75" spans="1:63" s="1063" customFormat="1" ht="12.75" customHeight="1" thickBot="1" x14ac:dyDescent="0.25">
      <c r="A75" s="58"/>
      <c r="B75" s="1248"/>
      <c r="C75" s="753" t="s">
        <v>448</v>
      </c>
      <c r="D75" s="637" t="str">
        <f>Translations!$B$749</f>
        <v>Išmestas C2F6 kiekis</v>
      </c>
      <c r="E75" s="504"/>
      <c r="F75" s="504"/>
      <c r="G75" s="504"/>
      <c r="H75" s="504"/>
      <c r="I75" s="1685" t="str">
        <f>EUconst_t</f>
        <v>t</v>
      </c>
      <c r="J75" s="1686"/>
      <c r="K75" s="504"/>
      <c r="L75" s="918" t="str">
        <f>IF(ISNUMBER(U59),INDEX(AO68:AP68,U59),"")</f>
        <v/>
      </c>
      <c r="M75" s="695"/>
      <c r="N75" s="140"/>
      <c r="O75" s="1305"/>
      <c r="P75" s="33"/>
      <c r="Q75" s="172"/>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23"/>
    </row>
    <row r="76" spans="1:63" s="1063" customFormat="1" ht="5.0999999999999996" customHeight="1" thickBot="1" x14ac:dyDescent="0.25">
      <c r="A76" s="58"/>
      <c r="B76" s="1248"/>
      <c r="C76" s="755"/>
      <c r="D76" s="178"/>
      <c r="E76" s="140"/>
      <c r="F76" s="140"/>
      <c r="G76" s="140"/>
      <c r="H76" s="140"/>
      <c r="I76" s="140"/>
      <c r="J76" s="140"/>
      <c r="K76" s="140"/>
      <c r="L76" s="140"/>
      <c r="M76" s="695"/>
      <c r="N76" s="140"/>
      <c r="O76" s="1305"/>
      <c r="P76" s="33"/>
      <c r="Q76" s="172"/>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23"/>
    </row>
    <row r="77" spans="1:63" s="1063" customFormat="1" ht="12.75" customHeight="1" x14ac:dyDescent="0.2">
      <c r="A77" s="58"/>
      <c r="B77" s="1248"/>
      <c r="C77" s="753" t="s">
        <v>449</v>
      </c>
      <c r="D77" s="637" t="str">
        <f>Translations!$B$736</f>
        <v>VAP(CF4)</v>
      </c>
      <c r="E77" s="638"/>
      <c r="F77" s="504"/>
      <c r="G77" s="504"/>
      <c r="H77" s="504"/>
      <c r="I77" s="1683" t="s">
        <v>438</v>
      </c>
      <c r="J77" s="1684"/>
      <c r="K77" s="639">
        <f>IF(L77="",7390,"")</f>
        <v>7390</v>
      </c>
      <c r="L77" s="930"/>
      <c r="M77" s="695"/>
      <c r="N77" s="140"/>
      <c r="O77" s="1305"/>
      <c r="P77" s="635"/>
      <c r="Q77" s="172"/>
      <c r="R77" s="30"/>
      <c r="S77" s="30"/>
      <c r="T77" s="30"/>
      <c r="U77" s="30"/>
      <c r="V77" s="30"/>
      <c r="W77" s="30"/>
      <c r="X77" s="30"/>
      <c r="Y77" s="30"/>
      <c r="Z77" s="30"/>
      <c r="AA77" s="30"/>
      <c r="AB77" s="30"/>
      <c r="AC77" s="30"/>
      <c r="AD77" s="30"/>
      <c r="AE77" s="526">
        <f>IF(L77="",K77,L77)</f>
        <v>7390</v>
      </c>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522" t="b">
        <f>BJ64</f>
        <v>1</v>
      </c>
      <c r="BK77" s="23"/>
    </row>
    <row r="78" spans="1:63" s="1063" customFormat="1" ht="12.75" customHeight="1" thickBot="1" x14ac:dyDescent="0.25">
      <c r="A78" s="58"/>
      <c r="B78" s="1248"/>
      <c r="C78" s="753" t="s">
        <v>450</v>
      </c>
      <c r="D78" s="637" t="str">
        <f>Translations!$B$738</f>
        <v>VAP(C2F6)</v>
      </c>
      <c r="E78" s="638"/>
      <c r="F78" s="504"/>
      <c r="G78" s="504"/>
      <c r="H78" s="504"/>
      <c r="I78" s="1685" t="s">
        <v>439</v>
      </c>
      <c r="J78" s="1686"/>
      <c r="K78" s="640">
        <f>IF(L78="",12200,"")</f>
        <v>12200</v>
      </c>
      <c r="L78" s="931"/>
      <c r="M78" s="695"/>
      <c r="N78" s="140"/>
      <c r="O78" s="1305"/>
      <c r="P78" s="33"/>
      <c r="Q78" s="172"/>
      <c r="R78" s="30"/>
      <c r="S78" s="30"/>
      <c r="T78" s="30"/>
      <c r="U78" s="30"/>
      <c r="V78" s="30"/>
      <c r="W78" s="30"/>
      <c r="X78" s="30"/>
      <c r="Y78" s="30"/>
      <c r="Z78" s="30"/>
      <c r="AA78" s="30"/>
      <c r="AB78" s="30"/>
      <c r="AC78" s="30"/>
      <c r="AD78" s="30"/>
      <c r="AE78" s="665">
        <f>IF(L78="",K78,L78)</f>
        <v>12200</v>
      </c>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571" t="b">
        <f>BJ77</f>
        <v>1</v>
      </c>
      <c r="BK78" s="23"/>
    </row>
    <row r="79" spans="1:63" s="1063" customFormat="1" ht="5.0999999999999996" customHeight="1" thickBot="1" x14ac:dyDescent="0.25">
      <c r="A79" s="58"/>
      <c r="B79" s="1248"/>
      <c r="C79" s="755"/>
      <c r="D79" s="298"/>
      <c r="E79" s="486"/>
      <c r="F79" s="140"/>
      <c r="G79" s="140"/>
      <c r="H79" s="140"/>
      <c r="I79" s="140"/>
      <c r="J79" s="140"/>
      <c r="K79" s="140"/>
      <c r="L79" s="695"/>
      <c r="M79" s="695"/>
      <c r="N79" s="140"/>
      <c r="O79" s="1305"/>
      <c r="P79" s="33"/>
      <c r="Q79" s="172"/>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23"/>
    </row>
    <row r="80" spans="1:63" s="1063" customFormat="1" ht="12.75" customHeight="1" x14ac:dyDescent="0.2">
      <c r="A80" s="58"/>
      <c r="B80" s="1248"/>
      <c r="C80" s="753" t="s">
        <v>451</v>
      </c>
      <c r="D80" s="637" t="str">
        <f>Translations!$B$748</f>
        <v>Išmestas CF4 kiekis</v>
      </c>
      <c r="E80" s="638"/>
      <c r="F80" s="504"/>
      <c r="G80" s="504"/>
      <c r="H80" s="504"/>
      <c r="I80" s="1683" t="s">
        <v>257</v>
      </c>
      <c r="J80" s="1684"/>
      <c r="K80" s="504"/>
      <c r="L80" s="696" t="str">
        <f>IF(ISNUMBER(U59),INDEX(AO69:AP69,U59),"")</f>
        <v/>
      </c>
      <c r="M80" s="695"/>
      <c r="N80" s="140"/>
      <c r="O80" s="1305"/>
      <c r="P80" s="635"/>
      <c r="Q80" s="172"/>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23"/>
    </row>
    <row r="81" spans="1:63" s="1063" customFormat="1" ht="12.75" customHeight="1" thickBot="1" x14ac:dyDescent="0.25">
      <c r="A81" s="58"/>
      <c r="B81" s="1248"/>
      <c r="C81" s="753" t="s">
        <v>452</v>
      </c>
      <c r="D81" s="637" t="str">
        <f>Translations!$B$749</f>
        <v>Išmestas C2F6 kiekis</v>
      </c>
      <c r="E81" s="504"/>
      <c r="F81" s="504"/>
      <c r="G81" s="504"/>
      <c r="H81" s="504"/>
      <c r="I81" s="1685" t="s">
        <v>257</v>
      </c>
      <c r="J81" s="1686"/>
      <c r="K81" s="504"/>
      <c r="L81" s="697" t="str">
        <f>IF(ISNUMBER(U59),INDEX(AO70:AP70,U59),"")</f>
        <v/>
      </c>
      <c r="M81" s="695"/>
      <c r="N81" s="140"/>
      <c r="O81" s="1305"/>
      <c r="P81" s="33"/>
      <c r="Q81" s="172"/>
      <c r="R81" s="30"/>
      <c r="S81" s="30"/>
      <c r="T81" s="30"/>
      <c r="U81" s="30"/>
      <c r="V81" s="30"/>
      <c r="W81" s="30"/>
      <c r="X81" s="30"/>
      <c r="Y81" s="30"/>
      <c r="Z81" s="30"/>
      <c r="AA81" s="30"/>
      <c r="AB81" s="30"/>
      <c r="AC81" s="30"/>
      <c r="AD81" s="30"/>
      <c r="AE81" s="483"/>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23"/>
    </row>
    <row r="82" spans="1:63" s="1063" customFormat="1" ht="5.0999999999999996" customHeight="1" thickBot="1" x14ac:dyDescent="0.25">
      <c r="A82" s="58"/>
      <c r="B82" s="1248"/>
      <c r="C82" s="755"/>
      <c r="D82" s="178"/>
      <c r="E82" s="140"/>
      <c r="F82" s="140"/>
      <c r="G82" s="140"/>
      <c r="H82" s="140"/>
      <c r="I82" s="140"/>
      <c r="J82" s="140"/>
      <c r="K82" s="140"/>
      <c r="L82" s="140"/>
      <c r="M82" s="695"/>
      <c r="N82" s="140"/>
      <c r="O82" s="1305"/>
      <c r="P82" s="33"/>
      <c r="Q82" s="172"/>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23"/>
    </row>
    <row r="83" spans="1:63" s="1063" customFormat="1" ht="12.75" customHeight="1" thickBot="1" x14ac:dyDescent="0.25">
      <c r="A83" s="58"/>
      <c r="B83" s="1248"/>
      <c r="C83" s="753" t="s">
        <v>453</v>
      </c>
      <c r="D83" s="637" t="str">
        <f>Translations!$B$167</f>
        <v>Surinkimo efektyvumas</v>
      </c>
      <c r="E83" s="504"/>
      <c r="F83" s="504"/>
      <c r="G83" s="504"/>
      <c r="H83" s="504"/>
      <c r="I83" s="1687" t="s">
        <v>258</v>
      </c>
      <c r="J83" s="1688"/>
      <c r="K83" s="504"/>
      <c r="L83" s="932"/>
      <c r="M83" s="700" t="str">
        <f>IF(AND(E59&lt;&gt;"",L83=""),EUconst_ERR_Incomplete,IF(COUNTIF(AI83:AL83,TRUE)&gt;0,EUconst_ERR_Inconsistent,""))</f>
        <v/>
      </c>
      <c r="N83" s="140"/>
      <c r="O83" s="1305"/>
      <c r="P83" s="635"/>
      <c r="Q83" s="172"/>
      <c r="R83" s="30"/>
      <c r="S83" s="30"/>
      <c r="T83" s="30"/>
      <c r="U83" s="30"/>
      <c r="V83" s="30"/>
      <c r="W83" s="30"/>
      <c r="X83" s="30"/>
      <c r="Y83" s="30"/>
      <c r="Z83" s="30"/>
      <c r="AA83" s="30"/>
      <c r="AB83" s="30"/>
      <c r="AC83" s="30"/>
      <c r="AD83" s="30"/>
      <c r="AE83" s="30"/>
      <c r="AF83" s="30"/>
      <c r="AG83" s="30"/>
      <c r="AH83" s="30"/>
      <c r="AI83" s="30"/>
      <c r="AJ83" s="30"/>
      <c r="AK83" s="30"/>
      <c r="AL83" s="515" t="b">
        <f>L83&gt;100%</f>
        <v>0</v>
      </c>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515" t="b">
        <f>BJ64</f>
        <v>1</v>
      </c>
      <c r="BK83" s="23"/>
    </row>
    <row r="84" spans="1:63" s="1063" customFormat="1" ht="5.0999999999999996" customHeight="1" thickBot="1" x14ac:dyDescent="0.25">
      <c r="A84" s="58"/>
      <c r="B84" s="1248"/>
      <c r="C84" s="164"/>
      <c r="D84" s="178"/>
      <c r="E84" s="140"/>
      <c r="F84" s="140"/>
      <c r="G84" s="140"/>
      <c r="H84" s="140"/>
      <c r="I84" s="140"/>
      <c r="J84" s="140"/>
      <c r="K84" s="140"/>
      <c r="L84" s="140"/>
      <c r="M84" s="140"/>
      <c r="N84" s="140"/>
      <c r="O84" s="1305"/>
      <c r="P84" s="33"/>
      <c r="Q84" s="172"/>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23"/>
    </row>
    <row r="85" spans="1:63" s="1063" customFormat="1" ht="12.75" customHeight="1" thickBot="1" x14ac:dyDescent="0.25">
      <c r="A85" s="58"/>
      <c r="B85" s="1248"/>
      <c r="C85" s="164"/>
      <c r="D85" s="1629" t="str">
        <f>Translations!$B$674</f>
        <v>Pakopos galioja nuo:</v>
      </c>
      <c r="E85" s="1629"/>
      <c r="F85" s="1630"/>
      <c r="G85" s="607"/>
      <c r="H85" s="606" t="str">
        <f>Translations!$B$675</f>
        <v>iki:</v>
      </c>
      <c r="I85" s="607"/>
      <c r="J85" s="140"/>
      <c r="K85" s="140"/>
      <c r="L85" s="140"/>
      <c r="M85" s="140"/>
      <c r="N85" s="140"/>
      <c r="O85" s="1305"/>
      <c r="P85" s="33"/>
      <c r="Q85" s="172"/>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515" t="b">
        <f>BJ64</f>
        <v>1</v>
      </c>
      <c r="BK85" s="23"/>
    </row>
    <row r="86" spans="1:63" s="1063" customFormat="1" ht="5.0999999999999996" customHeight="1" thickBot="1" x14ac:dyDescent="0.25">
      <c r="A86" s="30"/>
      <c r="B86" s="1316"/>
      <c r="C86" s="140"/>
      <c r="D86" s="178"/>
      <c r="E86" s="140"/>
      <c r="F86" s="140"/>
      <c r="G86" s="140"/>
      <c r="H86" s="140"/>
      <c r="I86" s="140"/>
      <c r="J86" s="140"/>
      <c r="K86" s="140"/>
      <c r="L86" s="140"/>
      <c r="M86" s="140"/>
      <c r="N86" s="140"/>
      <c r="O86" s="1317"/>
      <c r="P86" s="488"/>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23"/>
    </row>
    <row r="87" spans="1:63" s="1063" customFormat="1" ht="12.75" customHeight="1" thickBot="1" x14ac:dyDescent="0.25">
      <c r="A87" s="30"/>
      <c r="B87" s="1316"/>
      <c r="C87" s="140"/>
      <c r="D87" s="1618" t="str">
        <f>Translations!$B$160</f>
        <v>Pastabos:</v>
      </c>
      <c r="E87" s="1619"/>
      <c r="F87" s="1680"/>
      <c r="G87" s="1680"/>
      <c r="H87" s="1680"/>
      <c r="I87" s="1680"/>
      <c r="J87" s="1680"/>
      <c r="K87" s="1680"/>
      <c r="L87" s="1680"/>
      <c r="M87" s="1680"/>
      <c r="N87" s="1680"/>
      <c r="O87" s="1317"/>
      <c r="P87" s="488"/>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515" t="b">
        <f>BJ85</f>
        <v>1</v>
      </c>
      <c r="BK87" s="23"/>
    </row>
    <row r="88" spans="1:63" s="1060" customFormat="1" ht="12.75" customHeight="1" thickBot="1" x14ac:dyDescent="0.25">
      <c r="A88" s="58"/>
      <c r="B88" s="1312"/>
      <c r="C88" s="490"/>
      <c r="D88" s="491"/>
      <c r="E88" s="492"/>
      <c r="F88" s="490"/>
      <c r="G88" s="493"/>
      <c r="H88" s="493"/>
      <c r="I88" s="493"/>
      <c r="J88" s="493"/>
      <c r="K88" s="493"/>
      <c r="L88" s="493"/>
      <c r="M88" s="493"/>
      <c r="N88" s="493"/>
      <c r="O88" s="1313"/>
      <c r="P88" s="485"/>
      <c r="Q88" s="58"/>
      <c r="R88" s="58"/>
      <c r="S88" s="489"/>
      <c r="T88" s="58"/>
      <c r="U88" s="58"/>
      <c r="V88" s="489"/>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23"/>
    </row>
    <row r="89" spans="1:63" s="1060" customFormat="1" ht="12.75" customHeight="1" thickBot="1" x14ac:dyDescent="0.25">
      <c r="A89" s="482"/>
      <c r="B89" s="1312"/>
      <c r="C89" s="486"/>
      <c r="D89" s="178"/>
      <c r="E89" s="487"/>
      <c r="F89" s="486"/>
      <c r="G89" s="478"/>
      <c r="H89" s="478"/>
      <c r="I89" s="478"/>
      <c r="J89" s="478"/>
      <c r="K89" s="486"/>
      <c r="L89" s="478"/>
      <c r="M89" s="478"/>
      <c r="N89" s="478"/>
      <c r="O89" s="1313"/>
      <c r="P89" s="485"/>
      <c r="Q89" s="76"/>
      <c r="R89" s="76"/>
      <c r="S89" s="58"/>
      <c r="T89" s="23"/>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23"/>
    </row>
    <row r="90" spans="1:63" s="1063" customFormat="1" ht="15" customHeight="1" thickBot="1" x14ac:dyDescent="0.25">
      <c r="A90" s="58"/>
      <c r="B90" s="1248"/>
      <c r="C90" s="608">
        <f>C58+1</f>
        <v>2</v>
      </c>
      <c r="D90" s="334"/>
      <c r="E90" s="1610"/>
      <c r="F90" s="1611"/>
      <c r="G90" s="1611"/>
      <c r="H90" s="1611"/>
      <c r="I90" s="1611"/>
      <c r="J90" s="1612"/>
      <c r="K90" s="140"/>
      <c r="L90" s="140"/>
      <c r="M90" s="494" t="str">
        <f>Translations!$B$747</f>
        <v>Išmetamųjų teršalų kiekis:</v>
      </c>
      <c r="N90" s="998" t="str">
        <f>IF(COUNT(L112:L113,L115)=3,(L112+L113)/L115,"")</f>
        <v/>
      </c>
      <c r="O90" s="1314" t="s">
        <v>257</v>
      </c>
      <c r="P90" s="485"/>
      <c r="Q90" s="343" t="str">
        <f>EUconst_SumCO2 &amp; "_" &amp; EUconst_ProcessPFC</f>
        <v>SUM_CO2_Išmetamas PFC kiekis</v>
      </c>
      <c r="R90" s="27" t="str">
        <f>IF(ISBLANK(E90),"",MATCH(E90,CNTR_SourceStreamNames,0))</f>
        <v/>
      </c>
      <c r="S90" s="609" t="str">
        <f>IF(ISBLANK(E90),"",INDEX(B_InstallationDescription!$D$71:$D$145,MATCH(E90,CNTR_SourceStreamNames,0)))</f>
        <v/>
      </c>
      <c r="T90" s="500" t="s">
        <v>387</v>
      </c>
      <c r="U90" s="677" t="s">
        <v>67</v>
      </c>
      <c r="V90" s="58"/>
      <c r="W90" s="58"/>
      <c r="X90" s="58"/>
      <c r="Y90" s="58"/>
      <c r="Z90" s="58"/>
      <c r="AA90" s="58"/>
      <c r="AB90" s="333"/>
      <c r="AC90" s="333"/>
      <c r="AD90" s="333"/>
      <c r="AE90" s="333"/>
      <c r="AF90" s="333"/>
      <c r="AG90" s="333"/>
      <c r="AH90" s="333"/>
      <c r="AI90" s="333"/>
      <c r="AJ90" s="333"/>
      <c r="AK90" s="333"/>
      <c r="AL90" s="333"/>
      <c r="AM90" s="333"/>
      <c r="AN90" s="333"/>
      <c r="AO90" s="333"/>
      <c r="AP90" s="333"/>
      <c r="AQ90" s="333"/>
      <c r="AR90" s="333"/>
      <c r="AS90" s="866">
        <f>K96</f>
        <v>0</v>
      </c>
      <c r="AT90" s="833">
        <f>AE98</f>
        <v>0</v>
      </c>
      <c r="AU90" s="833">
        <f>AE99</f>
        <v>0</v>
      </c>
      <c r="AV90" s="833">
        <f>AE100</f>
        <v>0</v>
      </c>
      <c r="AW90" s="833">
        <f>AE101</f>
        <v>0</v>
      </c>
      <c r="AX90" s="833">
        <f>AE102</f>
        <v>0</v>
      </c>
      <c r="AY90" s="833">
        <f>AE103</f>
        <v>0</v>
      </c>
      <c r="AZ90" s="833">
        <f>AE104</f>
        <v>0</v>
      </c>
      <c r="BA90" s="867" t="str">
        <f>L106</f>
        <v/>
      </c>
      <c r="BB90" s="867" t="str">
        <f>L107</f>
        <v/>
      </c>
      <c r="BC90" s="833">
        <f>AE109</f>
        <v>7390</v>
      </c>
      <c r="BD90" s="833">
        <f>AE110</f>
        <v>12200</v>
      </c>
      <c r="BE90" s="866" t="str">
        <f>L112</f>
        <v/>
      </c>
      <c r="BF90" s="866" t="str">
        <f>L113</f>
        <v/>
      </c>
      <c r="BG90" s="868">
        <f>L115</f>
        <v>0</v>
      </c>
      <c r="BH90" s="866" t="str">
        <f>N90</f>
        <v/>
      </c>
      <c r="BI90" s="333"/>
      <c r="BJ90" s="515" t="b">
        <f>CNTR_PFCRelevant=EUconst_NotRelevant</f>
        <v>1</v>
      </c>
      <c r="BK90" s="23"/>
    </row>
    <row r="91" spans="1:63" s="1063" customFormat="1" ht="15" customHeight="1" thickBot="1" x14ac:dyDescent="0.25">
      <c r="A91" s="58"/>
      <c r="B91" s="1248"/>
      <c r="C91" s="164"/>
      <c r="D91" s="164"/>
      <c r="E91" s="1625" t="str">
        <f>IF(E90="","",IF(INDEX(B_InstallationDescription!$E$71:$E$145,MATCH(S90,B_InstallationDescription!$D$71:$D$145,0))&gt;0,INDEX(B_InstallationDescription!$E$71:$E$145,MATCH(S90,B_InstallationDescription!$D$71:$D$145,0)),""))</f>
        <v/>
      </c>
      <c r="F91" s="1626"/>
      <c r="G91" s="1626"/>
      <c r="H91" s="1626"/>
      <c r="I91" s="1626"/>
      <c r="J91" s="1627"/>
      <c r="K91" s="140"/>
      <c r="L91" s="140"/>
      <c r="M91" s="141"/>
      <c r="N91" s="141"/>
      <c r="O91" s="1305"/>
      <c r="P91" s="485"/>
      <c r="Q91" s="30"/>
      <c r="R91" s="27" t="s">
        <v>91</v>
      </c>
      <c r="S91" s="30"/>
      <c r="T91" s="569" t="b">
        <v>1</v>
      </c>
      <c r="U91" s="509" t="str">
        <f>IF(E91="","",INDEX(CNTR_PFCMethod,MATCH(E90,CNTR_PFCSourceStreamNames,0)))</f>
        <v/>
      </c>
      <c r="V91" s="30"/>
      <c r="W91" s="485"/>
      <c r="X91" s="30"/>
      <c r="Y91" s="30"/>
      <c r="Z91" s="30"/>
      <c r="AA91" s="30"/>
      <c r="AB91" s="333"/>
      <c r="AC91" s="27" t="s">
        <v>303</v>
      </c>
      <c r="AD91" s="30"/>
      <c r="AE91" s="30"/>
      <c r="AF91" s="30"/>
      <c r="AG91" s="30"/>
      <c r="AH91" s="30"/>
      <c r="AI91" s="27" t="s">
        <v>310</v>
      </c>
      <c r="AJ91" s="30"/>
      <c r="AK91" s="30"/>
      <c r="AL91" s="30"/>
      <c r="AM91" s="30"/>
      <c r="AN91" s="27" t="s">
        <v>217</v>
      </c>
      <c r="AO91" s="30"/>
      <c r="AP91" s="30"/>
      <c r="AQ91" s="30"/>
      <c r="AR91" s="865" t="s">
        <v>486</v>
      </c>
      <c r="AS91" s="834" t="s">
        <v>218</v>
      </c>
      <c r="AT91" s="834" t="s">
        <v>454</v>
      </c>
      <c r="AU91" s="834" t="s">
        <v>455</v>
      </c>
      <c r="AV91" s="834" t="s">
        <v>447</v>
      </c>
      <c r="AW91" s="834" t="s">
        <v>443</v>
      </c>
      <c r="AX91" s="834" t="s">
        <v>444</v>
      </c>
      <c r="AY91" s="834" t="s">
        <v>445</v>
      </c>
      <c r="AZ91" s="834" t="s">
        <v>446</v>
      </c>
      <c r="BA91" s="834" t="s">
        <v>436</v>
      </c>
      <c r="BB91" s="834" t="s">
        <v>437</v>
      </c>
      <c r="BC91" s="834" t="s">
        <v>434</v>
      </c>
      <c r="BD91" s="834" t="s">
        <v>435</v>
      </c>
      <c r="BE91" s="834" t="s">
        <v>436</v>
      </c>
      <c r="BF91" s="834" t="s">
        <v>437</v>
      </c>
      <c r="BG91" s="834" t="s">
        <v>337</v>
      </c>
      <c r="BH91" s="833" t="s">
        <v>287</v>
      </c>
      <c r="BI91" s="30"/>
      <c r="BJ91" s="30"/>
      <c r="BK91" s="23"/>
    </row>
    <row r="92" spans="1:63" s="1063" customFormat="1" ht="5.0999999999999996" customHeight="1" x14ac:dyDescent="0.2">
      <c r="A92" s="58"/>
      <c r="B92" s="1248"/>
      <c r="C92" s="164"/>
      <c r="D92" s="164"/>
      <c r="E92" s="164"/>
      <c r="F92" s="164"/>
      <c r="G92" s="164"/>
      <c r="H92" s="140"/>
      <c r="I92" s="140"/>
      <c r="J92" s="140"/>
      <c r="K92" s="140"/>
      <c r="L92" s="140"/>
      <c r="M92" s="141"/>
      <c r="N92" s="141"/>
      <c r="O92" s="1305"/>
      <c r="P92" s="33"/>
      <c r="Q92" s="30"/>
      <c r="R92" s="480"/>
      <c r="S92" s="30"/>
      <c r="T92" s="30"/>
      <c r="U92" s="30"/>
      <c r="V92" s="30"/>
      <c r="W92" s="485"/>
      <c r="X92" s="30"/>
      <c r="Y92" s="30"/>
      <c r="Z92" s="30"/>
      <c r="AA92" s="30"/>
      <c r="AB92" s="333"/>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23"/>
    </row>
    <row r="93" spans="1:63" s="1063" customFormat="1" ht="12.75" customHeight="1" x14ac:dyDescent="0.2">
      <c r="A93" s="58"/>
      <c r="B93" s="1248"/>
      <c r="C93" s="164"/>
      <c r="D93" s="164"/>
      <c r="E93" s="1628" t="str">
        <f>IF(E90="","",HYPERLINK("#JUMP_14",EUconst_FurtherGuidancePoint1))</f>
        <v/>
      </c>
      <c r="F93" s="1628"/>
      <c r="G93" s="1628"/>
      <c r="H93" s="1628"/>
      <c r="I93" s="1628"/>
      <c r="J93" s="1628"/>
      <c r="K93" s="1628"/>
      <c r="L93" s="1628"/>
      <c r="M93" s="141"/>
      <c r="N93" s="141"/>
      <c r="O93" s="1305"/>
      <c r="P93" s="33"/>
      <c r="Q93" s="30"/>
      <c r="R93" s="480"/>
      <c r="S93" s="30"/>
      <c r="T93" s="30"/>
      <c r="U93" s="30"/>
      <c r="V93" s="30"/>
      <c r="W93" s="485"/>
      <c r="X93" s="30"/>
      <c r="Y93" s="30"/>
      <c r="Z93" s="30"/>
      <c r="AA93" s="30"/>
      <c r="AB93" s="333"/>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23"/>
    </row>
    <row r="94" spans="1:63" s="1063" customFormat="1" ht="5.0999999999999996" customHeight="1" x14ac:dyDescent="0.2">
      <c r="A94" s="58"/>
      <c r="B94" s="1248"/>
      <c r="C94" s="164"/>
      <c r="D94" s="164"/>
      <c r="E94" s="164"/>
      <c r="F94" s="164"/>
      <c r="G94" s="164"/>
      <c r="H94" s="140"/>
      <c r="I94" s="140"/>
      <c r="J94" s="140"/>
      <c r="K94" s="140"/>
      <c r="L94" s="140"/>
      <c r="M94" s="141"/>
      <c r="N94" s="141"/>
      <c r="O94" s="1305"/>
      <c r="P94" s="33"/>
      <c r="Q94" s="30"/>
      <c r="R94" s="480"/>
      <c r="S94" s="30"/>
      <c r="T94" s="30"/>
      <c r="U94" s="30"/>
      <c r="V94" s="30"/>
      <c r="W94" s="485"/>
      <c r="X94" s="30"/>
      <c r="Y94" s="30"/>
      <c r="Z94" s="30"/>
      <c r="AA94" s="30"/>
      <c r="AB94" s="333"/>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23"/>
    </row>
    <row r="95" spans="1:63" s="1063" customFormat="1" ht="12.75" customHeight="1" thickBot="1" x14ac:dyDescent="0.25">
      <c r="A95" s="58"/>
      <c r="B95" s="1248"/>
      <c r="C95" s="164"/>
      <c r="D95" s="164"/>
      <c r="E95" s="164"/>
      <c r="F95" s="497" t="str">
        <f>Translations!$B$333</f>
        <v>Pakopa</v>
      </c>
      <c r="G95" s="1613" t="str">
        <f>Translations!$B$672</f>
        <v>pakopos aprašas</v>
      </c>
      <c r="H95" s="1613"/>
      <c r="I95" s="1608" t="str">
        <f>Translations!$B$158</f>
        <v>Vienetas</v>
      </c>
      <c r="J95" s="1608"/>
      <c r="K95" s="1608" t="str">
        <f>Translations!$B$673</f>
        <v>Vertė</v>
      </c>
      <c r="L95" s="1608"/>
      <c r="M95" s="498" t="str">
        <f>Translations!$B$610</f>
        <v>klaida</v>
      </c>
      <c r="N95" s="140"/>
      <c r="O95" s="1305"/>
      <c r="P95" s="499"/>
      <c r="Q95" s="30"/>
      <c r="R95" s="480"/>
      <c r="S95" s="30"/>
      <c r="T95" s="500" t="s">
        <v>298</v>
      </c>
      <c r="U95" s="30"/>
      <c r="V95" s="30"/>
      <c r="W95" s="485" t="s">
        <v>560</v>
      </c>
      <c r="X95" s="485" t="s">
        <v>313</v>
      </c>
      <c r="Y95" s="30"/>
      <c r="Z95" s="30"/>
      <c r="AA95" s="496" t="s">
        <v>304</v>
      </c>
      <c r="AB95" s="333"/>
      <c r="AC95" s="483" t="s">
        <v>301</v>
      </c>
      <c r="AD95" s="495" t="s">
        <v>563</v>
      </c>
      <c r="AE95" s="495" t="s">
        <v>562</v>
      </c>
      <c r="AF95" s="501"/>
      <c r="AG95" s="501"/>
      <c r="AH95" s="30"/>
      <c r="AI95" s="483"/>
      <c r="AJ95" s="483"/>
      <c r="AK95" s="483"/>
      <c r="AL95" s="483"/>
      <c r="AM95" s="483"/>
      <c r="AN95" s="30"/>
      <c r="AO95" s="30"/>
      <c r="AP95" s="30"/>
      <c r="AQ95" s="30"/>
      <c r="AR95" s="30"/>
      <c r="AS95" s="30"/>
      <c r="AT95" s="30"/>
      <c r="AU95" s="30"/>
      <c r="AV95" s="30"/>
      <c r="AW95" s="30"/>
      <c r="AX95" s="30"/>
      <c r="AY95" s="30"/>
      <c r="AZ95" s="30"/>
      <c r="BA95" s="30"/>
      <c r="BB95" s="30"/>
      <c r="BC95" s="30"/>
      <c r="BD95" s="30"/>
      <c r="BE95" s="30"/>
      <c r="BF95" s="30"/>
      <c r="BG95" s="30"/>
      <c r="BH95" s="30"/>
      <c r="BI95" s="30"/>
      <c r="BJ95" s="484" t="s">
        <v>259</v>
      </c>
      <c r="BK95" s="23"/>
    </row>
    <row r="96" spans="1:63" s="1063" customFormat="1" ht="12.75" customHeight="1" thickBot="1" x14ac:dyDescent="0.25">
      <c r="A96" s="58"/>
      <c r="B96" s="1248"/>
      <c r="C96" s="783" t="s">
        <v>4</v>
      </c>
      <c r="D96" s="503" t="str">
        <f>Translations!$B$622</f>
        <v>VD:</v>
      </c>
      <c r="E96" s="504"/>
      <c r="F96" s="393"/>
      <c r="G96" s="1603" t="str">
        <f>IF(OR(ISBLANK(F96),F96=EUconst_NoTier),"",IF(X96=0,EUconst_NA,IF(ISERROR(X96),"",X96)))</f>
        <v/>
      </c>
      <c r="H96" s="1604"/>
      <c r="I96" s="1687" t="str">
        <f>EUconst_t</f>
        <v>t</v>
      </c>
      <c r="J96" s="1688"/>
      <c r="K96" s="1693"/>
      <c r="L96" s="1694"/>
      <c r="M96" s="700" t="str">
        <f>IF(AND(E91&lt;&gt;"",OR(F96="",K96=""),W96&lt;&gt;EUconst_NA),EUconst_ERR_Incomplete,IF(COUNTIF(AI96:AL96,TRUE)&gt;0,EUconst_ERR_Inconsistent,""))</f>
        <v/>
      </c>
      <c r="N96" s="140"/>
      <c r="O96" s="1305"/>
      <c r="P96" s="635"/>
      <c r="Q96" s="30"/>
      <c r="R96" s="505" t="str">
        <f>EUconst_CNTR_ActivityData&amp;E91</f>
        <v>ActivityData_</v>
      </c>
      <c r="S96" s="488"/>
      <c r="T96" s="505" t="str">
        <f>IF(E90="","",INDEX(B_InstallationDescription!$I$71:$I$145,MATCH(S90,B_InstallationDescription!$D$71:$D$145,0)))</f>
        <v/>
      </c>
      <c r="U96" s="30"/>
      <c r="V96" s="488"/>
      <c r="W96" s="506" t="str">
        <f>IF(E91="","",INDEX(EUwideConstants!$N:$N,MATCH(R96,EUwideConstants!$Q:$Q,0)))</f>
        <v/>
      </c>
      <c r="X96" s="507" t="str">
        <f>IF(ISBLANK(F96),"",IF(F96=EUconst_NA,"",INDEX(EUwideConstants!$H:$M,MATCH(R96,EUwideConstants!$Q:$Q,0),MATCH(F96,CNTR_TierList,0))))</f>
        <v/>
      </c>
      <c r="Y96" s="508" t="s">
        <v>299</v>
      </c>
      <c r="Z96" s="495"/>
      <c r="AA96" s="509" t="b">
        <f>E90&lt;&gt;""</f>
        <v>0</v>
      </c>
      <c r="AB96" s="333"/>
      <c r="AC96" s="496"/>
      <c r="AD96" s="30"/>
      <c r="AE96" s="509">
        <f>IF(W96=EUconst_NA,1,IF(COUNT(K96:L96)=0,0,IF(L96="",K96,L96)))</f>
        <v>0</v>
      </c>
      <c r="AF96" s="501" t="s">
        <v>306</v>
      </c>
      <c r="AG96" s="501" t="s">
        <v>306</v>
      </c>
      <c r="AH96" s="30"/>
      <c r="AI96" s="30"/>
      <c r="AJ96" s="30"/>
      <c r="AK96" s="30" t="s">
        <v>536</v>
      </c>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515" t="b">
        <f>OR(CNTR_PFCRelevant=EUconst_NotRelevant,AND(COUNTA(CNTR_ListRelevantSections)&gt;0,E90=""))</f>
        <v>1</v>
      </c>
      <c r="BK96" s="23"/>
    </row>
    <row r="97" spans="1:63" s="1063" customFormat="1" ht="5.0999999999999996" customHeight="1" thickBot="1" x14ac:dyDescent="0.25">
      <c r="A97" s="58"/>
      <c r="B97" s="1248"/>
      <c r="C97" s="783"/>
      <c r="D97" s="298"/>
      <c r="E97" s="140"/>
      <c r="F97" s="141"/>
      <c r="G97" s="141"/>
      <c r="H97" s="141" t="s">
        <v>233</v>
      </c>
      <c r="I97" s="516"/>
      <c r="J97" s="516"/>
      <c r="K97" s="141"/>
      <c r="L97" s="141"/>
      <c r="M97" s="701"/>
      <c r="N97" s="140"/>
      <c r="O97" s="1305"/>
      <c r="P97" s="33"/>
      <c r="Q97" s="30"/>
      <c r="R97" s="153"/>
      <c r="S97" s="488"/>
      <c r="T97" s="30"/>
      <c r="U97" s="30"/>
      <c r="V97" s="488"/>
      <c r="W97" s="517"/>
      <c r="X97" s="30"/>
      <c r="Y97" s="30"/>
      <c r="Z97" s="30"/>
      <c r="AA97" s="30"/>
      <c r="AB97" s="333"/>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484"/>
      <c r="BK97" s="23"/>
    </row>
    <row r="98" spans="1:63" s="1063" customFormat="1" ht="12.75" customHeight="1" thickBot="1" x14ac:dyDescent="0.25">
      <c r="A98" s="58"/>
      <c r="B98" s="1248"/>
      <c r="C98" s="783" t="s">
        <v>5</v>
      </c>
      <c r="D98" s="503" t="str">
        <f>Translations!$B$722</f>
        <v>A. Dažnis</v>
      </c>
      <c r="E98" s="504"/>
      <c r="F98" s="518"/>
      <c r="G98" s="1603" t="str">
        <f t="shared" ref="G98:G104" si="8">IF(OR(ISBLANK(F98),F98=EUconst_NoTier),"",IF(X98=0,EUconst_NotApplicable,IF(ISERROR(X98),"",X98)))</f>
        <v/>
      </c>
      <c r="H98" s="1609"/>
      <c r="I98" s="1683" t="str">
        <f>IF(W98=EUconst_NA,"",INDEX(PFCUnits,1))</f>
        <v>1/(vienoje elektrolizės vonioje per parą)</v>
      </c>
      <c r="J98" s="1684"/>
      <c r="K98" s="669" t="str">
        <f t="shared" ref="K98:K104" si="9">IF(L98="",AD98,"")</f>
        <v/>
      </c>
      <c r="L98" s="685"/>
      <c r="M98" s="700" t="str">
        <f>IF(AND(E91&lt;&gt;"",OR(F98="",L98=""),W98&lt;&gt;EUconst_NA),EUconst_ERR_Incomplete,IF(COUNTIF(AI98:AL98,TRUE)&gt;0,EUconst_ERR_Inconsistent,""))</f>
        <v/>
      </c>
      <c r="N98" s="486"/>
      <c r="O98" s="1305"/>
      <c r="P98" s="33"/>
      <c r="Q98" s="30"/>
      <c r="R98" s="521" t="str">
        <f>R96</f>
        <v>ActivityData_</v>
      </c>
      <c r="S98" s="488"/>
      <c r="T98" s="648" t="str">
        <f>T96</f>
        <v/>
      </c>
      <c r="U98" s="30"/>
      <c r="V98" s="488">
        <v>1</v>
      </c>
      <c r="W98" s="663" t="str">
        <f>IF(E91="","",IF(U91&lt;&gt;V98,EUconst_NA,INDEX(EUwideConstants!$N:$N,MATCH(R98,EUwideConstants!$Q:$Q,0))))</f>
        <v/>
      </c>
      <c r="X98" s="524" t="str">
        <f>IF(ISBLANK(F98),"",IF(F98=EUconst_NA,"",INDEX(EUwideConstants!$H:$M,MATCH(R98,EUwideConstants!$Q:$Q,0),MATCH(F98,CNTR_TierList,0))))</f>
        <v/>
      </c>
      <c r="Y98" s="30"/>
      <c r="Z98" s="30"/>
      <c r="AA98" s="526" t="b">
        <f>AND(AA96,W98&lt;&gt;EUconst_NA)</f>
        <v>0</v>
      </c>
      <c r="AB98" s="333"/>
      <c r="AC98" s="666" t="str">
        <f>IF(AA98=TRUE,IF(COUNTIF(MSPara_SourceStreamCategory,T98)=0,"",INDEX(MSPara_CalcFactorsMatrix,MATCH(T98,MSPara_SourceStreamCategory,0),MATCH(#REF!&amp;"_"&amp;1,MSPara_CalcFactors,0))),"")</f>
        <v/>
      </c>
      <c r="AD98" s="666" t="str">
        <f>""</f>
        <v/>
      </c>
      <c r="AE98" s="525">
        <f t="shared" ref="AE98:AE104" si="10">IF(AA98=TRUE,IF(COUNT(K98:L98)=0,0,IF(L98="",K98,L98)),0)</f>
        <v>0</v>
      </c>
      <c r="AF98" s="525" t="b">
        <f>AND(AA98=TRUE,OR(AND(F98&lt;&gt;"",NOT(ISNUMBER(Y98))),L98&lt;&gt;"",F98="",AD98=""))</f>
        <v>0</v>
      </c>
      <c r="AG98" s="525" t="b">
        <f t="shared" ref="AG98:AG104" si="11">AND(AA98=TRUE,NOT(AF98))</f>
        <v>0</v>
      </c>
      <c r="AH98" s="30"/>
      <c r="AI98" s="30"/>
      <c r="AJ98" s="30"/>
      <c r="AK98" s="525" t="b">
        <f t="shared" ref="AK98:AK104" si="12">AND(L98&lt;&gt;"",W98=EUconst_NA)</f>
        <v>0</v>
      </c>
      <c r="AL98" s="30"/>
      <c r="AM98" s="30"/>
      <c r="AN98" s="30"/>
      <c r="AO98" s="484" t="s">
        <v>384</v>
      </c>
      <c r="AP98" s="484" t="s">
        <v>385</v>
      </c>
      <c r="AQ98" s="30"/>
      <c r="AR98" s="30"/>
      <c r="AS98" s="30"/>
      <c r="AT98" s="30"/>
      <c r="AU98" s="30"/>
      <c r="AV98" s="30"/>
      <c r="AW98" s="30"/>
      <c r="AX98" s="30"/>
      <c r="AY98" s="30"/>
      <c r="AZ98" s="30"/>
      <c r="BA98" s="30"/>
      <c r="BB98" s="30"/>
      <c r="BC98" s="30"/>
      <c r="BD98" s="30"/>
      <c r="BE98" s="30"/>
      <c r="BF98" s="30"/>
      <c r="BG98" s="30"/>
      <c r="BH98" s="30"/>
      <c r="BI98" s="30"/>
      <c r="BJ98" s="525" t="b">
        <f>OR(BJ96,W98=EUconst_NA)</f>
        <v>1</v>
      </c>
      <c r="BK98" s="23"/>
    </row>
    <row r="99" spans="1:63" s="1063" customFormat="1" ht="12.75" customHeight="1" thickBot="1" x14ac:dyDescent="0.25">
      <c r="A99" s="58"/>
      <c r="B99" s="1248"/>
      <c r="C99" s="783" t="s">
        <v>194</v>
      </c>
      <c r="D99" s="503" t="str">
        <f>Translations!$B$724</f>
        <v>A. Trukmė</v>
      </c>
      <c r="E99" s="504"/>
      <c r="F99" s="636"/>
      <c r="G99" s="1603" t="str">
        <f t="shared" si="8"/>
        <v/>
      </c>
      <c r="H99" s="1609"/>
      <c r="I99" s="1691" t="str">
        <f>IF(W99=EUconst_NA,"",INDEX(PFCUnits,2))</f>
        <v>min.</v>
      </c>
      <c r="J99" s="1692"/>
      <c r="K99" s="670" t="str">
        <f t="shared" si="9"/>
        <v/>
      </c>
      <c r="L99" s="686"/>
      <c r="M99" s="700" t="str">
        <f>IF(AND(E91&lt;&gt;"",OR(F99="",L99=""),W99&lt;&gt;EUconst_NA),EUconst_ERR_Incomplete,IF(COUNTIF(AI99:AL99,TRUE)&gt;0,EUconst_ERR_Inconsistent,""))</f>
        <v/>
      </c>
      <c r="N99" s="486"/>
      <c r="O99" s="1305"/>
      <c r="P99" s="33"/>
      <c r="Q99" s="30"/>
      <c r="R99" s="543" t="str">
        <f>R98</f>
        <v>ActivityData_</v>
      </c>
      <c r="S99" s="488"/>
      <c r="T99" s="649" t="str">
        <f t="shared" ref="T99:T104" si="13">T98</f>
        <v/>
      </c>
      <c r="U99" s="30"/>
      <c r="V99" s="488">
        <v>1</v>
      </c>
      <c r="W99" s="662" t="str">
        <f>IF(E91="","",IF(U91&lt;&gt;V99,EUconst_NA,INDEX(EUwideConstants!$N:$N,MATCH(R99,EUwideConstants!$Q:$Q,0))))</f>
        <v/>
      </c>
      <c r="X99" s="546" t="str">
        <f>IF(ISBLANK(F99),"",IF(F99=EUconst_NA,"",INDEX(EUwideConstants!$H:$M,MATCH(R99,EUwideConstants!$Q:$Q,0),MATCH(F99,CNTR_TierList,0))))</f>
        <v/>
      </c>
      <c r="Y99" s="30"/>
      <c r="Z99" s="30"/>
      <c r="AA99" s="548" t="b">
        <f>AND(AA96,W99&lt;&gt;EUconst_NA)</f>
        <v>0</v>
      </c>
      <c r="AB99" s="333"/>
      <c r="AC99" s="667" t="str">
        <f>IF(AA99=TRUE,IF(COUNTIF(MSPara_SourceStreamCategory,T99)=0,"",INDEX(MSPara_CalcFactorsMatrix,MATCH(T99,MSPara_SourceStreamCategory,0),MATCH(#REF!&amp;"_"&amp;1,MSPara_CalcFactors,0))),"")</f>
        <v/>
      </c>
      <c r="AD99" s="667" t="str">
        <f>""</f>
        <v/>
      </c>
      <c r="AE99" s="651">
        <f t="shared" si="10"/>
        <v>0</v>
      </c>
      <c r="AF99" s="651" t="b">
        <f>AND(AA99=TRUE,OR(AND(F99&lt;&gt;"",NOT(ISNUMBER(Y99))),L99&lt;&gt;"",F99="",AD99=""))</f>
        <v>0</v>
      </c>
      <c r="AG99" s="651" t="b">
        <f t="shared" si="11"/>
        <v>0</v>
      </c>
      <c r="AH99" s="30"/>
      <c r="AI99" s="30"/>
      <c r="AJ99" s="30"/>
      <c r="AK99" s="651" t="b">
        <f t="shared" si="12"/>
        <v>0</v>
      </c>
      <c r="AL99" s="30"/>
      <c r="AM99" s="30"/>
      <c r="AN99" s="538" t="s">
        <v>440</v>
      </c>
      <c r="AO99" s="537" t="str">
        <f>IF(ISNUMBER(U91),AE96*AE98*AE99*AE100/1000,"")</f>
        <v/>
      </c>
      <c r="AP99" s="515" t="str">
        <f>IF(ISNUMBER(U91),AE96*(AE101/IF(AE102=0,0.01,AE102))*AE103/1000,"")</f>
        <v/>
      </c>
      <c r="AQ99" s="30"/>
      <c r="AR99" s="30"/>
      <c r="AS99" s="30"/>
      <c r="AT99" s="30"/>
      <c r="AU99" s="30"/>
      <c r="AV99" s="30"/>
      <c r="AW99" s="30"/>
      <c r="AX99" s="30"/>
      <c r="AY99" s="30"/>
      <c r="AZ99" s="30"/>
      <c r="BA99" s="30"/>
      <c r="BB99" s="30"/>
      <c r="BC99" s="30"/>
      <c r="BD99" s="30"/>
      <c r="BE99" s="30"/>
      <c r="BF99" s="30"/>
      <c r="BG99" s="30"/>
      <c r="BH99" s="30"/>
      <c r="BI99" s="30"/>
      <c r="BJ99" s="651" t="b">
        <f>OR(BJ96,W99=EUconst_NA)</f>
        <v>1</v>
      </c>
      <c r="BK99" s="23"/>
    </row>
    <row r="100" spans="1:63" s="1063" customFormat="1" ht="12.75" customHeight="1" thickBot="1" x14ac:dyDescent="0.25">
      <c r="A100" s="58"/>
      <c r="B100" s="1248"/>
      <c r="C100" s="783" t="s">
        <v>195</v>
      </c>
      <c r="D100" s="643" t="str">
        <f>Translations!$B$726</f>
        <v>A. NITF(CF4)</v>
      </c>
      <c r="E100" s="644"/>
      <c r="F100" s="539"/>
      <c r="G100" s="1689" t="str">
        <f t="shared" si="8"/>
        <v/>
      </c>
      <c r="H100" s="1690"/>
      <c r="I100" s="1691" t="str">
        <f>IF(W100=EUconst_NA,"",INDEX(PFCUnits,3))</f>
        <v>(kg CF4/t Al)/(min./vienoje elektrolizės vonioje per parą)</v>
      </c>
      <c r="J100" s="1692"/>
      <c r="K100" s="671" t="str">
        <f t="shared" si="9"/>
        <v/>
      </c>
      <c r="L100" s="674"/>
      <c r="M100" s="702" t="str">
        <f>IF(AND(E91&lt;&gt;"",OR(F100="",COUNT(K100:L100)=0),W100&lt;&gt;EUconst_NA),EUconst_ERR_Incomplete,IF(COUNTIF(AI100:AL100,TRUE)&gt;0,EUconst_ERR_Inconsistent,""))</f>
        <v/>
      </c>
      <c r="N100" s="140"/>
      <c r="O100" s="1305"/>
      <c r="P100" s="33"/>
      <c r="Q100" s="30"/>
      <c r="R100" s="543" t="str">
        <f>EUconst_CNTR_EF&amp;$E91</f>
        <v>EF_</v>
      </c>
      <c r="S100" s="488"/>
      <c r="T100" s="649" t="str">
        <f t="shared" si="13"/>
        <v/>
      </c>
      <c r="U100" s="30"/>
      <c r="V100" s="488">
        <v>1</v>
      </c>
      <c r="W100" s="662" t="str">
        <f>IF(E91="","",IF(U91&lt;&gt;V100,EUconst_NA,INDEX(EUwideConstants!$N:$N,MATCH(R100,EUwideConstants!$Q:$Q,0))))</f>
        <v/>
      </c>
      <c r="X100" s="546" t="str">
        <f>IF(ISBLANK(F100),"",IF(F100=EUconst_NA,"",INDEX(EUwideConstants!$H:$M,MATCH(R100,EUwideConstants!$Q:$Q,0),MATCH(F100,CNTR_TierList,0))))</f>
        <v/>
      </c>
      <c r="Y100" s="580" t="str">
        <f>IF(COUNTIF(EUconst_DefaultValues,X100)&gt;0,MATCH(X100,EUconst_DefaultValues,0),"")</f>
        <v/>
      </c>
      <c r="Z100" s="30"/>
      <c r="AA100" s="548" t="b">
        <f>AND(AA96,W100&lt;&gt;EUconst_NA)</f>
        <v>0</v>
      </c>
      <c r="AB100" s="333"/>
      <c r="AC100" s="651" t="str">
        <f>IF(AA100=TRUE,IF(T100="","",INDEX(MSPara_PFCMethA,MATCH(T100,PFCCellTypes,0),1)),"")</f>
        <v/>
      </c>
      <c r="AD100" s="651" t="str">
        <f>IF(AND(Y100&lt;&gt;"",ISNUMBER(AC100)),AC100,"")</f>
        <v/>
      </c>
      <c r="AE100" s="651">
        <f t="shared" si="10"/>
        <v>0</v>
      </c>
      <c r="AF100" s="651" t="b">
        <f>AND(AA100=TRUE,OR(AND(F100&lt;&gt;"",NOT(ISNUMBER(Y100))),L100&lt;&gt;"",F100="",AD100=""))</f>
        <v>0</v>
      </c>
      <c r="AG100" s="651" t="b">
        <f t="shared" si="11"/>
        <v>0</v>
      </c>
      <c r="AH100" s="30"/>
      <c r="AI100" s="30"/>
      <c r="AJ100" s="30"/>
      <c r="AK100" s="651" t="b">
        <f t="shared" si="12"/>
        <v>0</v>
      </c>
      <c r="AL100" s="30"/>
      <c r="AM100" s="30"/>
      <c r="AN100" s="538" t="s">
        <v>441</v>
      </c>
      <c r="AO100" s="537">
        <f>IF(AND(ISNUMBER(AO99),AO99&gt;0),AO99*AE104,0)</f>
        <v>0</v>
      </c>
      <c r="AP100" s="515">
        <f>IF(AND(ISNUMBER(AP99),AP99&gt;0),AP99*AE104,0)</f>
        <v>0</v>
      </c>
      <c r="AQ100" s="30"/>
      <c r="AR100" s="30"/>
      <c r="AS100" s="30"/>
      <c r="AT100" s="30"/>
      <c r="AU100" s="30"/>
      <c r="AV100" s="30"/>
      <c r="AW100" s="30"/>
      <c r="AX100" s="30"/>
      <c r="AY100" s="30"/>
      <c r="AZ100" s="30"/>
      <c r="BA100" s="30"/>
      <c r="BB100" s="30"/>
      <c r="BC100" s="30"/>
      <c r="BD100" s="30"/>
      <c r="BE100" s="30"/>
      <c r="BF100" s="30"/>
      <c r="BG100" s="30"/>
      <c r="BH100" s="30"/>
      <c r="BI100" s="30"/>
      <c r="BJ100" s="651" t="b">
        <f>OR(BJ96,W100=EUconst_NA)</f>
        <v>1</v>
      </c>
      <c r="BK100" s="23"/>
    </row>
    <row r="101" spans="1:63" s="1063" customFormat="1" ht="12.75" customHeight="1" thickBot="1" x14ac:dyDescent="0.25">
      <c r="A101" s="58"/>
      <c r="B101" s="1248"/>
      <c r="C101" s="783" t="s">
        <v>196</v>
      </c>
      <c r="D101" s="641" t="str">
        <f>Translations!$B$728</f>
        <v>B. AEV</v>
      </c>
      <c r="E101" s="642"/>
      <c r="F101" s="636"/>
      <c r="G101" s="1681" t="str">
        <f t="shared" si="8"/>
        <v/>
      </c>
      <c r="H101" s="1682"/>
      <c r="I101" s="1691" t="str">
        <f>IF(W101=EUconst_NA,"",INDEX(PFCUnits,4))</f>
        <v>mV</v>
      </c>
      <c r="J101" s="1692"/>
      <c r="K101" s="670" t="str">
        <f t="shared" si="9"/>
        <v/>
      </c>
      <c r="L101" s="686"/>
      <c r="M101" s="703" t="str">
        <f>IF(AND(E91&lt;&gt;"",OR(F101="",L101=""),W101&lt;&gt;EUconst_NA),EUconst_ERR_Incomplete,IF(COUNTIF(AI101:AL101,TRUE)&gt;0,EUconst_ERR_Inconsistent,""))</f>
        <v/>
      </c>
      <c r="N101" s="140"/>
      <c r="O101" s="1305"/>
      <c r="P101" s="635"/>
      <c r="Q101" s="30"/>
      <c r="R101" s="543" t="str">
        <f>R96</f>
        <v>ActivityData_</v>
      </c>
      <c r="S101" s="488"/>
      <c r="T101" s="649" t="str">
        <f t="shared" si="13"/>
        <v/>
      </c>
      <c r="U101" s="30"/>
      <c r="V101" s="488">
        <v>2</v>
      </c>
      <c r="W101" s="662" t="str">
        <f>IF(E91="","",IF(U91&lt;&gt;V101,EUconst_NA,INDEX(EUwideConstants!$N:$N,MATCH(R101,EUwideConstants!$Q:$Q,0))))</f>
        <v/>
      </c>
      <c r="X101" s="546" t="str">
        <f>IF(ISBLANK(F101),"",IF(F101=EUconst_NA,"",INDEX(EUwideConstants!$H:$M,MATCH(R101,EUwideConstants!$Q:$Q,0),MATCH(F101,CNTR_TierList,0))))</f>
        <v/>
      </c>
      <c r="Y101" s="30"/>
      <c r="Z101" s="30"/>
      <c r="AA101" s="548" t="b">
        <f>AND(AA96,W101&lt;&gt;EUconst_NA)</f>
        <v>0</v>
      </c>
      <c r="AB101" s="333"/>
      <c r="AC101" s="667"/>
      <c r="AD101" s="667" t="str">
        <f>""</f>
        <v/>
      </c>
      <c r="AE101" s="651">
        <f t="shared" si="10"/>
        <v>0</v>
      </c>
      <c r="AF101" s="651" t="b">
        <f>AND(AA101=TRUE,OR(ISNUMBER(L101),NOT(ISNUMBER(Y101))))</f>
        <v>0</v>
      </c>
      <c r="AG101" s="651" t="b">
        <f t="shared" si="11"/>
        <v>0</v>
      </c>
      <c r="AH101" s="30"/>
      <c r="AI101" s="30"/>
      <c r="AJ101" s="30"/>
      <c r="AK101" s="651" t="b">
        <f t="shared" si="12"/>
        <v>0</v>
      </c>
      <c r="AL101" s="30"/>
      <c r="AM101" s="30"/>
      <c r="AN101" s="538" t="s">
        <v>440</v>
      </c>
      <c r="AO101" s="537" t="str">
        <f>IF(ISNUMBER(AO99),AO99*AE109,"")</f>
        <v/>
      </c>
      <c r="AP101" s="515" t="str">
        <f>IF(ISNUMBER(AP99),AP99*AE109,"")</f>
        <v/>
      </c>
      <c r="AQ101" s="30"/>
      <c r="AR101" s="30"/>
      <c r="AS101" s="30"/>
      <c r="AT101" s="30"/>
      <c r="AU101" s="30"/>
      <c r="AV101" s="30"/>
      <c r="AW101" s="30"/>
      <c r="AX101" s="30"/>
      <c r="AY101" s="30"/>
      <c r="AZ101" s="30"/>
      <c r="BA101" s="30"/>
      <c r="BB101" s="30"/>
      <c r="BC101" s="30"/>
      <c r="BD101" s="30"/>
      <c r="BE101" s="30"/>
      <c r="BF101" s="30"/>
      <c r="BG101" s="30"/>
      <c r="BH101" s="30"/>
      <c r="BI101" s="30"/>
      <c r="BJ101" s="651" t="b">
        <f>OR(BJ96,W101=EUconst_NA)</f>
        <v>1</v>
      </c>
      <c r="BK101" s="23"/>
    </row>
    <row r="102" spans="1:63" s="1063" customFormat="1" ht="12.75" customHeight="1" thickBot="1" x14ac:dyDescent="0.25">
      <c r="A102" s="58"/>
      <c r="B102" s="1248"/>
      <c r="C102" s="753" t="s">
        <v>197</v>
      </c>
      <c r="D102" s="503" t="str">
        <f>Translations!$B$730</f>
        <v>B. EN</v>
      </c>
      <c r="E102" s="504"/>
      <c r="F102" s="539"/>
      <c r="G102" s="1603" t="str">
        <f t="shared" si="8"/>
        <v/>
      </c>
      <c r="H102" s="1604"/>
      <c r="I102" s="1691" t="str">
        <f>IF(W102=EUconst_NA,"","-")</f>
        <v>-</v>
      </c>
      <c r="J102" s="1692"/>
      <c r="K102" s="672" t="str">
        <f t="shared" si="9"/>
        <v/>
      </c>
      <c r="L102" s="562"/>
      <c r="M102" s="700" t="str">
        <f>IF(AND(E91&lt;&gt;"",OR(F102="",L102=""),W102&lt;&gt;EUconst_NA),EUconst_ERR_Incomplete,IF(COUNTIF(AI102:AL102,TRUE)&gt;0,EUconst_ERR_Inconsistent,""))</f>
        <v/>
      </c>
      <c r="N102" s="140"/>
      <c r="O102" s="1305"/>
      <c r="P102" s="635"/>
      <c r="Q102" s="30"/>
      <c r="R102" s="543" t="str">
        <f>R101</f>
        <v>ActivityData_</v>
      </c>
      <c r="S102" s="488"/>
      <c r="T102" s="649" t="str">
        <f t="shared" si="13"/>
        <v/>
      </c>
      <c r="U102" s="30"/>
      <c r="V102" s="488">
        <v>2</v>
      </c>
      <c r="W102" s="662" t="str">
        <f>IF(E91="","",IF(U91&lt;&gt;V102,EUconst_NA,INDEX(EUwideConstants!$N:$N,MATCH(R102,EUwideConstants!$Q:$Q,0))))</f>
        <v/>
      </c>
      <c r="X102" s="546" t="str">
        <f>IF(ISBLANK(F102),"",IF(F102=EUconst_NA,"",INDEX(EUwideConstants!$H:$M,MATCH(R102,EUwideConstants!$Q:$Q,0),MATCH(F102,CNTR_TierList,0))))</f>
        <v/>
      </c>
      <c r="Y102" s="30"/>
      <c r="Z102" s="30"/>
      <c r="AA102" s="548" t="b">
        <f>AND(AA96,W102&lt;&gt;EUconst_NA)</f>
        <v>0</v>
      </c>
      <c r="AB102" s="333"/>
      <c r="AC102" s="667"/>
      <c r="AD102" s="667" t="str">
        <f>""</f>
        <v/>
      </c>
      <c r="AE102" s="651">
        <f t="shared" si="10"/>
        <v>0</v>
      </c>
      <c r="AF102" s="651" t="b">
        <f>AND(AA102=TRUE,OR(ISNUMBER(L102),NOT(ISNUMBER(Y102))))</f>
        <v>0</v>
      </c>
      <c r="AG102" s="651" t="b">
        <f t="shared" si="11"/>
        <v>0</v>
      </c>
      <c r="AH102" s="30"/>
      <c r="AI102" s="30"/>
      <c r="AJ102" s="30"/>
      <c r="AK102" s="699" t="b">
        <f t="shared" si="12"/>
        <v>0</v>
      </c>
      <c r="AL102" s="515" t="b">
        <f>L102&gt;100%</f>
        <v>0</v>
      </c>
      <c r="AM102" s="30"/>
      <c r="AN102" s="538" t="s">
        <v>441</v>
      </c>
      <c r="AO102" s="537">
        <f>IF(ISNUMBER(AO100),AO100*AE110,"")</f>
        <v>0</v>
      </c>
      <c r="AP102" s="515">
        <f>IF(ISNUMBER(AP100),AP100*AE110,"")</f>
        <v>0</v>
      </c>
      <c r="AQ102" s="30"/>
      <c r="AR102" s="30"/>
      <c r="AS102" s="30"/>
      <c r="AT102" s="30"/>
      <c r="AU102" s="30"/>
      <c r="AV102" s="30"/>
      <c r="AW102" s="30"/>
      <c r="AX102" s="30"/>
      <c r="AY102" s="30"/>
      <c r="AZ102" s="30"/>
      <c r="BA102" s="30"/>
      <c r="BB102" s="30"/>
      <c r="BC102" s="30"/>
      <c r="BD102" s="30"/>
      <c r="BE102" s="30"/>
      <c r="BF102" s="30"/>
      <c r="BG102" s="30"/>
      <c r="BH102" s="30"/>
      <c r="BI102" s="30"/>
      <c r="BJ102" s="651" t="b">
        <f>OR(BJ96,W102=EUconst_NA)</f>
        <v>1</v>
      </c>
      <c r="BK102" s="23"/>
    </row>
    <row r="103" spans="1:63" s="1063" customFormat="1" ht="12.75" customHeight="1" thickBot="1" x14ac:dyDescent="0.25">
      <c r="A103" s="58"/>
      <c r="B103" s="1248"/>
      <c r="C103" s="783" t="s">
        <v>198</v>
      </c>
      <c r="D103" s="643" t="str">
        <f>Translations!$B$732</f>
        <v>B. VĮK</v>
      </c>
      <c r="E103" s="644"/>
      <c r="F103" s="539"/>
      <c r="G103" s="1689" t="str">
        <f t="shared" si="8"/>
        <v/>
      </c>
      <c r="H103" s="1690"/>
      <c r="I103" s="1691" t="str">
        <f>IF(W103=EUconst_NA,"",INDEX(PFCUnits,6))</f>
        <v>(kg CF4)/(t Al mV)</v>
      </c>
      <c r="J103" s="1692"/>
      <c r="K103" s="672" t="str">
        <f t="shared" si="9"/>
        <v/>
      </c>
      <c r="L103" s="675"/>
      <c r="M103" s="702" t="str">
        <f>IF(AND(E91&lt;&gt;"",OR(F103="",COUNT(K103:L103)=0),W103&lt;&gt;EUconst_NA),EUconst_ERR_Incomplete,IF(COUNTIF(AI103:AL103,TRUE)&gt;0,EUconst_ERR_Inconsistent,""))</f>
        <v/>
      </c>
      <c r="N103" s="140"/>
      <c r="O103" s="1305"/>
      <c r="P103" s="33"/>
      <c r="Q103" s="30"/>
      <c r="R103" s="543" t="str">
        <f>EUconst_CNTR_EF&amp;E91</f>
        <v>EF_</v>
      </c>
      <c r="S103" s="488"/>
      <c r="T103" s="649" t="str">
        <f t="shared" si="13"/>
        <v/>
      </c>
      <c r="U103" s="30"/>
      <c r="V103" s="488">
        <v>2</v>
      </c>
      <c r="W103" s="662" t="str">
        <f>IF(E91="","",IF(U91&lt;&gt;V103,EUconst_NA,INDEX(EUwideConstants!$N:$N,MATCH(R103,EUwideConstants!$Q:$Q,0))))</f>
        <v/>
      </c>
      <c r="X103" s="546" t="str">
        <f>IF(ISBLANK(F103),"",IF(F103=EUconst_NA,"",INDEX(EUwideConstants!$H:$M,MATCH(R103,EUwideConstants!$Q:$Q,0),MATCH(F103,CNTR_TierList,0))))</f>
        <v/>
      </c>
      <c r="Y103" s="580" t="str">
        <f>IF(COUNTIF(EUconst_DefaultValues,X103)&gt;0,MATCH(X103,EUconst_DefaultValues,0),"")</f>
        <v/>
      </c>
      <c r="Z103" s="30"/>
      <c r="AA103" s="548" t="b">
        <f>AND(AA96,W103&lt;&gt;EUconst_NA)</f>
        <v>0</v>
      </c>
      <c r="AB103" s="333"/>
      <c r="AC103" s="651" t="str">
        <f>IF(AA103=TRUE,IF(T103="","",INDEX(MSPara_PFCMethB,MATCH(T103,PFCCellTypes,0),1)),"")</f>
        <v/>
      </c>
      <c r="AD103" s="651" t="str">
        <f>IF(AND(Y103&lt;&gt;"",ISNUMBER(AC103)),AC103,"")</f>
        <v/>
      </c>
      <c r="AE103" s="651">
        <f t="shared" si="10"/>
        <v>0</v>
      </c>
      <c r="AF103" s="651" t="b">
        <f>AND(AA103=TRUE,OR(AND(F103&lt;&gt;"",NOT(ISNUMBER(Y103))),L103&lt;&gt;"",F103="",AD103=""))</f>
        <v>0</v>
      </c>
      <c r="AG103" s="651" t="b">
        <f t="shared" si="11"/>
        <v>0</v>
      </c>
      <c r="AH103" s="30"/>
      <c r="AI103" s="30"/>
      <c r="AJ103" s="30"/>
      <c r="AK103" s="651" t="b">
        <f t="shared" si="12"/>
        <v>0</v>
      </c>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651" t="b">
        <f>OR(BJ96,W103=EUconst_NA)</f>
        <v>1</v>
      </c>
      <c r="BK103" s="23"/>
    </row>
    <row r="104" spans="1:63" s="1063" customFormat="1" ht="12.75" customHeight="1" thickBot="1" x14ac:dyDescent="0.25">
      <c r="A104" s="58"/>
      <c r="B104" s="1248"/>
      <c r="C104" s="783" t="s">
        <v>324</v>
      </c>
      <c r="D104" s="641" t="str">
        <f>Translations!$B$734</f>
        <v>F(C2F6)</v>
      </c>
      <c r="E104" s="642"/>
      <c r="F104" s="588"/>
      <c r="G104" s="1681" t="str">
        <f t="shared" si="8"/>
        <v/>
      </c>
      <c r="H104" s="1682"/>
      <c r="I104" s="1685" t="str">
        <f>IF(W104=EUconst_NA,"",INDEX(PFCUnits,7))</f>
        <v>t C2F6/t CF4</v>
      </c>
      <c r="J104" s="1686"/>
      <c r="K104" s="673" t="str">
        <f t="shared" si="9"/>
        <v/>
      </c>
      <c r="L104" s="676"/>
      <c r="M104" s="703" t="str">
        <f>IF(AND(E91&lt;&gt;"",OR(F104="",COUNT(K104:L104)=0),W104&lt;&gt;EUconst_NA),EUconst_ERR_Incomplete,IF(COUNTIF(AI104:AL104,TRUE)&gt;0,EUconst_ERR_Inconsistent,""))</f>
        <v/>
      </c>
      <c r="N104" s="140"/>
      <c r="O104" s="1305"/>
      <c r="P104" s="33"/>
      <c r="Q104" s="30"/>
      <c r="R104" s="590" t="str">
        <f>EUconst_CNTR_EF&amp;E91</f>
        <v>EF_</v>
      </c>
      <c r="S104" s="488"/>
      <c r="T104" s="650" t="str">
        <f t="shared" si="13"/>
        <v/>
      </c>
      <c r="U104" s="30"/>
      <c r="V104" s="488" t="str">
        <f>""</f>
        <v/>
      </c>
      <c r="W104" s="664" t="str">
        <f>W96</f>
        <v/>
      </c>
      <c r="X104" s="592" t="str">
        <f>IF(ISBLANK(F104),"",IF(F104=EUconst_NA,"",INDEX(EUwideConstants!$H:$M,MATCH(R104,EUwideConstants!$Q:$Q,0),MATCH(F104,CNTR_TierList,0))))</f>
        <v/>
      </c>
      <c r="Y104" s="580" t="str">
        <f>IF(COUNTIF(EUconst_DefaultValues,X104)&gt;0,MATCH(X104,EUconst_DefaultValues,0),"")</f>
        <v/>
      </c>
      <c r="Z104" s="30"/>
      <c r="AA104" s="665" t="b">
        <f>AND(AA96,W104&lt;&gt;EUconst_NA)</f>
        <v>0</v>
      </c>
      <c r="AB104" s="333"/>
      <c r="AC104" s="573" t="str">
        <f>IF(AA104=TRUE,IF(T104="","",INDEX(MSPara_PFCMethA,MATCH(T104,PFCCellTypes,0),2)),"")</f>
        <v/>
      </c>
      <c r="AD104" s="573" t="str">
        <f>IF(AND(Y104&lt;&gt;"",ISNUMBER(AC104)),AC104,"")</f>
        <v/>
      </c>
      <c r="AE104" s="573">
        <f t="shared" si="10"/>
        <v>0</v>
      </c>
      <c r="AF104" s="573" t="b">
        <f>AND(AA104=TRUE,OR(AND(F104&lt;&gt;"",NOT(ISNUMBER(Y104))),L104&lt;&gt;"",F104="",AD104=""))</f>
        <v>0</v>
      </c>
      <c r="AG104" s="573" t="b">
        <f t="shared" si="11"/>
        <v>0</v>
      </c>
      <c r="AH104" s="30"/>
      <c r="AI104" s="30"/>
      <c r="AJ104" s="30"/>
      <c r="AK104" s="573" t="b">
        <f t="shared" si="12"/>
        <v>0</v>
      </c>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573" t="b">
        <f>OR(BJ96,W104=EUconst_NA)</f>
        <v>1</v>
      </c>
      <c r="BK104" s="23"/>
    </row>
    <row r="105" spans="1:63" s="1063" customFormat="1" ht="5.0999999999999996" customHeight="1" thickBot="1" x14ac:dyDescent="0.25">
      <c r="A105" s="58"/>
      <c r="B105" s="1248"/>
      <c r="C105" s="164"/>
      <c r="D105" s="178"/>
      <c r="E105" s="140"/>
      <c r="F105" s="140"/>
      <c r="G105" s="140"/>
      <c r="H105" s="140"/>
      <c r="I105" s="140"/>
      <c r="J105" s="140"/>
      <c r="K105" s="140"/>
      <c r="L105" s="140"/>
      <c r="M105" s="695"/>
      <c r="N105" s="140"/>
      <c r="O105" s="1305"/>
      <c r="P105" s="33"/>
      <c r="Q105" s="172"/>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23"/>
    </row>
    <row r="106" spans="1:63" s="1063" customFormat="1" ht="12.75" customHeight="1" x14ac:dyDescent="0.2">
      <c r="A106" s="58"/>
      <c r="B106" s="1248"/>
      <c r="C106" s="753" t="s">
        <v>325</v>
      </c>
      <c r="D106" s="637" t="str">
        <f>Translations!$B$748</f>
        <v>Išmestas CF4 kiekis</v>
      </c>
      <c r="E106" s="638"/>
      <c r="F106" s="504"/>
      <c r="G106" s="504"/>
      <c r="H106" s="504"/>
      <c r="I106" s="1683" t="str">
        <f>EUconst_t</f>
        <v>t</v>
      </c>
      <c r="J106" s="1684"/>
      <c r="K106" s="504"/>
      <c r="L106" s="917" t="str">
        <f>IF(ISNUMBER(U91),INDEX(AO99:AP99,U91),"")</f>
        <v/>
      </c>
      <c r="M106" s="695"/>
      <c r="N106" s="140"/>
      <c r="O106" s="1305"/>
      <c r="P106" s="33"/>
      <c r="Q106" s="172"/>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23"/>
    </row>
    <row r="107" spans="1:63" s="1063" customFormat="1" ht="12.75" customHeight="1" thickBot="1" x14ac:dyDescent="0.25">
      <c r="A107" s="58"/>
      <c r="B107" s="1248"/>
      <c r="C107" s="753" t="s">
        <v>448</v>
      </c>
      <c r="D107" s="637" t="str">
        <f>Translations!$B$749</f>
        <v>Išmestas C2F6 kiekis</v>
      </c>
      <c r="E107" s="504"/>
      <c r="F107" s="504"/>
      <c r="G107" s="504"/>
      <c r="H107" s="504"/>
      <c r="I107" s="1685" t="str">
        <f>EUconst_t</f>
        <v>t</v>
      </c>
      <c r="J107" s="1686"/>
      <c r="K107" s="504"/>
      <c r="L107" s="918" t="str">
        <f>IF(ISNUMBER(U91),INDEX(AO100:AP100,U91),"")</f>
        <v/>
      </c>
      <c r="M107" s="695"/>
      <c r="N107" s="140"/>
      <c r="O107" s="1305"/>
      <c r="P107" s="33"/>
      <c r="Q107" s="172"/>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23"/>
    </row>
    <row r="108" spans="1:63" s="1063" customFormat="1" ht="5.0999999999999996" customHeight="1" thickBot="1" x14ac:dyDescent="0.25">
      <c r="A108" s="58"/>
      <c r="B108" s="1248"/>
      <c r="C108" s="755"/>
      <c r="D108" s="178"/>
      <c r="E108" s="140"/>
      <c r="F108" s="140"/>
      <c r="G108" s="140"/>
      <c r="H108" s="140"/>
      <c r="I108" s="140"/>
      <c r="J108" s="140"/>
      <c r="K108" s="140"/>
      <c r="L108" s="140"/>
      <c r="M108" s="695"/>
      <c r="N108" s="140"/>
      <c r="O108" s="1305"/>
      <c r="P108" s="33"/>
      <c r="Q108" s="172"/>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23"/>
    </row>
    <row r="109" spans="1:63" s="1063" customFormat="1" ht="12.75" customHeight="1" x14ac:dyDescent="0.2">
      <c r="A109" s="58"/>
      <c r="B109" s="1248"/>
      <c r="C109" s="753" t="s">
        <v>449</v>
      </c>
      <c r="D109" s="637" t="str">
        <f>Translations!$B$736</f>
        <v>VAP(CF4)</v>
      </c>
      <c r="E109" s="638"/>
      <c r="F109" s="504"/>
      <c r="G109" s="504"/>
      <c r="H109" s="504"/>
      <c r="I109" s="1683" t="s">
        <v>438</v>
      </c>
      <c r="J109" s="1684"/>
      <c r="K109" s="639">
        <f>IF(L109="",7390,"")</f>
        <v>7390</v>
      </c>
      <c r="L109" s="930"/>
      <c r="M109" s="695"/>
      <c r="N109" s="140"/>
      <c r="O109" s="1305"/>
      <c r="P109" s="635"/>
      <c r="Q109" s="172"/>
      <c r="R109" s="30"/>
      <c r="S109" s="30"/>
      <c r="T109" s="30"/>
      <c r="U109" s="30"/>
      <c r="V109" s="30"/>
      <c r="W109" s="30"/>
      <c r="X109" s="30"/>
      <c r="Y109" s="30"/>
      <c r="Z109" s="30"/>
      <c r="AA109" s="30"/>
      <c r="AB109" s="30"/>
      <c r="AC109" s="30"/>
      <c r="AD109" s="30"/>
      <c r="AE109" s="526">
        <f>IF(L109="",K109,L109)</f>
        <v>7390</v>
      </c>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522" t="b">
        <f>BJ96</f>
        <v>1</v>
      </c>
      <c r="BK109" s="23"/>
    </row>
    <row r="110" spans="1:63" s="1063" customFormat="1" ht="12.75" customHeight="1" thickBot="1" x14ac:dyDescent="0.25">
      <c r="A110" s="58"/>
      <c r="B110" s="1248"/>
      <c r="C110" s="753" t="s">
        <v>450</v>
      </c>
      <c r="D110" s="637" t="str">
        <f>Translations!$B$738</f>
        <v>VAP(C2F6)</v>
      </c>
      <c r="E110" s="638"/>
      <c r="F110" s="504"/>
      <c r="G110" s="504"/>
      <c r="H110" s="504"/>
      <c r="I110" s="1685" t="s">
        <v>439</v>
      </c>
      <c r="J110" s="1686"/>
      <c r="K110" s="640">
        <f>IF(L110="",12200,"")</f>
        <v>12200</v>
      </c>
      <c r="L110" s="931"/>
      <c r="M110" s="695"/>
      <c r="N110" s="140"/>
      <c r="O110" s="1305"/>
      <c r="P110" s="33"/>
      <c r="Q110" s="172"/>
      <c r="R110" s="30"/>
      <c r="S110" s="30"/>
      <c r="T110" s="30"/>
      <c r="U110" s="30"/>
      <c r="V110" s="30"/>
      <c r="W110" s="30"/>
      <c r="X110" s="30"/>
      <c r="Y110" s="30"/>
      <c r="Z110" s="30"/>
      <c r="AA110" s="30"/>
      <c r="AB110" s="30"/>
      <c r="AC110" s="30"/>
      <c r="AD110" s="30"/>
      <c r="AE110" s="665">
        <f>IF(L110="",K110,L110)</f>
        <v>12200</v>
      </c>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571" t="b">
        <f>BJ109</f>
        <v>1</v>
      </c>
      <c r="BK110" s="23"/>
    </row>
    <row r="111" spans="1:63" s="1063" customFormat="1" ht="5.0999999999999996" customHeight="1" thickBot="1" x14ac:dyDescent="0.25">
      <c r="A111" s="58"/>
      <c r="B111" s="1248"/>
      <c r="C111" s="755"/>
      <c r="D111" s="298"/>
      <c r="E111" s="486"/>
      <c r="F111" s="140"/>
      <c r="G111" s="140"/>
      <c r="H111" s="140"/>
      <c r="I111" s="140"/>
      <c r="J111" s="140"/>
      <c r="K111" s="140"/>
      <c r="L111" s="695"/>
      <c r="M111" s="695"/>
      <c r="N111" s="140"/>
      <c r="O111" s="1305"/>
      <c r="P111" s="33"/>
      <c r="Q111" s="172"/>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23"/>
    </row>
    <row r="112" spans="1:63" s="1063" customFormat="1" ht="12.75" customHeight="1" x14ac:dyDescent="0.2">
      <c r="A112" s="58"/>
      <c r="B112" s="1248"/>
      <c r="C112" s="753" t="s">
        <v>451</v>
      </c>
      <c r="D112" s="637" t="str">
        <f>Translations!$B$748</f>
        <v>Išmestas CF4 kiekis</v>
      </c>
      <c r="E112" s="638"/>
      <c r="F112" s="504"/>
      <c r="G112" s="504"/>
      <c r="H112" s="504"/>
      <c r="I112" s="1683" t="s">
        <v>257</v>
      </c>
      <c r="J112" s="1684"/>
      <c r="K112" s="504"/>
      <c r="L112" s="696" t="str">
        <f>IF(ISNUMBER(U91),INDEX(AO101:AP101,U91),"")</f>
        <v/>
      </c>
      <c r="M112" s="695"/>
      <c r="N112" s="140"/>
      <c r="O112" s="1305"/>
      <c r="P112" s="635"/>
      <c r="Q112" s="172"/>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23"/>
    </row>
    <row r="113" spans="1:63" s="1063" customFormat="1" ht="12.75" customHeight="1" thickBot="1" x14ac:dyDescent="0.25">
      <c r="A113" s="58"/>
      <c r="B113" s="1248"/>
      <c r="C113" s="753" t="s">
        <v>452</v>
      </c>
      <c r="D113" s="637" t="str">
        <f>Translations!$B$749</f>
        <v>Išmestas C2F6 kiekis</v>
      </c>
      <c r="E113" s="504"/>
      <c r="F113" s="504"/>
      <c r="G113" s="504"/>
      <c r="H113" s="504"/>
      <c r="I113" s="1685" t="s">
        <v>257</v>
      </c>
      <c r="J113" s="1686"/>
      <c r="K113" s="504"/>
      <c r="L113" s="697" t="str">
        <f>IF(ISNUMBER(U91),INDEX(AO102:AP102,U91),"")</f>
        <v/>
      </c>
      <c r="M113" s="695"/>
      <c r="N113" s="140"/>
      <c r="O113" s="1305"/>
      <c r="P113" s="33"/>
      <c r="Q113" s="172"/>
      <c r="R113" s="30"/>
      <c r="S113" s="30"/>
      <c r="T113" s="30"/>
      <c r="U113" s="30"/>
      <c r="V113" s="30"/>
      <c r="W113" s="30"/>
      <c r="X113" s="30"/>
      <c r="Y113" s="30"/>
      <c r="Z113" s="30"/>
      <c r="AA113" s="30"/>
      <c r="AB113" s="30"/>
      <c r="AC113" s="30"/>
      <c r="AD113" s="30"/>
      <c r="AE113" s="483"/>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23"/>
    </row>
    <row r="114" spans="1:63" s="1063" customFormat="1" ht="5.0999999999999996" customHeight="1" thickBot="1" x14ac:dyDescent="0.25">
      <c r="A114" s="58"/>
      <c r="B114" s="1248"/>
      <c r="C114" s="755"/>
      <c r="D114" s="178"/>
      <c r="E114" s="140"/>
      <c r="F114" s="140"/>
      <c r="G114" s="140"/>
      <c r="H114" s="140"/>
      <c r="I114" s="140"/>
      <c r="J114" s="140"/>
      <c r="K114" s="140"/>
      <c r="L114" s="140"/>
      <c r="M114" s="695"/>
      <c r="N114" s="140"/>
      <c r="O114" s="1305"/>
      <c r="P114" s="33"/>
      <c r="Q114" s="172"/>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23"/>
    </row>
    <row r="115" spans="1:63" s="1063" customFormat="1" ht="12.75" customHeight="1" thickBot="1" x14ac:dyDescent="0.25">
      <c r="A115" s="58"/>
      <c r="B115" s="1248"/>
      <c r="C115" s="753" t="s">
        <v>453</v>
      </c>
      <c r="D115" s="637" t="str">
        <f>Translations!$B$167</f>
        <v>Surinkimo efektyvumas</v>
      </c>
      <c r="E115" s="504"/>
      <c r="F115" s="504"/>
      <c r="G115" s="504"/>
      <c r="H115" s="504"/>
      <c r="I115" s="1687" t="s">
        <v>258</v>
      </c>
      <c r="J115" s="1688"/>
      <c r="K115" s="504"/>
      <c r="L115" s="932"/>
      <c r="M115" s="700" t="str">
        <f>IF(AND(E91&lt;&gt;"",L115=""),EUconst_ERR_Incomplete,IF(COUNTIF(AI115:AL115,TRUE)&gt;0,EUconst_ERR_Inconsistent,""))</f>
        <v/>
      </c>
      <c r="N115" s="140"/>
      <c r="O115" s="1305"/>
      <c r="P115" s="635"/>
      <c r="Q115" s="172"/>
      <c r="R115" s="30"/>
      <c r="S115" s="30"/>
      <c r="T115" s="30"/>
      <c r="U115" s="30"/>
      <c r="V115" s="30"/>
      <c r="W115" s="30"/>
      <c r="X115" s="30"/>
      <c r="Y115" s="30"/>
      <c r="Z115" s="30"/>
      <c r="AA115" s="30"/>
      <c r="AB115" s="30"/>
      <c r="AC115" s="30"/>
      <c r="AD115" s="30"/>
      <c r="AE115" s="30"/>
      <c r="AF115" s="30"/>
      <c r="AG115" s="30"/>
      <c r="AH115" s="30"/>
      <c r="AI115" s="30"/>
      <c r="AJ115" s="30"/>
      <c r="AK115" s="30"/>
      <c r="AL115" s="515" t="b">
        <f>L115&gt;100%</f>
        <v>0</v>
      </c>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515" t="b">
        <f>BJ96</f>
        <v>1</v>
      </c>
      <c r="BK115" s="23"/>
    </row>
    <row r="116" spans="1:63" s="1063" customFormat="1" ht="5.0999999999999996" customHeight="1" thickBot="1" x14ac:dyDescent="0.25">
      <c r="A116" s="58"/>
      <c r="B116" s="1248"/>
      <c r="C116" s="164"/>
      <c r="D116" s="178"/>
      <c r="E116" s="140"/>
      <c r="F116" s="140"/>
      <c r="G116" s="140"/>
      <c r="H116" s="140"/>
      <c r="I116" s="140"/>
      <c r="J116" s="140"/>
      <c r="K116" s="140"/>
      <c r="L116" s="140"/>
      <c r="M116" s="140"/>
      <c r="N116" s="140"/>
      <c r="O116" s="1305"/>
      <c r="P116" s="33"/>
      <c r="Q116" s="172"/>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23"/>
    </row>
    <row r="117" spans="1:63" s="1063" customFormat="1" ht="12.75" customHeight="1" thickBot="1" x14ac:dyDescent="0.25">
      <c r="A117" s="58"/>
      <c r="B117" s="1248"/>
      <c r="C117" s="164"/>
      <c r="D117" s="1629" t="str">
        <f>Translations!$B$674</f>
        <v>Pakopos galioja nuo:</v>
      </c>
      <c r="E117" s="1629"/>
      <c r="F117" s="1630"/>
      <c r="G117" s="607"/>
      <c r="H117" s="606" t="str">
        <f>Translations!$B$675</f>
        <v>iki:</v>
      </c>
      <c r="I117" s="607"/>
      <c r="J117" s="140"/>
      <c r="K117" s="140"/>
      <c r="L117" s="140"/>
      <c r="M117" s="140"/>
      <c r="N117" s="140"/>
      <c r="O117" s="1305"/>
      <c r="P117" s="33"/>
      <c r="Q117" s="172"/>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515" t="b">
        <f>BJ96</f>
        <v>1</v>
      </c>
      <c r="BK117" s="23"/>
    </row>
    <row r="118" spans="1:63" s="1063" customFormat="1" ht="5.0999999999999996" customHeight="1" thickBot="1" x14ac:dyDescent="0.25">
      <c r="A118" s="30"/>
      <c r="B118" s="1316"/>
      <c r="C118" s="140"/>
      <c r="D118" s="178"/>
      <c r="E118" s="140"/>
      <c r="F118" s="140"/>
      <c r="G118" s="140"/>
      <c r="H118" s="140"/>
      <c r="I118" s="140"/>
      <c r="J118" s="140"/>
      <c r="K118" s="140"/>
      <c r="L118" s="140"/>
      <c r="M118" s="140"/>
      <c r="N118" s="140"/>
      <c r="O118" s="1317"/>
      <c r="P118" s="488"/>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23"/>
    </row>
    <row r="119" spans="1:63" s="1063" customFormat="1" ht="12.75" customHeight="1" thickBot="1" x14ac:dyDescent="0.25">
      <c r="A119" s="30"/>
      <c r="B119" s="1316"/>
      <c r="C119" s="140"/>
      <c r="D119" s="1618" t="str">
        <f>Translations!$B$160</f>
        <v>Pastabos:</v>
      </c>
      <c r="E119" s="1619"/>
      <c r="F119" s="1680"/>
      <c r="G119" s="1680"/>
      <c r="H119" s="1680"/>
      <c r="I119" s="1680"/>
      <c r="J119" s="1680"/>
      <c r="K119" s="1680"/>
      <c r="L119" s="1680"/>
      <c r="M119" s="1680"/>
      <c r="N119" s="1680"/>
      <c r="O119" s="1317"/>
      <c r="P119" s="488"/>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515" t="b">
        <f>BJ117</f>
        <v>1</v>
      </c>
      <c r="BK119" s="23"/>
    </row>
    <row r="120" spans="1:63" s="1060" customFormat="1" ht="12.75" customHeight="1" thickBot="1" x14ac:dyDescent="0.25">
      <c r="A120" s="58"/>
      <c r="B120" s="1312"/>
      <c r="C120" s="490"/>
      <c r="D120" s="491"/>
      <c r="E120" s="492"/>
      <c r="F120" s="490"/>
      <c r="G120" s="493"/>
      <c r="H120" s="493"/>
      <c r="I120" s="493"/>
      <c r="J120" s="493"/>
      <c r="K120" s="493"/>
      <c r="L120" s="493"/>
      <c r="M120" s="493"/>
      <c r="N120" s="493"/>
      <c r="O120" s="1313"/>
      <c r="P120" s="485"/>
      <c r="Q120" s="58"/>
      <c r="R120" s="58"/>
      <c r="S120" s="489"/>
      <c r="T120" s="58"/>
      <c r="U120" s="58"/>
      <c r="V120" s="489"/>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23"/>
    </row>
    <row r="121" spans="1:63" s="1060" customFormat="1" ht="12.75" customHeight="1" thickBot="1" x14ac:dyDescent="0.25">
      <c r="A121" s="482"/>
      <c r="B121" s="1312"/>
      <c r="C121" s="486"/>
      <c r="D121" s="178"/>
      <c r="E121" s="487"/>
      <c r="F121" s="486"/>
      <c r="G121" s="478"/>
      <c r="H121" s="478"/>
      <c r="I121" s="478"/>
      <c r="J121" s="478"/>
      <c r="K121" s="486"/>
      <c r="L121" s="478"/>
      <c r="M121" s="478"/>
      <c r="N121" s="478"/>
      <c r="O121" s="1313"/>
      <c r="P121" s="485"/>
      <c r="Q121" s="76"/>
      <c r="R121" s="76"/>
      <c r="S121" s="58"/>
      <c r="T121" s="23"/>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23"/>
    </row>
    <row r="122" spans="1:63" s="1063" customFormat="1" ht="15" customHeight="1" thickBot="1" x14ac:dyDescent="0.25">
      <c r="A122" s="58"/>
      <c r="B122" s="1248"/>
      <c r="C122" s="608">
        <f>C90+1</f>
        <v>3</v>
      </c>
      <c r="D122" s="334"/>
      <c r="E122" s="1610"/>
      <c r="F122" s="1611"/>
      <c r="G122" s="1611"/>
      <c r="H122" s="1611"/>
      <c r="I122" s="1611"/>
      <c r="J122" s="1612"/>
      <c r="K122" s="140"/>
      <c r="L122" s="140"/>
      <c r="M122" s="494" t="str">
        <f>Translations!$B$747</f>
        <v>Išmetamųjų teršalų kiekis:</v>
      </c>
      <c r="N122" s="998" t="str">
        <f>IF(COUNT(L144:L145,L147)=3,(L144+L145)/L147,"")</f>
        <v/>
      </c>
      <c r="O122" s="1314" t="s">
        <v>257</v>
      </c>
      <c r="P122" s="485"/>
      <c r="Q122" s="343" t="str">
        <f>EUconst_SumCO2 &amp; "_" &amp; EUconst_ProcessPFC</f>
        <v>SUM_CO2_Išmetamas PFC kiekis</v>
      </c>
      <c r="R122" s="27" t="str">
        <f>IF(ISBLANK(E122),"",MATCH(E122,CNTR_SourceStreamNames,0))</f>
        <v/>
      </c>
      <c r="S122" s="609" t="str">
        <f>IF(ISBLANK(E122),"",INDEX(B_InstallationDescription!$D$71:$D$145,MATCH(E122,CNTR_SourceStreamNames,0)))</f>
        <v/>
      </c>
      <c r="T122" s="500" t="s">
        <v>387</v>
      </c>
      <c r="U122" s="677" t="s">
        <v>67</v>
      </c>
      <c r="V122" s="58"/>
      <c r="W122" s="58"/>
      <c r="X122" s="58"/>
      <c r="Y122" s="58"/>
      <c r="Z122" s="58"/>
      <c r="AA122" s="58"/>
      <c r="AB122" s="333"/>
      <c r="AC122" s="333"/>
      <c r="AD122" s="333"/>
      <c r="AE122" s="333"/>
      <c r="AF122" s="333"/>
      <c r="AG122" s="333"/>
      <c r="AH122" s="333"/>
      <c r="AI122" s="333"/>
      <c r="AJ122" s="333"/>
      <c r="AK122" s="333"/>
      <c r="AL122" s="333"/>
      <c r="AM122" s="333"/>
      <c r="AN122" s="333"/>
      <c r="AO122" s="333"/>
      <c r="AP122" s="333"/>
      <c r="AQ122" s="333"/>
      <c r="AR122" s="333"/>
      <c r="AS122" s="866">
        <f>K128</f>
        <v>0</v>
      </c>
      <c r="AT122" s="833">
        <f>AE130</f>
        <v>0</v>
      </c>
      <c r="AU122" s="833">
        <f>AE131</f>
        <v>0</v>
      </c>
      <c r="AV122" s="833">
        <f>AE132</f>
        <v>0</v>
      </c>
      <c r="AW122" s="833">
        <f>AE133</f>
        <v>0</v>
      </c>
      <c r="AX122" s="833">
        <f>AE134</f>
        <v>0</v>
      </c>
      <c r="AY122" s="833">
        <f>AE135</f>
        <v>0</v>
      </c>
      <c r="AZ122" s="833">
        <f>AE136</f>
        <v>0</v>
      </c>
      <c r="BA122" s="867" t="str">
        <f>L138</f>
        <v/>
      </c>
      <c r="BB122" s="867" t="str">
        <f>L139</f>
        <v/>
      </c>
      <c r="BC122" s="833">
        <f>AE141</f>
        <v>7390</v>
      </c>
      <c r="BD122" s="833">
        <f>AE142</f>
        <v>12200</v>
      </c>
      <c r="BE122" s="866" t="str">
        <f>L144</f>
        <v/>
      </c>
      <c r="BF122" s="866" t="str">
        <f>L145</f>
        <v/>
      </c>
      <c r="BG122" s="868">
        <f>L147</f>
        <v>0</v>
      </c>
      <c r="BH122" s="866" t="str">
        <f>N122</f>
        <v/>
      </c>
      <c r="BI122" s="333"/>
      <c r="BJ122" s="515" t="b">
        <f>CNTR_PFCRelevant=EUconst_NotRelevant</f>
        <v>1</v>
      </c>
      <c r="BK122" s="23"/>
    </row>
    <row r="123" spans="1:63" s="1063" customFormat="1" ht="15" customHeight="1" thickBot="1" x14ac:dyDescent="0.25">
      <c r="A123" s="58"/>
      <c r="B123" s="1248"/>
      <c r="C123" s="164"/>
      <c r="D123" s="164"/>
      <c r="E123" s="1625" t="str">
        <f>IF(E122="","",IF(INDEX(B_InstallationDescription!$E$71:$E$145,MATCH(S122,B_InstallationDescription!$D$71:$D$145,0))&gt;0,INDEX(B_InstallationDescription!$E$71:$E$145,MATCH(S122,B_InstallationDescription!$D$71:$D$145,0)),""))</f>
        <v/>
      </c>
      <c r="F123" s="1626"/>
      <c r="G123" s="1626"/>
      <c r="H123" s="1626"/>
      <c r="I123" s="1626"/>
      <c r="J123" s="1627"/>
      <c r="K123" s="140"/>
      <c r="L123" s="140"/>
      <c r="M123" s="141"/>
      <c r="N123" s="141"/>
      <c r="O123" s="1305"/>
      <c r="P123" s="485"/>
      <c r="Q123" s="30"/>
      <c r="R123" s="27" t="s">
        <v>91</v>
      </c>
      <c r="S123" s="30"/>
      <c r="T123" s="569" t="b">
        <v>1</v>
      </c>
      <c r="U123" s="509" t="str">
        <f>IF(E123="","",INDEX(CNTR_PFCMethod,MATCH(E122,CNTR_PFCSourceStreamNames,0)))</f>
        <v/>
      </c>
      <c r="V123" s="30"/>
      <c r="W123" s="485"/>
      <c r="X123" s="30"/>
      <c r="Y123" s="30"/>
      <c r="Z123" s="30"/>
      <c r="AA123" s="30"/>
      <c r="AB123" s="333"/>
      <c r="AC123" s="27" t="s">
        <v>303</v>
      </c>
      <c r="AD123" s="30"/>
      <c r="AE123" s="30"/>
      <c r="AF123" s="30"/>
      <c r="AG123" s="30"/>
      <c r="AH123" s="30"/>
      <c r="AI123" s="27" t="s">
        <v>310</v>
      </c>
      <c r="AJ123" s="30"/>
      <c r="AK123" s="30"/>
      <c r="AL123" s="30"/>
      <c r="AM123" s="30"/>
      <c r="AN123" s="27" t="s">
        <v>217</v>
      </c>
      <c r="AO123" s="30"/>
      <c r="AP123" s="30"/>
      <c r="AQ123" s="30"/>
      <c r="AR123" s="865" t="s">
        <v>486</v>
      </c>
      <c r="AS123" s="834" t="s">
        <v>218</v>
      </c>
      <c r="AT123" s="834" t="s">
        <v>454</v>
      </c>
      <c r="AU123" s="834" t="s">
        <v>455</v>
      </c>
      <c r="AV123" s="834" t="s">
        <v>447</v>
      </c>
      <c r="AW123" s="834" t="s">
        <v>443</v>
      </c>
      <c r="AX123" s="834" t="s">
        <v>444</v>
      </c>
      <c r="AY123" s="834" t="s">
        <v>445</v>
      </c>
      <c r="AZ123" s="834" t="s">
        <v>446</v>
      </c>
      <c r="BA123" s="834" t="s">
        <v>436</v>
      </c>
      <c r="BB123" s="834" t="s">
        <v>437</v>
      </c>
      <c r="BC123" s="834" t="s">
        <v>434</v>
      </c>
      <c r="BD123" s="834" t="s">
        <v>435</v>
      </c>
      <c r="BE123" s="834" t="s">
        <v>436</v>
      </c>
      <c r="BF123" s="834" t="s">
        <v>437</v>
      </c>
      <c r="BG123" s="834" t="s">
        <v>337</v>
      </c>
      <c r="BH123" s="833" t="s">
        <v>287</v>
      </c>
      <c r="BI123" s="30"/>
      <c r="BJ123" s="30"/>
      <c r="BK123" s="23"/>
    </row>
    <row r="124" spans="1:63" s="1063" customFormat="1" ht="5.0999999999999996" customHeight="1" x14ac:dyDescent="0.2">
      <c r="A124" s="58"/>
      <c r="B124" s="1248"/>
      <c r="C124" s="164"/>
      <c r="D124" s="164"/>
      <c r="E124" s="164"/>
      <c r="F124" s="164"/>
      <c r="G124" s="164"/>
      <c r="H124" s="140"/>
      <c r="I124" s="140"/>
      <c r="J124" s="140"/>
      <c r="K124" s="140"/>
      <c r="L124" s="140"/>
      <c r="M124" s="141"/>
      <c r="N124" s="141"/>
      <c r="O124" s="1305"/>
      <c r="P124" s="33"/>
      <c r="Q124" s="30"/>
      <c r="R124" s="480"/>
      <c r="S124" s="30"/>
      <c r="T124" s="30"/>
      <c r="U124" s="30"/>
      <c r="V124" s="30"/>
      <c r="W124" s="485"/>
      <c r="X124" s="30"/>
      <c r="Y124" s="30"/>
      <c r="Z124" s="30"/>
      <c r="AA124" s="30"/>
      <c r="AB124" s="333"/>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23"/>
    </row>
    <row r="125" spans="1:63" s="1063" customFormat="1" ht="12.75" customHeight="1" x14ac:dyDescent="0.2">
      <c r="A125" s="58"/>
      <c r="B125" s="1248"/>
      <c r="C125" s="164"/>
      <c r="D125" s="164"/>
      <c r="E125" s="1628" t="str">
        <f>IF(E122="","",HYPERLINK("#JUMP_14",EUconst_FurtherGuidancePoint1))</f>
        <v/>
      </c>
      <c r="F125" s="1628"/>
      <c r="G125" s="1628"/>
      <c r="H125" s="1628"/>
      <c r="I125" s="1628"/>
      <c r="J125" s="1628"/>
      <c r="K125" s="1628"/>
      <c r="L125" s="1628"/>
      <c r="M125" s="141"/>
      <c r="N125" s="141"/>
      <c r="O125" s="1305"/>
      <c r="P125" s="33"/>
      <c r="Q125" s="30"/>
      <c r="R125" s="480"/>
      <c r="S125" s="30"/>
      <c r="T125" s="30"/>
      <c r="U125" s="30"/>
      <c r="V125" s="30"/>
      <c r="W125" s="485"/>
      <c r="X125" s="30"/>
      <c r="Y125" s="30"/>
      <c r="Z125" s="30"/>
      <c r="AA125" s="30"/>
      <c r="AB125" s="333"/>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23"/>
    </row>
    <row r="126" spans="1:63" s="1063" customFormat="1" ht="5.0999999999999996" customHeight="1" x14ac:dyDescent="0.2">
      <c r="A126" s="58"/>
      <c r="B126" s="1248"/>
      <c r="C126" s="164"/>
      <c r="D126" s="164"/>
      <c r="E126" s="164"/>
      <c r="F126" s="164"/>
      <c r="G126" s="164"/>
      <c r="H126" s="140"/>
      <c r="I126" s="140"/>
      <c r="J126" s="140"/>
      <c r="K126" s="140"/>
      <c r="L126" s="140"/>
      <c r="M126" s="141"/>
      <c r="N126" s="141"/>
      <c r="O126" s="1305"/>
      <c r="P126" s="33"/>
      <c r="Q126" s="30"/>
      <c r="R126" s="480"/>
      <c r="S126" s="30"/>
      <c r="T126" s="30"/>
      <c r="U126" s="30"/>
      <c r="V126" s="30"/>
      <c r="W126" s="485"/>
      <c r="X126" s="30"/>
      <c r="Y126" s="30"/>
      <c r="Z126" s="30"/>
      <c r="AA126" s="30"/>
      <c r="AB126" s="333"/>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23"/>
    </row>
    <row r="127" spans="1:63" s="1063" customFormat="1" ht="12.75" customHeight="1" thickBot="1" x14ac:dyDescent="0.25">
      <c r="A127" s="58"/>
      <c r="B127" s="1248"/>
      <c r="C127" s="164"/>
      <c r="D127" s="164"/>
      <c r="E127" s="164"/>
      <c r="F127" s="497" t="str">
        <f>Translations!$B$333</f>
        <v>Pakopa</v>
      </c>
      <c r="G127" s="1613" t="str">
        <f>Translations!$B$672</f>
        <v>pakopos aprašas</v>
      </c>
      <c r="H127" s="1613"/>
      <c r="I127" s="1608" t="str">
        <f>Translations!$B$158</f>
        <v>Vienetas</v>
      </c>
      <c r="J127" s="1608"/>
      <c r="K127" s="1608" t="str">
        <f>Translations!$B$673</f>
        <v>Vertė</v>
      </c>
      <c r="L127" s="1608"/>
      <c r="M127" s="498" t="str">
        <f>Translations!$B$610</f>
        <v>klaida</v>
      </c>
      <c r="N127" s="140"/>
      <c r="O127" s="1305"/>
      <c r="P127" s="499"/>
      <c r="Q127" s="30"/>
      <c r="R127" s="480"/>
      <c r="S127" s="30"/>
      <c r="T127" s="500" t="s">
        <v>298</v>
      </c>
      <c r="U127" s="30"/>
      <c r="V127" s="30"/>
      <c r="W127" s="485" t="s">
        <v>560</v>
      </c>
      <c r="X127" s="485" t="s">
        <v>313</v>
      </c>
      <c r="Y127" s="30"/>
      <c r="Z127" s="30"/>
      <c r="AA127" s="496" t="s">
        <v>304</v>
      </c>
      <c r="AB127" s="333"/>
      <c r="AC127" s="483" t="s">
        <v>301</v>
      </c>
      <c r="AD127" s="495" t="s">
        <v>563</v>
      </c>
      <c r="AE127" s="495" t="s">
        <v>562</v>
      </c>
      <c r="AF127" s="501"/>
      <c r="AG127" s="501"/>
      <c r="AH127" s="30"/>
      <c r="AI127" s="483"/>
      <c r="AJ127" s="483"/>
      <c r="AK127" s="483"/>
      <c r="AL127" s="483"/>
      <c r="AM127" s="483"/>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484" t="s">
        <v>259</v>
      </c>
      <c r="BK127" s="23"/>
    </row>
    <row r="128" spans="1:63" s="1063" customFormat="1" ht="12.75" customHeight="1" thickBot="1" x14ac:dyDescent="0.25">
      <c r="A128" s="58"/>
      <c r="B128" s="1248"/>
      <c r="C128" s="783" t="s">
        <v>4</v>
      </c>
      <c r="D128" s="503" t="str">
        <f>Translations!$B$622</f>
        <v>VD:</v>
      </c>
      <c r="E128" s="504"/>
      <c r="F128" s="393"/>
      <c r="G128" s="1603" t="str">
        <f>IF(OR(ISBLANK(F128),F128=EUconst_NoTier),"",IF(X128=0,EUconst_NA,IF(ISERROR(X128),"",X128)))</f>
        <v/>
      </c>
      <c r="H128" s="1604"/>
      <c r="I128" s="1687" t="str">
        <f>EUconst_t</f>
        <v>t</v>
      </c>
      <c r="J128" s="1688"/>
      <c r="K128" s="1693"/>
      <c r="L128" s="1694"/>
      <c r="M128" s="700" t="str">
        <f>IF(AND(E123&lt;&gt;"",OR(F128="",K128=""),W128&lt;&gt;EUconst_NA),EUconst_ERR_Incomplete,IF(COUNTIF(AI128:AL128,TRUE)&gt;0,EUconst_ERR_Inconsistent,""))</f>
        <v/>
      </c>
      <c r="N128" s="140"/>
      <c r="O128" s="1305"/>
      <c r="P128" s="635"/>
      <c r="Q128" s="30"/>
      <c r="R128" s="505" t="str">
        <f>EUconst_CNTR_ActivityData&amp;E123</f>
        <v>ActivityData_</v>
      </c>
      <c r="S128" s="488"/>
      <c r="T128" s="505" t="str">
        <f>IF(E122="","",INDEX(B_InstallationDescription!$I$71:$I$145,MATCH(S122,B_InstallationDescription!$D$71:$D$145,0)))</f>
        <v/>
      </c>
      <c r="U128" s="30"/>
      <c r="V128" s="488"/>
      <c r="W128" s="506" t="str">
        <f>IF(E123="","",INDEX(EUwideConstants!$N:$N,MATCH(R128,EUwideConstants!$Q:$Q,0)))</f>
        <v/>
      </c>
      <c r="X128" s="507" t="str">
        <f>IF(ISBLANK(F128),"",IF(F128=EUconst_NA,"",INDEX(EUwideConstants!$H:$M,MATCH(R128,EUwideConstants!$Q:$Q,0),MATCH(F128,CNTR_TierList,0))))</f>
        <v/>
      </c>
      <c r="Y128" s="508" t="s">
        <v>299</v>
      </c>
      <c r="Z128" s="495"/>
      <c r="AA128" s="509" t="b">
        <f>E122&lt;&gt;""</f>
        <v>0</v>
      </c>
      <c r="AB128" s="333"/>
      <c r="AC128" s="496"/>
      <c r="AD128" s="30"/>
      <c r="AE128" s="509">
        <f>IF(W128=EUconst_NA,1,IF(COUNT(K128:L128)=0,0,IF(L128="",K128,L128)))</f>
        <v>0</v>
      </c>
      <c r="AF128" s="501" t="s">
        <v>306</v>
      </c>
      <c r="AG128" s="501" t="s">
        <v>306</v>
      </c>
      <c r="AH128" s="30"/>
      <c r="AI128" s="30"/>
      <c r="AJ128" s="30"/>
      <c r="AK128" s="30" t="s">
        <v>536</v>
      </c>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515" t="b">
        <f>OR(CNTR_PFCRelevant=EUconst_NotRelevant,AND(COUNTA(CNTR_ListRelevantSections)&gt;0,E122=""))</f>
        <v>1</v>
      </c>
      <c r="BK128" s="23"/>
    </row>
    <row r="129" spans="1:63" s="1063" customFormat="1" ht="5.0999999999999996" customHeight="1" thickBot="1" x14ac:dyDescent="0.25">
      <c r="A129" s="58"/>
      <c r="B129" s="1248"/>
      <c r="C129" s="783"/>
      <c r="D129" s="298"/>
      <c r="E129" s="140"/>
      <c r="F129" s="141"/>
      <c r="G129" s="141"/>
      <c r="H129" s="141" t="s">
        <v>233</v>
      </c>
      <c r="I129" s="516"/>
      <c r="J129" s="516"/>
      <c r="K129" s="141"/>
      <c r="L129" s="141"/>
      <c r="M129" s="701"/>
      <c r="N129" s="140"/>
      <c r="O129" s="1305"/>
      <c r="P129" s="33"/>
      <c r="Q129" s="30"/>
      <c r="R129" s="153"/>
      <c r="S129" s="488"/>
      <c r="T129" s="30"/>
      <c r="U129" s="30"/>
      <c r="V129" s="488"/>
      <c r="W129" s="517"/>
      <c r="X129" s="30"/>
      <c r="Y129" s="30"/>
      <c r="Z129" s="30"/>
      <c r="AA129" s="30"/>
      <c r="AB129" s="333"/>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484"/>
      <c r="BK129" s="23"/>
    </row>
    <row r="130" spans="1:63" s="1063" customFormat="1" ht="12.75" customHeight="1" thickBot="1" x14ac:dyDescent="0.25">
      <c r="A130" s="58"/>
      <c r="B130" s="1248"/>
      <c r="C130" s="783" t="s">
        <v>5</v>
      </c>
      <c r="D130" s="503" t="str">
        <f>Translations!$B$722</f>
        <v>A. Dažnis</v>
      </c>
      <c r="E130" s="504"/>
      <c r="F130" s="518"/>
      <c r="G130" s="1603" t="str">
        <f t="shared" ref="G130:G136" si="14">IF(OR(ISBLANK(F130),F130=EUconst_NoTier),"",IF(X130=0,EUconst_NotApplicable,IF(ISERROR(X130),"",X130)))</f>
        <v/>
      </c>
      <c r="H130" s="1609"/>
      <c r="I130" s="1683" t="str">
        <f>IF(W130=EUconst_NA,"",INDEX(PFCUnits,1))</f>
        <v>1/(vienoje elektrolizės vonioje per parą)</v>
      </c>
      <c r="J130" s="1684"/>
      <c r="K130" s="669" t="str">
        <f t="shared" ref="K130:K136" si="15">IF(L130="",AD130,"")</f>
        <v/>
      </c>
      <c r="L130" s="685"/>
      <c r="M130" s="700" t="str">
        <f>IF(AND(E123&lt;&gt;"",OR(F130="",L130=""),W130&lt;&gt;EUconst_NA),EUconst_ERR_Incomplete,IF(COUNTIF(AI130:AL130,TRUE)&gt;0,EUconst_ERR_Inconsistent,""))</f>
        <v/>
      </c>
      <c r="N130" s="486"/>
      <c r="O130" s="1305"/>
      <c r="P130" s="33"/>
      <c r="Q130" s="30"/>
      <c r="R130" s="521" t="str">
        <f>R128</f>
        <v>ActivityData_</v>
      </c>
      <c r="S130" s="488"/>
      <c r="T130" s="648" t="str">
        <f>T128</f>
        <v/>
      </c>
      <c r="U130" s="30"/>
      <c r="V130" s="488">
        <v>1</v>
      </c>
      <c r="W130" s="663" t="str">
        <f>IF(E123="","",IF(U123&lt;&gt;V130,EUconst_NA,INDEX(EUwideConstants!$N:$N,MATCH(R130,EUwideConstants!$Q:$Q,0))))</f>
        <v/>
      </c>
      <c r="X130" s="524" t="str">
        <f>IF(ISBLANK(F130),"",IF(F130=EUconst_NA,"",INDEX(EUwideConstants!$H:$M,MATCH(R130,EUwideConstants!$Q:$Q,0),MATCH(F130,CNTR_TierList,0))))</f>
        <v/>
      </c>
      <c r="Y130" s="30"/>
      <c r="Z130" s="30"/>
      <c r="AA130" s="526" t="b">
        <f>AND(AA128,W130&lt;&gt;EUconst_NA)</f>
        <v>0</v>
      </c>
      <c r="AB130" s="333"/>
      <c r="AC130" s="666" t="str">
        <f>IF(AA130=TRUE,IF(COUNTIF(MSPara_SourceStreamCategory,T130)=0,"",INDEX(MSPara_CalcFactorsMatrix,MATCH(T130,MSPara_SourceStreamCategory,0),MATCH(#REF!&amp;"_"&amp;1,MSPara_CalcFactors,0))),"")</f>
        <v/>
      </c>
      <c r="AD130" s="666" t="str">
        <f>""</f>
        <v/>
      </c>
      <c r="AE130" s="525">
        <f t="shared" ref="AE130:AE136" si="16">IF(AA130=TRUE,IF(COUNT(K130:L130)=0,0,IF(L130="",K130,L130)),0)</f>
        <v>0</v>
      </c>
      <c r="AF130" s="525" t="b">
        <f>AND(AA130=TRUE,OR(AND(F130&lt;&gt;"",NOT(ISNUMBER(Y130))),L130&lt;&gt;"",F130="",AD130=""))</f>
        <v>0</v>
      </c>
      <c r="AG130" s="525" t="b">
        <f t="shared" ref="AG130:AG136" si="17">AND(AA130=TRUE,NOT(AF130))</f>
        <v>0</v>
      </c>
      <c r="AH130" s="30"/>
      <c r="AI130" s="30"/>
      <c r="AJ130" s="30"/>
      <c r="AK130" s="525" t="b">
        <f t="shared" ref="AK130:AK136" si="18">AND(L130&lt;&gt;"",W130=EUconst_NA)</f>
        <v>0</v>
      </c>
      <c r="AL130" s="30"/>
      <c r="AM130" s="30"/>
      <c r="AN130" s="30"/>
      <c r="AO130" s="484" t="s">
        <v>384</v>
      </c>
      <c r="AP130" s="484" t="s">
        <v>385</v>
      </c>
      <c r="AQ130" s="30"/>
      <c r="AR130" s="30"/>
      <c r="AS130" s="30"/>
      <c r="AT130" s="30"/>
      <c r="AU130" s="30"/>
      <c r="AV130" s="30"/>
      <c r="AW130" s="30"/>
      <c r="AX130" s="30"/>
      <c r="AY130" s="30"/>
      <c r="AZ130" s="30"/>
      <c r="BA130" s="30"/>
      <c r="BB130" s="30"/>
      <c r="BC130" s="30"/>
      <c r="BD130" s="30"/>
      <c r="BE130" s="30"/>
      <c r="BF130" s="30"/>
      <c r="BG130" s="30"/>
      <c r="BH130" s="30"/>
      <c r="BI130" s="30"/>
      <c r="BJ130" s="525" t="b">
        <f>OR(BJ128,W130=EUconst_NA)</f>
        <v>1</v>
      </c>
      <c r="BK130" s="23"/>
    </row>
    <row r="131" spans="1:63" s="1063" customFormat="1" ht="12.75" customHeight="1" thickBot="1" x14ac:dyDescent="0.25">
      <c r="A131" s="58"/>
      <c r="B131" s="1248"/>
      <c r="C131" s="783" t="s">
        <v>194</v>
      </c>
      <c r="D131" s="503" t="str">
        <f>Translations!$B$724</f>
        <v>A. Trukmė</v>
      </c>
      <c r="E131" s="504"/>
      <c r="F131" s="636"/>
      <c r="G131" s="1603" t="str">
        <f t="shared" si="14"/>
        <v/>
      </c>
      <c r="H131" s="1609"/>
      <c r="I131" s="1691" t="str">
        <f>IF(W131=EUconst_NA,"",INDEX(PFCUnits,2))</f>
        <v>min.</v>
      </c>
      <c r="J131" s="1692"/>
      <c r="K131" s="670" t="str">
        <f t="shared" si="15"/>
        <v/>
      </c>
      <c r="L131" s="686"/>
      <c r="M131" s="700" t="str">
        <f>IF(AND(E123&lt;&gt;"",OR(F131="",L131=""),W131&lt;&gt;EUconst_NA),EUconst_ERR_Incomplete,IF(COUNTIF(AI131:AL131,TRUE)&gt;0,EUconst_ERR_Inconsistent,""))</f>
        <v/>
      </c>
      <c r="N131" s="486"/>
      <c r="O131" s="1305"/>
      <c r="P131" s="33"/>
      <c r="Q131" s="30"/>
      <c r="R131" s="543" t="str">
        <f>R130</f>
        <v>ActivityData_</v>
      </c>
      <c r="S131" s="488"/>
      <c r="T131" s="649" t="str">
        <f t="shared" ref="T131:T136" si="19">T130</f>
        <v/>
      </c>
      <c r="U131" s="30"/>
      <c r="V131" s="488">
        <v>1</v>
      </c>
      <c r="W131" s="662" t="str">
        <f>IF(E123="","",IF(U123&lt;&gt;V131,EUconst_NA,INDEX(EUwideConstants!$N:$N,MATCH(R131,EUwideConstants!$Q:$Q,0))))</f>
        <v/>
      </c>
      <c r="X131" s="546" t="str">
        <f>IF(ISBLANK(F131),"",IF(F131=EUconst_NA,"",INDEX(EUwideConstants!$H:$M,MATCH(R131,EUwideConstants!$Q:$Q,0),MATCH(F131,CNTR_TierList,0))))</f>
        <v/>
      </c>
      <c r="Y131" s="30"/>
      <c r="Z131" s="30"/>
      <c r="AA131" s="548" t="b">
        <f>AND(AA128,W131&lt;&gt;EUconst_NA)</f>
        <v>0</v>
      </c>
      <c r="AB131" s="333"/>
      <c r="AC131" s="667" t="str">
        <f>IF(AA131=TRUE,IF(COUNTIF(MSPara_SourceStreamCategory,T131)=0,"",INDEX(MSPara_CalcFactorsMatrix,MATCH(T131,MSPara_SourceStreamCategory,0),MATCH(#REF!&amp;"_"&amp;1,MSPara_CalcFactors,0))),"")</f>
        <v/>
      </c>
      <c r="AD131" s="667" t="str">
        <f>""</f>
        <v/>
      </c>
      <c r="AE131" s="651">
        <f t="shared" si="16"/>
        <v>0</v>
      </c>
      <c r="AF131" s="651" t="b">
        <f>AND(AA131=TRUE,OR(AND(F131&lt;&gt;"",NOT(ISNUMBER(Y131))),L131&lt;&gt;"",F131="",AD131=""))</f>
        <v>0</v>
      </c>
      <c r="AG131" s="651" t="b">
        <f t="shared" si="17"/>
        <v>0</v>
      </c>
      <c r="AH131" s="30"/>
      <c r="AI131" s="30"/>
      <c r="AJ131" s="30"/>
      <c r="AK131" s="651" t="b">
        <f t="shared" si="18"/>
        <v>0</v>
      </c>
      <c r="AL131" s="30"/>
      <c r="AM131" s="30"/>
      <c r="AN131" s="538" t="s">
        <v>440</v>
      </c>
      <c r="AO131" s="537" t="str">
        <f>IF(ISNUMBER(U123),AE128*AE130*AE131*AE132/1000,"")</f>
        <v/>
      </c>
      <c r="AP131" s="515" t="str">
        <f>IF(ISNUMBER(U123),AE128*(AE133/IF(AE134=0,0.01,AE134))*AE135/1000,"")</f>
        <v/>
      </c>
      <c r="AQ131" s="30"/>
      <c r="AR131" s="30"/>
      <c r="AS131" s="30"/>
      <c r="AT131" s="30"/>
      <c r="AU131" s="30"/>
      <c r="AV131" s="30"/>
      <c r="AW131" s="30"/>
      <c r="AX131" s="30"/>
      <c r="AY131" s="30"/>
      <c r="AZ131" s="30"/>
      <c r="BA131" s="30"/>
      <c r="BB131" s="30"/>
      <c r="BC131" s="30"/>
      <c r="BD131" s="30"/>
      <c r="BE131" s="30"/>
      <c r="BF131" s="30"/>
      <c r="BG131" s="30"/>
      <c r="BH131" s="30"/>
      <c r="BI131" s="30"/>
      <c r="BJ131" s="651" t="b">
        <f>OR(BJ128,W131=EUconst_NA)</f>
        <v>1</v>
      </c>
      <c r="BK131" s="23"/>
    </row>
    <row r="132" spans="1:63" s="1063" customFormat="1" ht="12.75" customHeight="1" thickBot="1" x14ac:dyDescent="0.25">
      <c r="A132" s="58"/>
      <c r="B132" s="1248"/>
      <c r="C132" s="783" t="s">
        <v>195</v>
      </c>
      <c r="D132" s="643" t="str">
        <f>Translations!$B$726</f>
        <v>A. NITF(CF4)</v>
      </c>
      <c r="E132" s="644"/>
      <c r="F132" s="539"/>
      <c r="G132" s="1689" t="str">
        <f t="shared" si="14"/>
        <v/>
      </c>
      <c r="H132" s="1690"/>
      <c r="I132" s="1691" t="str">
        <f>IF(W132=EUconst_NA,"",INDEX(PFCUnits,3))</f>
        <v>(kg CF4/t Al)/(min./vienoje elektrolizės vonioje per parą)</v>
      </c>
      <c r="J132" s="1692"/>
      <c r="K132" s="671" t="str">
        <f t="shared" si="15"/>
        <v/>
      </c>
      <c r="L132" s="674"/>
      <c r="M132" s="702" t="str">
        <f>IF(AND(E123&lt;&gt;"",OR(F132="",COUNT(K132:L132)=0),W132&lt;&gt;EUconst_NA),EUconst_ERR_Incomplete,IF(COUNTIF(AI132:AL132,TRUE)&gt;0,EUconst_ERR_Inconsistent,""))</f>
        <v/>
      </c>
      <c r="N132" s="140"/>
      <c r="O132" s="1305"/>
      <c r="P132" s="33"/>
      <c r="Q132" s="30"/>
      <c r="R132" s="543" t="str">
        <f>EUconst_CNTR_EF&amp;$E123</f>
        <v>EF_</v>
      </c>
      <c r="S132" s="488"/>
      <c r="T132" s="649" t="str">
        <f t="shared" si="19"/>
        <v/>
      </c>
      <c r="U132" s="30"/>
      <c r="V132" s="488">
        <v>1</v>
      </c>
      <c r="W132" s="662" t="str">
        <f>IF(E123="","",IF(U123&lt;&gt;V132,EUconst_NA,INDEX(EUwideConstants!$N:$N,MATCH(R132,EUwideConstants!$Q:$Q,0))))</f>
        <v/>
      </c>
      <c r="X132" s="546" t="str">
        <f>IF(ISBLANK(F132),"",IF(F132=EUconst_NA,"",INDEX(EUwideConstants!$H:$M,MATCH(R132,EUwideConstants!$Q:$Q,0),MATCH(F132,CNTR_TierList,0))))</f>
        <v/>
      </c>
      <c r="Y132" s="580" t="str">
        <f>IF(COUNTIF(EUconst_DefaultValues,X132)&gt;0,MATCH(X132,EUconst_DefaultValues,0),"")</f>
        <v/>
      </c>
      <c r="Z132" s="30"/>
      <c r="AA132" s="548" t="b">
        <f>AND(AA128,W132&lt;&gt;EUconst_NA)</f>
        <v>0</v>
      </c>
      <c r="AB132" s="333"/>
      <c r="AC132" s="651" t="str">
        <f>IF(AA132=TRUE,IF(T132="","",INDEX(MSPara_PFCMethA,MATCH(T132,PFCCellTypes,0),1)),"")</f>
        <v/>
      </c>
      <c r="AD132" s="651" t="str">
        <f>IF(AND(Y132&lt;&gt;"",ISNUMBER(AC132)),AC132,"")</f>
        <v/>
      </c>
      <c r="AE132" s="651">
        <f t="shared" si="16"/>
        <v>0</v>
      </c>
      <c r="AF132" s="651" t="b">
        <f>AND(AA132=TRUE,OR(AND(F132&lt;&gt;"",NOT(ISNUMBER(Y132))),L132&lt;&gt;"",F132="",AD132=""))</f>
        <v>0</v>
      </c>
      <c r="AG132" s="651" t="b">
        <f t="shared" si="17"/>
        <v>0</v>
      </c>
      <c r="AH132" s="30"/>
      <c r="AI132" s="30"/>
      <c r="AJ132" s="30"/>
      <c r="AK132" s="651" t="b">
        <f t="shared" si="18"/>
        <v>0</v>
      </c>
      <c r="AL132" s="30"/>
      <c r="AM132" s="30"/>
      <c r="AN132" s="538" t="s">
        <v>441</v>
      </c>
      <c r="AO132" s="537">
        <f>IF(AND(ISNUMBER(AO131),AO131&gt;0),AO131*AE136,0)</f>
        <v>0</v>
      </c>
      <c r="AP132" s="515">
        <f>IF(AND(ISNUMBER(AP131),AP131&gt;0),AP131*AE136,0)</f>
        <v>0</v>
      </c>
      <c r="AQ132" s="30"/>
      <c r="AR132" s="30"/>
      <c r="AS132" s="30"/>
      <c r="AT132" s="30"/>
      <c r="AU132" s="30"/>
      <c r="AV132" s="30"/>
      <c r="AW132" s="30"/>
      <c r="AX132" s="30"/>
      <c r="AY132" s="30"/>
      <c r="AZ132" s="30"/>
      <c r="BA132" s="30"/>
      <c r="BB132" s="30"/>
      <c r="BC132" s="30"/>
      <c r="BD132" s="30"/>
      <c r="BE132" s="30"/>
      <c r="BF132" s="30"/>
      <c r="BG132" s="30"/>
      <c r="BH132" s="30"/>
      <c r="BI132" s="30"/>
      <c r="BJ132" s="651" t="b">
        <f>OR(BJ128,W132=EUconst_NA)</f>
        <v>1</v>
      </c>
      <c r="BK132" s="23"/>
    </row>
    <row r="133" spans="1:63" s="1063" customFormat="1" ht="12.75" customHeight="1" thickBot="1" x14ac:dyDescent="0.25">
      <c r="A133" s="58"/>
      <c r="B133" s="1248"/>
      <c r="C133" s="783" t="s">
        <v>196</v>
      </c>
      <c r="D133" s="641" t="str">
        <f>Translations!$B$728</f>
        <v>B. AEV</v>
      </c>
      <c r="E133" s="642"/>
      <c r="F133" s="636"/>
      <c r="G133" s="1681" t="str">
        <f t="shared" si="14"/>
        <v/>
      </c>
      <c r="H133" s="1682"/>
      <c r="I133" s="1691" t="str">
        <f>IF(W133=EUconst_NA,"",INDEX(PFCUnits,4))</f>
        <v>mV</v>
      </c>
      <c r="J133" s="1692"/>
      <c r="K133" s="670" t="str">
        <f t="shared" si="15"/>
        <v/>
      </c>
      <c r="L133" s="686"/>
      <c r="M133" s="703" t="str">
        <f>IF(AND(E123&lt;&gt;"",OR(F133="",L133=""),W133&lt;&gt;EUconst_NA),EUconst_ERR_Incomplete,IF(COUNTIF(AI133:AL133,TRUE)&gt;0,EUconst_ERR_Inconsistent,""))</f>
        <v/>
      </c>
      <c r="N133" s="140"/>
      <c r="O133" s="1305"/>
      <c r="P133" s="635"/>
      <c r="Q133" s="30"/>
      <c r="R133" s="543" t="str">
        <f>R128</f>
        <v>ActivityData_</v>
      </c>
      <c r="S133" s="488"/>
      <c r="T133" s="649" t="str">
        <f t="shared" si="19"/>
        <v/>
      </c>
      <c r="U133" s="30"/>
      <c r="V133" s="488">
        <v>2</v>
      </c>
      <c r="W133" s="662" t="str">
        <f>IF(E123="","",IF(U123&lt;&gt;V133,EUconst_NA,INDEX(EUwideConstants!$N:$N,MATCH(R133,EUwideConstants!$Q:$Q,0))))</f>
        <v/>
      </c>
      <c r="X133" s="546" t="str">
        <f>IF(ISBLANK(F133),"",IF(F133=EUconst_NA,"",INDEX(EUwideConstants!$H:$M,MATCH(R133,EUwideConstants!$Q:$Q,0),MATCH(F133,CNTR_TierList,0))))</f>
        <v/>
      </c>
      <c r="Y133" s="30"/>
      <c r="Z133" s="30"/>
      <c r="AA133" s="548" t="b">
        <f>AND(AA128,W133&lt;&gt;EUconst_NA)</f>
        <v>0</v>
      </c>
      <c r="AB133" s="333"/>
      <c r="AC133" s="667"/>
      <c r="AD133" s="667" t="str">
        <f>""</f>
        <v/>
      </c>
      <c r="AE133" s="651">
        <f t="shared" si="16"/>
        <v>0</v>
      </c>
      <c r="AF133" s="651" t="b">
        <f>AND(AA133=TRUE,OR(ISNUMBER(L133),NOT(ISNUMBER(Y133))))</f>
        <v>0</v>
      </c>
      <c r="AG133" s="651" t="b">
        <f t="shared" si="17"/>
        <v>0</v>
      </c>
      <c r="AH133" s="30"/>
      <c r="AI133" s="30"/>
      <c r="AJ133" s="30"/>
      <c r="AK133" s="651" t="b">
        <f t="shared" si="18"/>
        <v>0</v>
      </c>
      <c r="AL133" s="30"/>
      <c r="AM133" s="30"/>
      <c r="AN133" s="538" t="s">
        <v>440</v>
      </c>
      <c r="AO133" s="537" t="str">
        <f>IF(ISNUMBER(AO131),AO131*AE141,"")</f>
        <v/>
      </c>
      <c r="AP133" s="515" t="str">
        <f>IF(ISNUMBER(AP131),AP131*AE141,"")</f>
        <v/>
      </c>
      <c r="AQ133" s="30"/>
      <c r="AR133" s="30"/>
      <c r="AS133" s="30"/>
      <c r="AT133" s="30"/>
      <c r="AU133" s="30"/>
      <c r="AV133" s="30"/>
      <c r="AW133" s="30"/>
      <c r="AX133" s="30"/>
      <c r="AY133" s="30"/>
      <c r="AZ133" s="30"/>
      <c r="BA133" s="30"/>
      <c r="BB133" s="30"/>
      <c r="BC133" s="30"/>
      <c r="BD133" s="30"/>
      <c r="BE133" s="30"/>
      <c r="BF133" s="30"/>
      <c r="BG133" s="30"/>
      <c r="BH133" s="30"/>
      <c r="BI133" s="30"/>
      <c r="BJ133" s="651" t="b">
        <f>OR(BJ128,W133=EUconst_NA)</f>
        <v>1</v>
      </c>
      <c r="BK133" s="23"/>
    </row>
    <row r="134" spans="1:63" s="1063" customFormat="1" ht="12.75" customHeight="1" thickBot="1" x14ac:dyDescent="0.25">
      <c r="A134" s="58"/>
      <c r="B134" s="1248"/>
      <c r="C134" s="753" t="s">
        <v>197</v>
      </c>
      <c r="D134" s="503" t="str">
        <f>Translations!$B$730</f>
        <v>B. EN</v>
      </c>
      <c r="E134" s="504"/>
      <c r="F134" s="539"/>
      <c r="G134" s="1603" t="str">
        <f t="shared" si="14"/>
        <v/>
      </c>
      <c r="H134" s="1604"/>
      <c r="I134" s="1691" t="str">
        <f>IF(W134=EUconst_NA,"","-")</f>
        <v>-</v>
      </c>
      <c r="J134" s="1692"/>
      <c r="K134" s="672" t="str">
        <f t="shared" si="15"/>
        <v/>
      </c>
      <c r="L134" s="562"/>
      <c r="M134" s="700" t="str">
        <f>IF(AND(E123&lt;&gt;"",OR(F134="",L134=""),W134&lt;&gt;EUconst_NA),EUconst_ERR_Incomplete,IF(COUNTIF(AI134:AL134,TRUE)&gt;0,EUconst_ERR_Inconsistent,""))</f>
        <v/>
      </c>
      <c r="N134" s="140"/>
      <c r="O134" s="1305"/>
      <c r="P134" s="635"/>
      <c r="Q134" s="30"/>
      <c r="R134" s="543" t="str">
        <f>R133</f>
        <v>ActivityData_</v>
      </c>
      <c r="S134" s="488"/>
      <c r="T134" s="649" t="str">
        <f t="shared" si="19"/>
        <v/>
      </c>
      <c r="U134" s="30"/>
      <c r="V134" s="488">
        <v>2</v>
      </c>
      <c r="W134" s="662" t="str">
        <f>IF(E123="","",IF(U123&lt;&gt;V134,EUconst_NA,INDEX(EUwideConstants!$N:$N,MATCH(R134,EUwideConstants!$Q:$Q,0))))</f>
        <v/>
      </c>
      <c r="X134" s="546" t="str">
        <f>IF(ISBLANK(F134),"",IF(F134=EUconst_NA,"",INDEX(EUwideConstants!$H:$M,MATCH(R134,EUwideConstants!$Q:$Q,0),MATCH(F134,CNTR_TierList,0))))</f>
        <v/>
      </c>
      <c r="Y134" s="30"/>
      <c r="Z134" s="30"/>
      <c r="AA134" s="548" t="b">
        <f>AND(AA128,W134&lt;&gt;EUconst_NA)</f>
        <v>0</v>
      </c>
      <c r="AB134" s="333"/>
      <c r="AC134" s="667"/>
      <c r="AD134" s="667" t="str">
        <f>""</f>
        <v/>
      </c>
      <c r="AE134" s="651">
        <f t="shared" si="16"/>
        <v>0</v>
      </c>
      <c r="AF134" s="651" t="b">
        <f>AND(AA134=TRUE,OR(ISNUMBER(L134),NOT(ISNUMBER(Y134))))</f>
        <v>0</v>
      </c>
      <c r="AG134" s="651" t="b">
        <f t="shared" si="17"/>
        <v>0</v>
      </c>
      <c r="AH134" s="30"/>
      <c r="AI134" s="30"/>
      <c r="AJ134" s="30"/>
      <c r="AK134" s="699" t="b">
        <f t="shared" si="18"/>
        <v>0</v>
      </c>
      <c r="AL134" s="515" t="b">
        <f>L134&gt;100%</f>
        <v>0</v>
      </c>
      <c r="AM134" s="30"/>
      <c r="AN134" s="538" t="s">
        <v>441</v>
      </c>
      <c r="AO134" s="537">
        <f>IF(ISNUMBER(AO132),AO132*AE142,"")</f>
        <v>0</v>
      </c>
      <c r="AP134" s="515">
        <f>IF(ISNUMBER(AP132),AP132*AE142,"")</f>
        <v>0</v>
      </c>
      <c r="AQ134" s="30"/>
      <c r="AR134" s="30"/>
      <c r="AS134" s="30"/>
      <c r="AT134" s="30"/>
      <c r="AU134" s="30"/>
      <c r="AV134" s="30"/>
      <c r="AW134" s="30"/>
      <c r="AX134" s="30"/>
      <c r="AY134" s="30"/>
      <c r="AZ134" s="30"/>
      <c r="BA134" s="30"/>
      <c r="BB134" s="30"/>
      <c r="BC134" s="30"/>
      <c r="BD134" s="30"/>
      <c r="BE134" s="30"/>
      <c r="BF134" s="30"/>
      <c r="BG134" s="30"/>
      <c r="BH134" s="30"/>
      <c r="BI134" s="30"/>
      <c r="BJ134" s="651" t="b">
        <f>OR(BJ128,W134=EUconst_NA)</f>
        <v>1</v>
      </c>
      <c r="BK134" s="23"/>
    </row>
    <row r="135" spans="1:63" s="1063" customFormat="1" ht="12.75" customHeight="1" thickBot="1" x14ac:dyDescent="0.25">
      <c r="A135" s="58"/>
      <c r="B135" s="1248"/>
      <c r="C135" s="783" t="s">
        <v>198</v>
      </c>
      <c r="D135" s="643" t="str">
        <f>Translations!$B$732</f>
        <v>B. VĮK</v>
      </c>
      <c r="E135" s="644"/>
      <c r="F135" s="539"/>
      <c r="G135" s="1689" t="str">
        <f t="shared" si="14"/>
        <v/>
      </c>
      <c r="H135" s="1690"/>
      <c r="I135" s="1691" t="str">
        <f>IF(W135=EUconst_NA,"",INDEX(PFCUnits,6))</f>
        <v>(kg CF4)/(t Al mV)</v>
      </c>
      <c r="J135" s="1692"/>
      <c r="K135" s="672" t="str">
        <f t="shared" si="15"/>
        <v/>
      </c>
      <c r="L135" s="675"/>
      <c r="M135" s="702" t="str">
        <f>IF(AND(E123&lt;&gt;"",OR(F135="",COUNT(K135:L135)=0),W135&lt;&gt;EUconst_NA),EUconst_ERR_Incomplete,IF(COUNTIF(AI135:AL135,TRUE)&gt;0,EUconst_ERR_Inconsistent,""))</f>
        <v/>
      </c>
      <c r="N135" s="140"/>
      <c r="O135" s="1305"/>
      <c r="P135" s="33"/>
      <c r="Q135" s="30"/>
      <c r="R135" s="543" t="str">
        <f>EUconst_CNTR_EF&amp;E123</f>
        <v>EF_</v>
      </c>
      <c r="S135" s="488"/>
      <c r="T135" s="649" t="str">
        <f t="shared" si="19"/>
        <v/>
      </c>
      <c r="U135" s="30"/>
      <c r="V135" s="488">
        <v>2</v>
      </c>
      <c r="W135" s="662" t="str">
        <f>IF(E123="","",IF(U123&lt;&gt;V135,EUconst_NA,INDEX(EUwideConstants!$N:$N,MATCH(R135,EUwideConstants!$Q:$Q,0))))</f>
        <v/>
      </c>
      <c r="X135" s="546" t="str">
        <f>IF(ISBLANK(F135),"",IF(F135=EUconst_NA,"",INDEX(EUwideConstants!$H:$M,MATCH(R135,EUwideConstants!$Q:$Q,0),MATCH(F135,CNTR_TierList,0))))</f>
        <v/>
      </c>
      <c r="Y135" s="580" t="str">
        <f>IF(COUNTIF(EUconst_DefaultValues,X135)&gt;0,MATCH(X135,EUconst_DefaultValues,0),"")</f>
        <v/>
      </c>
      <c r="Z135" s="30"/>
      <c r="AA135" s="548" t="b">
        <f>AND(AA128,W135&lt;&gt;EUconst_NA)</f>
        <v>0</v>
      </c>
      <c r="AB135" s="333"/>
      <c r="AC135" s="651" t="str">
        <f>IF(AA135=TRUE,IF(T135="","",INDEX(MSPara_PFCMethB,MATCH(T135,PFCCellTypes,0),1)),"")</f>
        <v/>
      </c>
      <c r="AD135" s="651" t="str">
        <f>IF(AND(Y135&lt;&gt;"",ISNUMBER(AC135)),AC135,"")</f>
        <v/>
      </c>
      <c r="AE135" s="651">
        <f t="shared" si="16"/>
        <v>0</v>
      </c>
      <c r="AF135" s="651" t="b">
        <f>AND(AA135=TRUE,OR(AND(F135&lt;&gt;"",NOT(ISNUMBER(Y135))),L135&lt;&gt;"",F135="",AD135=""))</f>
        <v>0</v>
      </c>
      <c r="AG135" s="651" t="b">
        <f t="shared" si="17"/>
        <v>0</v>
      </c>
      <c r="AH135" s="30"/>
      <c r="AI135" s="30"/>
      <c r="AJ135" s="30"/>
      <c r="AK135" s="651" t="b">
        <f t="shared" si="18"/>
        <v>0</v>
      </c>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651" t="b">
        <f>OR(BJ128,W135=EUconst_NA)</f>
        <v>1</v>
      </c>
      <c r="BK135" s="23"/>
    </row>
    <row r="136" spans="1:63" s="1063" customFormat="1" ht="12.75" customHeight="1" thickBot="1" x14ac:dyDescent="0.25">
      <c r="A136" s="58"/>
      <c r="B136" s="1248"/>
      <c r="C136" s="783" t="s">
        <v>324</v>
      </c>
      <c r="D136" s="641" t="str">
        <f>Translations!$B$734</f>
        <v>F(C2F6)</v>
      </c>
      <c r="E136" s="642"/>
      <c r="F136" s="588"/>
      <c r="G136" s="1681" t="str">
        <f t="shared" si="14"/>
        <v/>
      </c>
      <c r="H136" s="1682"/>
      <c r="I136" s="1685" t="str">
        <f>IF(W136=EUconst_NA,"",INDEX(PFCUnits,7))</f>
        <v>t C2F6/t CF4</v>
      </c>
      <c r="J136" s="1686"/>
      <c r="K136" s="673" t="str">
        <f t="shared" si="15"/>
        <v/>
      </c>
      <c r="L136" s="676"/>
      <c r="M136" s="703" t="str">
        <f>IF(AND(E123&lt;&gt;"",OR(F136="",COUNT(K136:L136)=0),W136&lt;&gt;EUconst_NA),EUconst_ERR_Incomplete,IF(COUNTIF(AI136:AL136,TRUE)&gt;0,EUconst_ERR_Inconsistent,""))</f>
        <v/>
      </c>
      <c r="N136" s="140"/>
      <c r="O136" s="1305"/>
      <c r="P136" s="33"/>
      <c r="Q136" s="30"/>
      <c r="R136" s="590" t="str">
        <f>EUconst_CNTR_EF&amp;E123</f>
        <v>EF_</v>
      </c>
      <c r="S136" s="488"/>
      <c r="T136" s="650" t="str">
        <f t="shared" si="19"/>
        <v/>
      </c>
      <c r="U136" s="30"/>
      <c r="V136" s="488" t="str">
        <f>""</f>
        <v/>
      </c>
      <c r="W136" s="664" t="str">
        <f>W128</f>
        <v/>
      </c>
      <c r="X136" s="592" t="str">
        <f>IF(ISBLANK(F136),"",IF(F136=EUconst_NA,"",INDEX(EUwideConstants!$H:$M,MATCH(R136,EUwideConstants!$Q:$Q,0),MATCH(F136,CNTR_TierList,0))))</f>
        <v/>
      </c>
      <c r="Y136" s="580" t="str">
        <f>IF(COUNTIF(EUconst_DefaultValues,X136)&gt;0,MATCH(X136,EUconst_DefaultValues,0),"")</f>
        <v/>
      </c>
      <c r="Z136" s="30"/>
      <c r="AA136" s="665" t="b">
        <f>AND(AA128,W136&lt;&gt;EUconst_NA)</f>
        <v>0</v>
      </c>
      <c r="AB136" s="333"/>
      <c r="AC136" s="573" t="str">
        <f>IF(AA136=TRUE,IF(T136="","",INDEX(MSPara_PFCMethA,MATCH(T136,PFCCellTypes,0),2)),"")</f>
        <v/>
      </c>
      <c r="AD136" s="573" t="str">
        <f>IF(AND(Y136&lt;&gt;"",ISNUMBER(AC136)),AC136,"")</f>
        <v/>
      </c>
      <c r="AE136" s="573">
        <f t="shared" si="16"/>
        <v>0</v>
      </c>
      <c r="AF136" s="573" t="b">
        <f>AND(AA136=TRUE,OR(AND(F136&lt;&gt;"",NOT(ISNUMBER(Y136))),L136&lt;&gt;"",F136="",AD136=""))</f>
        <v>0</v>
      </c>
      <c r="AG136" s="573" t="b">
        <f t="shared" si="17"/>
        <v>0</v>
      </c>
      <c r="AH136" s="30"/>
      <c r="AI136" s="30"/>
      <c r="AJ136" s="30"/>
      <c r="AK136" s="573" t="b">
        <f t="shared" si="18"/>
        <v>0</v>
      </c>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573" t="b">
        <f>OR(BJ128,W136=EUconst_NA)</f>
        <v>1</v>
      </c>
      <c r="BK136" s="23"/>
    </row>
    <row r="137" spans="1:63" s="1063" customFormat="1" ht="5.0999999999999996" customHeight="1" thickBot="1" x14ac:dyDescent="0.25">
      <c r="A137" s="58"/>
      <c r="B137" s="1248"/>
      <c r="C137" s="164"/>
      <c r="D137" s="178"/>
      <c r="E137" s="140"/>
      <c r="F137" s="140"/>
      <c r="G137" s="140"/>
      <c r="H137" s="140"/>
      <c r="I137" s="140"/>
      <c r="J137" s="140"/>
      <c r="K137" s="140"/>
      <c r="L137" s="140"/>
      <c r="M137" s="695"/>
      <c r="N137" s="140"/>
      <c r="O137" s="1305"/>
      <c r="P137" s="33"/>
      <c r="Q137" s="172"/>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23"/>
    </row>
    <row r="138" spans="1:63" s="1063" customFormat="1" ht="12.75" customHeight="1" x14ac:dyDescent="0.2">
      <c r="A138" s="58"/>
      <c r="B138" s="1248"/>
      <c r="C138" s="753" t="s">
        <v>325</v>
      </c>
      <c r="D138" s="637" t="str">
        <f>Translations!$B$748</f>
        <v>Išmestas CF4 kiekis</v>
      </c>
      <c r="E138" s="638"/>
      <c r="F138" s="504"/>
      <c r="G138" s="504"/>
      <c r="H138" s="504"/>
      <c r="I138" s="1683" t="str">
        <f>EUconst_t</f>
        <v>t</v>
      </c>
      <c r="J138" s="1684"/>
      <c r="K138" s="504"/>
      <c r="L138" s="917" t="str">
        <f>IF(ISNUMBER(U123),INDEX(AO131:AP131,U123),"")</f>
        <v/>
      </c>
      <c r="M138" s="695"/>
      <c r="N138" s="140"/>
      <c r="O138" s="1305"/>
      <c r="P138" s="33"/>
      <c r="Q138" s="172"/>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23"/>
    </row>
    <row r="139" spans="1:63" s="1063" customFormat="1" ht="12.75" customHeight="1" thickBot="1" x14ac:dyDescent="0.25">
      <c r="A139" s="58"/>
      <c r="B139" s="1248"/>
      <c r="C139" s="753" t="s">
        <v>448</v>
      </c>
      <c r="D139" s="637" t="str">
        <f>Translations!$B$749</f>
        <v>Išmestas C2F6 kiekis</v>
      </c>
      <c r="E139" s="504"/>
      <c r="F139" s="504"/>
      <c r="G139" s="504"/>
      <c r="H139" s="504"/>
      <c r="I139" s="1685" t="str">
        <f>EUconst_t</f>
        <v>t</v>
      </c>
      <c r="J139" s="1686"/>
      <c r="K139" s="504"/>
      <c r="L139" s="918" t="str">
        <f>IF(ISNUMBER(U123),INDEX(AO132:AP132,U123),"")</f>
        <v/>
      </c>
      <c r="M139" s="695"/>
      <c r="N139" s="140"/>
      <c r="O139" s="1305"/>
      <c r="P139" s="33"/>
      <c r="Q139" s="172"/>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23"/>
    </row>
    <row r="140" spans="1:63" s="1063" customFormat="1" ht="5.0999999999999996" customHeight="1" thickBot="1" x14ac:dyDescent="0.25">
      <c r="A140" s="58"/>
      <c r="B140" s="1248"/>
      <c r="C140" s="755"/>
      <c r="D140" s="178"/>
      <c r="E140" s="140"/>
      <c r="F140" s="140"/>
      <c r="G140" s="140"/>
      <c r="H140" s="140"/>
      <c r="I140" s="140"/>
      <c r="J140" s="140"/>
      <c r="K140" s="140"/>
      <c r="L140" s="140"/>
      <c r="M140" s="695"/>
      <c r="N140" s="140"/>
      <c r="O140" s="1305"/>
      <c r="P140" s="33"/>
      <c r="Q140" s="172"/>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23"/>
    </row>
    <row r="141" spans="1:63" s="1063" customFormat="1" ht="12.75" customHeight="1" x14ac:dyDescent="0.2">
      <c r="A141" s="58"/>
      <c r="B141" s="1248"/>
      <c r="C141" s="753" t="s">
        <v>449</v>
      </c>
      <c r="D141" s="637" t="str">
        <f>Translations!$B$736</f>
        <v>VAP(CF4)</v>
      </c>
      <c r="E141" s="638"/>
      <c r="F141" s="504"/>
      <c r="G141" s="504"/>
      <c r="H141" s="504"/>
      <c r="I141" s="1683" t="s">
        <v>438</v>
      </c>
      <c r="J141" s="1684"/>
      <c r="K141" s="639">
        <f>IF(L141="",7390,"")</f>
        <v>7390</v>
      </c>
      <c r="L141" s="930"/>
      <c r="M141" s="695"/>
      <c r="N141" s="140"/>
      <c r="O141" s="1305"/>
      <c r="P141" s="635"/>
      <c r="Q141" s="172"/>
      <c r="R141" s="30"/>
      <c r="S141" s="30"/>
      <c r="T141" s="30"/>
      <c r="U141" s="30"/>
      <c r="V141" s="30"/>
      <c r="W141" s="30"/>
      <c r="X141" s="30"/>
      <c r="Y141" s="30"/>
      <c r="Z141" s="30"/>
      <c r="AA141" s="30"/>
      <c r="AB141" s="30"/>
      <c r="AC141" s="30"/>
      <c r="AD141" s="30"/>
      <c r="AE141" s="526">
        <f>IF(L141="",K141,L141)</f>
        <v>7390</v>
      </c>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522" t="b">
        <f>BJ128</f>
        <v>1</v>
      </c>
      <c r="BK141" s="23"/>
    </row>
    <row r="142" spans="1:63" s="1063" customFormat="1" ht="12.75" customHeight="1" thickBot="1" x14ac:dyDescent="0.25">
      <c r="A142" s="58"/>
      <c r="B142" s="1248"/>
      <c r="C142" s="753" t="s">
        <v>450</v>
      </c>
      <c r="D142" s="637" t="str">
        <f>Translations!$B$738</f>
        <v>VAP(C2F6)</v>
      </c>
      <c r="E142" s="638"/>
      <c r="F142" s="504"/>
      <c r="G142" s="504"/>
      <c r="H142" s="504"/>
      <c r="I142" s="1685" t="s">
        <v>439</v>
      </c>
      <c r="J142" s="1686"/>
      <c r="K142" s="640">
        <f>IF(L142="",12200,"")</f>
        <v>12200</v>
      </c>
      <c r="L142" s="931"/>
      <c r="M142" s="695"/>
      <c r="N142" s="140"/>
      <c r="O142" s="1305"/>
      <c r="P142" s="33"/>
      <c r="Q142" s="172"/>
      <c r="R142" s="30"/>
      <c r="S142" s="30"/>
      <c r="T142" s="30"/>
      <c r="U142" s="30"/>
      <c r="V142" s="30"/>
      <c r="W142" s="30"/>
      <c r="X142" s="30"/>
      <c r="Y142" s="30"/>
      <c r="Z142" s="30"/>
      <c r="AA142" s="30"/>
      <c r="AB142" s="30"/>
      <c r="AC142" s="30"/>
      <c r="AD142" s="30"/>
      <c r="AE142" s="665">
        <f>IF(L142="",K142,L142)</f>
        <v>12200</v>
      </c>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571" t="b">
        <f>BJ141</f>
        <v>1</v>
      </c>
      <c r="BK142" s="23"/>
    </row>
    <row r="143" spans="1:63" s="1063" customFormat="1" ht="5.0999999999999996" customHeight="1" thickBot="1" x14ac:dyDescent="0.25">
      <c r="A143" s="58"/>
      <c r="B143" s="1248"/>
      <c r="C143" s="755"/>
      <c r="D143" s="298"/>
      <c r="E143" s="486"/>
      <c r="F143" s="140"/>
      <c r="G143" s="140"/>
      <c r="H143" s="140"/>
      <c r="I143" s="140"/>
      <c r="J143" s="140"/>
      <c r="K143" s="140"/>
      <c r="L143" s="695"/>
      <c r="M143" s="695"/>
      <c r="N143" s="140"/>
      <c r="O143" s="1305"/>
      <c r="P143" s="33"/>
      <c r="Q143" s="172"/>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23"/>
    </row>
    <row r="144" spans="1:63" s="1063" customFormat="1" ht="12.75" customHeight="1" x14ac:dyDescent="0.2">
      <c r="A144" s="58"/>
      <c r="B144" s="1248"/>
      <c r="C144" s="753" t="s">
        <v>451</v>
      </c>
      <c r="D144" s="637" t="str">
        <f>Translations!$B$748</f>
        <v>Išmestas CF4 kiekis</v>
      </c>
      <c r="E144" s="638"/>
      <c r="F144" s="504"/>
      <c r="G144" s="504"/>
      <c r="H144" s="504"/>
      <c r="I144" s="1683" t="s">
        <v>257</v>
      </c>
      <c r="J144" s="1684"/>
      <c r="K144" s="504"/>
      <c r="L144" s="696" t="str">
        <f>IF(ISNUMBER(U123),INDEX(AO133:AP133,U123),"")</f>
        <v/>
      </c>
      <c r="M144" s="695"/>
      <c r="N144" s="140"/>
      <c r="O144" s="1305"/>
      <c r="P144" s="635"/>
      <c r="Q144" s="172"/>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23"/>
    </row>
    <row r="145" spans="1:63" s="1063" customFormat="1" ht="12.75" customHeight="1" thickBot="1" x14ac:dyDescent="0.25">
      <c r="A145" s="58"/>
      <c r="B145" s="1248"/>
      <c r="C145" s="753" t="s">
        <v>452</v>
      </c>
      <c r="D145" s="637" t="str">
        <f>Translations!$B$749</f>
        <v>Išmestas C2F6 kiekis</v>
      </c>
      <c r="E145" s="504"/>
      <c r="F145" s="504"/>
      <c r="G145" s="504"/>
      <c r="H145" s="504"/>
      <c r="I145" s="1685" t="s">
        <v>257</v>
      </c>
      <c r="J145" s="1686"/>
      <c r="K145" s="504"/>
      <c r="L145" s="697" t="str">
        <f>IF(ISNUMBER(U123),INDEX(AO134:AP134,U123),"")</f>
        <v/>
      </c>
      <c r="M145" s="695"/>
      <c r="N145" s="140"/>
      <c r="O145" s="1305"/>
      <c r="P145" s="33"/>
      <c r="Q145" s="172"/>
      <c r="R145" s="30"/>
      <c r="S145" s="30"/>
      <c r="T145" s="30"/>
      <c r="U145" s="30"/>
      <c r="V145" s="30"/>
      <c r="W145" s="30"/>
      <c r="X145" s="30"/>
      <c r="Y145" s="30"/>
      <c r="Z145" s="30"/>
      <c r="AA145" s="30"/>
      <c r="AB145" s="30"/>
      <c r="AC145" s="30"/>
      <c r="AD145" s="30"/>
      <c r="AE145" s="483"/>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23"/>
    </row>
    <row r="146" spans="1:63" s="1063" customFormat="1" ht="5.0999999999999996" customHeight="1" thickBot="1" x14ac:dyDescent="0.25">
      <c r="A146" s="58"/>
      <c r="B146" s="1248"/>
      <c r="C146" s="755"/>
      <c r="D146" s="178"/>
      <c r="E146" s="140"/>
      <c r="F146" s="140"/>
      <c r="G146" s="140"/>
      <c r="H146" s="140"/>
      <c r="I146" s="140"/>
      <c r="J146" s="140"/>
      <c r="K146" s="140"/>
      <c r="L146" s="140"/>
      <c r="M146" s="695"/>
      <c r="N146" s="140"/>
      <c r="O146" s="1305"/>
      <c r="P146" s="33"/>
      <c r="Q146" s="172"/>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23"/>
    </row>
    <row r="147" spans="1:63" s="1063" customFormat="1" ht="12.75" customHeight="1" thickBot="1" x14ac:dyDescent="0.25">
      <c r="A147" s="58"/>
      <c r="B147" s="1248"/>
      <c r="C147" s="753" t="s">
        <v>453</v>
      </c>
      <c r="D147" s="637" t="str">
        <f>Translations!$B$167</f>
        <v>Surinkimo efektyvumas</v>
      </c>
      <c r="E147" s="504"/>
      <c r="F147" s="504"/>
      <c r="G147" s="504"/>
      <c r="H147" s="504"/>
      <c r="I147" s="1687" t="s">
        <v>258</v>
      </c>
      <c r="J147" s="1688"/>
      <c r="K147" s="504"/>
      <c r="L147" s="932"/>
      <c r="M147" s="700" t="str">
        <f>IF(AND(E123&lt;&gt;"",L147=""),EUconst_ERR_Incomplete,IF(COUNTIF(AI147:AL147,TRUE)&gt;0,EUconst_ERR_Inconsistent,""))</f>
        <v/>
      </c>
      <c r="N147" s="140"/>
      <c r="O147" s="1305"/>
      <c r="P147" s="635"/>
      <c r="Q147" s="172"/>
      <c r="R147" s="30"/>
      <c r="S147" s="30"/>
      <c r="T147" s="30"/>
      <c r="U147" s="30"/>
      <c r="V147" s="30"/>
      <c r="W147" s="30"/>
      <c r="X147" s="30"/>
      <c r="Y147" s="30"/>
      <c r="Z147" s="30"/>
      <c r="AA147" s="30"/>
      <c r="AB147" s="30"/>
      <c r="AC147" s="30"/>
      <c r="AD147" s="30"/>
      <c r="AE147" s="30"/>
      <c r="AF147" s="30"/>
      <c r="AG147" s="30"/>
      <c r="AH147" s="30"/>
      <c r="AI147" s="30"/>
      <c r="AJ147" s="30"/>
      <c r="AK147" s="30"/>
      <c r="AL147" s="515" t="b">
        <f>L147&gt;100%</f>
        <v>0</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515" t="b">
        <f>BJ128</f>
        <v>1</v>
      </c>
      <c r="BK147" s="23"/>
    </row>
    <row r="148" spans="1:63" s="1063" customFormat="1" ht="5.0999999999999996" customHeight="1" thickBot="1" x14ac:dyDescent="0.25">
      <c r="A148" s="58"/>
      <c r="B148" s="1248"/>
      <c r="C148" s="164"/>
      <c r="D148" s="178"/>
      <c r="E148" s="140"/>
      <c r="F148" s="140"/>
      <c r="G148" s="140"/>
      <c r="H148" s="140"/>
      <c r="I148" s="140"/>
      <c r="J148" s="140"/>
      <c r="K148" s="140"/>
      <c r="L148" s="140"/>
      <c r="M148" s="140"/>
      <c r="N148" s="140"/>
      <c r="O148" s="1305"/>
      <c r="P148" s="33"/>
      <c r="Q148" s="172"/>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23"/>
    </row>
    <row r="149" spans="1:63" s="1063" customFormat="1" ht="12.75" customHeight="1" thickBot="1" x14ac:dyDescent="0.25">
      <c r="A149" s="58"/>
      <c r="B149" s="1248"/>
      <c r="C149" s="164"/>
      <c r="D149" s="1629" t="str">
        <f>Translations!$B$674</f>
        <v>Pakopos galioja nuo:</v>
      </c>
      <c r="E149" s="1629"/>
      <c r="F149" s="1630"/>
      <c r="G149" s="607"/>
      <c r="H149" s="606" t="str">
        <f>Translations!$B$675</f>
        <v>iki:</v>
      </c>
      <c r="I149" s="607"/>
      <c r="J149" s="140"/>
      <c r="K149" s="140"/>
      <c r="L149" s="140"/>
      <c r="M149" s="140"/>
      <c r="N149" s="140"/>
      <c r="O149" s="1305"/>
      <c r="P149" s="33"/>
      <c r="Q149" s="172"/>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515" t="b">
        <f>BJ128</f>
        <v>1</v>
      </c>
      <c r="BK149" s="23"/>
    </row>
    <row r="150" spans="1:63" s="1063" customFormat="1" ht="5.0999999999999996" customHeight="1" thickBot="1" x14ac:dyDescent="0.25">
      <c r="A150" s="30"/>
      <c r="B150" s="1316"/>
      <c r="C150" s="140"/>
      <c r="D150" s="178"/>
      <c r="E150" s="140"/>
      <c r="F150" s="140"/>
      <c r="G150" s="140"/>
      <c r="H150" s="140"/>
      <c r="I150" s="140"/>
      <c r="J150" s="140"/>
      <c r="K150" s="140"/>
      <c r="L150" s="140"/>
      <c r="M150" s="140"/>
      <c r="N150" s="140"/>
      <c r="O150" s="1317"/>
      <c r="P150" s="488"/>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23"/>
    </row>
    <row r="151" spans="1:63" s="1063" customFormat="1" ht="12.75" customHeight="1" thickBot="1" x14ac:dyDescent="0.25">
      <c r="A151" s="30"/>
      <c r="B151" s="1316"/>
      <c r="C151" s="140"/>
      <c r="D151" s="1618" t="str">
        <f>Translations!$B$160</f>
        <v>Pastabos:</v>
      </c>
      <c r="E151" s="1619"/>
      <c r="F151" s="1680"/>
      <c r="G151" s="1680"/>
      <c r="H151" s="1680"/>
      <c r="I151" s="1680"/>
      <c r="J151" s="1680"/>
      <c r="K151" s="1680"/>
      <c r="L151" s="1680"/>
      <c r="M151" s="1680"/>
      <c r="N151" s="1680"/>
      <c r="O151" s="1317"/>
      <c r="P151" s="488"/>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515" t="b">
        <f>BJ149</f>
        <v>1</v>
      </c>
      <c r="BK151" s="23"/>
    </row>
    <row r="152" spans="1:63" s="1060" customFormat="1" ht="12.75" customHeight="1" thickBot="1" x14ac:dyDescent="0.25">
      <c r="A152" s="58"/>
      <c r="B152" s="1312"/>
      <c r="C152" s="490"/>
      <c r="D152" s="491"/>
      <c r="E152" s="492"/>
      <c r="F152" s="490"/>
      <c r="G152" s="493"/>
      <c r="H152" s="493"/>
      <c r="I152" s="493"/>
      <c r="J152" s="493"/>
      <c r="K152" s="493"/>
      <c r="L152" s="493"/>
      <c r="M152" s="493"/>
      <c r="N152" s="493"/>
      <c r="O152" s="1313"/>
      <c r="P152" s="485"/>
      <c r="Q152" s="58"/>
      <c r="R152" s="58"/>
      <c r="S152" s="489"/>
      <c r="T152" s="58"/>
      <c r="U152" s="58"/>
      <c r="V152" s="489"/>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23"/>
    </row>
    <row r="153" spans="1:63" s="1060" customFormat="1" ht="12.75" customHeight="1" thickBot="1" x14ac:dyDescent="0.25">
      <c r="A153" s="482"/>
      <c r="B153" s="1312"/>
      <c r="C153" s="486"/>
      <c r="D153" s="178"/>
      <c r="E153" s="487"/>
      <c r="F153" s="486"/>
      <c r="G153" s="478"/>
      <c r="H153" s="478"/>
      <c r="I153" s="478"/>
      <c r="J153" s="478"/>
      <c r="K153" s="486"/>
      <c r="L153" s="478"/>
      <c r="M153" s="478"/>
      <c r="N153" s="478"/>
      <c r="O153" s="1313"/>
      <c r="P153" s="485"/>
      <c r="Q153" s="76"/>
      <c r="R153" s="76"/>
      <c r="S153" s="58"/>
      <c r="T153" s="23"/>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23"/>
    </row>
    <row r="154" spans="1:63" s="1063" customFormat="1" ht="15" customHeight="1" thickBot="1" x14ac:dyDescent="0.25">
      <c r="A154" s="58"/>
      <c r="B154" s="1248"/>
      <c r="C154" s="608">
        <f>C122+1</f>
        <v>4</v>
      </c>
      <c r="D154" s="334"/>
      <c r="E154" s="1610"/>
      <c r="F154" s="1611"/>
      <c r="G154" s="1611"/>
      <c r="H154" s="1611"/>
      <c r="I154" s="1611"/>
      <c r="J154" s="1612"/>
      <c r="K154" s="140"/>
      <c r="L154" s="140"/>
      <c r="M154" s="494" t="str">
        <f>Translations!$B$747</f>
        <v>Išmetamųjų teršalų kiekis:</v>
      </c>
      <c r="N154" s="998" t="str">
        <f>IF(COUNT(L176:L177,L179)=3,(L176+L177)/L179,"")</f>
        <v/>
      </c>
      <c r="O154" s="1314" t="s">
        <v>257</v>
      </c>
      <c r="P154" s="485"/>
      <c r="Q154" s="343" t="str">
        <f>EUconst_SumCO2 &amp; "_" &amp; EUconst_ProcessPFC</f>
        <v>SUM_CO2_Išmetamas PFC kiekis</v>
      </c>
      <c r="R154" s="27" t="str">
        <f>IF(ISBLANK(E154),"",MATCH(E154,CNTR_SourceStreamNames,0))</f>
        <v/>
      </c>
      <c r="S154" s="609" t="str">
        <f>IF(ISBLANK(E154),"",INDEX(B_InstallationDescription!$D$71:$D$145,MATCH(E154,CNTR_SourceStreamNames,0)))</f>
        <v/>
      </c>
      <c r="T154" s="500" t="s">
        <v>387</v>
      </c>
      <c r="U154" s="677" t="s">
        <v>67</v>
      </c>
      <c r="V154" s="58"/>
      <c r="W154" s="58"/>
      <c r="X154" s="58"/>
      <c r="Y154" s="58"/>
      <c r="Z154" s="58"/>
      <c r="AA154" s="58"/>
      <c r="AB154" s="333"/>
      <c r="AC154" s="333"/>
      <c r="AD154" s="333"/>
      <c r="AE154" s="333"/>
      <c r="AF154" s="333"/>
      <c r="AG154" s="333"/>
      <c r="AH154" s="333"/>
      <c r="AI154" s="333"/>
      <c r="AJ154" s="333"/>
      <c r="AK154" s="333"/>
      <c r="AL154" s="333"/>
      <c r="AM154" s="333"/>
      <c r="AN154" s="333"/>
      <c r="AO154" s="333"/>
      <c r="AP154" s="333"/>
      <c r="AQ154" s="333"/>
      <c r="AR154" s="333"/>
      <c r="AS154" s="866">
        <f>K160</f>
        <v>0</v>
      </c>
      <c r="AT154" s="833">
        <f>AE162</f>
        <v>0</v>
      </c>
      <c r="AU154" s="833">
        <f>AE163</f>
        <v>0</v>
      </c>
      <c r="AV154" s="833">
        <f>AE164</f>
        <v>0</v>
      </c>
      <c r="AW154" s="833">
        <f>AE165</f>
        <v>0</v>
      </c>
      <c r="AX154" s="833">
        <f>AE166</f>
        <v>0</v>
      </c>
      <c r="AY154" s="833">
        <f>AE167</f>
        <v>0</v>
      </c>
      <c r="AZ154" s="833">
        <f>AE168</f>
        <v>0</v>
      </c>
      <c r="BA154" s="867" t="str">
        <f>L170</f>
        <v/>
      </c>
      <c r="BB154" s="867" t="str">
        <f>L171</f>
        <v/>
      </c>
      <c r="BC154" s="833">
        <f>AE173</f>
        <v>7390</v>
      </c>
      <c r="BD154" s="833">
        <f>AE174</f>
        <v>12200</v>
      </c>
      <c r="BE154" s="866" t="str">
        <f>L176</f>
        <v/>
      </c>
      <c r="BF154" s="866" t="str">
        <f>L177</f>
        <v/>
      </c>
      <c r="BG154" s="868">
        <f>L179</f>
        <v>0</v>
      </c>
      <c r="BH154" s="866" t="str">
        <f>N154</f>
        <v/>
      </c>
      <c r="BI154" s="333"/>
      <c r="BJ154" s="515" t="b">
        <f>CNTR_PFCRelevant=EUconst_NotRelevant</f>
        <v>1</v>
      </c>
      <c r="BK154" s="23"/>
    </row>
    <row r="155" spans="1:63" s="1063" customFormat="1" ht="15" customHeight="1" thickBot="1" x14ac:dyDescent="0.25">
      <c r="A155" s="58"/>
      <c r="B155" s="1248"/>
      <c r="C155" s="164"/>
      <c r="D155" s="164"/>
      <c r="E155" s="1625" t="str">
        <f>IF(E154="","",IF(INDEX(B_InstallationDescription!$E$71:$E$145,MATCH(S154,B_InstallationDescription!$D$71:$D$145,0))&gt;0,INDEX(B_InstallationDescription!$E$71:$E$145,MATCH(S154,B_InstallationDescription!$D$71:$D$145,0)),""))</f>
        <v/>
      </c>
      <c r="F155" s="1626"/>
      <c r="G155" s="1626"/>
      <c r="H155" s="1626"/>
      <c r="I155" s="1626"/>
      <c r="J155" s="1627"/>
      <c r="K155" s="140"/>
      <c r="L155" s="140"/>
      <c r="M155" s="141"/>
      <c r="N155" s="141"/>
      <c r="O155" s="1305"/>
      <c r="P155" s="485"/>
      <c r="Q155" s="30"/>
      <c r="R155" s="27" t="s">
        <v>91</v>
      </c>
      <c r="S155" s="30"/>
      <c r="T155" s="569" t="b">
        <v>1</v>
      </c>
      <c r="U155" s="509" t="str">
        <f>IF(E155="","",INDEX(CNTR_PFCMethod,MATCH(E154,CNTR_PFCSourceStreamNames,0)))</f>
        <v/>
      </c>
      <c r="V155" s="30"/>
      <c r="W155" s="485"/>
      <c r="X155" s="30"/>
      <c r="Y155" s="30"/>
      <c r="Z155" s="30"/>
      <c r="AA155" s="30"/>
      <c r="AB155" s="333"/>
      <c r="AC155" s="27" t="s">
        <v>303</v>
      </c>
      <c r="AD155" s="30"/>
      <c r="AE155" s="30"/>
      <c r="AF155" s="30"/>
      <c r="AG155" s="30"/>
      <c r="AH155" s="30"/>
      <c r="AI155" s="27" t="s">
        <v>310</v>
      </c>
      <c r="AJ155" s="30"/>
      <c r="AK155" s="30"/>
      <c r="AL155" s="30"/>
      <c r="AM155" s="30"/>
      <c r="AN155" s="27" t="s">
        <v>217</v>
      </c>
      <c r="AO155" s="30"/>
      <c r="AP155" s="30"/>
      <c r="AQ155" s="30"/>
      <c r="AR155" s="865" t="s">
        <v>486</v>
      </c>
      <c r="AS155" s="834" t="s">
        <v>218</v>
      </c>
      <c r="AT155" s="834" t="s">
        <v>454</v>
      </c>
      <c r="AU155" s="834" t="s">
        <v>455</v>
      </c>
      <c r="AV155" s="834" t="s">
        <v>447</v>
      </c>
      <c r="AW155" s="834" t="s">
        <v>443</v>
      </c>
      <c r="AX155" s="834" t="s">
        <v>444</v>
      </c>
      <c r="AY155" s="834" t="s">
        <v>445</v>
      </c>
      <c r="AZ155" s="834" t="s">
        <v>446</v>
      </c>
      <c r="BA155" s="834" t="s">
        <v>436</v>
      </c>
      <c r="BB155" s="834" t="s">
        <v>437</v>
      </c>
      <c r="BC155" s="834" t="s">
        <v>434</v>
      </c>
      <c r="BD155" s="834" t="s">
        <v>435</v>
      </c>
      <c r="BE155" s="834" t="s">
        <v>436</v>
      </c>
      <c r="BF155" s="834" t="s">
        <v>437</v>
      </c>
      <c r="BG155" s="834" t="s">
        <v>337</v>
      </c>
      <c r="BH155" s="833" t="s">
        <v>287</v>
      </c>
      <c r="BI155" s="30"/>
      <c r="BJ155" s="30"/>
      <c r="BK155" s="23"/>
    </row>
    <row r="156" spans="1:63" s="1063" customFormat="1" ht="5.0999999999999996" customHeight="1" x14ac:dyDescent="0.2">
      <c r="A156" s="58"/>
      <c r="B156" s="1248"/>
      <c r="C156" s="164"/>
      <c r="D156" s="164"/>
      <c r="E156" s="164"/>
      <c r="F156" s="164"/>
      <c r="G156" s="164"/>
      <c r="H156" s="140"/>
      <c r="I156" s="140"/>
      <c r="J156" s="140"/>
      <c r="K156" s="140"/>
      <c r="L156" s="140"/>
      <c r="M156" s="141"/>
      <c r="N156" s="141"/>
      <c r="O156" s="1305"/>
      <c r="P156" s="33"/>
      <c r="Q156" s="30"/>
      <c r="R156" s="480"/>
      <c r="S156" s="30"/>
      <c r="T156" s="30"/>
      <c r="U156" s="30"/>
      <c r="V156" s="30"/>
      <c r="W156" s="485"/>
      <c r="X156" s="30"/>
      <c r="Y156" s="30"/>
      <c r="Z156" s="30"/>
      <c r="AA156" s="30"/>
      <c r="AB156" s="333"/>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23"/>
    </row>
    <row r="157" spans="1:63" s="1063" customFormat="1" ht="12.75" customHeight="1" x14ac:dyDescent="0.2">
      <c r="A157" s="58"/>
      <c r="B157" s="1248"/>
      <c r="C157" s="164"/>
      <c r="D157" s="164"/>
      <c r="E157" s="1628" t="str">
        <f>IF(E154="","",HYPERLINK("#JUMP_14",EUconst_FurtherGuidancePoint1))</f>
        <v/>
      </c>
      <c r="F157" s="1628"/>
      <c r="G157" s="1628"/>
      <c r="H157" s="1628"/>
      <c r="I157" s="1628"/>
      <c r="J157" s="1628"/>
      <c r="K157" s="1628"/>
      <c r="L157" s="1628"/>
      <c r="M157" s="141"/>
      <c r="N157" s="141"/>
      <c r="O157" s="1305"/>
      <c r="P157" s="33"/>
      <c r="Q157" s="30"/>
      <c r="R157" s="480"/>
      <c r="S157" s="30"/>
      <c r="T157" s="30"/>
      <c r="U157" s="30"/>
      <c r="V157" s="30"/>
      <c r="W157" s="485"/>
      <c r="X157" s="30"/>
      <c r="Y157" s="30"/>
      <c r="Z157" s="30"/>
      <c r="AA157" s="30"/>
      <c r="AB157" s="333"/>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23"/>
    </row>
    <row r="158" spans="1:63" s="1063" customFormat="1" ht="5.0999999999999996" customHeight="1" x14ac:dyDescent="0.2">
      <c r="A158" s="58"/>
      <c r="B158" s="1248"/>
      <c r="C158" s="164"/>
      <c r="D158" s="164"/>
      <c r="E158" s="164"/>
      <c r="F158" s="164"/>
      <c r="G158" s="164"/>
      <c r="H158" s="140"/>
      <c r="I158" s="140"/>
      <c r="J158" s="140"/>
      <c r="K158" s="140"/>
      <c r="L158" s="140"/>
      <c r="M158" s="141"/>
      <c r="N158" s="141"/>
      <c r="O158" s="1305"/>
      <c r="P158" s="33"/>
      <c r="Q158" s="30"/>
      <c r="R158" s="480"/>
      <c r="S158" s="30"/>
      <c r="T158" s="30"/>
      <c r="U158" s="30"/>
      <c r="V158" s="30"/>
      <c r="W158" s="485"/>
      <c r="X158" s="30"/>
      <c r="Y158" s="30"/>
      <c r="Z158" s="30"/>
      <c r="AA158" s="30"/>
      <c r="AB158" s="333"/>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23"/>
    </row>
    <row r="159" spans="1:63" s="1063" customFormat="1" ht="12.75" customHeight="1" thickBot="1" x14ac:dyDescent="0.25">
      <c r="A159" s="58"/>
      <c r="B159" s="1248"/>
      <c r="C159" s="164"/>
      <c r="D159" s="164"/>
      <c r="E159" s="164"/>
      <c r="F159" s="497" t="str">
        <f>Translations!$B$333</f>
        <v>Pakopa</v>
      </c>
      <c r="G159" s="1613" t="str">
        <f>Translations!$B$672</f>
        <v>pakopos aprašas</v>
      </c>
      <c r="H159" s="1613"/>
      <c r="I159" s="1608" t="str">
        <f>Translations!$B$158</f>
        <v>Vienetas</v>
      </c>
      <c r="J159" s="1608"/>
      <c r="K159" s="1608" t="str">
        <f>Translations!$B$673</f>
        <v>Vertė</v>
      </c>
      <c r="L159" s="1608"/>
      <c r="M159" s="498" t="str">
        <f>Translations!$B$610</f>
        <v>klaida</v>
      </c>
      <c r="N159" s="140"/>
      <c r="O159" s="1305"/>
      <c r="P159" s="499"/>
      <c r="Q159" s="30"/>
      <c r="R159" s="480"/>
      <c r="S159" s="30"/>
      <c r="T159" s="500" t="s">
        <v>298</v>
      </c>
      <c r="U159" s="30"/>
      <c r="V159" s="30"/>
      <c r="W159" s="485" t="s">
        <v>560</v>
      </c>
      <c r="X159" s="485" t="s">
        <v>313</v>
      </c>
      <c r="Y159" s="30"/>
      <c r="Z159" s="30"/>
      <c r="AA159" s="496" t="s">
        <v>304</v>
      </c>
      <c r="AB159" s="333"/>
      <c r="AC159" s="483" t="s">
        <v>301</v>
      </c>
      <c r="AD159" s="495" t="s">
        <v>563</v>
      </c>
      <c r="AE159" s="495" t="s">
        <v>562</v>
      </c>
      <c r="AF159" s="501"/>
      <c r="AG159" s="501"/>
      <c r="AH159" s="30"/>
      <c r="AI159" s="483"/>
      <c r="AJ159" s="483"/>
      <c r="AK159" s="483"/>
      <c r="AL159" s="483"/>
      <c r="AM159" s="483"/>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484" t="s">
        <v>259</v>
      </c>
      <c r="BK159" s="23"/>
    </row>
    <row r="160" spans="1:63" s="1063" customFormat="1" ht="12.75" customHeight="1" thickBot="1" x14ac:dyDescent="0.25">
      <c r="A160" s="58"/>
      <c r="B160" s="1248"/>
      <c r="C160" s="783" t="s">
        <v>4</v>
      </c>
      <c r="D160" s="503" t="str">
        <f>Translations!$B$622</f>
        <v>VD:</v>
      </c>
      <c r="E160" s="504"/>
      <c r="F160" s="393"/>
      <c r="G160" s="1603" t="str">
        <f>IF(OR(ISBLANK(F160),F160=EUconst_NoTier),"",IF(X160=0,EUconst_NA,IF(ISERROR(X160),"",X160)))</f>
        <v/>
      </c>
      <c r="H160" s="1604"/>
      <c r="I160" s="1687" t="str">
        <f>EUconst_t</f>
        <v>t</v>
      </c>
      <c r="J160" s="1688"/>
      <c r="K160" s="1693"/>
      <c r="L160" s="1694"/>
      <c r="M160" s="700" t="str">
        <f>IF(AND(E155&lt;&gt;"",OR(F160="",K160=""),W160&lt;&gt;EUconst_NA),EUconst_ERR_Incomplete,IF(COUNTIF(AI160:AL160,TRUE)&gt;0,EUconst_ERR_Inconsistent,""))</f>
        <v/>
      </c>
      <c r="N160" s="140"/>
      <c r="O160" s="1305"/>
      <c r="P160" s="635"/>
      <c r="Q160" s="30"/>
      <c r="R160" s="505" t="str">
        <f>EUconst_CNTR_ActivityData&amp;E155</f>
        <v>ActivityData_</v>
      </c>
      <c r="S160" s="488"/>
      <c r="T160" s="505" t="str">
        <f>IF(E154="","",INDEX(B_InstallationDescription!$I$71:$I$145,MATCH(S154,B_InstallationDescription!$D$71:$D$145,0)))</f>
        <v/>
      </c>
      <c r="U160" s="30"/>
      <c r="V160" s="488"/>
      <c r="W160" s="506" t="str">
        <f>IF(E155="","",INDEX(EUwideConstants!$N:$N,MATCH(R160,EUwideConstants!$Q:$Q,0)))</f>
        <v/>
      </c>
      <c r="X160" s="507" t="str">
        <f>IF(ISBLANK(F160),"",IF(F160=EUconst_NA,"",INDEX(EUwideConstants!$H:$M,MATCH(R160,EUwideConstants!$Q:$Q,0),MATCH(F160,CNTR_TierList,0))))</f>
        <v/>
      </c>
      <c r="Y160" s="508" t="s">
        <v>299</v>
      </c>
      <c r="Z160" s="495"/>
      <c r="AA160" s="509" t="b">
        <f>E154&lt;&gt;""</f>
        <v>0</v>
      </c>
      <c r="AB160" s="333"/>
      <c r="AC160" s="496"/>
      <c r="AD160" s="30"/>
      <c r="AE160" s="509">
        <f>IF(W160=EUconst_NA,1,IF(COUNT(K160:L160)=0,0,IF(L160="",K160,L160)))</f>
        <v>0</v>
      </c>
      <c r="AF160" s="501" t="s">
        <v>306</v>
      </c>
      <c r="AG160" s="501" t="s">
        <v>306</v>
      </c>
      <c r="AH160" s="30"/>
      <c r="AI160" s="30"/>
      <c r="AJ160" s="30"/>
      <c r="AK160" s="30" t="s">
        <v>536</v>
      </c>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515" t="b">
        <f>OR(CNTR_PFCRelevant=EUconst_NotRelevant,AND(COUNTA(CNTR_ListRelevantSections)&gt;0,E154=""))</f>
        <v>1</v>
      </c>
      <c r="BK160" s="23"/>
    </row>
    <row r="161" spans="1:63" s="1063" customFormat="1" ht="5.0999999999999996" customHeight="1" thickBot="1" x14ac:dyDescent="0.25">
      <c r="A161" s="58"/>
      <c r="B161" s="1248"/>
      <c r="C161" s="783"/>
      <c r="D161" s="298"/>
      <c r="E161" s="140"/>
      <c r="F161" s="141"/>
      <c r="G161" s="141"/>
      <c r="H161" s="141" t="s">
        <v>233</v>
      </c>
      <c r="I161" s="516"/>
      <c r="J161" s="516"/>
      <c r="K161" s="141"/>
      <c r="L161" s="141"/>
      <c r="M161" s="701"/>
      <c r="N161" s="140"/>
      <c r="O161" s="1305"/>
      <c r="P161" s="33"/>
      <c r="Q161" s="30"/>
      <c r="R161" s="153"/>
      <c r="S161" s="488"/>
      <c r="T161" s="30"/>
      <c r="U161" s="30"/>
      <c r="V161" s="488"/>
      <c r="W161" s="517"/>
      <c r="X161" s="30"/>
      <c r="Y161" s="30"/>
      <c r="Z161" s="30"/>
      <c r="AA161" s="30"/>
      <c r="AB161" s="333"/>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484"/>
      <c r="BK161" s="23"/>
    </row>
    <row r="162" spans="1:63" s="1063" customFormat="1" ht="12.75" customHeight="1" thickBot="1" x14ac:dyDescent="0.25">
      <c r="A162" s="58"/>
      <c r="B162" s="1248"/>
      <c r="C162" s="783" t="s">
        <v>5</v>
      </c>
      <c r="D162" s="503" t="str">
        <f>Translations!$B$722</f>
        <v>A. Dažnis</v>
      </c>
      <c r="E162" s="504"/>
      <c r="F162" s="518"/>
      <c r="G162" s="1603" t="str">
        <f t="shared" ref="G162:G168" si="20">IF(OR(ISBLANK(F162),F162=EUconst_NoTier),"",IF(X162=0,EUconst_NotApplicable,IF(ISERROR(X162),"",X162)))</f>
        <v/>
      </c>
      <c r="H162" s="1609"/>
      <c r="I162" s="1683" t="str">
        <f>IF(W162=EUconst_NA,"",INDEX(PFCUnits,1))</f>
        <v>1/(vienoje elektrolizės vonioje per parą)</v>
      </c>
      <c r="J162" s="1684"/>
      <c r="K162" s="669" t="str">
        <f t="shared" ref="K162:K168" si="21">IF(L162="",AD162,"")</f>
        <v/>
      </c>
      <c r="L162" s="685"/>
      <c r="M162" s="700" t="str">
        <f>IF(AND(E155&lt;&gt;"",OR(F162="",L162=""),W162&lt;&gt;EUconst_NA),EUconst_ERR_Incomplete,IF(COUNTIF(AI162:AL162,TRUE)&gt;0,EUconst_ERR_Inconsistent,""))</f>
        <v/>
      </c>
      <c r="N162" s="486"/>
      <c r="O162" s="1305"/>
      <c r="P162" s="33"/>
      <c r="Q162" s="30"/>
      <c r="R162" s="521" t="str">
        <f>R160</f>
        <v>ActivityData_</v>
      </c>
      <c r="S162" s="488"/>
      <c r="T162" s="648" t="str">
        <f>T160</f>
        <v/>
      </c>
      <c r="U162" s="30"/>
      <c r="V162" s="488">
        <v>1</v>
      </c>
      <c r="W162" s="663" t="str">
        <f>IF(E155="","",IF(U155&lt;&gt;V162,EUconst_NA,INDEX(EUwideConstants!$N:$N,MATCH(R162,EUwideConstants!$Q:$Q,0))))</f>
        <v/>
      </c>
      <c r="X162" s="524" t="str">
        <f>IF(ISBLANK(F162),"",IF(F162=EUconst_NA,"",INDEX(EUwideConstants!$H:$M,MATCH(R162,EUwideConstants!$Q:$Q,0),MATCH(F162,CNTR_TierList,0))))</f>
        <v/>
      </c>
      <c r="Y162" s="30"/>
      <c r="Z162" s="30"/>
      <c r="AA162" s="526" t="b">
        <f>AND(AA160,W162&lt;&gt;EUconst_NA)</f>
        <v>0</v>
      </c>
      <c r="AB162" s="333"/>
      <c r="AC162" s="666" t="str">
        <f>IF(AA162=TRUE,IF(COUNTIF(MSPara_SourceStreamCategory,T162)=0,"",INDEX(MSPara_CalcFactorsMatrix,MATCH(T162,MSPara_SourceStreamCategory,0),MATCH(#REF!&amp;"_"&amp;1,MSPara_CalcFactors,0))),"")</f>
        <v/>
      </c>
      <c r="AD162" s="666" t="str">
        <f>""</f>
        <v/>
      </c>
      <c r="AE162" s="525">
        <f t="shared" ref="AE162:AE168" si="22">IF(AA162=TRUE,IF(COUNT(K162:L162)=0,0,IF(L162="",K162,L162)),0)</f>
        <v>0</v>
      </c>
      <c r="AF162" s="525" t="b">
        <f>AND(AA162=TRUE,OR(AND(F162&lt;&gt;"",NOT(ISNUMBER(Y162))),L162&lt;&gt;"",F162="",AD162=""))</f>
        <v>0</v>
      </c>
      <c r="AG162" s="525" t="b">
        <f t="shared" ref="AG162:AG168" si="23">AND(AA162=TRUE,NOT(AF162))</f>
        <v>0</v>
      </c>
      <c r="AH162" s="30"/>
      <c r="AI162" s="30"/>
      <c r="AJ162" s="30"/>
      <c r="AK162" s="525" t="b">
        <f t="shared" ref="AK162:AK168" si="24">AND(L162&lt;&gt;"",W162=EUconst_NA)</f>
        <v>0</v>
      </c>
      <c r="AL162" s="30"/>
      <c r="AM162" s="30"/>
      <c r="AN162" s="30"/>
      <c r="AO162" s="484" t="s">
        <v>384</v>
      </c>
      <c r="AP162" s="484" t="s">
        <v>385</v>
      </c>
      <c r="AQ162" s="30"/>
      <c r="AR162" s="30"/>
      <c r="AS162" s="30"/>
      <c r="AT162" s="30"/>
      <c r="AU162" s="30"/>
      <c r="AV162" s="30"/>
      <c r="AW162" s="30"/>
      <c r="AX162" s="30"/>
      <c r="AY162" s="30"/>
      <c r="AZ162" s="30"/>
      <c r="BA162" s="30"/>
      <c r="BB162" s="30"/>
      <c r="BC162" s="30"/>
      <c r="BD162" s="30"/>
      <c r="BE162" s="30"/>
      <c r="BF162" s="30"/>
      <c r="BG162" s="30"/>
      <c r="BH162" s="30"/>
      <c r="BI162" s="30"/>
      <c r="BJ162" s="525" t="b">
        <f>OR(BJ160,W162=EUconst_NA)</f>
        <v>1</v>
      </c>
      <c r="BK162" s="23"/>
    </row>
    <row r="163" spans="1:63" s="1063" customFormat="1" ht="12.75" customHeight="1" thickBot="1" x14ac:dyDescent="0.25">
      <c r="A163" s="58"/>
      <c r="B163" s="1248"/>
      <c r="C163" s="783" t="s">
        <v>194</v>
      </c>
      <c r="D163" s="503" t="str">
        <f>Translations!$B$724</f>
        <v>A. Trukmė</v>
      </c>
      <c r="E163" s="504"/>
      <c r="F163" s="636"/>
      <c r="G163" s="1603" t="str">
        <f t="shared" si="20"/>
        <v/>
      </c>
      <c r="H163" s="1609"/>
      <c r="I163" s="1691" t="str">
        <f>IF(W163=EUconst_NA,"",INDEX(PFCUnits,2))</f>
        <v>min.</v>
      </c>
      <c r="J163" s="1692"/>
      <c r="K163" s="670" t="str">
        <f t="shared" si="21"/>
        <v/>
      </c>
      <c r="L163" s="686"/>
      <c r="M163" s="700" t="str">
        <f>IF(AND(E155&lt;&gt;"",OR(F163="",L163=""),W163&lt;&gt;EUconst_NA),EUconst_ERR_Incomplete,IF(COUNTIF(AI163:AL163,TRUE)&gt;0,EUconst_ERR_Inconsistent,""))</f>
        <v/>
      </c>
      <c r="N163" s="486"/>
      <c r="O163" s="1305"/>
      <c r="P163" s="33"/>
      <c r="Q163" s="30"/>
      <c r="R163" s="543" t="str">
        <f>R162</f>
        <v>ActivityData_</v>
      </c>
      <c r="S163" s="488"/>
      <c r="T163" s="649" t="str">
        <f t="shared" ref="T163:T168" si="25">T162</f>
        <v/>
      </c>
      <c r="U163" s="30"/>
      <c r="V163" s="488">
        <v>1</v>
      </c>
      <c r="W163" s="662" t="str">
        <f>IF(E155="","",IF(U155&lt;&gt;V163,EUconst_NA,INDEX(EUwideConstants!$N:$N,MATCH(R163,EUwideConstants!$Q:$Q,0))))</f>
        <v/>
      </c>
      <c r="X163" s="546" t="str">
        <f>IF(ISBLANK(F163),"",IF(F163=EUconst_NA,"",INDEX(EUwideConstants!$H:$M,MATCH(R163,EUwideConstants!$Q:$Q,0),MATCH(F163,CNTR_TierList,0))))</f>
        <v/>
      </c>
      <c r="Y163" s="30"/>
      <c r="Z163" s="30"/>
      <c r="AA163" s="548" t="b">
        <f>AND(AA160,W163&lt;&gt;EUconst_NA)</f>
        <v>0</v>
      </c>
      <c r="AB163" s="333"/>
      <c r="AC163" s="667" t="str">
        <f>IF(AA163=TRUE,IF(COUNTIF(MSPara_SourceStreamCategory,T163)=0,"",INDEX(MSPara_CalcFactorsMatrix,MATCH(T163,MSPara_SourceStreamCategory,0),MATCH(#REF!&amp;"_"&amp;1,MSPara_CalcFactors,0))),"")</f>
        <v/>
      </c>
      <c r="AD163" s="667" t="str">
        <f>""</f>
        <v/>
      </c>
      <c r="AE163" s="651">
        <f t="shared" si="22"/>
        <v>0</v>
      </c>
      <c r="AF163" s="651" t="b">
        <f>AND(AA163=TRUE,OR(AND(F163&lt;&gt;"",NOT(ISNUMBER(Y163))),L163&lt;&gt;"",F163="",AD163=""))</f>
        <v>0</v>
      </c>
      <c r="AG163" s="651" t="b">
        <f t="shared" si="23"/>
        <v>0</v>
      </c>
      <c r="AH163" s="30"/>
      <c r="AI163" s="30"/>
      <c r="AJ163" s="30"/>
      <c r="AK163" s="651" t="b">
        <f t="shared" si="24"/>
        <v>0</v>
      </c>
      <c r="AL163" s="30"/>
      <c r="AM163" s="30"/>
      <c r="AN163" s="538" t="s">
        <v>440</v>
      </c>
      <c r="AO163" s="537" t="str">
        <f>IF(ISNUMBER(U155),AE160*AE162*AE163*AE164/1000,"")</f>
        <v/>
      </c>
      <c r="AP163" s="515" t="str">
        <f>IF(ISNUMBER(U155),AE160*(AE165/IF(AE166=0,0.01,AE166))*AE167/1000,"")</f>
        <v/>
      </c>
      <c r="AQ163" s="30"/>
      <c r="AR163" s="30"/>
      <c r="AS163" s="30"/>
      <c r="AT163" s="30"/>
      <c r="AU163" s="30"/>
      <c r="AV163" s="30"/>
      <c r="AW163" s="30"/>
      <c r="AX163" s="30"/>
      <c r="AY163" s="30"/>
      <c r="AZ163" s="30"/>
      <c r="BA163" s="30"/>
      <c r="BB163" s="30"/>
      <c r="BC163" s="30"/>
      <c r="BD163" s="30"/>
      <c r="BE163" s="30"/>
      <c r="BF163" s="30"/>
      <c r="BG163" s="30"/>
      <c r="BH163" s="30"/>
      <c r="BI163" s="30"/>
      <c r="BJ163" s="651" t="b">
        <f>OR(BJ160,W163=EUconst_NA)</f>
        <v>1</v>
      </c>
      <c r="BK163" s="23"/>
    </row>
    <row r="164" spans="1:63" s="1063" customFormat="1" ht="12.75" customHeight="1" thickBot="1" x14ac:dyDescent="0.25">
      <c r="A164" s="58"/>
      <c r="B164" s="1248"/>
      <c r="C164" s="783" t="s">
        <v>195</v>
      </c>
      <c r="D164" s="643" t="str">
        <f>Translations!$B$726</f>
        <v>A. NITF(CF4)</v>
      </c>
      <c r="E164" s="644"/>
      <c r="F164" s="539"/>
      <c r="G164" s="1689" t="str">
        <f t="shared" si="20"/>
        <v/>
      </c>
      <c r="H164" s="1690"/>
      <c r="I164" s="1691" t="str">
        <f>IF(W164=EUconst_NA,"",INDEX(PFCUnits,3))</f>
        <v>(kg CF4/t Al)/(min./vienoje elektrolizės vonioje per parą)</v>
      </c>
      <c r="J164" s="1692"/>
      <c r="K164" s="671" t="str">
        <f t="shared" si="21"/>
        <v/>
      </c>
      <c r="L164" s="674"/>
      <c r="M164" s="702" t="str">
        <f>IF(AND(E155&lt;&gt;"",OR(F164="",COUNT(K164:L164)=0),W164&lt;&gt;EUconst_NA),EUconst_ERR_Incomplete,IF(COUNTIF(AI164:AL164,TRUE)&gt;0,EUconst_ERR_Inconsistent,""))</f>
        <v/>
      </c>
      <c r="N164" s="140"/>
      <c r="O164" s="1305"/>
      <c r="P164" s="33"/>
      <c r="Q164" s="30"/>
      <c r="R164" s="543" t="str">
        <f>EUconst_CNTR_EF&amp;$E155</f>
        <v>EF_</v>
      </c>
      <c r="S164" s="488"/>
      <c r="T164" s="649" t="str">
        <f t="shared" si="25"/>
        <v/>
      </c>
      <c r="U164" s="30"/>
      <c r="V164" s="488">
        <v>1</v>
      </c>
      <c r="W164" s="662" t="str">
        <f>IF(E155="","",IF(U155&lt;&gt;V164,EUconst_NA,INDEX(EUwideConstants!$N:$N,MATCH(R164,EUwideConstants!$Q:$Q,0))))</f>
        <v/>
      </c>
      <c r="X164" s="546" t="str">
        <f>IF(ISBLANK(F164),"",IF(F164=EUconst_NA,"",INDEX(EUwideConstants!$H:$M,MATCH(R164,EUwideConstants!$Q:$Q,0),MATCH(F164,CNTR_TierList,0))))</f>
        <v/>
      </c>
      <c r="Y164" s="580" t="str">
        <f>IF(COUNTIF(EUconst_DefaultValues,X164)&gt;0,MATCH(X164,EUconst_DefaultValues,0),"")</f>
        <v/>
      </c>
      <c r="Z164" s="30"/>
      <c r="AA164" s="548" t="b">
        <f>AND(AA160,W164&lt;&gt;EUconst_NA)</f>
        <v>0</v>
      </c>
      <c r="AB164" s="333"/>
      <c r="AC164" s="651" t="str">
        <f>IF(AA164=TRUE,IF(T164="","",INDEX(MSPara_PFCMethA,MATCH(T164,PFCCellTypes,0),1)),"")</f>
        <v/>
      </c>
      <c r="AD164" s="651" t="str">
        <f>IF(AND(Y164&lt;&gt;"",ISNUMBER(AC164)),AC164,"")</f>
        <v/>
      </c>
      <c r="AE164" s="651">
        <f t="shared" si="22"/>
        <v>0</v>
      </c>
      <c r="AF164" s="651" t="b">
        <f>AND(AA164=TRUE,OR(AND(F164&lt;&gt;"",NOT(ISNUMBER(Y164))),L164&lt;&gt;"",F164="",AD164=""))</f>
        <v>0</v>
      </c>
      <c r="AG164" s="651" t="b">
        <f t="shared" si="23"/>
        <v>0</v>
      </c>
      <c r="AH164" s="30"/>
      <c r="AI164" s="30"/>
      <c r="AJ164" s="30"/>
      <c r="AK164" s="651" t="b">
        <f t="shared" si="24"/>
        <v>0</v>
      </c>
      <c r="AL164" s="30"/>
      <c r="AM164" s="30"/>
      <c r="AN164" s="538" t="s">
        <v>441</v>
      </c>
      <c r="AO164" s="537">
        <f>IF(AND(ISNUMBER(AO163),AO163&gt;0),AO163*AE168,0)</f>
        <v>0</v>
      </c>
      <c r="AP164" s="515">
        <f>IF(AND(ISNUMBER(AP163),AP163&gt;0),AP163*AE168,0)</f>
        <v>0</v>
      </c>
      <c r="AQ164" s="30"/>
      <c r="AR164" s="30"/>
      <c r="AS164" s="30"/>
      <c r="AT164" s="30"/>
      <c r="AU164" s="30"/>
      <c r="AV164" s="30"/>
      <c r="AW164" s="30"/>
      <c r="AX164" s="30"/>
      <c r="AY164" s="30"/>
      <c r="AZ164" s="30"/>
      <c r="BA164" s="30"/>
      <c r="BB164" s="30"/>
      <c r="BC164" s="30"/>
      <c r="BD164" s="30"/>
      <c r="BE164" s="30"/>
      <c r="BF164" s="30"/>
      <c r="BG164" s="30"/>
      <c r="BH164" s="30"/>
      <c r="BI164" s="30"/>
      <c r="BJ164" s="651" t="b">
        <f>OR(BJ160,W164=EUconst_NA)</f>
        <v>1</v>
      </c>
      <c r="BK164" s="23"/>
    </row>
    <row r="165" spans="1:63" s="1063" customFormat="1" ht="12.75" customHeight="1" thickBot="1" x14ac:dyDescent="0.25">
      <c r="A165" s="58"/>
      <c r="B165" s="1248"/>
      <c r="C165" s="783" t="s">
        <v>196</v>
      </c>
      <c r="D165" s="641" t="str">
        <f>Translations!$B$728</f>
        <v>B. AEV</v>
      </c>
      <c r="E165" s="642"/>
      <c r="F165" s="636"/>
      <c r="G165" s="1681" t="str">
        <f t="shared" si="20"/>
        <v/>
      </c>
      <c r="H165" s="1682"/>
      <c r="I165" s="1691" t="str">
        <f>IF(W165=EUconst_NA,"",INDEX(PFCUnits,4))</f>
        <v>mV</v>
      </c>
      <c r="J165" s="1692"/>
      <c r="K165" s="670" t="str">
        <f t="shared" si="21"/>
        <v/>
      </c>
      <c r="L165" s="686"/>
      <c r="M165" s="703" t="str">
        <f>IF(AND(E155&lt;&gt;"",OR(F165="",L165=""),W165&lt;&gt;EUconst_NA),EUconst_ERR_Incomplete,IF(COUNTIF(AI165:AL165,TRUE)&gt;0,EUconst_ERR_Inconsistent,""))</f>
        <v/>
      </c>
      <c r="N165" s="140"/>
      <c r="O165" s="1305"/>
      <c r="P165" s="635"/>
      <c r="Q165" s="30"/>
      <c r="R165" s="543" t="str">
        <f>R160</f>
        <v>ActivityData_</v>
      </c>
      <c r="S165" s="488"/>
      <c r="T165" s="649" t="str">
        <f t="shared" si="25"/>
        <v/>
      </c>
      <c r="U165" s="30"/>
      <c r="V165" s="488">
        <v>2</v>
      </c>
      <c r="W165" s="662" t="str">
        <f>IF(E155="","",IF(U155&lt;&gt;V165,EUconst_NA,INDEX(EUwideConstants!$N:$N,MATCH(R165,EUwideConstants!$Q:$Q,0))))</f>
        <v/>
      </c>
      <c r="X165" s="546" t="str">
        <f>IF(ISBLANK(F165),"",IF(F165=EUconst_NA,"",INDEX(EUwideConstants!$H:$M,MATCH(R165,EUwideConstants!$Q:$Q,0),MATCH(F165,CNTR_TierList,0))))</f>
        <v/>
      </c>
      <c r="Y165" s="30"/>
      <c r="Z165" s="30"/>
      <c r="AA165" s="548" t="b">
        <f>AND(AA160,W165&lt;&gt;EUconst_NA)</f>
        <v>0</v>
      </c>
      <c r="AB165" s="333"/>
      <c r="AC165" s="667"/>
      <c r="AD165" s="667" t="str">
        <f>""</f>
        <v/>
      </c>
      <c r="AE165" s="651">
        <f t="shared" si="22"/>
        <v>0</v>
      </c>
      <c r="AF165" s="651" t="b">
        <f>AND(AA165=TRUE,OR(ISNUMBER(L165),NOT(ISNUMBER(Y165))))</f>
        <v>0</v>
      </c>
      <c r="AG165" s="651" t="b">
        <f t="shared" si="23"/>
        <v>0</v>
      </c>
      <c r="AH165" s="30"/>
      <c r="AI165" s="30"/>
      <c r="AJ165" s="30"/>
      <c r="AK165" s="651" t="b">
        <f t="shared" si="24"/>
        <v>0</v>
      </c>
      <c r="AL165" s="30"/>
      <c r="AM165" s="30"/>
      <c r="AN165" s="538" t="s">
        <v>440</v>
      </c>
      <c r="AO165" s="537" t="str">
        <f>IF(ISNUMBER(AO163),AO163*AE173,"")</f>
        <v/>
      </c>
      <c r="AP165" s="515" t="str">
        <f>IF(ISNUMBER(AP163),AP163*AE173,"")</f>
        <v/>
      </c>
      <c r="AQ165" s="30"/>
      <c r="AR165" s="30"/>
      <c r="AS165" s="30"/>
      <c r="AT165" s="30"/>
      <c r="AU165" s="30"/>
      <c r="AV165" s="30"/>
      <c r="AW165" s="30"/>
      <c r="AX165" s="30"/>
      <c r="AY165" s="30"/>
      <c r="AZ165" s="30"/>
      <c r="BA165" s="30"/>
      <c r="BB165" s="30"/>
      <c r="BC165" s="30"/>
      <c r="BD165" s="30"/>
      <c r="BE165" s="30"/>
      <c r="BF165" s="30"/>
      <c r="BG165" s="30"/>
      <c r="BH165" s="30"/>
      <c r="BI165" s="30"/>
      <c r="BJ165" s="651" t="b">
        <f>OR(BJ160,W165=EUconst_NA)</f>
        <v>1</v>
      </c>
      <c r="BK165" s="23"/>
    </row>
    <row r="166" spans="1:63" s="1063" customFormat="1" ht="12.75" customHeight="1" thickBot="1" x14ac:dyDescent="0.25">
      <c r="A166" s="58"/>
      <c r="B166" s="1248"/>
      <c r="C166" s="753" t="s">
        <v>197</v>
      </c>
      <c r="D166" s="503" t="str">
        <f>Translations!$B$730</f>
        <v>B. EN</v>
      </c>
      <c r="E166" s="504"/>
      <c r="F166" s="539"/>
      <c r="G166" s="1603" t="str">
        <f t="shared" si="20"/>
        <v/>
      </c>
      <c r="H166" s="1604"/>
      <c r="I166" s="1691" t="str">
        <f>IF(W166=EUconst_NA,"","-")</f>
        <v>-</v>
      </c>
      <c r="J166" s="1692"/>
      <c r="K166" s="672" t="str">
        <f t="shared" si="21"/>
        <v/>
      </c>
      <c r="L166" s="562"/>
      <c r="M166" s="700" t="str">
        <f>IF(AND(E155&lt;&gt;"",OR(F166="",L166=""),W166&lt;&gt;EUconst_NA),EUconst_ERR_Incomplete,IF(COUNTIF(AI166:AL166,TRUE)&gt;0,EUconst_ERR_Inconsistent,""))</f>
        <v/>
      </c>
      <c r="N166" s="140"/>
      <c r="O166" s="1305"/>
      <c r="P166" s="635"/>
      <c r="Q166" s="30"/>
      <c r="R166" s="543" t="str">
        <f>R165</f>
        <v>ActivityData_</v>
      </c>
      <c r="S166" s="488"/>
      <c r="T166" s="649" t="str">
        <f t="shared" si="25"/>
        <v/>
      </c>
      <c r="U166" s="30"/>
      <c r="V166" s="488">
        <v>2</v>
      </c>
      <c r="W166" s="662" t="str">
        <f>IF(E155="","",IF(U155&lt;&gt;V166,EUconst_NA,INDEX(EUwideConstants!$N:$N,MATCH(R166,EUwideConstants!$Q:$Q,0))))</f>
        <v/>
      </c>
      <c r="X166" s="546" t="str">
        <f>IF(ISBLANK(F166),"",IF(F166=EUconst_NA,"",INDEX(EUwideConstants!$H:$M,MATCH(R166,EUwideConstants!$Q:$Q,0),MATCH(F166,CNTR_TierList,0))))</f>
        <v/>
      </c>
      <c r="Y166" s="30"/>
      <c r="Z166" s="30"/>
      <c r="AA166" s="548" t="b">
        <f>AND(AA160,W166&lt;&gt;EUconst_NA)</f>
        <v>0</v>
      </c>
      <c r="AB166" s="333"/>
      <c r="AC166" s="667"/>
      <c r="AD166" s="667" t="str">
        <f>""</f>
        <v/>
      </c>
      <c r="AE166" s="651">
        <f t="shared" si="22"/>
        <v>0</v>
      </c>
      <c r="AF166" s="651" t="b">
        <f>AND(AA166=TRUE,OR(ISNUMBER(L166),NOT(ISNUMBER(Y166))))</f>
        <v>0</v>
      </c>
      <c r="AG166" s="651" t="b">
        <f t="shared" si="23"/>
        <v>0</v>
      </c>
      <c r="AH166" s="30"/>
      <c r="AI166" s="30"/>
      <c r="AJ166" s="30"/>
      <c r="AK166" s="699" t="b">
        <f t="shared" si="24"/>
        <v>0</v>
      </c>
      <c r="AL166" s="515" t="b">
        <f>L166&gt;100%</f>
        <v>0</v>
      </c>
      <c r="AM166" s="30"/>
      <c r="AN166" s="538" t="s">
        <v>441</v>
      </c>
      <c r="AO166" s="537">
        <f>IF(ISNUMBER(AO164),AO164*AE174,"")</f>
        <v>0</v>
      </c>
      <c r="AP166" s="515">
        <f>IF(ISNUMBER(AP164),AP164*AE174,"")</f>
        <v>0</v>
      </c>
      <c r="AQ166" s="30"/>
      <c r="AR166" s="30"/>
      <c r="AS166" s="30"/>
      <c r="AT166" s="30"/>
      <c r="AU166" s="30"/>
      <c r="AV166" s="30"/>
      <c r="AW166" s="30"/>
      <c r="AX166" s="30"/>
      <c r="AY166" s="30"/>
      <c r="AZ166" s="30"/>
      <c r="BA166" s="30"/>
      <c r="BB166" s="30"/>
      <c r="BC166" s="30"/>
      <c r="BD166" s="30"/>
      <c r="BE166" s="30"/>
      <c r="BF166" s="30"/>
      <c r="BG166" s="30"/>
      <c r="BH166" s="30"/>
      <c r="BI166" s="30"/>
      <c r="BJ166" s="651" t="b">
        <f>OR(BJ160,W166=EUconst_NA)</f>
        <v>1</v>
      </c>
      <c r="BK166" s="23"/>
    </row>
    <row r="167" spans="1:63" s="1063" customFormat="1" ht="12.75" customHeight="1" thickBot="1" x14ac:dyDescent="0.25">
      <c r="A167" s="58"/>
      <c r="B167" s="1248"/>
      <c r="C167" s="783" t="s">
        <v>198</v>
      </c>
      <c r="D167" s="643" t="str">
        <f>Translations!$B$732</f>
        <v>B. VĮK</v>
      </c>
      <c r="E167" s="644"/>
      <c r="F167" s="539"/>
      <c r="G167" s="1689" t="str">
        <f t="shared" si="20"/>
        <v/>
      </c>
      <c r="H167" s="1690"/>
      <c r="I167" s="1691" t="str">
        <f>IF(W167=EUconst_NA,"",INDEX(PFCUnits,6))</f>
        <v>(kg CF4)/(t Al mV)</v>
      </c>
      <c r="J167" s="1692"/>
      <c r="K167" s="672" t="str">
        <f t="shared" si="21"/>
        <v/>
      </c>
      <c r="L167" s="675"/>
      <c r="M167" s="702" t="str">
        <f>IF(AND(E155&lt;&gt;"",OR(F167="",COUNT(K167:L167)=0),W167&lt;&gt;EUconst_NA),EUconst_ERR_Incomplete,IF(COUNTIF(AI167:AL167,TRUE)&gt;0,EUconst_ERR_Inconsistent,""))</f>
        <v/>
      </c>
      <c r="N167" s="140"/>
      <c r="O167" s="1305"/>
      <c r="P167" s="33"/>
      <c r="Q167" s="30"/>
      <c r="R167" s="543" t="str">
        <f>EUconst_CNTR_EF&amp;E155</f>
        <v>EF_</v>
      </c>
      <c r="S167" s="488"/>
      <c r="T167" s="649" t="str">
        <f t="shared" si="25"/>
        <v/>
      </c>
      <c r="U167" s="30"/>
      <c r="V167" s="488">
        <v>2</v>
      </c>
      <c r="W167" s="662" t="str">
        <f>IF(E155="","",IF(U155&lt;&gt;V167,EUconst_NA,INDEX(EUwideConstants!$N:$N,MATCH(R167,EUwideConstants!$Q:$Q,0))))</f>
        <v/>
      </c>
      <c r="X167" s="546" t="str">
        <f>IF(ISBLANK(F167),"",IF(F167=EUconst_NA,"",INDEX(EUwideConstants!$H:$M,MATCH(R167,EUwideConstants!$Q:$Q,0),MATCH(F167,CNTR_TierList,0))))</f>
        <v/>
      </c>
      <c r="Y167" s="580" t="str">
        <f>IF(COUNTIF(EUconst_DefaultValues,X167)&gt;0,MATCH(X167,EUconst_DefaultValues,0),"")</f>
        <v/>
      </c>
      <c r="Z167" s="30"/>
      <c r="AA167" s="548" t="b">
        <f>AND(AA160,W167&lt;&gt;EUconst_NA)</f>
        <v>0</v>
      </c>
      <c r="AB167" s="333"/>
      <c r="AC167" s="651" t="str">
        <f>IF(AA167=TRUE,IF(T167="","",INDEX(MSPara_PFCMethB,MATCH(T167,PFCCellTypes,0),1)),"")</f>
        <v/>
      </c>
      <c r="AD167" s="651" t="str">
        <f>IF(AND(Y167&lt;&gt;"",ISNUMBER(AC167)),AC167,"")</f>
        <v/>
      </c>
      <c r="AE167" s="651">
        <f t="shared" si="22"/>
        <v>0</v>
      </c>
      <c r="AF167" s="651" t="b">
        <f>AND(AA167=TRUE,OR(AND(F167&lt;&gt;"",NOT(ISNUMBER(Y167))),L167&lt;&gt;"",F167="",AD167=""))</f>
        <v>0</v>
      </c>
      <c r="AG167" s="651" t="b">
        <f t="shared" si="23"/>
        <v>0</v>
      </c>
      <c r="AH167" s="30"/>
      <c r="AI167" s="30"/>
      <c r="AJ167" s="30"/>
      <c r="AK167" s="651" t="b">
        <f t="shared" si="24"/>
        <v>0</v>
      </c>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651" t="b">
        <f>OR(BJ160,W167=EUconst_NA)</f>
        <v>1</v>
      </c>
      <c r="BK167" s="23"/>
    </row>
    <row r="168" spans="1:63" s="1063" customFormat="1" ht="12.75" customHeight="1" thickBot="1" x14ac:dyDescent="0.25">
      <c r="A168" s="58"/>
      <c r="B168" s="1248"/>
      <c r="C168" s="783" t="s">
        <v>324</v>
      </c>
      <c r="D168" s="641" t="str">
        <f>Translations!$B$734</f>
        <v>F(C2F6)</v>
      </c>
      <c r="E168" s="642"/>
      <c r="F168" s="588"/>
      <c r="G168" s="1681" t="str">
        <f t="shared" si="20"/>
        <v/>
      </c>
      <c r="H168" s="1682"/>
      <c r="I168" s="1685" t="str">
        <f>IF(W168=EUconst_NA,"",INDEX(PFCUnits,7))</f>
        <v>t C2F6/t CF4</v>
      </c>
      <c r="J168" s="1686"/>
      <c r="K168" s="673" t="str">
        <f t="shared" si="21"/>
        <v/>
      </c>
      <c r="L168" s="676"/>
      <c r="M168" s="703" t="str">
        <f>IF(AND(E155&lt;&gt;"",OR(F168="",COUNT(K168:L168)=0),W168&lt;&gt;EUconst_NA),EUconst_ERR_Incomplete,IF(COUNTIF(AI168:AL168,TRUE)&gt;0,EUconst_ERR_Inconsistent,""))</f>
        <v/>
      </c>
      <c r="N168" s="140"/>
      <c r="O168" s="1305"/>
      <c r="P168" s="33"/>
      <c r="Q168" s="30"/>
      <c r="R168" s="590" t="str">
        <f>EUconst_CNTR_EF&amp;E155</f>
        <v>EF_</v>
      </c>
      <c r="S168" s="488"/>
      <c r="T168" s="650" t="str">
        <f t="shared" si="25"/>
        <v/>
      </c>
      <c r="U168" s="30"/>
      <c r="V168" s="488" t="str">
        <f>""</f>
        <v/>
      </c>
      <c r="W168" s="664" t="str">
        <f>W160</f>
        <v/>
      </c>
      <c r="X168" s="592" t="str">
        <f>IF(ISBLANK(F168),"",IF(F168=EUconst_NA,"",INDEX(EUwideConstants!$H:$M,MATCH(R168,EUwideConstants!$Q:$Q,0),MATCH(F168,CNTR_TierList,0))))</f>
        <v/>
      </c>
      <c r="Y168" s="580" t="str">
        <f>IF(COUNTIF(EUconst_DefaultValues,X168)&gt;0,MATCH(X168,EUconst_DefaultValues,0),"")</f>
        <v/>
      </c>
      <c r="Z168" s="30"/>
      <c r="AA168" s="665" t="b">
        <f>AND(AA160,W168&lt;&gt;EUconst_NA)</f>
        <v>0</v>
      </c>
      <c r="AB168" s="333"/>
      <c r="AC168" s="573" t="str">
        <f>IF(AA168=TRUE,IF(T168="","",INDEX(MSPara_PFCMethA,MATCH(T168,PFCCellTypes,0),2)),"")</f>
        <v/>
      </c>
      <c r="AD168" s="573" t="str">
        <f>IF(AND(Y168&lt;&gt;"",ISNUMBER(AC168)),AC168,"")</f>
        <v/>
      </c>
      <c r="AE168" s="573">
        <f t="shared" si="22"/>
        <v>0</v>
      </c>
      <c r="AF168" s="573" t="b">
        <f>AND(AA168=TRUE,OR(AND(F168&lt;&gt;"",NOT(ISNUMBER(Y168))),L168&lt;&gt;"",F168="",AD168=""))</f>
        <v>0</v>
      </c>
      <c r="AG168" s="573" t="b">
        <f t="shared" si="23"/>
        <v>0</v>
      </c>
      <c r="AH168" s="30"/>
      <c r="AI168" s="30"/>
      <c r="AJ168" s="30"/>
      <c r="AK168" s="573" t="b">
        <f t="shared" si="24"/>
        <v>0</v>
      </c>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573" t="b">
        <f>OR(BJ160,W168=EUconst_NA)</f>
        <v>1</v>
      </c>
      <c r="BK168" s="23"/>
    </row>
    <row r="169" spans="1:63" s="1063" customFormat="1" ht="5.0999999999999996" customHeight="1" thickBot="1" x14ac:dyDescent="0.25">
      <c r="A169" s="58"/>
      <c r="B169" s="1248"/>
      <c r="C169" s="164"/>
      <c r="D169" s="178"/>
      <c r="E169" s="140"/>
      <c r="F169" s="140"/>
      <c r="G169" s="140"/>
      <c r="H169" s="140"/>
      <c r="I169" s="140"/>
      <c r="J169" s="140"/>
      <c r="K169" s="140"/>
      <c r="L169" s="140"/>
      <c r="M169" s="695"/>
      <c r="N169" s="140"/>
      <c r="O169" s="1305"/>
      <c r="P169" s="33"/>
      <c r="Q169" s="172"/>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23"/>
    </row>
    <row r="170" spans="1:63" s="1063" customFormat="1" ht="12.75" customHeight="1" x14ac:dyDescent="0.2">
      <c r="A170" s="58"/>
      <c r="B170" s="1248"/>
      <c r="C170" s="753" t="s">
        <v>325</v>
      </c>
      <c r="D170" s="637" t="str">
        <f>Translations!$B$748</f>
        <v>Išmestas CF4 kiekis</v>
      </c>
      <c r="E170" s="638"/>
      <c r="F170" s="504"/>
      <c r="G170" s="504"/>
      <c r="H170" s="504"/>
      <c r="I170" s="1683" t="str">
        <f>EUconst_t</f>
        <v>t</v>
      </c>
      <c r="J170" s="1684"/>
      <c r="K170" s="504"/>
      <c r="L170" s="917" t="str">
        <f>IF(ISNUMBER(U155),INDEX(AO163:AP163,U155),"")</f>
        <v/>
      </c>
      <c r="M170" s="695"/>
      <c r="N170" s="140"/>
      <c r="O170" s="1305"/>
      <c r="P170" s="33"/>
      <c r="Q170" s="172"/>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23"/>
    </row>
    <row r="171" spans="1:63" s="1063" customFormat="1" ht="12.75" customHeight="1" thickBot="1" x14ac:dyDescent="0.25">
      <c r="A171" s="58"/>
      <c r="B171" s="1248"/>
      <c r="C171" s="753" t="s">
        <v>448</v>
      </c>
      <c r="D171" s="637" t="str">
        <f>Translations!$B$749</f>
        <v>Išmestas C2F6 kiekis</v>
      </c>
      <c r="E171" s="504"/>
      <c r="F171" s="504"/>
      <c r="G171" s="504"/>
      <c r="H171" s="504"/>
      <c r="I171" s="1685" t="str">
        <f>EUconst_t</f>
        <v>t</v>
      </c>
      <c r="J171" s="1686"/>
      <c r="K171" s="504"/>
      <c r="L171" s="918" t="str">
        <f>IF(ISNUMBER(U155),INDEX(AO164:AP164,U155),"")</f>
        <v/>
      </c>
      <c r="M171" s="695"/>
      <c r="N171" s="140"/>
      <c r="O171" s="1305"/>
      <c r="P171" s="33"/>
      <c r="Q171" s="172"/>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23"/>
    </row>
    <row r="172" spans="1:63" s="1063" customFormat="1" ht="5.0999999999999996" customHeight="1" thickBot="1" x14ac:dyDescent="0.25">
      <c r="A172" s="58"/>
      <c r="B172" s="1248"/>
      <c r="C172" s="755"/>
      <c r="D172" s="178"/>
      <c r="E172" s="140"/>
      <c r="F172" s="140"/>
      <c r="G172" s="140"/>
      <c r="H172" s="140"/>
      <c r="I172" s="140"/>
      <c r="J172" s="140"/>
      <c r="K172" s="140"/>
      <c r="L172" s="140"/>
      <c r="M172" s="695"/>
      <c r="N172" s="140"/>
      <c r="O172" s="1305"/>
      <c r="P172" s="33"/>
      <c r="Q172" s="172"/>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23"/>
    </row>
    <row r="173" spans="1:63" s="1063" customFormat="1" ht="12.75" customHeight="1" x14ac:dyDescent="0.2">
      <c r="A173" s="58"/>
      <c r="B173" s="1248"/>
      <c r="C173" s="753" t="s">
        <v>449</v>
      </c>
      <c r="D173" s="637" t="str">
        <f>Translations!$B$736</f>
        <v>VAP(CF4)</v>
      </c>
      <c r="E173" s="638"/>
      <c r="F173" s="504"/>
      <c r="G173" s="504"/>
      <c r="H173" s="504"/>
      <c r="I173" s="1683" t="s">
        <v>438</v>
      </c>
      <c r="J173" s="1684"/>
      <c r="K173" s="639">
        <f>IF(L173="",7390,"")</f>
        <v>7390</v>
      </c>
      <c r="L173" s="930"/>
      <c r="M173" s="695"/>
      <c r="N173" s="140"/>
      <c r="O173" s="1305"/>
      <c r="P173" s="635"/>
      <c r="Q173" s="172"/>
      <c r="R173" s="30"/>
      <c r="S173" s="30"/>
      <c r="T173" s="30"/>
      <c r="U173" s="30"/>
      <c r="V173" s="30"/>
      <c r="W173" s="30"/>
      <c r="X173" s="30"/>
      <c r="Y173" s="30"/>
      <c r="Z173" s="30"/>
      <c r="AA173" s="30"/>
      <c r="AB173" s="30"/>
      <c r="AC173" s="30"/>
      <c r="AD173" s="30"/>
      <c r="AE173" s="526">
        <f>IF(L173="",K173,L173)</f>
        <v>7390</v>
      </c>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522" t="b">
        <f>BJ160</f>
        <v>1</v>
      </c>
      <c r="BK173" s="23"/>
    </row>
    <row r="174" spans="1:63" s="1063" customFormat="1" ht="12.75" customHeight="1" thickBot="1" x14ac:dyDescent="0.25">
      <c r="A174" s="58"/>
      <c r="B174" s="1248"/>
      <c r="C174" s="753" t="s">
        <v>450</v>
      </c>
      <c r="D174" s="637" t="str">
        <f>Translations!$B$738</f>
        <v>VAP(C2F6)</v>
      </c>
      <c r="E174" s="638"/>
      <c r="F174" s="504"/>
      <c r="G174" s="504"/>
      <c r="H174" s="504"/>
      <c r="I174" s="1685" t="s">
        <v>439</v>
      </c>
      <c r="J174" s="1686"/>
      <c r="K174" s="640">
        <f>IF(L174="",12200,"")</f>
        <v>12200</v>
      </c>
      <c r="L174" s="931"/>
      <c r="M174" s="695"/>
      <c r="N174" s="140"/>
      <c r="O174" s="1305"/>
      <c r="P174" s="33"/>
      <c r="Q174" s="172"/>
      <c r="R174" s="30"/>
      <c r="S174" s="30"/>
      <c r="T174" s="30"/>
      <c r="U174" s="30"/>
      <c r="V174" s="30"/>
      <c r="W174" s="30"/>
      <c r="X174" s="30"/>
      <c r="Y174" s="30"/>
      <c r="Z174" s="30"/>
      <c r="AA174" s="30"/>
      <c r="AB174" s="30"/>
      <c r="AC174" s="30"/>
      <c r="AD174" s="30"/>
      <c r="AE174" s="665">
        <f>IF(L174="",K174,L174)</f>
        <v>12200</v>
      </c>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571" t="b">
        <f>BJ173</f>
        <v>1</v>
      </c>
      <c r="BK174" s="23"/>
    </row>
    <row r="175" spans="1:63" s="1063" customFormat="1" ht="5.0999999999999996" customHeight="1" thickBot="1" x14ac:dyDescent="0.25">
      <c r="A175" s="58"/>
      <c r="B175" s="1248"/>
      <c r="C175" s="755"/>
      <c r="D175" s="298"/>
      <c r="E175" s="486"/>
      <c r="F175" s="140"/>
      <c r="G175" s="140"/>
      <c r="H175" s="140"/>
      <c r="I175" s="140"/>
      <c r="J175" s="140"/>
      <c r="K175" s="140"/>
      <c r="L175" s="695"/>
      <c r="M175" s="695"/>
      <c r="N175" s="140"/>
      <c r="O175" s="1305"/>
      <c r="P175" s="33"/>
      <c r="Q175" s="172"/>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23"/>
    </row>
    <row r="176" spans="1:63" s="1063" customFormat="1" ht="12.75" customHeight="1" x14ac:dyDescent="0.2">
      <c r="A176" s="58"/>
      <c r="B176" s="1248"/>
      <c r="C176" s="753" t="s">
        <v>451</v>
      </c>
      <c r="D176" s="637" t="str">
        <f>Translations!$B$748</f>
        <v>Išmestas CF4 kiekis</v>
      </c>
      <c r="E176" s="638"/>
      <c r="F176" s="504"/>
      <c r="G176" s="504"/>
      <c r="H176" s="504"/>
      <c r="I176" s="1683" t="s">
        <v>257</v>
      </c>
      <c r="J176" s="1684"/>
      <c r="K176" s="504"/>
      <c r="L176" s="696" t="str">
        <f>IF(ISNUMBER(U155),INDEX(AO165:AP165,U155),"")</f>
        <v/>
      </c>
      <c r="M176" s="695"/>
      <c r="N176" s="140"/>
      <c r="O176" s="1305"/>
      <c r="P176" s="635"/>
      <c r="Q176" s="172"/>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23"/>
    </row>
    <row r="177" spans="1:63" s="1063" customFormat="1" ht="12.75" customHeight="1" thickBot="1" x14ac:dyDescent="0.25">
      <c r="A177" s="58"/>
      <c r="B177" s="1248"/>
      <c r="C177" s="753" t="s">
        <v>452</v>
      </c>
      <c r="D177" s="637" t="str">
        <f>Translations!$B$749</f>
        <v>Išmestas C2F6 kiekis</v>
      </c>
      <c r="E177" s="504"/>
      <c r="F177" s="504"/>
      <c r="G177" s="504"/>
      <c r="H177" s="504"/>
      <c r="I177" s="1685" t="s">
        <v>257</v>
      </c>
      <c r="J177" s="1686"/>
      <c r="K177" s="504"/>
      <c r="L177" s="697" t="str">
        <f>IF(ISNUMBER(U155),INDEX(AO166:AP166,U155),"")</f>
        <v/>
      </c>
      <c r="M177" s="695"/>
      <c r="N177" s="140"/>
      <c r="O177" s="1305"/>
      <c r="P177" s="33"/>
      <c r="Q177" s="172"/>
      <c r="R177" s="30"/>
      <c r="S177" s="30"/>
      <c r="T177" s="30"/>
      <c r="U177" s="30"/>
      <c r="V177" s="30"/>
      <c r="W177" s="30"/>
      <c r="X177" s="30"/>
      <c r="Y177" s="30"/>
      <c r="Z177" s="30"/>
      <c r="AA177" s="30"/>
      <c r="AB177" s="30"/>
      <c r="AC177" s="30"/>
      <c r="AD177" s="30"/>
      <c r="AE177" s="483"/>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23"/>
    </row>
    <row r="178" spans="1:63" s="1063" customFormat="1" ht="5.0999999999999996" customHeight="1" thickBot="1" x14ac:dyDescent="0.25">
      <c r="A178" s="58"/>
      <c r="B178" s="1248"/>
      <c r="C178" s="755"/>
      <c r="D178" s="178"/>
      <c r="E178" s="140"/>
      <c r="F178" s="140"/>
      <c r="G178" s="140"/>
      <c r="H178" s="140"/>
      <c r="I178" s="140"/>
      <c r="J178" s="140"/>
      <c r="K178" s="140"/>
      <c r="L178" s="140"/>
      <c r="M178" s="695"/>
      <c r="N178" s="140"/>
      <c r="O178" s="1305"/>
      <c r="P178" s="33"/>
      <c r="Q178" s="172"/>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23"/>
    </row>
    <row r="179" spans="1:63" s="1063" customFormat="1" ht="12.75" customHeight="1" thickBot="1" x14ac:dyDescent="0.25">
      <c r="A179" s="58"/>
      <c r="B179" s="1248"/>
      <c r="C179" s="753" t="s">
        <v>453</v>
      </c>
      <c r="D179" s="637" t="str">
        <f>Translations!$B$167</f>
        <v>Surinkimo efektyvumas</v>
      </c>
      <c r="E179" s="504"/>
      <c r="F179" s="504"/>
      <c r="G179" s="504"/>
      <c r="H179" s="504"/>
      <c r="I179" s="1687" t="s">
        <v>258</v>
      </c>
      <c r="J179" s="1688"/>
      <c r="K179" s="504"/>
      <c r="L179" s="932"/>
      <c r="M179" s="700" t="str">
        <f>IF(AND(E155&lt;&gt;"",L179=""),EUconst_ERR_Incomplete,IF(COUNTIF(AI179:AL179,TRUE)&gt;0,EUconst_ERR_Inconsistent,""))</f>
        <v/>
      </c>
      <c r="N179" s="140"/>
      <c r="O179" s="1305"/>
      <c r="P179" s="635"/>
      <c r="Q179" s="172"/>
      <c r="R179" s="30"/>
      <c r="S179" s="30"/>
      <c r="T179" s="30"/>
      <c r="U179" s="30"/>
      <c r="V179" s="30"/>
      <c r="W179" s="30"/>
      <c r="X179" s="30"/>
      <c r="Y179" s="30"/>
      <c r="Z179" s="30"/>
      <c r="AA179" s="30"/>
      <c r="AB179" s="30"/>
      <c r="AC179" s="30"/>
      <c r="AD179" s="30"/>
      <c r="AE179" s="30"/>
      <c r="AF179" s="30"/>
      <c r="AG179" s="30"/>
      <c r="AH179" s="30"/>
      <c r="AI179" s="30"/>
      <c r="AJ179" s="30"/>
      <c r="AK179" s="30"/>
      <c r="AL179" s="515" t="b">
        <f>L179&gt;100%</f>
        <v>0</v>
      </c>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515" t="b">
        <f>BJ160</f>
        <v>1</v>
      </c>
      <c r="BK179" s="23"/>
    </row>
    <row r="180" spans="1:63" s="1063" customFormat="1" ht="5.0999999999999996" customHeight="1" thickBot="1" x14ac:dyDescent="0.25">
      <c r="A180" s="58"/>
      <c r="B180" s="1248"/>
      <c r="C180" s="164"/>
      <c r="D180" s="178"/>
      <c r="E180" s="140"/>
      <c r="F180" s="140"/>
      <c r="G180" s="140"/>
      <c r="H180" s="140"/>
      <c r="I180" s="140"/>
      <c r="J180" s="140"/>
      <c r="K180" s="140"/>
      <c r="L180" s="140"/>
      <c r="M180" s="140"/>
      <c r="N180" s="140"/>
      <c r="O180" s="1305"/>
      <c r="P180" s="33"/>
      <c r="Q180" s="172"/>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23"/>
    </row>
    <row r="181" spans="1:63" s="1063" customFormat="1" ht="12.75" customHeight="1" thickBot="1" x14ac:dyDescent="0.25">
      <c r="A181" s="58"/>
      <c r="B181" s="1248"/>
      <c r="C181" s="164"/>
      <c r="D181" s="1629" t="str">
        <f>Translations!$B$674</f>
        <v>Pakopos galioja nuo:</v>
      </c>
      <c r="E181" s="1629"/>
      <c r="F181" s="1630"/>
      <c r="G181" s="607"/>
      <c r="H181" s="606" t="str">
        <f>Translations!$B$675</f>
        <v>iki:</v>
      </c>
      <c r="I181" s="607"/>
      <c r="J181" s="140"/>
      <c r="K181" s="140"/>
      <c r="L181" s="140"/>
      <c r="M181" s="140"/>
      <c r="N181" s="140"/>
      <c r="O181" s="1305"/>
      <c r="P181" s="33"/>
      <c r="Q181" s="172"/>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515" t="b">
        <f>BJ160</f>
        <v>1</v>
      </c>
      <c r="BK181" s="23"/>
    </row>
    <row r="182" spans="1:63" s="1063" customFormat="1" ht="5.0999999999999996" customHeight="1" thickBot="1" x14ac:dyDescent="0.25">
      <c r="A182" s="30"/>
      <c r="B182" s="1316"/>
      <c r="C182" s="140"/>
      <c r="D182" s="178"/>
      <c r="E182" s="140"/>
      <c r="F182" s="140"/>
      <c r="G182" s="140"/>
      <c r="H182" s="140"/>
      <c r="I182" s="140"/>
      <c r="J182" s="140"/>
      <c r="K182" s="140"/>
      <c r="L182" s="140"/>
      <c r="M182" s="140"/>
      <c r="N182" s="140"/>
      <c r="O182" s="1317"/>
      <c r="P182" s="488"/>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23"/>
    </row>
    <row r="183" spans="1:63" s="1063" customFormat="1" ht="12.75" customHeight="1" thickBot="1" x14ac:dyDescent="0.25">
      <c r="A183" s="30"/>
      <c r="B183" s="1316"/>
      <c r="C183" s="140"/>
      <c r="D183" s="1618" t="str">
        <f>Translations!$B$160</f>
        <v>Pastabos:</v>
      </c>
      <c r="E183" s="1619"/>
      <c r="F183" s="1680"/>
      <c r="G183" s="1680"/>
      <c r="H183" s="1680"/>
      <c r="I183" s="1680"/>
      <c r="J183" s="1680"/>
      <c r="K183" s="1680"/>
      <c r="L183" s="1680"/>
      <c r="M183" s="1680"/>
      <c r="N183" s="1680"/>
      <c r="O183" s="1317"/>
      <c r="P183" s="488"/>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515" t="b">
        <f>BJ181</f>
        <v>1</v>
      </c>
      <c r="BK183" s="23"/>
    </row>
    <row r="184" spans="1:63" s="1060" customFormat="1" ht="12.75" customHeight="1" thickBot="1" x14ac:dyDescent="0.25">
      <c r="A184" s="58"/>
      <c r="B184" s="1312"/>
      <c r="C184" s="490"/>
      <c r="D184" s="491"/>
      <c r="E184" s="492"/>
      <c r="F184" s="490"/>
      <c r="G184" s="493"/>
      <c r="H184" s="493"/>
      <c r="I184" s="493"/>
      <c r="J184" s="493"/>
      <c r="K184" s="493"/>
      <c r="L184" s="493"/>
      <c r="M184" s="493"/>
      <c r="N184" s="493"/>
      <c r="O184" s="1313"/>
      <c r="P184" s="485"/>
      <c r="Q184" s="58"/>
      <c r="R184" s="58"/>
      <c r="S184" s="489"/>
      <c r="T184" s="58"/>
      <c r="U184" s="58"/>
      <c r="V184" s="489"/>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23"/>
    </row>
    <row r="185" spans="1:63" s="1060" customFormat="1" ht="12.75" customHeight="1" thickBot="1" x14ac:dyDescent="0.25">
      <c r="A185" s="482"/>
      <c r="B185" s="1312"/>
      <c r="C185" s="486"/>
      <c r="D185" s="178"/>
      <c r="E185" s="487"/>
      <c r="F185" s="486"/>
      <c r="G185" s="478"/>
      <c r="H185" s="478"/>
      <c r="I185" s="478"/>
      <c r="J185" s="478"/>
      <c r="K185" s="486"/>
      <c r="L185" s="478"/>
      <c r="M185" s="478"/>
      <c r="N185" s="478"/>
      <c r="O185" s="1313"/>
      <c r="P185" s="485"/>
      <c r="Q185" s="76"/>
      <c r="R185" s="76"/>
      <c r="S185" s="58"/>
      <c r="T185" s="23"/>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23"/>
    </row>
    <row r="186" spans="1:63" s="1063" customFormat="1" ht="15" customHeight="1" thickBot="1" x14ac:dyDescent="0.25">
      <c r="A186" s="58"/>
      <c r="B186" s="1248"/>
      <c r="C186" s="608">
        <f>C154+1</f>
        <v>5</v>
      </c>
      <c r="D186" s="334"/>
      <c r="E186" s="1610"/>
      <c r="F186" s="1611"/>
      <c r="G186" s="1611"/>
      <c r="H186" s="1611"/>
      <c r="I186" s="1611"/>
      <c r="J186" s="1612"/>
      <c r="K186" s="140"/>
      <c r="L186" s="140"/>
      <c r="M186" s="494" t="str">
        <f>Translations!$B$747</f>
        <v>Išmetamųjų teršalų kiekis:</v>
      </c>
      <c r="N186" s="998" t="str">
        <f>IF(COUNT(L208:L209,L211)=3,(L208+L209)/L211,"")</f>
        <v/>
      </c>
      <c r="O186" s="1314" t="s">
        <v>257</v>
      </c>
      <c r="P186" s="485"/>
      <c r="Q186" s="343" t="str">
        <f>EUconst_SumCO2 &amp; "_" &amp; EUconst_ProcessPFC</f>
        <v>SUM_CO2_Išmetamas PFC kiekis</v>
      </c>
      <c r="R186" s="27" t="str">
        <f>IF(ISBLANK(E186),"",MATCH(E186,CNTR_SourceStreamNames,0))</f>
        <v/>
      </c>
      <c r="S186" s="609" t="str">
        <f>IF(ISBLANK(E186),"",INDEX(B_InstallationDescription!$D$71:$D$145,MATCH(E186,CNTR_SourceStreamNames,0)))</f>
        <v/>
      </c>
      <c r="T186" s="500" t="s">
        <v>387</v>
      </c>
      <c r="U186" s="677" t="s">
        <v>67</v>
      </c>
      <c r="V186" s="58"/>
      <c r="W186" s="58"/>
      <c r="X186" s="58"/>
      <c r="Y186" s="58"/>
      <c r="Z186" s="58"/>
      <c r="AA186" s="58"/>
      <c r="AB186" s="333"/>
      <c r="AC186" s="333"/>
      <c r="AD186" s="333"/>
      <c r="AE186" s="333"/>
      <c r="AF186" s="333"/>
      <c r="AG186" s="333"/>
      <c r="AH186" s="333"/>
      <c r="AI186" s="333"/>
      <c r="AJ186" s="333"/>
      <c r="AK186" s="333"/>
      <c r="AL186" s="333"/>
      <c r="AM186" s="333"/>
      <c r="AN186" s="333"/>
      <c r="AO186" s="333"/>
      <c r="AP186" s="333"/>
      <c r="AQ186" s="333"/>
      <c r="AR186" s="333"/>
      <c r="AS186" s="866">
        <f>K192</f>
        <v>0</v>
      </c>
      <c r="AT186" s="833">
        <f>AE194</f>
        <v>0</v>
      </c>
      <c r="AU186" s="833">
        <f>AE195</f>
        <v>0</v>
      </c>
      <c r="AV186" s="833">
        <f>AE196</f>
        <v>0</v>
      </c>
      <c r="AW186" s="833">
        <f>AE197</f>
        <v>0</v>
      </c>
      <c r="AX186" s="833">
        <f>AE198</f>
        <v>0</v>
      </c>
      <c r="AY186" s="833">
        <f>AE199</f>
        <v>0</v>
      </c>
      <c r="AZ186" s="833">
        <f>AE200</f>
        <v>0</v>
      </c>
      <c r="BA186" s="867" t="str">
        <f>L202</f>
        <v/>
      </c>
      <c r="BB186" s="867" t="str">
        <f>L203</f>
        <v/>
      </c>
      <c r="BC186" s="833">
        <f>AE205</f>
        <v>7390</v>
      </c>
      <c r="BD186" s="833">
        <f>AE206</f>
        <v>12200</v>
      </c>
      <c r="BE186" s="866" t="str">
        <f>L208</f>
        <v/>
      </c>
      <c r="BF186" s="866" t="str">
        <f>L209</f>
        <v/>
      </c>
      <c r="BG186" s="868">
        <f>L211</f>
        <v>0</v>
      </c>
      <c r="BH186" s="866" t="str">
        <f>N186</f>
        <v/>
      </c>
      <c r="BI186" s="333"/>
      <c r="BJ186" s="515" t="b">
        <f>CNTR_PFCRelevant=EUconst_NotRelevant</f>
        <v>1</v>
      </c>
      <c r="BK186" s="23"/>
    </row>
    <row r="187" spans="1:63" s="1063" customFormat="1" ht="15" customHeight="1" thickBot="1" x14ac:dyDescent="0.25">
      <c r="A187" s="58"/>
      <c r="B187" s="1248"/>
      <c r="C187" s="164"/>
      <c r="D187" s="164"/>
      <c r="E187" s="1625" t="str">
        <f>IF(E186="","",IF(INDEX(B_InstallationDescription!$E$71:$E$145,MATCH(S186,B_InstallationDescription!$D$71:$D$145,0))&gt;0,INDEX(B_InstallationDescription!$E$71:$E$145,MATCH(S186,B_InstallationDescription!$D$71:$D$145,0)),""))</f>
        <v/>
      </c>
      <c r="F187" s="1626"/>
      <c r="G187" s="1626"/>
      <c r="H187" s="1626"/>
      <c r="I187" s="1626"/>
      <c r="J187" s="1627"/>
      <c r="K187" s="140"/>
      <c r="L187" s="140"/>
      <c r="M187" s="141"/>
      <c r="N187" s="141"/>
      <c r="O187" s="1305"/>
      <c r="P187" s="485"/>
      <c r="Q187" s="30"/>
      <c r="R187" s="27" t="s">
        <v>91</v>
      </c>
      <c r="S187" s="30"/>
      <c r="T187" s="569" t="b">
        <v>1</v>
      </c>
      <c r="U187" s="509" t="str">
        <f>IF(E187="","",INDEX(CNTR_PFCMethod,MATCH(E186,CNTR_PFCSourceStreamNames,0)))</f>
        <v/>
      </c>
      <c r="V187" s="30"/>
      <c r="W187" s="485"/>
      <c r="X187" s="30"/>
      <c r="Y187" s="30"/>
      <c r="Z187" s="30"/>
      <c r="AA187" s="30"/>
      <c r="AB187" s="333"/>
      <c r="AC187" s="27" t="s">
        <v>303</v>
      </c>
      <c r="AD187" s="30"/>
      <c r="AE187" s="30"/>
      <c r="AF187" s="30"/>
      <c r="AG187" s="30"/>
      <c r="AH187" s="30"/>
      <c r="AI187" s="27" t="s">
        <v>310</v>
      </c>
      <c r="AJ187" s="30"/>
      <c r="AK187" s="30"/>
      <c r="AL187" s="30"/>
      <c r="AM187" s="30"/>
      <c r="AN187" s="27" t="s">
        <v>217</v>
      </c>
      <c r="AO187" s="30"/>
      <c r="AP187" s="30"/>
      <c r="AQ187" s="30"/>
      <c r="AR187" s="865" t="s">
        <v>486</v>
      </c>
      <c r="AS187" s="834" t="s">
        <v>218</v>
      </c>
      <c r="AT187" s="834" t="s">
        <v>454</v>
      </c>
      <c r="AU187" s="834" t="s">
        <v>455</v>
      </c>
      <c r="AV187" s="834" t="s">
        <v>447</v>
      </c>
      <c r="AW187" s="834" t="s">
        <v>443</v>
      </c>
      <c r="AX187" s="834" t="s">
        <v>444</v>
      </c>
      <c r="AY187" s="834" t="s">
        <v>445</v>
      </c>
      <c r="AZ187" s="834" t="s">
        <v>446</v>
      </c>
      <c r="BA187" s="834" t="s">
        <v>436</v>
      </c>
      <c r="BB187" s="834" t="s">
        <v>437</v>
      </c>
      <c r="BC187" s="834" t="s">
        <v>434</v>
      </c>
      <c r="BD187" s="834" t="s">
        <v>435</v>
      </c>
      <c r="BE187" s="834" t="s">
        <v>436</v>
      </c>
      <c r="BF187" s="834" t="s">
        <v>437</v>
      </c>
      <c r="BG187" s="834" t="s">
        <v>337</v>
      </c>
      <c r="BH187" s="833" t="s">
        <v>287</v>
      </c>
      <c r="BI187" s="30"/>
      <c r="BJ187" s="30"/>
      <c r="BK187" s="23"/>
    </row>
    <row r="188" spans="1:63" s="1063" customFormat="1" ht="5.0999999999999996" customHeight="1" x14ac:dyDescent="0.2">
      <c r="A188" s="58"/>
      <c r="B188" s="1248"/>
      <c r="C188" s="164"/>
      <c r="D188" s="164"/>
      <c r="E188" s="164"/>
      <c r="F188" s="164"/>
      <c r="G188" s="164"/>
      <c r="H188" s="140"/>
      <c r="I188" s="140"/>
      <c r="J188" s="140"/>
      <c r="K188" s="140"/>
      <c r="L188" s="140"/>
      <c r="M188" s="141"/>
      <c r="N188" s="141"/>
      <c r="O188" s="1305"/>
      <c r="P188" s="33"/>
      <c r="Q188" s="30"/>
      <c r="R188" s="480"/>
      <c r="S188" s="30"/>
      <c r="T188" s="30"/>
      <c r="U188" s="30"/>
      <c r="V188" s="30"/>
      <c r="W188" s="485"/>
      <c r="X188" s="30"/>
      <c r="Y188" s="30"/>
      <c r="Z188" s="30"/>
      <c r="AA188" s="30"/>
      <c r="AB188" s="333"/>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23"/>
    </row>
    <row r="189" spans="1:63" s="1063" customFormat="1" ht="12.75" customHeight="1" x14ac:dyDescent="0.2">
      <c r="A189" s="58"/>
      <c r="B189" s="1248"/>
      <c r="C189" s="164"/>
      <c r="D189" s="164"/>
      <c r="E189" s="1628" t="str">
        <f>IF(E186="","",HYPERLINK("#JUMP_14",EUconst_FurtherGuidancePoint1))</f>
        <v/>
      </c>
      <c r="F189" s="1628"/>
      <c r="G189" s="1628"/>
      <c r="H189" s="1628"/>
      <c r="I189" s="1628"/>
      <c r="J189" s="1628"/>
      <c r="K189" s="1628"/>
      <c r="L189" s="1628"/>
      <c r="M189" s="141"/>
      <c r="N189" s="141"/>
      <c r="O189" s="1305"/>
      <c r="P189" s="33"/>
      <c r="Q189" s="30"/>
      <c r="R189" s="480"/>
      <c r="S189" s="30"/>
      <c r="T189" s="30"/>
      <c r="U189" s="30"/>
      <c r="V189" s="30"/>
      <c r="W189" s="485"/>
      <c r="X189" s="30"/>
      <c r="Y189" s="30"/>
      <c r="Z189" s="30"/>
      <c r="AA189" s="30"/>
      <c r="AB189" s="333"/>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23"/>
    </row>
    <row r="190" spans="1:63" s="1063" customFormat="1" ht="5.0999999999999996" customHeight="1" x14ac:dyDescent="0.2">
      <c r="A190" s="58"/>
      <c r="B190" s="1248"/>
      <c r="C190" s="164"/>
      <c r="D190" s="164"/>
      <c r="E190" s="164"/>
      <c r="F190" s="164"/>
      <c r="G190" s="164"/>
      <c r="H190" s="140"/>
      <c r="I190" s="140"/>
      <c r="J190" s="140"/>
      <c r="K190" s="140"/>
      <c r="L190" s="140"/>
      <c r="M190" s="141"/>
      <c r="N190" s="141"/>
      <c r="O190" s="1305"/>
      <c r="P190" s="33"/>
      <c r="Q190" s="30"/>
      <c r="R190" s="480"/>
      <c r="S190" s="30"/>
      <c r="T190" s="30"/>
      <c r="U190" s="30"/>
      <c r="V190" s="30"/>
      <c r="W190" s="485"/>
      <c r="X190" s="30"/>
      <c r="Y190" s="30"/>
      <c r="Z190" s="30"/>
      <c r="AA190" s="30"/>
      <c r="AB190" s="333"/>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23"/>
    </row>
    <row r="191" spans="1:63" s="1063" customFormat="1" ht="12.75" customHeight="1" thickBot="1" x14ac:dyDescent="0.25">
      <c r="A191" s="58"/>
      <c r="B191" s="1248"/>
      <c r="C191" s="164"/>
      <c r="D191" s="164"/>
      <c r="E191" s="164"/>
      <c r="F191" s="497" t="str">
        <f>Translations!$B$333</f>
        <v>Pakopa</v>
      </c>
      <c r="G191" s="1613" t="str">
        <f>Translations!$B$672</f>
        <v>pakopos aprašas</v>
      </c>
      <c r="H191" s="1613"/>
      <c r="I191" s="1608" t="str">
        <f>Translations!$B$158</f>
        <v>Vienetas</v>
      </c>
      <c r="J191" s="1608"/>
      <c r="K191" s="1608" t="str">
        <f>Translations!$B$673</f>
        <v>Vertė</v>
      </c>
      <c r="L191" s="1608"/>
      <c r="M191" s="498" t="str">
        <f>Translations!$B$610</f>
        <v>klaida</v>
      </c>
      <c r="N191" s="140"/>
      <c r="O191" s="1305"/>
      <c r="P191" s="499"/>
      <c r="Q191" s="30"/>
      <c r="R191" s="480"/>
      <c r="S191" s="30"/>
      <c r="T191" s="500" t="s">
        <v>298</v>
      </c>
      <c r="U191" s="30"/>
      <c r="V191" s="30"/>
      <c r="W191" s="485" t="s">
        <v>560</v>
      </c>
      <c r="X191" s="485" t="s">
        <v>313</v>
      </c>
      <c r="Y191" s="30"/>
      <c r="Z191" s="30"/>
      <c r="AA191" s="496" t="s">
        <v>304</v>
      </c>
      <c r="AB191" s="333"/>
      <c r="AC191" s="483" t="s">
        <v>301</v>
      </c>
      <c r="AD191" s="495" t="s">
        <v>563</v>
      </c>
      <c r="AE191" s="495" t="s">
        <v>562</v>
      </c>
      <c r="AF191" s="501"/>
      <c r="AG191" s="501"/>
      <c r="AH191" s="30"/>
      <c r="AI191" s="483"/>
      <c r="AJ191" s="483"/>
      <c r="AK191" s="483"/>
      <c r="AL191" s="483"/>
      <c r="AM191" s="483"/>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484" t="s">
        <v>259</v>
      </c>
      <c r="BK191" s="23"/>
    </row>
    <row r="192" spans="1:63" s="1063" customFormat="1" ht="12.75" customHeight="1" thickBot="1" x14ac:dyDescent="0.25">
      <c r="A192" s="58"/>
      <c r="B192" s="1248"/>
      <c r="C192" s="783" t="s">
        <v>4</v>
      </c>
      <c r="D192" s="503" t="str">
        <f>Translations!$B$622</f>
        <v>VD:</v>
      </c>
      <c r="E192" s="504"/>
      <c r="F192" s="393"/>
      <c r="G192" s="1603" t="str">
        <f>IF(OR(ISBLANK(F192),F192=EUconst_NoTier),"",IF(X192=0,EUconst_NA,IF(ISERROR(X192),"",X192)))</f>
        <v/>
      </c>
      <c r="H192" s="1604"/>
      <c r="I192" s="1687" t="str">
        <f>EUconst_t</f>
        <v>t</v>
      </c>
      <c r="J192" s="1688"/>
      <c r="K192" s="1693"/>
      <c r="L192" s="1694"/>
      <c r="M192" s="700" t="str">
        <f>IF(AND(E187&lt;&gt;"",OR(F192="",K192=""),W192&lt;&gt;EUconst_NA),EUconst_ERR_Incomplete,IF(COUNTIF(AI192:AL192,TRUE)&gt;0,EUconst_ERR_Inconsistent,""))</f>
        <v/>
      </c>
      <c r="N192" s="140"/>
      <c r="O192" s="1305"/>
      <c r="P192" s="635"/>
      <c r="Q192" s="30"/>
      <c r="R192" s="505" t="str">
        <f>EUconst_CNTR_ActivityData&amp;E187</f>
        <v>ActivityData_</v>
      </c>
      <c r="S192" s="488"/>
      <c r="T192" s="505" t="str">
        <f>IF(E186="","",INDEX(B_InstallationDescription!$I$71:$I$145,MATCH(S186,B_InstallationDescription!$D$71:$D$145,0)))</f>
        <v/>
      </c>
      <c r="U192" s="30"/>
      <c r="V192" s="488"/>
      <c r="W192" s="506" t="str">
        <f>IF(E187="","",INDEX(EUwideConstants!$N:$N,MATCH(R192,EUwideConstants!$Q:$Q,0)))</f>
        <v/>
      </c>
      <c r="X192" s="507" t="str">
        <f>IF(ISBLANK(F192),"",IF(F192=EUconst_NA,"",INDEX(EUwideConstants!$H:$M,MATCH(R192,EUwideConstants!$Q:$Q,0),MATCH(F192,CNTR_TierList,0))))</f>
        <v/>
      </c>
      <c r="Y192" s="508" t="s">
        <v>299</v>
      </c>
      <c r="Z192" s="495"/>
      <c r="AA192" s="509" t="b">
        <f>E186&lt;&gt;""</f>
        <v>0</v>
      </c>
      <c r="AB192" s="333"/>
      <c r="AC192" s="496"/>
      <c r="AD192" s="30"/>
      <c r="AE192" s="509">
        <f>IF(W192=EUconst_NA,1,IF(COUNT(K192:L192)=0,0,IF(L192="",K192,L192)))</f>
        <v>0</v>
      </c>
      <c r="AF192" s="501" t="s">
        <v>306</v>
      </c>
      <c r="AG192" s="501" t="s">
        <v>306</v>
      </c>
      <c r="AH192" s="30"/>
      <c r="AI192" s="30"/>
      <c r="AJ192" s="30"/>
      <c r="AK192" s="30" t="s">
        <v>536</v>
      </c>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515" t="b">
        <f>OR(CNTR_PFCRelevant=EUconst_NotRelevant,AND(COUNTA(CNTR_ListRelevantSections)&gt;0,E186=""))</f>
        <v>1</v>
      </c>
      <c r="BK192" s="23"/>
    </row>
    <row r="193" spans="1:63" s="1063" customFormat="1" ht="5.0999999999999996" customHeight="1" thickBot="1" x14ac:dyDescent="0.25">
      <c r="A193" s="58"/>
      <c r="B193" s="1248"/>
      <c r="C193" s="783"/>
      <c r="D193" s="298"/>
      <c r="E193" s="140"/>
      <c r="F193" s="141"/>
      <c r="G193" s="141"/>
      <c r="H193" s="141" t="s">
        <v>233</v>
      </c>
      <c r="I193" s="516"/>
      <c r="J193" s="516"/>
      <c r="K193" s="141"/>
      <c r="L193" s="141"/>
      <c r="M193" s="701"/>
      <c r="N193" s="140"/>
      <c r="O193" s="1305"/>
      <c r="P193" s="33"/>
      <c r="Q193" s="30"/>
      <c r="R193" s="153"/>
      <c r="S193" s="488"/>
      <c r="T193" s="30"/>
      <c r="U193" s="30"/>
      <c r="V193" s="488"/>
      <c r="W193" s="517"/>
      <c r="X193" s="30"/>
      <c r="Y193" s="30"/>
      <c r="Z193" s="30"/>
      <c r="AA193" s="30"/>
      <c r="AB193" s="333"/>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484"/>
      <c r="BK193" s="23"/>
    </row>
    <row r="194" spans="1:63" s="1063" customFormat="1" ht="12.75" customHeight="1" thickBot="1" x14ac:dyDescent="0.25">
      <c r="A194" s="58"/>
      <c r="B194" s="1248"/>
      <c r="C194" s="783" t="s">
        <v>5</v>
      </c>
      <c r="D194" s="503" t="str">
        <f>Translations!$B$722</f>
        <v>A. Dažnis</v>
      </c>
      <c r="E194" s="504"/>
      <c r="F194" s="518"/>
      <c r="G194" s="1603" t="str">
        <f t="shared" ref="G194:G200" si="26">IF(OR(ISBLANK(F194),F194=EUconst_NoTier),"",IF(X194=0,EUconst_NotApplicable,IF(ISERROR(X194),"",X194)))</f>
        <v/>
      </c>
      <c r="H194" s="1609"/>
      <c r="I194" s="1683" t="str">
        <f>IF(W194=EUconst_NA,"",INDEX(PFCUnits,1))</f>
        <v>1/(vienoje elektrolizės vonioje per parą)</v>
      </c>
      <c r="J194" s="1684"/>
      <c r="K194" s="669" t="str">
        <f t="shared" ref="K194:K200" si="27">IF(L194="",AD194,"")</f>
        <v/>
      </c>
      <c r="L194" s="685"/>
      <c r="M194" s="700" t="str">
        <f>IF(AND(E187&lt;&gt;"",OR(F194="",L194=""),W194&lt;&gt;EUconst_NA),EUconst_ERR_Incomplete,IF(COUNTIF(AI194:AL194,TRUE)&gt;0,EUconst_ERR_Inconsistent,""))</f>
        <v/>
      </c>
      <c r="N194" s="486"/>
      <c r="O194" s="1305"/>
      <c r="P194" s="33"/>
      <c r="Q194" s="30"/>
      <c r="R194" s="521" t="str">
        <f>R192</f>
        <v>ActivityData_</v>
      </c>
      <c r="S194" s="488"/>
      <c r="T194" s="648" t="str">
        <f>T192</f>
        <v/>
      </c>
      <c r="U194" s="30"/>
      <c r="V194" s="488">
        <v>1</v>
      </c>
      <c r="W194" s="663" t="str">
        <f>IF(E187="","",IF(U187&lt;&gt;V194,EUconst_NA,INDEX(EUwideConstants!$N:$N,MATCH(R194,EUwideConstants!$Q:$Q,0))))</f>
        <v/>
      </c>
      <c r="X194" s="524" t="str">
        <f>IF(ISBLANK(F194),"",IF(F194=EUconst_NA,"",INDEX(EUwideConstants!$H:$M,MATCH(R194,EUwideConstants!$Q:$Q,0),MATCH(F194,CNTR_TierList,0))))</f>
        <v/>
      </c>
      <c r="Y194" s="30"/>
      <c r="Z194" s="30"/>
      <c r="AA194" s="526" t="b">
        <f>AND(AA192,W194&lt;&gt;EUconst_NA)</f>
        <v>0</v>
      </c>
      <c r="AB194" s="333"/>
      <c r="AC194" s="666" t="str">
        <f>IF(AA194=TRUE,IF(COUNTIF(MSPara_SourceStreamCategory,T194)=0,"",INDEX(MSPara_CalcFactorsMatrix,MATCH(T194,MSPara_SourceStreamCategory,0),MATCH(#REF!&amp;"_"&amp;1,MSPara_CalcFactors,0))),"")</f>
        <v/>
      </c>
      <c r="AD194" s="666" t="str">
        <f>""</f>
        <v/>
      </c>
      <c r="AE194" s="525">
        <f t="shared" ref="AE194:AE200" si="28">IF(AA194=TRUE,IF(COUNT(K194:L194)=0,0,IF(L194="",K194,L194)),0)</f>
        <v>0</v>
      </c>
      <c r="AF194" s="525" t="b">
        <f>AND(AA194=TRUE,OR(AND(F194&lt;&gt;"",NOT(ISNUMBER(Y194))),L194&lt;&gt;"",F194="",AD194=""))</f>
        <v>0</v>
      </c>
      <c r="AG194" s="525" t="b">
        <f t="shared" ref="AG194:AG200" si="29">AND(AA194=TRUE,NOT(AF194))</f>
        <v>0</v>
      </c>
      <c r="AH194" s="30"/>
      <c r="AI194" s="30"/>
      <c r="AJ194" s="30"/>
      <c r="AK194" s="525" t="b">
        <f t="shared" ref="AK194:AK200" si="30">AND(L194&lt;&gt;"",W194=EUconst_NA)</f>
        <v>0</v>
      </c>
      <c r="AL194" s="30"/>
      <c r="AM194" s="30"/>
      <c r="AN194" s="30"/>
      <c r="AO194" s="484" t="s">
        <v>384</v>
      </c>
      <c r="AP194" s="484" t="s">
        <v>385</v>
      </c>
      <c r="AQ194" s="30"/>
      <c r="AR194" s="30"/>
      <c r="AS194" s="30"/>
      <c r="AT194" s="30"/>
      <c r="AU194" s="30"/>
      <c r="AV194" s="30"/>
      <c r="AW194" s="30"/>
      <c r="AX194" s="30"/>
      <c r="AY194" s="30"/>
      <c r="AZ194" s="30"/>
      <c r="BA194" s="30"/>
      <c r="BB194" s="30"/>
      <c r="BC194" s="30"/>
      <c r="BD194" s="30"/>
      <c r="BE194" s="30"/>
      <c r="BF194" s="30"/>
      <c r="BG194" s="30"/>
      <c r="BH194" s="30"/>
      <c r="BI194" s="30"/>
      <c r="BJ194" s="525" t="b">
        <f>OR(BJ192,W194=EUconst_NA)</f>
        <v>1</v>
      </c>
      <c r="BK194" s="23"/>
    </row>
    <row r="195" spans="1:63" s="1063" customFormat="1" ht="12.75" customHeight="1" thickBot="1" x14ac:dyDescent="0.25">
      <c r="A195" s="58"/>
      <c r="B195" s="1248"/>
      <c r="C195" s="783" t="s">
        <v>194</v>
      </c>
      <c r="D195" s="503" t="str">
        <f>Translations!$B$724</f>
        <v>A. Trukmė</v>
      </c>
      <c r="E195" s="504"/>
      <c r="F195" s="636"/>
      <c r="G195" s="1603" t="str">
        <f t="shared" si="26"/>
        <v/>
      </c>
      <c r="H195" s="1609"/>
      <c r="I195" s="1691" t="str">
        <f>IF(W195=EUconst_NA,"",INDEX(PFCUnits,2))</f>
        <v>min.</v>
      </c>
      <c r="J195" s="1692"/>
      <c r="K195" s="670" t="str">
        <f t="shared" si="27"/>
        <v/>
      </c>
      <c r="L195" s="686"/>
      <c r="M195" s="700" t="str">
        <f>IF(AND(E187&lt;&gt;"",OR(F195="",L195=""),W195&lt;&gt;EUconst_NA),EUconst_ERR_Incomplete,IF(COUNTIF(AI195:AL195,TRUE)&gt;0,EUconst_ERR_Inconsistent,""))</f>
        <v/>
      </c>
      <c r="N195" s="486"/>
      <c r="O195" s="1305"/>
      <c r="P195" s="33"/>
      <c r="Q195" s="30"/>
      <c r="R195" s="543" t="str">
        <f>R194</f>
        <v>ActivityData_</v>
      </c>
      <c r="S195" s="488"/>
      <c r="T195" s="649" t="str">
        <f t="shared" ref="T195:T200" si="31">T194</f>
        <v/>
      </c>
      <c r="U195" s="30"/>
      <c r="V195" s="488">
        <v>1</v>
      </c>
      <c r="W195" s="662" t="str">
        <f>IF(E187="","",IF(U187&lt;&gt;V195,EUconst_NA,INDEX(EUwideConstants!$N:$N,MATCH(R195,EUwideConstants!$Q:$Q,0))))</f>
        <v/>
      </c>
      <c r="X195" s="546" t="str">
        <f>IF(ISBLANK(F195),"",IF(F195=EUconst_NA,"",INDEX(EUwideConstants!$H:$M,MATCH(R195,EUwideConstants!$Q:$Q,0),MATCH(F195,CNTR_TierList,0))))</f>
        <v/>
      </c>
      <c r="Y195" s="30"/>
      <c r="Z195" s="30"/>
      <c r="AA195" s="548" t="b">
        <f>AND(AA192,W195&lt;&gt;EUconst_NA)</f>
        <v>0</v>
      </c>
      <c r="AB195" s="333"/>
      <c r="AC195" s="667" t="str">
        <f>IF(AA195=TRUE,IF(COUNTIF(MSPara_SourceStreamCategory,T195)=0,"",INDEX(MSPara_CalcFactorsMatrix,MATCH(T195,MSPara_SourceStreamCategory,0),MATCH(#REF!&amp;"_"&amp;1,MSPara_CalcFactors,0))),"")</f>
        <v/>
      </c>
      <c r="AD195" s="667" t="str">
        <f>""</f>
        <v/>
      </c>
      <c r="AE195" s="651">
        <f t="shared" si="28"/>
        <v>0</v>
      </c>
      <c r="AF195" s="651" t="b">
        <f>AND(AA195=TRUE,OR(AND(F195&lt;&gt;"",NOT(ISNUMBER(Y195))),L195&lt;&gt;"",F195="",AD195=""))</f>
        <v>0</v>
      </c>
      <c r="AG195" s="651" t="b">
        <f t="shared" si="29"/>
        <v>0</v>
      </c>
      <c r="AH195" s="30"/>
      <c r="AI195" s="30"/>
      <c r="AJ195" s="30"/>
      <c r="AK195" s="651" t="b">
        <f t="shared" si="30"/>
        <v>0</v>
      </c>
      <c r="AL195" s="30"/>
      <c r="AM195" s="30"/>
      <c r="AN195" s="538" t="s">
        <v>440</v>
      </c>
      <c r="AO195" s="537" t="str">
        <f>IF(ISNUMBER(U187),AE192*AE194*AE195*AE196/1000,"")</f>
        <v/>
      </c>
      <c r="AP195" s="515" t="str">
        <f>IF(ISNUMBER(U187),AE192*(AE197/IF(AE198=0,0.01,AE198))*AE199/1000,"")</f>
        <v/>
      </c>
      <c r="AQ195" s="30"/>
      <c r="AR195" s="30"/>
      <c r="AS195" s="30"/>
      <c r="AT195" s="30"/>
      <c r="AU195" s="30"/>
      <c r="AV195" s="30"/>
      <c r="AW195" s="30"/>
      <c r="AX195" s="30"/>
      <c r="AY195" s="30"/>
      <c r="AZ195" s="30"/>
      <c r="BA195" s="30"/>
      <c r="BB195" s="30"/>
      <c r="BC195" s="30"/>
      <c r="BD195" s="30"/>
      <c r="BE195" s="30"/>
      <c r="BF195" s="30"/>
      <c r="BG195" s="30"/>
      <c r="BH195" s="30"/>
      <c r="BI195" s="30"/>
      <c r="BJ195" s="651" t="b">
        <f>OR(BJ192,W195=EUconst_NA)</f>
        <v>1</v>
      </c>
      <c r="BK195" s="23"/>
    </row>
    <row r="196" spans="1:63" s="1063" customFormat="1" ht="12.75" customHeight="1" thickBot="1" x14ac:dyDescent="0.25">
      <c r="A196" s="58"/>
      <c r="B196" s="1248"/>
      <c r="C196" s="783" t="s">
        <v>195</v>
      </c>
      <c r="D196" s="643" t="str">
        <f>Translations!$B$726</f>
        <v>A. NITF(CF4)</v>
      </c>
      <c r="E196" s="644"/>
      <c r="F196" s="539"/>
      <c r="G196" s="1689" t="str">
        <f t="shared" si="26"/>
        <v/>
      </c>
      <c r="H196" s="1690"/>
      <c r="I196" s="1691" t="str">
        <f>IF(W196=EUconst_NA,"",INDEX(PFCUnits,3))</f>
        <v>(kg CF4/t Al)/(min./vienoje elektrolizės vonioje per parą)</v>
      </c>
      <c r="J196" s="1692"/>
      <c r="K196" s="671" t="str">
        <f t="shared" si="27"/>
        <v/>
      </c>
      <c r="L196" s="674"/>
      <c r="M196" s="702" t="str">
        <f>IF(AND(E187&lt;&gt;"",OR(F196="",COUNT(K196:L196)=0),W196&lt;&gt;EUconst_NA),EUconst_ERR_Incomplete,IF(COUNTIF(AI196:AL196,TRUE)&gt;0,EUconst_ERR_Inconsistent,""))</f>
        <v/>
      </c>
      <c r="N196" s="140"/>
      <c r="O196" s="1305"/>
      <c r="P196" s="33"/>
      <c r="Q196" s="30"/>
      <c r="R196" s="543" t="str">
        <f>EUconst_CNTR_EF&amp;$E187</f>
        <v>EF_</v>
      </c>
      <c r="S196" s="488"/>
      <c r="T196" s="649" t="str">
        <f t="shared" si="31"/>
        <v/>
      </c>
      <c r="U196" s="30"/>
      <c r="V196" s="488">
        <v>1</v>
      </c>
      <c r="W196" s="662" t="str">
        <f>IF(E187="","",IF(U187&lt;&gt;V196,EUconst_NA,INDEX(EUwideConstants!$N:$N,MATCH(R196,EUwideConstants!$Q:$Q,0))))</f>
        <v/>
      </c>
      <c r="X196" s="546" t="str">
        <f>IF(ISBLANK(F196),"",IF(F196=EUconst_NA,"",INDEX(EUwideConstants!$H:$M,MATCH(R196,EUwideConstants!$Q:$Q,0),MATCH(F196,CNTR_TierList,0))))</f>
        <v/>
      </c>
      <c r="Y196" s="580" t="str">
        <f>IF(COUNTIF(EUconst_DefaultValues,X196)&gt;0,MATCH(X196,EUconst_DefaultValues,0),"")</f>
        <v/>
      </c>
      <c r="Z196" s="30"/>
      <c r="AA196" s="548" t="b">
        <f>AND(AA192,W196&lt;&gt;EUconst_NA)</f>
        <v>0</v>
      </c>
      <c r="AB196" s="333"/>
      <c r="AC196" s="651" t="str">
        <f>IF(AA196=TRUE,IF(T196="","",INDEX(MSPara_PFCMethA,MATCH(T196,PFCCellTypes,0),1)),"")</f>
        <v/>
      </c>
      <c r="AD196" s="651" t="str">
        <f>IF(AND(Y196&lt;&gt;"",ISNUMBER(AC196)),AC196,"")</f>
        <v/>
      </c>
      <c r="AE196" s="651">
        <f t="shared" si="28"/>
        <v>0</v>
      </c>
      <c r="AF196" s="651" t="b">
        <f>AND(AA196=TRUE,OR(AND(F196&lt;&gt;"",NOT(ISNUMBER(Y196))),L196&lt;&gt;"",F196="",AD196=""))</f>
        <v>0</v>
      </c>
      <c r="AG196" s="651" t="b">
        <f t="shared" si="29"/>
        <v>0</v>
      </c>
      <c r="AH196" s="30"/>
      <c r="AI196" s="30"/>
      <c r="AJ196" s="30"/>
      <c r="AK196" s="651" t="b">
        <f t="shared" si="30"/>
        <v>0</v>
      </c>
      <c r="AL196" s="30"/>
      <c r="AM196" s="30"/>
      <c r="AN196" s="538" t="s">
        <v>441</v>
      </c>
      <c r="AO196" s="537">
        <f>IF(AND(ISNUMBER(AO195),AO195&gt;0),AO195*AE200,0)</f>
        <v>0</v>
      </c>
      <c r="AP196" s="515">
        <f>IF(AND(ISNUMBER(AP195),AP195&gt;0),AP195*AE200,0)</f>
        <v>0</v>
      </c>
      <c r="AQ196" s="30"/>
      <c r="AR196" s="30"/>
      <c r="AS196" s="30"/>
      <c r="AT196" s="30"/>
      <c r="AU196" s="30"/>
      <c r="AV196" s="30"/>
      <c r="AW196" s="30"/>
      <c r="AX196" s="30"/>
      <c r="AY196" s="30"/>
      <c r="AZ196" s="30"/>
      <c r="BA196" s="30"/>
      <c r="BB196" s="30"/>
      <c r="BC196" s="30"/>
      <c r="BD196" s="30"/>
      <c r="BE196" s="30"/>
      <c r="BF196" s="30"/>
      <c r="BG196" s="30"/>
      <c r="BH196" s="30"/>
      <c r="BI196" s="30"/>
      <c r="BJ196" s="651" t="b">
        <f>OR(BJ192,W196=EUconst_NA)</f>
        <v>1</v>
      </c>
      <c r="BK196" s="23"/>
    </row>
    <row r="197" spans="1:63" s="1063" customFormat="1" ht="12.75" customHeight="1" thickBot="1" x14ac:dyDescent="0.25">
      <c r="A197" s="58"/>
      <c r="B197" s="1248"/>
      <c r="C197" s="783" t="s">
        <v>196</v>
      </c>
      <c r="D197" s="641" t="str">
        <f>Translations!$B$728</f>
        <v>B. AEV</v>
      </c>
      <c r="E197" s="642"/>
      <c r="F197" s="636"/>
      <c r="G197" s="1681" t="str">
        <f t="shared" si="26"/>
        <v/>
      </c>
      <c r="H197" s="1682"/>
      <c r="I197" s="1691" t="str">
        <f>IF(W197=EUconst_NA,"",INDEX(PFCUnits,4))</f>
        <v>mV</v>
      </c>
      <c r="J197" s="1692"/>
      <c r="K197" s="670" t="str">
        <f t="shared" si="27"/>
        <v/>
      </c>
      <c r="L197" s="686"/>
      <c r="M197" s="703" t="str">
        <f>IF(AND(E187&lt;&gt;"",OR(F197="",L197=""),W197&lt;&gt;EUconst_NA),EUconst_ERR_Incomplete,IF(COUNTIF(AI197:AL197,TRUE)&gt;0,EUconst_ERR_Inconsistent,""))</f>
        <v/>
      </c>
      <c r="N197" s="140"/>
      <c r="O197" s="1305"/>
      <c r="P197" s="635"/>
      <c r="Q197" s="30"/>
      <c r="R197" s="543" t="str">
        <f>R192</f>
        <v>ActivityData_</v>
      </c>
      <c r="S197" s="488"/>
      <c r="T197" s="649" t="str">
        <f t="shared" si="31"/>
        <v/>
      </c>
      <c r="U197" s="30"/>
      <c r="V197" s="488">
        <v>2</v>
      </c>
      <c r="W197" s="662" t="str">
        <f>IF(E187="","",IF(U187&lt;&gt;V197,EUconst_NA,INDEX(EUwideConstants!$N:$N,MATCH(R197,EUwideConstants!$Q:$Q,0))))</f>
        <v/>
      </c>
      <c r="X197" s="546" t="str">
        <f>IF(ISBLANK(F197),"",IF(F197=EUconst_NA,"",INDEX(EUwideConstants!$H:$M,MATCH(R197,EUwideConstants!$Q:$Q,0),MATCH(F197,CNTR_TierList,0))))</f>
        <v/>
      </c>
      <c r="Y197" s="30"/>
      <c r="Z197" s="30"/>
      <c r="AA197" s="548" t="b">
        <f>AND(AA192,W197&lt;&gt;EUconst_NA)</f>
        <v>0</v>
      </c>
      <c r="AB197" s="333"/>
      <c r="AC197" s="667"/>
      <c r="AD197" s="667" t="str">
        <f>""</f>
        <v/>
      </c>
      <c r="AE197" s="651">
        <f t="shared" si="28"/>
        <v>0</v>
      </c>
      <c r="AF197" s="651" t="b">
        <f>AND(AA197=TRUE,OR(ISNUMBER(L197),NOT(ISNUMBER(Y197))))</f>
        <v>0</v>
      </c>
      <c r="AG197" s="651" t="b">
        <f t="shared" si="29"/>
        <v>0</v>
      </c>
      <c r="AH197" s="30"/>
      <c r="AI197" s="30"/>
      <c r="AJ197" s="30"/>
      <c r="AK197" s="651" t="b">
        <f t="shared" si="30"/>
        <v>0</v>
      </c>
      <c r="AL197" s="30"/>
      <c r="AM197" s="30"/>
      <c r="AN197" s="538" t="s">
        <v>440</v>
      </c>
      <c r="AO197" s="537" t="str">
        <f>IF(ISNUMBER(AO195),AO195*AE205,"")</f>
        <v/>
      </c>
      <c r="AP197" s="515" t="str">
        <f>IF(ISNUMBER(AP195),AP195*AE205,"")</f>
        <v/>
      </c>
      <c r="AQ197" s="30"/>
      <c r="AR197" s="30"/>
      <c r="AS197" s="30"/>
      <c r="AT197" s="30"/>
      <c r="AU197" s="30"/>
      <c r="AV197" s="30"/>
      <c r="AW197" s="30"/>
      <c r="AX197" s="30"/>
      <c r="AY197" s="30"/>
      <c r="AZ197" s="30"/>
      <c r="BA197" s="30"/>
      <c r="BB197" s="30"/>
      <c r="BC197" s="30"/>
      <c r="BD197" s="30"/>
      <c r="BE197" s="30"/>
      <c r="BF197" s="30"/>
      <c r="BG197" s="30"/>
      <c r="BH197" s="30"/>
      <c r="BI197" s="30"/>
      <c r="BJ197" s="651" t="b">
        <f>OR(BJ192,W197=EUconst_NA)</f>
        <v>1</v>
      </c>
      <c r="BK197" s="23"/>
    </row>
    <row r="198" spans="1:63" s="1063" customFormat="1" ht="12.75" customHeight="1" thickBot="1" x14ac:dyDescent="0.25">
      <c r="A198" s="58"/>
      <c r="B198" s="1248"/>
      <c r="C198" s="753" t="s">
        <v>197</v>
      </c>
      <c r="D198" s="503" t="str">
        <f>Translations!$B$730</f>
        <v>B. EN</v>
      </c>
      <c r="E198" s="504"/>
      <c r="F198" s="539"/>
      <c r="G198" s="1603" t="str">
        <f t="shared" si="26"/>
        <v/>
      </c>
      <c r="H198" s="1604"/>
      <c r="I198" s="1691" t="str">
        <f>IF(W198=EUconst_NA,"","-")</f>
        <v>-</v>
      </c>
      <c r="J198" s="1692"/>
      <c r="K198" s="672" t="str">
        <f t="shared" si="27"/>
        <v/>
      </c>
      <c r="L198" s="562"/>
      <c r="M198" s="700" t="str">
        <f>IF(AND(E187&lt;&gt;"",OR(F198="",L198=""),W198&lt;&gt;EUconst_NA),EUconst_ERR_Incomplete,IF(COUNTIF(AI198:AL198,TRUE)&gt;0,EUconst_ERR_Inconsistent,""))</f>
        <v/>
      </c>
      <c r="N198" s="140"/>
      <c r="O198" s="1305"/>
      <c r="P198" s="635"/>
      <c r="Q198" s="30"/>
      <c r="R198" s="543" t="str">
        <f>R197</f>
        <v>ActivityData_</v>
      </c>
      <c r="S198" s="488"/>
      <c r="T198" s="649" t="str">
        <f t="shared" si="31"/>
        <v/>
      </c>
      <c r="U198" s="30"/>
      <c r="V198" s="488">
        <v>2</v>
      </c>
      <c r="W198" s="662" t="str">
        <f>IF(E187="","",IF(U187&lt;&gt;V198,EUconst_NA,INDEX(EUwideConstants!$N:$N,MATCH(R198,EUwideConstants!$Q:$Q,0))))</f>
        <v/>
      </c>
      <c r="X198" s="546" t="str">
        <f>IF(ISBLANK(F198),"",IF(F198=EUconst_NA,"",INDEX(EUwideConstants!$H:$M,MATCH(R198,EUwideConstants!$Q:$Q,0),MATCH(F198,CNTR_TierList,0))))</f>
        <v/>
      </c>
      <c r="Y198" s="30"/>
      <c r="Z198" s="30"/>
      <c r="AA198" s="548" t="b">
        <f>AND(AA192,W198&lt;&gt;EUconst_NA)</f>
        <v>0</v>
      </c>
      <c r="AB198" s="333"/>
      <c r="AC198" s="667"/>
      <c r="AD198" s="667" t="str">
        <f>""</f>
        <v/>
      </c>
      <c r="AE198" s="651">
        <f t="shared" si="28"/>
        <v>0</v>
      </c>
      <c r="AF198" s="651" t="b">
        <f>AND(AA198=TRUE,OR(ISNUMBER(L198),NOT(ISNUMBER(Y198))))</f>
        <v>0</v>
      </c>
      <c r="AG198" s="651" t="b">
        <f t="shared" si="29"/>
        <v>0</v>
      </c>
      <c r="AH198" s="30"/>
      <c r="AI198" s="30"/>
      <c r="AJ198" s="30"/>
      <c r="AK198" s="699" t="b">
        <f t="shared" si="30"/>
        <v>0</v>
      </c>
      <c r="AL198" s="515" t="b">
        <f>L198&gt;100%</f>
        <v>0</v>
      </c>
      <c r="AM198" s="30"/>
      <c r="AN198" s="538" t="s">
        <v>441</v>
      </c>
      <c r="AO198" s="537">
        <f>IF(ISNUMBER(AO196),AO196*AE206,"")</f>
        <v>0</v>
      </c>
      <c r="AP198" s="515">
        <f>IF(ISNUMBER(AP196),AP196*AE206,"")</f>
        <v>0</v>
      </c>
      <c r="AQ198" s="30"/>
      <c r="AR198" s="30"/>
      <c r="AS198" s="30"/>
      <c r="AT198" s="30"/>
      <c r="AU198" s="30"/>
      <c r="AV198" s="30"/>
      <c r="AW198" s="30"/>
      <c r="AX198" s="30"/>
      <c r="AY198" s="30"/>
      <c r="AZ198" s="30"/>
      <c r="BA198" s="30"/>
      <c r="BB198" s="30"/>
      <c r="BC198" s="30"/>
      <c r="BD198" s="30"/>
      <c r="BE198" s="30"/>
      <c r="BF198" s="30"/>
      <c r="BG198" s="30"/>
      <c r="BH198" s="30"/>
      <c r="BI198" s="30"/>
      <c r="BJ198" s="651" t="b">
        <f>OR(BJ192,W198=EUconst_NA)</f>
        <v>1</v>
      </c>
      <c r="BK198" s="23"/>
    </row>
    <row r="199" spans="1:63" s="1063" customFormat="1" ht="12.75" customHeight="1" thickBot="1" x14ac:dyDescent="0.25">
      <c r="A199" s="58"/>
      <c r="B199" s="1248"/>
      <c r="C199" s="783" t="s">
        <v>198</v>
      </c>
      <c r="D199" s="643" t="str">
        <f>Translations!$B$732</f>
        <v>B. VĮK</v>
      </c>
      <c r="E199" s="644"/>
      <c r="F199" s="539"/>
      <c r="G199" s="1689" t="str">
        <f t="shared" si="26"/>
        <v/>
      </c>
      <c r="H199" s="1690"/>
      <c r="I199" s="1691" t="str">
        <f>IF(W199=EUconst_NA,"",INDEX(PFCUnits,6))</f>
        <v>(kg CF4)/(t Al mV)</v>
      </c>
      <c r="J199" s="1692"/>
      <c r="K199" s="672" t="str">
        <f t="shared" si="27"/>
        <v/>
      </c>
      <c r="L199" s="675"/>
      <c r="M199" s="702" t="str">
        <f>IF(AND(E187&lt;&gt;"",OR(F199="",COUNT(K199:L199)=0),W199&lt;&gt;EUconst_NA),EUconst_ERR_Incomplete,IF(COUNTIF(AI199:AL199,TRUE)&gt;0,EUconst_ERR_Inconsistent,""))</f>
        <v/>
      </c>
      <c r="N199" s="140"/>
      <c r="O199" s="1305"/>
      <c r="P199" s="33"/>
      <c r="Q199" s="30"/>
      <c r="R199" s="543" t="str">
        <f>EUconst_CNTR_EF&amp;E187</f>
        <v>EF_</v>
      </c>
      <c r="S199" s="488"/>
      <c r="T199" s="649" t="str">
        <f t="shared" si="31"/>
        <v/>
      </c>
      <c r="U199" s="30"/>
      <c r="V199" s="488">
        <v>2</v>
      </c>
      <c r="W199" s="662" t="str">
        <f>IF(E187="","",IF(U187&lt;&gt;V199,EUconst_NA,INDEX(EUwideConstants!$N:$N,MATCH(R199,EUwideConstants!$Q:$Q,0))))</f>
        <v/>
      </c>
      <c r="X199" s="546" t="str">
        <f>IF(ISBLANK(F199),"",IF(F199=EUconst_NA,"",INDEX(EUwideConstants!$H:$M,MATCH(R199,EUwideConstants!$Q:$Q,0),MATCH(F199,CNTR_TierList,0))))</f>
        <v/>
      </c>
      <c r="Y199" s="580" t="str">
        <f>IF(COUNTIF(EUconst_DefaultValues,X199)&gt;0,MATCH(X199,EUconst_DefaultValues,0),"")</f>
        <v/>
      </c>
      <c r="Z199" s="30"/>
      <c r="AA199" s="548" t="b">
        <f>AND(AA192,W199&lt;&gt;EUconst_NA)</f>
        <v>0</v>
      </c>
      <c r="AB199" s="333"/>
      <c r="AC199" s="651" t="str">
        <f>IF(AA199=TRUE,IF(T199="","",INDEX(MSPara_PFCMethB,MATCH(T199,PFCCellTypes,0),1)),"")</f>
        <v/>
      </c>
      <c r="AD199" s="651" t="str">
        <f>IF(AND(Y199&lt;&gt;"",ISNUMBER(AC199)),AC199,"")</f>
        <v/>
      </c>
      <c r="AE199" s="651">
        <f t="shared" si="28"/>
        <v>0</v>
      </c>
      <c r="AF199" s="651" t="b">
        <f>AND(AA199=TRUE,OR(AND(F199&lt;&gt;"",NOT(ISNUMBER(Y199))),L199&lt;&gt;"",F199="",AD199=""))</f>
        <v>0</v>
      </c>
      <c r="AG199" s="651" t="b">
        <f t="shared" si="29"/>
        <v>0</v>
      </c>
      <c r="AH199" s="30"/>
      <c r="AI199" s="30"/>
      <c r="AJ199" s="30"/>
      <c r="AK199" s="651" t="b">
        <f t="shared" si="30"/>
        <v>0</v>
      </c>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651" t="b">
        <f>OR(BJ192,W199=EUconst_NA)</f>
        <v>1</v>
      </c>
      <c r="BK199" s="23"/>
    </row>
    <row r="200" spans="1:63" s="1063" customFormat="1" ht="12.75" customHeight="1" thickBot="1" x14ac:dyDescent="0.25">
      <c r="A200" s="58"/>
      <c r="B200" s="1248"/>
      <c r="C200" s="783" t="s">
        <v>324</v>
      </c>
      <c r="D200" s="641" t="str">
        <f>Translations!$B$734</f>
        <v>F(C2F6)</v>
      </c>
      <c r="E200" s="642"/>
      <c r="F200" s="588"/>
      <c r="G200" s="1681" t="str">
        <f t="shared" si="26"/>
        <v/>
      </c>
      <c r="H200" s="1682"/>
      <c r="I200" s="1685" t="str">
        <f>IF(W200=EUconst_NA,"",INDEX(PFCUnits,7))</f>
        <v>t C2F6/t CF4</v>
      </c>
      <c r="J200" s="1686"/>
      <c r="K200" s="673" t="str">
        <f t="shared" si="27"/>
        <v/>
      </c>
      <c r="L200" s="676"/>
      <c r="M200" s="703" t="str">
        <f>IF(AND(E187&lt;&gt;"",OR(F200="",COUNT(K200:L200)=0),W200&lt;&gt;EUconst_NA),EUconst_ERR_Incomplete,IF(COUNTIF(AI200:AL200,TRUE)&gt;0,EUconst_ERR_Inconsistent,""))</f>
        <v/>
      </c>
      <c r="N200" s="140"/>
      <c r="O200" s="1305"/>
      <c r="P200" s="33"/>
      <c r="Q200" s="30"/>
      <c r="R200" s="590" t="str">
        <f>EUconst_CNTR_EF&amp;E187</f>
        <v>EF_</v>
      </c>
      <c r="S200" s="488"/>
      <c r="T200" s="650" t="str">
        <f t="shared" si="31"/>
        <v/>
      </c>
      <c r="U200" s="30"/>
      <c r="V200" s="488" t="str">
        <f>""</f>
        <v/>
      </c>
      <c r="W200" s="664" t="str">
        <f>W192</f>
        <v/>
      </c>
      <c r="X200" s="592" t="str">
        <f>IF(ISBLANK(F200),"",IF(F200=EUconst_NA,"",INDEX(EUwideConstants!$H:$M,MATCH(R200,EUwideConstants!$Q:$Q,0),MATCH(F200,CNTR_TierList,0))))</f>
        <v/>
      </c>
      <c r="Y200" s="580" t="str">
        <f>IF(COUNTIF(EUconst_DefaultValues,X200)&gt;0,MATCH(X200,EUconst_DefaultValues,0),"")</f>
        <v/>
      </c>
      <c r="Z200" s="30"/>
      <c r="AA200" s="665" t="b">
        <f>AND(AA192,W200&lt;&gt;EUconst_NA)</f>
        <v>0</v>
      </c>
      <c r="AB200" s="333"/>
      <c r="AC200" s="573" t="str">
        <f>IF(AA200=TRUE,IF(T200="","",INDEX(MSPara_PFCMethA,MATCH(T200,PFCCellTypes,0),2)),"")</f>
        <v/>
      </c>
      <c r="AD200" s="573" t="str">
        <f>IF(AND(Y200&lt;&gt;"",ISNUMBER(AC200)),AC200,"")</f>
        <v/>
      </c>
      <c r="AE200" s="573">
        <f t="shared" si="28"/>
        <v>0</v>
      </c>
      <c r="AF200" s="573" t="b">
        <f>AND(AA200=TRUE,OR(AND(F200&lt;&gt;"",NOT(ISNUMBER(Y200))),L200&lt;&gt;"",F200="",AD200=""))</f>
        <v>0</v>
      </c>
      <c r="AG200" s="573" t="b">
        <f t="shared" si="29"/>
        <v>0</v>
      </c>
      <c r="AH200" s="30"/>
      <c r="AI200" s="30"/>
      <c r="AJ200" s="30"/>
      <c r="AK200" s="573" t="b">
        <f t="shared" si="30"/>
        <v>0</v>
      </c>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573" t="b">
        <f>OR(BJ192,W200=EUconst_NA)</f>
        <v>1</v>
      </c>
      <c r="BK200" s="23"/>
    </row>
    <row r="201" spans="1:63" s="1063" customFormat="1" ht="5.0999999999999996" customHeight="1" thickBot="1" x14ac:dyDescent="0.25">
      <c r="A201" s="58"/>
      <c r="B201" s="1248"/>
      <c r="C201" s="164"/>
      <c r="D201" s="178"/>
      <c r="E201" s="140"/>
      <c r="F201" s="140"/>
      <c r="G201" s="140"/>
      <c r="H201" s="140"/>
      <c r="I201" s="140"/>
      <c r="J201" s="140"/>
      <c r="K201" s="140"/>
      <c r="L201" s="140"/>
      <c r="M201" s="695"/>
      <c r="N201" s="140"/>
      <c r="O201" s="1305"/>
      <c r="P201" s="33"/>
      <c r="Q201" s="172"/>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23"/>
    </row>
    <row r="202" spans="1:63" s="1063" customFormat="1" ht="12.75" customHeight="1" x14ac:dyDescent="0.2">
      <c r="A202" s="58"/>
      <c r="B202" s="1248"/>
      <c r="C202" s="753" t="s">
        <v>325</v>
      </c>
      <c r="D202" s="637" t="str">
        <f>Translations!$B$748</f>
        <v>Išmestas CF4 kiekis</v>
      </c>
      <c r="E202" s="638"/>
      <c r="F202" s="504"/>
      <c r="G202" s="504"/>
      <c r="H202" s="504"/>
      <c r="I202" s="1683" t="str">
        <f>EUconst_t</f>
        <v>t</v>
      </c>
      <c r="J202" s="1684"/>
      <c r="K202" s="504"/>
      <c r="L202" s="917" t="str">
        <f>IF(ISNUMBER(U187),INDEX(AO195:AP195,U187),"")</f>
        <v/>
      </c>
      <c r="M202" s="695"/>
      <c r="N202" s="140"/>
      <c r="O202" s="1305"/>
      <c r="P202" s="33"/>
      <c r="Q202" s="172"/>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23"/>
    </row>
    <row r="203" spans="1:63" s="1063" customFormat="1" ht="12.75" customHeight="1" thickBot="1" x14ac:dyDescent="0.25">
      <c r="A203" s="58"/>
      <c r="B203" s="1248"/>
      <c r="C203" s="753" t="s">
        <v>448</v>
      </c>
      <c r="D203" s="637" t="str">
        <f>Translations!$B$749</f>
        <v>Išmestas C2F6 kiekis</v>
      </c>
      <c r="E203" s="504"/>
      <c r="F203" s="504"/>
      <c r="G203" s="504"/>
      <c r="H203" s="504"/>
      <c r="I203" s="1685" t="str">
        <f>EUconst_t</f>
        <v>t</v>
      </c>
      <c r="J203" s="1686"/>
      <c r="K203" s="504"/>
      <c r="L203" s="918" t="str">
        <f>IF(ISNUMBER(U187),INDEX(AO196:AP196,U187),"")</f>
        <v/>
      </c>
      <c r="M203" s="695"/>
      <c r="N203" s="140"/>
      <c r="O203" s="1305"/>
      <c r="P203" s="33"/>
      <c r="Q203" s="172"/>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23"/>
    </row>
    <row r="204" spans="1:63" s="1063" customFormat="1" ht="5.0999999999999996" customHeight="1" thickBot="1" x14ac:dyDescent="0.25">
      <c r="A204" s="58"/>
      <c r="B204" s="1248"/>
      <c r="C204" s="755"/>
      <c r="D204" s="178"/>
      <c r="E204" s="140"/>
      <c r="F204" s="140"/>
      <c r="G204" s="140"/>
      <c r="H204" s="140"/>
      <c r="I204" s="140"/>
      <c r="J204" s="140"/>
      <c r="K204" s="140"/>
      <c r="L204" s="140"/>
      <c r="M204" s="695"/>
      <c r="N204" s="140"/>
      <c r="O204" s="1305"/>
      <c r="P204" s="33"/>
      <c r="Q204" s="172"/>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23"/>
    </row>
    <row r="205" spans="1:63" s="1063" customFormat="1" ht="12.75" customHeight="1" x14ac:dyDescent="0.2">
      <c r="A205" s="58"/>
      <c r="B205" s="1248"/>
      <c r="C205" s="753" t="s">
        <v>449</v>
      </c>
      <c r="D205" s="637" t="str">
        <f>Translations!$B$736</f>
        <v>VAP(CF4)</v>
      </c>
      <c r="E205" s="638"/>
      <c r="F205" s="504"/>
      <c r="G205" s="504"/>
      <c r="H205" s="504"/>
      <c r="I205" s="1683" t="s">
        <v>438</v>
      </c>
      <c r="J205" s="1684"/>
      <c r="K205" s="639">
        <f>IF(L205="",7390,"")</f>
        <v>7390</v>
      </c>
      <c r="L205" s="930"/>
      <c r="M205" s="695"/>
      <c r="N205" s="140"/>
      <c r="O205" s="1305"/>
      <c r="P205" s="635"/>
      <c r="Q205" s="172"/>
      <c r="R205" s="30"/>
      <c r="S205" s="30"/>
      <c r="T205" s="30"/>
      <c r="U205" s="30"/>
      <c r="V205" s="30"/>
      <c r="W205" s="30"/>
      <c r="X205" s="30"/>
      <c r="Y205" s="30"/>
      <c r="Z205" s="30"/>
      <c r="AA205" s="30"/>
      <c r="AB205" s="30"/>
      <c r="AC205" s="30"/>
      <c r="AD205" s="30"/>
      <c r="AE205" s="526">
        <f>IF(L205="",K205,L205)</f>
        <v>7390</v>
      </c>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522" t="b">
        <f>BJ192</f>
        <v>1</v>
      </c>
      <c r="BK205" s="23"/>
    </row>
    <row r="206" spans="1:63" s="1063" customFormat="1" ht="12.75" customHeight="1" thickBot="1" x14ac:dyDescent="0.25">
      <c r="A206" s="58"/>
      <c r="B206" s="1248"/>
      <c r="C206" s="753" t="s">
        <v>450</v>
      </c>
      <c r="D206" s="637" t="str">
        <f>Translations!$B$738</f>
        <v>VAP(C2F6)</v>
      </c>
      <c r="E206" s="638"/>
      <c r="F206" s="504"/>
      <c r="G206" s="504"/>
      <c r="H206" s="504"/>
      <c r="I206" s="1685" t="s">
        <v>439</v>
      </c>
      <c r="J206" s="1686"/>
      <c r="K206" s="640">
        <f>IF(L206="",12200,"")</f>
        <v>12200</v>
      </c>
      <c r="L206" s="931"/>
      <c r="M206" s="695"/>
      <c r="N206" s="140"/>
      <c r="O206" s="1305"/>
      <c r="P206" s="33"/>
      <c r="Q206" s="172"/>
      <c r="R206" s="30"/>
      <c r="S206" s="30"/>
      <c r="T206" s="30"/>
      <c r="U206" s="30"/>
      <c r="V206" s="30"/>
      <c r="W206" s="30"/>
      <c r="X206" s="30"/>
      <c r="Y206" s="30"/>
      <c r="Z206" s="30"/>
      <c r="AA206" s="30"/>
      <c r="AB206" s="30"/>
      <c r="AC206" s="30"/>
      <c r="AD206" s="30"/>
      <c r="AE206" s="665">
        <f>IF(L206="",K206,L206)</f>
        <v>12200</v>
      </c>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571" t="b">
        <f>BJ205</f>
        <v>1</v>
      </c>
      <c r="BK206" s="23"/>
    </row>
    <row r="207" spans="1:63" s="1063" customFormat="1" ht="5.0999999999999996" customHeight="1" thickBot="1" x14ac:dyDescent="0.25">
      <c r="A207" s="58"/>
      <c r="B207" s="1248"/>
      <c r="C207" s="755"/>
      <c r="D207" s="298"/>
      <c r="E207" s="486"/>
      <c r="F207" s="140"/>
      <c r="G207" s="140"/>
      <c r="H207" s="140"/>
      <c r="I207" s="140"/>
      <c r="J207" s="140"/>
      <c r="K207" s="140"/>
      <c r="L207" s="695"/>
      <c r="M207" s="695"/>
      <c r="N207" s="140"/>
      <c r="O207" s="1305"/>
      <c r="P207" s="33"/>
      <c r="Q207" s="172"/>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23"/>
    </row>
    <row r="208" spans="1:63" s="1063" customFormat="1" ht="12.75" customHeight="1" x14ac:dyDescent="0.2">
      <c r="A208" s="58"/>
      <c r="B208" s="1248"/>
      <c r="C208" s="753" t="s">
        <v>451</v>
      </c>
      <c r="D208" s="637" t="str">
        <f>Translations!$B$748</f>
        <v>Išmestas CF4 kiekis</v>
      </c>
      <c r="E208" s="638"/>
      <c r="F208" s="504"/>
      <c r="G208" s="504"/>
      <c r="H208" s="504"/>
      <c r="I208" s="1683" t="s">
        <v>257</v>
      </c>
      <c r="J208" s="1684"/>
      <c r="K208" s="504"/>
      <c r="L208" s="696" t="str">
        <f>IF(ISNUMBER(U187),INDEX(AO197:AP197,U187),"")</f>
        <v/>
      </c>
      <c r="M208" s="695"/>
      <c r="N208" s="140"/>
      <c r="O208" s="1305"/>
      <c r="P208" s="635"/>
      <c r="Q208" s="172"/>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23"/>
    </row>
    <row r="209" spans="1:63" s="1063" customFormat="1" ht="12.75" customHeight="1" thickBot="1" x14ac:dyDescent="0.25">
      <c r="A209" s="58"/>
      <c r="B209" s="1248"/>
      <c r="C209" s="753" t="s">
        <v>452</v>
      </c>
      <c r="D209" s="637" t="str">
        <f>Translations!$B$749</f>
        <v>Išmestas C2F6 kiekis</v>
      </c>
      <c r="E209" s="504"/>
      <c r="F209" s="504"/>
      <c r="G209" s="504"/>
      <c r="H209" s="504"/>
      <c r="I209" s="1685" t="s">
        <v>257</v>
      </c>
      <c r="J209" s="1686"/>
      <c r="K209" s="504"/>
      <c r="L209" s="697" t="str">
        <f>IF(ISNUMBER(U187),INDEX(AO198:AP198,U187),"")</f>
        <v/>
      </c>
      <c r="M209" s="695"/>
      <c r="N209" s="140"/>
      <c r="O209" s="1305"/>
      <c r="P209" s="33"/>
      <c r="Q209" s="172"/>
      <c r="R209" s="30"/>
      <c r="S209" s="30"/>
      <c r="T209" s="30"/>
      <c r="U209" s="30"/>
      <c r="V209" s="30"/>
      <c r="W209" s="30"/>
      <c r="X209" s="30"/>
      <c r="Y209" s="30"/>
      <c r="Z209" s="30"/>
      <c r="AA209" s="30"/>
      <c r="AB209" s="30"/>
      <c r="AC209" s="30"/>
      <c r="AD209" s="30"/>
      <c r="AE209" s="483"/>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23"/>
    </row>
    <row r="210" spans="1:63" s="1063" customFormat="1" ht="5.0999999999999996" customHeight="1" thickBot="1" x14ac:dyDescent="0.25">
      <c r="A210" s="58"/>
      <c r="B210" s="1248"/>
      <c r="C210" s="755"/>
      <c r="D210" s="178"/>
      <c r="E210" s="140"/>
      <c r="F210" s="140"/>
      <c r="G210" s="140"/>
      <c r="H210" s="140"/>
      <c r="I210" s="140"/>
      <c r="J210" s="140"/>
      <c r="K210" s="140"/>
      <c r="L210" s="140"/>
      <c r="M210" s="695"/>
      <c r="N210" s="140"/>
      <c r="O210" s="1305"/>
      <c r="P210" s="33"/>
      <c r="Q210" s="172"/>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23"/>
    </row>
    <row r="211" spans="1:63" s="1063" customFormat="1" ht="12.75" customHeight="1" thickBot="1" x14ac:dyDescent="0.25">
      <c r="A211" s="58"/>
      <c r="B211" s="1248"/>
      <c r="C211" s="753" t="s">
        <v>453</v>
      </c>
      <c r="D211" s="637" t="str">
        <f>Translations!$B$167</f>
        <v>Surinkimo efektyvumas</v>
      </c>
      <c r="E211" s="504"/>
      <c r="F211" s="504"/>
      <c r="G211" s="504"/>
      <c r="H211" s="504"/>
      <c r="I211" s="1687" t="s">
        <v>258</v>
      </c>
      <c r="J211" s="1688"/>
      <c r="K211" s="504"/>
      <c r="L211" s="932"/>
      <c r="M211" s="700" t="str">
        <f>IF(AND(E187&lt;&gt;"",L211=""),EUconst_ERR_Incomplete,IF(COUNTIF(AI211:AL211,TRUE)&gt;0,EUconst_ERR_Inconsistent,""))</f>
        <v/>
      </c>
      <c r="N211" s="140"/>
      <c r="O211" s="1305"/>
      <c r="P211" s="635"/>
      <c r="Q211" s="172"/>
      <c r="R211" s="30"/>
      <c r="S211" s="30"/>
      <c r="T211" s="30"/>
      <c r="U211" s="30"/>
      <c r="V211" s="30"/>
      <c r="W211" s="30"/>
      <c r="X211" s="30"/>
      <c r="Y211" s="30"/>
      <c r="Z211" s="30"/>
      <c r="AA211" s="30"/>
      <c r="AB211" s="30"/>
      <c r="AC211" s="30"/>
      <c r="AD211" s="30"/>
      <c r="AE211" s="30"/>
      <c r="AF211" s="30"/>
      <c r="AG211" s="30"/>
      <c r="AH211" s="30"/>
      <c r="AI211" s="30"/>
      <c r="AJ211" s="30"/>
      <c r="AK211" s="30"/>
      <c r="AL211" s="515" t="b">
        <f>L211&gt;100%</f>
        <v>0</v>
      </c>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515" t="b">
        <f>BJ192</f>
        <v>1</v>
      </c>
      <c r="BK211" s="23"/>
    </row>
    <row r="212" spans="1:63" s="1063" customFormat="1" ht="5.0999999999999996" customHeight="1" thickBot="1" x14ac:dyDescent="0.25">
      <c r="A212" s="58"/>
      <c r="B212" s="1248"/>
      <c r="C212" s="164"/>
      <c r="D212" s="178"/>
      <c r="E212" s="140"/>
      <c r="F212" s="140"/>
      <c r="G212" s="140"/>
      <c r="H212" s="140"/>
      <c r="I212" s="140"/>
      <c r="J212" s="140"/>
      <c r="K212" s="140"/>
      <c r="L212" s="140"/>
      <c r="M212" s="140"/>
      <c r="N212" s="140"/>
      <c r="O212" s="1305"/>
      <c r="P212" s="33"/>
      <c r="Q212" s="172"/>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23"/>
    </row>
    <row r="213" spans="1:63" s="1063" customFormat="1" ht="12.75" customHeight="1" thickBot="1" x14ac:dyDescent="0.25">
      <c r="A213" s="58"/>
      <c r="B213" s="1248"/>
      <c r="C213" s="164"/>
      <c r="D213" s="1629" t="str">
        <f>Translations!$B$674</f>
        <v>Pakopos galioja nuo:</v>
      </c>
      <c r="E213" s="1629"/>
      <c r="F213" s="1630"/>
      <c r="G213" s="607"/>
      <c r="H213" s="606" t="str">
        <f>Translations!$B$675</f>
        <v>iki:</v>
      </c>
      <c r="I213" s="607"/>
      <c r="J213" s="140"/>
      <c r="K213" s="140"/>
      <c r="L213" s="140"/>
      <c r="M213" s="140"/>
      <c r="N213" s="140"/>
      <c r="O213" s="1305"/>
      <c r="P213" s="33"/>
      <c r="Q213" s="172"/>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515" t="b">
        <f>BJ192</f>
        <v>1</v>
      </c>
      <c r="BK213" s="23"/>
    </row>
    <row r="214" spans="1:63" s="1063" customFormat="1" ht="5.0999999999999996" customHeight="1" thickBot="1" x14ac:dyDescent="0.25">
      <c r="A214" s="30"/>
      <c r="B214" s="1316"/>
      <c r="C214" s="140"/>
      <c r="D214" s="178"/>
      <c r="E214" s="140"/>
      <c r="F214" s="140"/>
      <c r="G214" s="140"/>
      <c r="H214" s="140"/>
      <c r="I214" s="140"/>
      <c r="J214" s="140"/>
      <c r="K214" s="140"/>
      <c r="L214" s="140"/>
      <c r="M214" s="140"/>
      <c r="N214" s="140"/>
      <c r="O214" s="1317"/>
      <c r="P214" s="488"/>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23"/>
    </row>
    <row r="215" spans="1:63" s="1063" customFormat="1" ht="12.75" customHeight="1" thickBot="1" x14ac:dyDescent="0.25">
      <c r="A215" s="30"/>
      <c r="B215" s="1316"/>
      <c r="C215" s="140"/>
      <c r="D215" s="1618" t="str">
        <f>Translations!$B$160</f>
        <v>Pastabos:</v>
      </c>
      <c r="E215" s="1619"/>
      <c r="F215" s="1680"/>
      <c r="G215" s="1680"/>
      <c r="H215" s="1680"/>
      <c r="I215" s="1680"/>
      <c r="J215" s="1680"/>
      <c r="K215" s="1680"/>
      <c r="L215" s="1680"/>
      <c r="M215" s="1680"/>
      <c r="N215" s="1680"/>
      <c r="O215" s="1317"/>
      <c r="P215" s="488"/>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515" t="b">
        <f>BJ213</f>
        <v>1</v>
      </c>
      <c r="BK215" s="23"/>
    </row>
    <row r="216" spans="1:63" s="1060" customFormat="1" ht="12.75" customHeight="1" thickBot="1" x14ac:dyDescent="0.25">
      <c r="A216" s="58"/>
      <c r="B216" s="1312"/>
      <c r="C216" s="490"/>
      <c r="D216" s="491"/>
      <c r="E216" s="492"/>
      <c r="F216" s="490"/>
      <c r="G216" s="493"/>
      <c r="H216" s="493"/>
      <c r="I216" s="493"/>
      <c r="J216" s="493"/>
      <c r="K216" s="493"/>
      <c r="L216" s="493"/>
      <c r="M216" s="493"/>
      <c r="N216" s="493"/>
      <c r="O216" s="1313"/>
      <c r="P216" s="485"/>
      <c r="Q216" s="58"/>
      <c r="R216" s="58"/>
      <c r="S216" s="489"/>
      <c r="T216" s="58"/>
      <c r="U216" s="58"/>
      <c r="V216" s="489"/>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23"/>
    </row>
    <row r="217" spans="1:63" s="1060" customFormat="1" ht="12.75" customHeight="1" thickBot="1" x14ac:dyDescent="0.25">
      <c r="A217" s="482"/>
      <c r="B217" s="1312"/>
      <c r="C217" s="486"/>
      <c r="D217" s="178"/>
      <c r="E217" s="487"/>
      <c r="F217" s="486"/>
      <c r="G217" s="478"/>
      <c r="H217" s="478"/>
      <c r="I217" s="478"/>
      <c r="J217" s="478"/>
      <c r="K217" s="486"/>
      <c r="L217" s="478"/>
      <c r="M217" s="478"/>
      <c r="N217" s="478"/>
      <c r="O217" s="1313"/>
      <c r="P217" s="485"/>
      <c r="Q217" s="76"/>
      <c r="R217" s="76"/>
      <c r="S217" s="58"/>
      <c r="T217" s="23"/>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23"/>
    </row>
    <row r="218" spans="1:63" s="1063" customFormat="1" ht="15" customHeight="1" thickBot="1" x14ac:dyDescent="0.25">
      <c r="A218" s="58"/>
      <c r="B218" s="1248"/>
      <c r="C218" s="608">
        <f>C186+1</f>
        <v>6</v>
      </c>
      <c r="D218" s="334"/>
      <c r="E218" s="1610"/>
      <c r="F218" s="1611"/>
      <c r="G218" s="1611"/>
      <c r="H218" s="1611"/>
      <c r="I218" s="1611"/>
      <c r="J218" s="1612"/>
      <c r="K218" s="140"/>
      <c r="L218" s="140"/>
      <c r="M218" s="494" t="str">
        <f>Translations!$B$747</f>
        <v>Išmetamųjų teršalų kiekis:</v>
      </c>
      <c r="N218" s="998" t="str">
        <f>IF(COUNT(L240:L241,L243)=3,(L240+L241)/L243,"")</f>
        <v/>
      </c>
      <c r="O218" s="1314" t="s">
        <v>257</v>
      </c>
      <c r="P218" s="485"/>
      <c r="Q218" s="343" t="str">
        <f>EUconst_SumCO2 &amp; "_" &amp; EUconst_ProcessPFC</f>
        <v>SUM_CO2_Išmetamas PFC kiekis</v>
      </c>
      <c r="R218" s="27" t="str">
        <f>IF(ISBLANK(E218),"",MATCH(E218,CNTR_SourceStreamNames,0))</f>
        <v/>
      </c>
      <c r="S218" s="609" t="str">
        <f>IF(ISBLANK(E218),"",INDEX(B_InstallationDescription!$D$71:$D$145,MATCH(E218,CNTR_SourceStreamNames,0)))</f>
        <v/>
      </c>
      <c r="T218" s="500" t="s">
        <v>387</v>
      </c>
      <c r="U218" s="677" t="s">
        <v>67</v>
      </c>
      <c r="V218" s="58"/>
      <c r="W218" s="58"/>
      <c r="X218" s="58"/>
      <c r="Y218" s="58"/>
      <c r="Z218" s="58"/>
      <c r="AA218" s="58"/>
      <c r="AB218" s="333"/>
      <c r="AC218" s="333"/>
      <c r="AD218" s="333"/>
      <c r="AE218" s="333"/>
      <c r="AF218" s="333"/>
      <c r="AG218" s="333"/>
      <c r="AH218" s="333"/>
      <c r="AI218" s="333"/>
      <c r="AJ218" s="333"/>
      <c r="AK218" s="333"/>
      <c r="AL218" s="333"/>
      <c r="AM218" s="333"/>
      <c r="AN218" s="333"/>
      <c r="AO218" s="333"/>
      <c r="AP218" s="333"/>
      <c r="AQ218" s="333"/>
      <c r="AR218" s="333"/>
      <c r="AS218" s="866">
        <f>K224</f>
        <v>0</v>
      </c>
      <c r="AT218" s="833">
        <f>AE226</f>
        <v>0</v>
      </c>
      <c r="AU218" s="833">
        <f>AE227</f>
        <v>0</v>
      </c>
      <c r="AV218" s="833">
        <f>AE228</f>
        <v>0</v>
      </c>
      <c r="AW218" s="833">
        <f>AE229</f>
        <v>0</v>
      </c>
      <c r="AX218" s="833">
        <f>AE230</f>
        <v>0</v>
      </c>
      <c r="AY218" s="833">
        <f>AE231</f>
        <v>0</v>
      </c>
      <c r="AZ218" s="833">
        <f>AE232</f>
        <v>0</v>
      </c>
      <c r="BA218" s="867" t="str">
        <f>L234</f>
        <v/>
      </c>
      <c r="BB218" s="867" t="str">
        <f>L235</f>
        <v/>
      </c>
      <c r="BC218" s="833">
        <f>AE237</f>
        <v>7390</v>
      </c>
      <c r="BD218" s="833">
        <f>AE238</f>
        <v>12200</v>
      </c>
      <c r="BE218" s="866" t="str">
        <f>L240</f>
        <v/>
      </c>
      <c r="BF218" s="866" t="str">
        <f>L241</f>
        <v/>
      </c>
      <c r="BG218" s="868">
        <f>L243</f>
        <v>0</v>
      </c>
      <c r="BH218" s="866" t="str">
        <f>N218</f>
        <v/>
      </c>
      <c r="BI218" s="333"/>
      <c r="BJ218" s="515" t="b">
        <f>CNTR_PFCRelevant=EUconst_NotRelevant</f>
        <v>1</v>
      </c>
      <c r="BK218" s="23"/>
    </row>
    <row r="219" spans="1:63" s="1063" customFormat="1" ht="15" customHeight="1" thickBot="1" x14ac:dyDescent="0.25">
      <c r="A219" s="58"/>
      <c r="B219" s="1248"/>
      <c r="C219" s="164"/>
      <c r="D219" s="164"/>
      <c r="E219" s="1625" t="str">
        <f>IF(E218="","",IF(INDEX(B_InstallationDescription!$E$71:$E$145,MATCH(S218,B_InstallationDescription!$D$71:$D$145,0))&gt;0,INDEX(B_InstallationDescription!$E$71:$E$145,MATCH(S218,B_InstallationDescription!$D$71:$D$145,0)),""))</f>
        <v/>
      </c>
      <c r="F219" s="1626"/>
      <c r="G219" s="1626"/>
      <c r="H219" s="1626"/>
      <c r="I219" s="1626"/>
      <c r="J219" s="1627"/>
      <c r="K219" s="140"/>
      <c r="L219" s="140"/>
      <c r="M219" s="141"/>
      <c r="N219" s="141"/>
      <c r="O219" s="1305"/>
      <c r="P219" s="485"/>
      <c r="Q219" s="30"/>
      <c r="R219" s="27" t="s">
        <v>91</v>
      </c>
      <c r="S219" s="30"/>
      <c r="T219" s="569" t="b">
        <v>1</v>
      </c>
      <c r="U219" s="509" t="str">
        <f>IF(E219="","",INDEX(CNTR_PFCMethod,MATCH(E218,CNTR_PFCSourceStreamNames,0)))</f>
        <v/>
      </c>
      <c r="V219" s="30"/>
      <c r="W219" s="485"/>
      <c r="X219" s="30"/>
      <c r="Y219" s="30"/>
      <c r="Z219" s="30"/>
      <c r="AA219" s="30"/>
      <c r="AB219" s="333"/>
      <c r="AC219" s="27" t="s">
        <v>303</v>
      </c>
      <c r="AD219" s="30"/>
      <c r="AE219" s="30"/>
      <c r="AF219" s="30"/>
      <c r="AG219" s="30"/>
      <c r="AH219" s="30"/>
      <c r="AI219" s="27" t="s">
        <v>310</v>
      </c>
      <c r="AJ219" s="30"/>
      <c r="AK219" s="30"/>
      <c r="AL219" s="30"/>
      <c r="AM219" s="30"/>
      <c r="AN219" s="27" t="s">
        <v>217</v>
      </c>
      <c r="AO219" s="30"/>
      <c r="AP219" s="30"/>
      <c r="AQ219" s="30"/>
      <c r="AR219" s="865" t="s">
        <v>486</v>
      </c>
      <c r="AS219" s="834" t="s">
        <v>218</v>
      </c>
      <c r="AT219" s="834" t="s">
        <v>454</v>
      </c>
      <c r="AU219" s="834" t="s">
        <v>455</v>
      </c>
      <c r="AV219" s="834" t="s">
        <v>447</v>
      </c>
      <c r="AW219" s="834" t="s">
        <v>443</v>
      </c>
      <c r="AX219" s="834" t="s">
        <v>444</v>
      </c>
      <c r="AY219" s="834" t="s">
        <v>445</v>
      </c>
      <c r="AZ219" s="834" t="s">
        <v>446</v>
      </c>
      <c r="BA219" s="834" t="s">
        <v>436</v>
      </c>
      <c r="BB219" s="834" t="s">
        <v>437</v>
      </c>
      <c r="BC219" s="834" t="s">
        <v>434</v>
      </c>
      <c r="BD219" s="834" t="s">
        <v>435</v>
      </c>
      <c r="BE219" s="834" t="s">
        <v>436</v>
      </c>
      <c r="BF219" s="834" t="s">
        <v>437</v>
      </c>
      <c r="BG219" s="834" t="s">
        <v>337</v>
      </c>
      <c r="BH219" s="833" t="s">
        <v>287</v>
      </c>
      <c r="BI219" s="30"/>
      <c r="BJ219" s="30"/>
      <c r="BK219" s="23"/>
    </row>
    <row r="220" spans="1:63" s="1063" customFormat="1" ht="5.0999999999999996" customHeight="1" x14ac:dyDescent="0.2">
      <c r="A220" s="58"/>
      <c r="B220" s="1248"/>
      <c r="C220" s="164"/>
      <c r="D220" s="164"/>
      <c r="E220" s="164"/>
      <c r="F220" s="164"/>
      <c r="G220" s="164"/>
      <c r="H220" s="140"/>
      <c r="I220" s="140"/>
      <c r="J220" s="140"/>
      <c r="K220" s="140"/>
      <c r="L220" s="140"/>
      <c r="M220" s="141"/>
      <c r="N220" s="141"/>
      <c r="O220" s="1305"/>
      <c r="P220" s="33"/>
      <c r="Q220" s="30"/>
      <c r="R220" s="480"/>
      <c r="S220" s="30"/>
      <c r="T220" s="30"/>
      <c r="U220" s="30"/>
      <c r="V220" s="30"/>
      <c r="W220" s="485"/>
      <c r="X220" s="30"/>
      <c r="Y220" s="30"/>
      <c r="Z220" s="30"/>
      <c r="AA220" s="30"/>
      <c r="AB220" s="333"/>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23"/>
    </row>
    <row r="221" spans="1:63" s="1063" customFormat="1" ht="12.75" customHeight="1" x14ac:dyDescent="0.2">
      <c r="A221" s="58"/>
      <c r="B221" s="1248"/>
      <c r="C221" s="164"/>
      <c r="D221" s="164"/>
      <c r="E221" s="1628" t="str">
        <f>IF(E218="","",HYPERLINK("#JUMP_14",EUconst_FurtherGuidancePoint1))</f>
        <v/>
      </c>
      <c r="F221" s="1628"/>
      <c r="G221" s="1628"/>
      <c r="H221" s="1628"/>
      <c r="I221" s="1628"/>
      <c r="J221" s="1628"/>
      <c r="K221" s="1628"/>
      <c r="L221" s="1628"/>
      <c r="M221" s="141"/>
      <c r="N221" s="141"/>
      <c r="O221" s="1305"/>
      <c r="P221" s="33"/>
      <c r="Q221" s="30"/>
      <c r="R221" s="480"/>
      <c r="S221" s="30"/>
      <c r="T221" s="30"/>
      <c r="U221" s="30"/>
      <c r="V221" s="30"/>
      <c r="W221" s="485"/>
      <c r="X221" s="30"/>
      <c r="Y221" s="30"/>
      <c r="Z221" s="30"/>
      <c r="AA221" s="30"/>
      <c r="AB221" s="333"/>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23"/>
    </row>
    <row r="222" spans="1:63" s="1063" customFormat="1" ht="5.0999999999999996" customHeight="1" x14ac:dyDescent="0.2">
      <c r="A222" s="58"/>
      <c r="B222" s="1248"/>
      <c r="C222" s="164"/>
      <c r="D222" s="164"/>
      <c r="E222" s="164"/>
      <c r="F222" s="164"/>
      <c r="G222" s="164"/>
      <c r="H222" s="140"/>
      <c r="I222" s="140"/>
      <c r="J222" s="140"/>
      <c r="K222" s="140"/>
      <c r="L222" s="140"/>
      <c r="M222" s="141"/>
      <c r="N222" s="141"/>
      <c r="O222" s="1305"/>
      <c r="P222" s="33"/>
      <c r="Q222" s="30"/>
      <c r="R222" s="480"/>
      <c r="S222" s="30"/>
      <c r="T222" s="30"/>
      <c r="U222" s="30"/>
      <c r="V222" s="30"/>
      <c r="W222" s="485"/>
      <c r="X222" s="30"/>
      <c r="Y222" s="30"/>
      <c r="Z222" s="30"/>
      <c r="AA222" s="30"/>
      <c r="AB222" s="333"/>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23"/>
    </row>
    <row r="223" spans="1:63" s="1063" customFormat="1" ht="12.75" customHeight="1" thickBot="1" x14ac:dyDescent="0.25">
      <c r="A223" s="58"/>
      <c r="B223" s="1248"/>
      <c r="C223" s="164"/>
      <c r="D223" s="164"/>
      <c r="E223" s="164"/>
      <c r="F223" s="497" t="str">
        <f>Translations!$B$333</f>
        <v>Pakopa</v>
      </c>
      <c r="G223" s="1613" t="str">
        <f>Translations!$B$672</f>
        <v>pakopos aprašas</v>
      </c>
      <c r="H223" s="1613"/>
      <c r="I223" s="1608" t="str">
        <f>Translations!$B$158</f>
        <v>Vienetas</v>
      </c>
      <c r="J223" s="1608"/>
      <c r="K223" s="1608" t="str">
        <f>Translations!$B$673</f>
        <v>Vertė</v>
      </c>
      <c r="L223" s="1608"/>
      <c r="M223" s="498" t="str">
        <f>Translations!$B$610</f>
        <v>klaida</v>
      </c>
      <c r="N223" s="140"/>
      <c r="O223" s="1305"/>
      <c r="P223" s="499"/>
      <c r="Q223" s="30"/>
      <c r="R223" s="480"/>
      <c r="S223" s="30"/>
      <c r="T223" s="500" t="s">
        <v>298</v>
      </c>
      <c r="U223" s="30"/>
      <c r="V223" s="30"/>
      <c r="W223" s="485" t="s">
        <v>560</v>
      </c>
      <c r="X223" s="485" t="s">
        <v>313</v>
      </c>
      <c r="Y223" s="30"/>
      <c r="Z223" s="30"/>
      <c r="AA223" s="496" t="s">
        <v>304</v>
      </c>
      <c r="AB223" s="333"/>
      <c r="AC223" s="483" t="s">
        <v>301</v>
      </c>
      <c r="AD223" s="495" t="s">
        <v>563</v>
      </c>
      <c r="AE223" s="495" t="s">
        <v>562</v>
      </c>
      <c r="AF223" s="501"/>
      <c r="AG223" s="501"/>
      <c r="AH223" s="30"/>
      <c r="AI223" s="483"/>
      <c r="AJ223" s="483"/>
      <c r="AK223" s="483"/>
      <c r="AL223" s="483"/>
      <c r="AM223" s="483"/>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484" t="s">
        <v>259</v>
      </c>
      <c r="BK223" s="23"/>
    </row>
    <row r="224" spans="1:63" s="1063" customFormat="1" ht="12.75" customHeight="1" thickBot="1" x14ac:dyDescent="0.25">
      <c r="A224" s="58"/>
      <c r="B224" s="1248"/>
      <c r="C224" s="783" t="s">
        <v>4</v>
      </c>
      <c r="D224" s="503" t="str">
        <f>Translations!$B$622</f>
        <v>VD:</v>
      </c>
      <c r="E224" s="504"/>
      <c r="F224" s="393"/>
      <c r="G224" s="1603" t="str">
        <f>IF(OR(ISBLANK(F224),F224=EUconst_NoTier),"",IF(X224=0,EUconst_NA,IF(ISERROR(X224),"",X224)))</f>
        <v/>
      </c>
      <c r="H224" s="1604"/>
      <c r="I224" s="1687" t="str">
        <f>EUconst_t</f>
        <v>t</v>
      </c>
      <c r="J224" s="1688"/>
      <c r="K224" s="1693"/>
      <c r="L224" s="1694"/>
      <c r="M224" s="700" t="str">
        <f>IF(AND(E219&lt;&gt;"",OR(F224="",K224=""),W224&lt;&gt;EUconst_NA),EUconst_ERR_Incomplete,IF(COUNTIF(AI224:AL224,TRUE)&gt;0,EUconst_ERR_Inconsistent,""))</f>
        <v/>
      </c>
      <c r="N224" s="140"/>
      <c r="O224" s="1305"/>
      <c r="P224" s="635"/>
      <c r="Q224" s="30"/>
      <c r="R224" s="505" t="str">
        <f>EUconst_CNTR_ActivityData&amp;E219</f>
        <v>ActivityData_</v>
      </c>
      <c r="S224" s="488"/>
      <c r="T224" s="505" t="str">
        <f>IF(E218="","",INDEX(B_InstallationDescription!$I$71:$I$145,MATCH(S218,B_InstallationDescription!$D$71:$D$145,0)))</f>
        <v/>
      </c>
      <c r="U224" s="30"/>
      <c r="V224" s="488"/>
      <c r="W224" s="506" t="str">
        <f>IF(E219="","",INDEX(EUwideConstants!$N:$N,MATCH(R224,EUwideConstants!$Q:$Q,0)))</f>
        <v/>
      </c>
      <c r="X224" s="507" t="str">
        <f>IF(ISBLANK(F224),"",IF(F224=EUconst_NA,"",INDEX(EUwideConstants!$H:$M,MATCH(R224,EUwideConstants!$Q:$Q,0),MATCH(F224,CNTR_TierList,0))))</f>
        <v/>
      </c>
      <c r="Y224" s="508" t="s">
        <v>299</v>
      </c>
      <c r="Z224" s="495"/>
      <c r="AA224" s="509" t="b">
        <f>E218&lt;&gt;""</f>
        <v>0</v>
      </c>
      <c r="AB224" s="333"/>
      <c r="AC224" s="496"/>
      <c r="AD224" s="30"/>
      <c r="AE224" s="509">
        <f>IF(W224=EUconst_NA,1,IF(COUNT(K224:L224)=0,0,IF(L224="",K224,L224)))</f>
        <v>0</v>
      </c>
      <c r="AF224" s="501" t="s">
        <v>306</v>
      </c>
      <c r="AG224" s="501" t="s">
        <v>306</v>
      </c>
      <c r="AH224" s="30"/>
      <c r="AI224" s="30"/>
      <c r="AJ224" s="30"/>
      <c r="AK224" s="30" t="s">
        <v>536</v>
      </c>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515" t="b">
        <f>OR(CNTR_PFCRelevant=EUconst_NotRelevant,AND(COUNTA(CNTR_ListRelevantSections)&gt;0,E218=""))</f>
        <v>1</v>
      </c>
      <c r="BK224" s="23"/>
    </row>
    <row r="225" spans="1:63" s="1063" customFormat="1" ht="5.0999999999999996" customHeight="1" thickBot="1" x14ac:dyDescent="0.25">
      <c r="A225" s="58"/>
      <c r="B225" s="1248"/>
      <c r="C225" s="783"/>
      <c r="D225" s="298"/>
      <c r="E225" s="140"/>
      <c r="F225" s="141"/>
      <c r="G225" s="141"/>
      <c r="H225" s="141" t="s">
        <v>233</v>
      </c>
      <c r="I225" s="516"/>
      <c r="J225" s="516"/>
      <c r="K225" s="141"/>
      <c r="L225" s="141"/>
      <c r="M225" s="701"/>
      <c r="N225" s="140"/>
      <c r="O225" s="1305"/>
      <c r="P225" s="33"/>
      <c r="Q225" s="30"/>
      <c r="R225" s="153"/>
      <c r="S225" s="488"/>
      <c r="T225" s="30"/>
      <c r="U225" s="30"/>
      <c r="V225" s="488"/>
      <c r="W225" s="517"/>
      <c r="X225" s="30"/>
      <c r="Y225" s="30"/>
      <c r="Z225" s="30"/>
      <c r="AA225" s="30"/>
      <c r="AB225" s="333"/>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484"/>
      <c r="BK225" s="23"/>
    </row>
    <row r="226" spans="1:63" s="1063" customFormat="1" ht="12.75" customHeight="1" thickBot="1" x14ac:dyDescent="0.25">
      <c r="A226" s="58"/>
      <c r="B226" s="1248"/>
      <c r="C226" s="783" t="s">
        <v>5</v>
      </c>
      <c r="D226" s="503" t="str">
        <f>Translations!$B$722</f>
        <v>A. Dažnis</v>
      </c>
      <c r="E226" s="504"/>
      <c r="F226" s="518"/>
      <c r="G226" s="1603" t="str">
        <f t="shared" ref="G226:G232" si="32">IF(OR(ISBLANK(F226),F226=EUconst_NoTier),"",IF(X226=0,EUconst_NotApplicable,IF(ISERROR(X226),"",X226)))</f>
        <v/>
      </c>
      <c r="H226" s="1609"/>
      <c r="I226" s="1683" t="str">
        <f>IF(W226=EUconst_NA,"",INDEX(PFCUnits,1))</f>
        <v>1/(vienoje elektrolizės vonioje per parą)</v>
      </c>
      <c r="J226" s="1684"/>
      <c r="K226" s="669" t="str">
        <f t="shared" ref="K226:K232" si="33">IF(L226="",AD226,"")</f>
        <v/>
      </c>
      <c r="L226" s="685"/>
      <c r="M226" s="700" t="str">
        <f>IF(AND(E219&lt;&gt;"",OR(F226="",L226=""),W226&lt;&gt;EUconst_NA),EUconst_ERR_Incomplete,IF(COUNTIF(AI226:AL226,TRUE)&gt;0,EUconst_ERR_Inconsistent,""))</f>
        <v/>
      </c>
      <c r="N226" s="486"/>
      <c r="O226" s="1305"/>
      <c r="P226" s="33"/>
      <c r="Q226" s="30"/>
      <c r="R226" s="521" t="str">
        <f>R224</f>
        <v>ActivityData_</v>
      </c>
      <c r="S226" s="488"/>
      <c r="T226" s="648" t="str">
        <f>T224</f>
        <v/>
      </c>
      <c r="U226" s="30"/>
      <c r="V226" s="488">
        <v>1</v>
      </c>
      <c r="W226" s="663" t="str">
        <f>IF(E219="","",IF(U219&lt;&gt;V226,EUconst_NA,INDEX(EUwideConstants!$N:$N,MATCH(R226,EUwideConstants!$Q:$Q,0))))</f>
        <v/>
      </c>
      <c r="X226" s="524" t="str">
        <f>IF(ISBLANK(F226),"",IF(F226=EUconst_NA,"",INDEX(EUwideConstants!$H:$M,MATCH(R226,EUwideConstants!$Q:$Q,0),MATCH(F226,CNTR_TierList,0))))</f>
        <v/>
      </c>
      <c r="Y226" s="30"/>
      <c r="Z226" s="30"/>
      <c r="AA226" s="526" t="b">
        <f>AND(AA224,W226&lt;&gt;EUconst_NA)</f>
        <v>0</v>
      </c>
      <c r="AB226" s="333"/>
      <c r="AC226" s="666" t="str">
        <f>IF(AA226=TRUE,IF(COUNTIF(MSPara_SourceStreamCategory,T226)=0,"",INDEX(MSPara_CalcFactorsMatrix,MATCH(T226,MSPara_SourceStreamCategory,0),MATCH(#REF!&amp;"_"&amp;1,MSPara_CalcFactors,0))),"")</f>
        <v/>
      </c>
      <c r="AD226" s="666" t="str">
        <f>""</f>
        <v/>
      </c>
      <c r="AE226" s="525">
        <f t="shared" ref="AE226:AE232" si="34">IF(AA226=TRUE,IF(COUNT(K226:L226)=0,0,IF(L226="",K226,L226)),0)</f>
        <v>0</v>
      </c>
      <c r="AF226" s="525" t="b">
        <f>AND(AA226=TRUE,OR(AND(F226&lt;&gt;"",NOT(ISNUMBER(Y226))),L226&lt;&gt;"",F226="",AD226=""))</f>
        <v>0</v>
      </c>
      <c r="AG226" s="525" t="b">
        <f t="shared" ref="AG226:AG232" si="35">AND(AA226=TRUE,NOT(AF226))</f>
        <v>0</v>
      </c>
      <c r="AH226" s="30"/>
      <c r="AI226" s="30"/>
      <c r="AJ226" s="30"/>
      <c r="AK226" s="525" t="b">
        <f t="shared" ref="AK226:AK232" si="36">AND(L226&lt;&gt;"",W226=EUconst_NA)</f>
        <v>0</v>
      </c>
      <c r="AL226" s="30"/>
      <c r="AM226" s="30"/>
      <c r="AN226" s="30"/>
      <c r="AO226" s="484" t="s">
        <v>384</v>
      </c>
      <c r="AP226" s="484" t="s">
        <v>385</v>
      </c>
      <c r="AQ226" s="30"/>
      <c r="AR226" s="30"/>
      <c r="AS226" s="30"/>
      <c r="AT226" s="30"/>
      <c r="AU226" s="30"/>
      <c r="AV226" s="30"/>
      <c r="AW226" s="30"/>
      <c r="AX226" s="30"/>
      <c r="AY226" s="30"/>
      <c r="AZ226" s="30"/>
      <c r="BA226" s="30"/>
      <c r="BB226" s="30"/>
      <c r="BC226" s="30"/>
      <c r="BD226" s="30"/>
      <c r="BE226" s="30"/>
      <c r="BF226" s="30"/>
      <c r="BG226" s="30"/>
      <c r="BH226" s="30"/>
      <c r="BI226" s="30"/>
      <c r="BJ226" s="525" t="b">
        <f>OR(BJ224,W226=EUconst_NA)</f>
        <v>1</v>
      </c>
      <c r="BK226" s="23"/>
    </row>
    <row r="227" spans="1:63" s="1063" customFormat="1" ht="12.75" customHeight="1" thickBot="1" x14ac:dyDescent="0.25">
      <c r="A227" s="58"/>
      <c r="B227" s="1248"/>
      <c r="C227" s="783" t="s">
        <v>194</v>
      </c>
      <c r="D227" s="503" t="str">
        <f>Translations!$B$724</f>
        <v>A. Trukmė</v>
      </c>
      <c r="E227" s="504"/>
      <c r="F227" s="636"/>
      <c r="G227" s="1603" t="str">
        <f t="shared" si="32"/>
        <v/>
      </c>
      <c r="H227" s="1609"/>
      <c r="I227" s="1691" t="str">
        <f>IF(W227=EUconst_NA,"",INDEX(PFCUnits,2))</f>
        <v>min.</v>
      </c>
      <c r="J227" s="1692"/>
      <c r="K227" s="670" t="str">
        <f t="shared" si="33"/>
        <v/>
      </c>
      <c r="L227" s="686"/>
      <c r="M227" s="700" t="str">
        <f>IF(AND(E219&lt;&gt;"",OR(F227="",L227=""),W227&lt;&gt;EUconst_NA),EUconst_ERR_Incomplete,IF(COUNTIF(AI227:AL227,TRUE)&gt;0,EUconst_ERR_Inconsistent,""))</f>
        <v/>
      </c>
      <c r="N227" s="486"/>
      <c r="O227" s="1305"/>
      <c r="P227" s="33"/>
      <c r="Q227" s="30"/>
      <c r="R227" s="543" t="str">
        <f>R226</f>
        <v>ActivityData_</v>
      </c>
      <c r="S227" s="488"/>
      <c r="T227" s="649" t="str">
        <f t="shared" ref="T227:T232" si="37">T226</f>
        <v/>
      </c>
      <c r="U227" s="30"/>
      <c r="V227" s="488">
        <v>1</v>
      </c>
      <c r="W227" s="662" t="str">
        <f>IF(E219="","",IF(U219&lt;&gt;V227,EUconst_NA,INDEX(EUwideConstants!$N:$N,MATCH(R227,EUwideConstants!$Q:$Q,0))))</f>
        <v/>
      </c>
      <c r="X227" s="546" t="str">
        <f>IF(ISBLANK(F227),"",IF(F227=EUconst_NA,"",INDEX(EUwideConstants!$H:$M,MATCH(R227,EUwideConstants!$Q:$Q,0),MATCH(F227,CNTR_TierList,0))))</f>
        <v/>
      </c>
      <c r="Y227" s="30"/>
      <c r="Z227" s="30"/>
      <c r="AA227" s="548" t="b">
        <f>AND(AA224,W227&lt;&gt;EUconst_NA)</f>
        <v>0</v>
      </c>
      <c r="AB227" s="333"/>
      <c r="AC227" s="667" t="str">
        <f>IF(AA227=TRUE,IF(COUNTIF(MSPara_SourceStreamCategory,T227)=0,"",INDEX(MSPara_CalcFactorsMatrix,MATCH(T227,MSPara_SourceStreamCategory,0),MATCH(#REF!&amp;"_"&amp;1,MSPara_CalcFactors,0))),"")</f>
        <v/>
      </c>
      <c r="AD227" s="667" t="str">
        <f>""</f>
        <v/>
      </c>
      <c r="AE227" s="651">
        <f t="shared" si="34"/>
        <v>0</v>
      </c>
      <c r="AF227" s="651" t="b">
        <f>AND(AA227=TRUE,OR(AND(F227&lt;&gt;"",NOT(ISNUMBER(Y227))),L227&lt;&gt;"",F227="",AD227=""))</f>
        <v>0</v>
      </c>
      <c r="AG227" s="651" t="b">
        <f t="shared" si="35"/>
        <v>0</v>
      </c>
      <c r="AH227" s="30"/>
      <c r="AI227" s="30"/>
      <c r="AJ227" s="30"/>
      <c r="AK227" s="651" t="b">
        <f t="shared" si="36"/>
        <v>0</v>
      </c>
      <c r="AL227" s="30"/>
      <c r="AM227" s="30"/>
      <c r="AN227" s="538" t="s">
        <v>440</v>
      </c>
      <c r="AO227" s="537" t="str">
        <f>IF(ISNUMBER(U219),AE224*AE226*AE227*AE228/1000,"")</f>
        <v/>
      </c>
      <c r="AP227" s="515" t="str">
        <f>IF(ISNUMBER(U219),AE224*(AE229/IF(AE230=0,0.01,AE230))*AE231/1000,"")</f>
        <v/>
      </c>
      <c r="AQ227" s="30"/>
      <c r="AR227" s="30"/>
      <c r="AS227" s="30"/>
      <c r="AT227" s="30"/>
      <c r="AU227" s="30"/>
      <c r="AV227" s="30"/>
      <c r="AW227" s="30"/>
      <c r="AX227" s="30"/>
      <c r="AY227" s="30"/>
      <c r="AZ227" s="30"/>
      <c r="BA227" s="30"/>
      <c r="BB227" s="30"/>
      <c r="BC227" s="30"/>
      <c r="BD227" s="30"/>
      <c r="BE227" s="30"/>
      <c r="BF227" s="30"/>
      <c r="BG227" s="30"/>
      <c r="BH227" s="30"/>
      <c r="BI227" s="30"/>
      <c r="BJ227" s="651" t="b">
        <f>OR(BJ224,W227=EUconst_NA)</f>
        <v>1</v>
      </c>
      <c r="BK227" s="23"/>
    </row>
    <row r="228" spans="1:63" s="1063" customFormat="1" ht="12.75" customHeight="1" thickBot="1" x14ac:dyDescent="0.25">
      <c r="A228" s="58"/>
      <c r="B228" s="1248"/>
      <c r="C228" s="783" t="s">
        <v>195</v>
      </c>
      <c r="D228" s="643" t="str">
        <f>Translations!$B$726</f>
        <v>A. NITF(CF4)</v>
      </c>
      <c r="E228" s="644"/>
      <c r="F228" s="539"/>
      <c r="G228" s="1689" t="str">
        <f t="shared" si="32"/>
        <v/>
      </c>
      <c r="H228" s="1690"/>
      <c r="I228" s="1691" t="str">
        <f>IF(W228=EUconst_NA,"",INDEX(PFCUnits,3))</f>
        <v>(kg CF4/t Al)/(min./vienoje elektrolizės vonioje per parą)</v>
      </c>
      <c r="J228" s="1692"/>
      <c r="K228" s="671" t="str">
        <f t="shared" si="33"/>
        <v/>
      </c>
      <c r="L228" s="674"/>
      <c r="M228" s="702" t="str">
        <f>IF(AND(E219&lt;&gt;"",OR(F228="",COUNT(K228:L228)=0),W228&lt;&gt;EUconst_NA),EUconst_ERR_Incomplete,IF(COUNTIF(AI228:AL228,TRUE)&gt;0,EUconst_ERR_Inconsistent,""))</f>
        <v/>
      </c>
      <c r="N228" s="140"/>
      <c r="O228" s="1305"/>
      <c r="P228" s="33"/>
      <c r="Q228" s="30"/>
      <c r="R228" s="543" t="str">
        <f>EUconst_CNTR_EF&amp;$E219</f>
        <v>EF_</v>
      </c>
      <c r="S228" s="488"/>
      <c r="T228" s="649" t="str">
        <f t="shared" si="37"/>
        <v/>
      </c>
      <c r="U228" s="30"/>
      <c r="V228" s="488">
        <v>1</v>
      </c>
      <c r="W228" s="662" t="str">
        <f>IF(E219="","",IF(U219&lt;&gt;V228,EUconst_NA,INDEX(EUwideConstants!$N:$N,MATCH(R228,EUwideConstants!$Q:$Q,0))))</f>
        <v/>
      </c>
      <c r="X228" s="546" t="str">
        <f>IF(ISBLANK(F228),"",IF(F228=EUconst_NA,"",INDEX(EUwideConstants!$H:$M,MATCH(R228,EUwideConstants!$Q:$Q,0),MATCH(F228,CNTR_TierList,0))))</f>
        <v/>
      </c>
      <c r="Y228" s="580" t="str">
        <f>IF(COUNTIF(EUconst_DefaultValues,X228)&gt;0,MATCH(X228,EUconst_DefaultValues,0),"")</f>
        <v/>
      </c>
      <c r="Z228" s="30"/>
      <c r="AA228" s="548" t="b">
        <f>AND(AA224,W228&lt;&gt;EUconst_NA)</f>
        <v>0</v>
      </c>
      <c r="AB228" s="333"/>
      <c r="AC228" s="651" t="str">
        <f>IF(AA228=TRUE,IF(T228="","",INDEX(MSPara_PFCMethA,MATCH(T228,PFCCellTypes,0),1)),"")</f>
        <v/>
      </c>
      <c r="AD228" s="651" t="str">
        <f>IF(AND(Y228&lt;&gt;"",ISNUMBER(AC228)),AC228,"")</f>
        <v/>
      </c>
      <c r="AE228" s="651">
        <f t="shared" si="34"/>
        <v>0</v>
      </c>
      <c r="AF228" s="651" t="b">
        <f>AND(AA228=TRUE,OR(AND(F228&lt;&gt;"",NOT(ISNUMBER(Y228))),L228&lt;&gt;"",F228="",AD228=""))</f>
        <v>0</v>
      </c>
      <c r="AG228" s="651" t="b">
        <f t="shared" si="35"/>
        <v>0</v>
      </c>
      <c r="AH228" s="30"/>
      <c r="AI228" s="30"/>
      <c r="AJ228" s="30"/>
      <c r="AK228" s="651" t="b">
        <f t="shared" si="36"/>
        <v>0</v>
      </c>
      <c r="AL228" s="30"/>
      <c r="AM228" s="30"/>
      <c r="AN228" s="538" t="s">
        <v>441</v>
      </c>
      <c r="AO228" s="537">
        <f>IF(AND(ISNUMBER(AO227),AO227&gt;0),AO227*AE232,0)</f>
        <v>0</v>
      </c>
      <c r="AP228" s="515">
        <f>IF(AND(ISNUMBER(AP227),AP227&gt;0),AP227*AE232,0)</f>
        <v>0</v>
      </c>
      <c r="AQ228" s="30"/>
      <c r="AR228" s="30"/>
      <c r="AS228" s="30"/>
      <c r="AT228" s="30"/>
      <c r="AU228" s="30"/>
      <c r="AV228" s="30"/>
      <c r="AW228" s="30"/>
      <c r="AX228" s="30"/>
      <c r="AY228" s="30"/>
      <c r="AZ228" s="30"/>
      <c r="BA228" s="30"/>
      <c r="BB228" s="30"/>
      <c r="BC228" s="30"/>
      <c r="BD228" s="30"/>
      <c r="BE228" s="30"/>
      <c r="BF228" s="30"/>
      <c r="BG228" s="30"/>
      <c r="BH228" s="30"/>
      <c r="BI228" s="30"/>
      <c r="BJ228" s="651" t="b">
        <f>OR(BJ224,W228=EUconst_NA)</f>
        <v>1</v>
      </c>
      <c r="BK228" s="23"/>
    </row>
    <row r="229" spans="1:63" s="1063" customFormat="1" ht="12.75" customHeight="1" thickBot="1" x14ac:dyDescent="0.25">
      <c r="A229" s="58"/>
      <c r="B229" s="1248"/>
      <c r="C229" s="783" t="s">
        <v>196</v>
      </c>
      <c r="D229" s="641" t="str">
        <f>Translations!$B$728</f>
        <v>B. AEV</v>
      </c>
      <c r="E229" s="642"/>
      <c r="F229" s="636"/>
      <c r="G229" s="1681" t="str">
        <f t="shared" si="32"/>
        <v/>
      </c>
      <c r="H229" s="1682"/>
      <c r="I229" s="1691" t="str">
        <f>IF(W229=EUconst_NA,"",INDEX(PFCUnits,4))</f>
        <v>mV</v>
      </c>
      <c r="J229" s="1692"/>
      <c r="K229" s="670" t="str">
        <f t="shared" si="33"/>
        <v/>
      </c>
      <c r="L229" s="686"/>
      <c r="M229" s="703" t="str">
        <f>IF(AND(E219&lt;&gt;"",OR(F229="",L229=""),W229&lt;&gt;EUconst_NA),EUconst_ERR_Incomplete,IF(COUNTIF(AI229:AL229,TRUE)&gt;0,EUconst_ERR_Inconsistent,""))</f>
        <v/>
      </c>
      <c r="N229" s="140"/>
      <c r="O229" s="1305"/>
      <c r="P229" s="635"/>
      <c r="Q229" s="30"/>
      <c r="R229" s="543" t="str">
        <f>R224</f>
        <v>ActivityData_</v>
      </c>
      <c r="S229" s="488"/>
      <c r="T229" s="649" t="str">
        <f t="shared" si="37"/>
        <v/>
      </c>
      <c r="U229" s="30"/>
      <c r="V229" s="488">
        <v>2</v>
      </c>
      <c r="W229" s="662" t="str">
        <f>IF(E219="","",IF(U219&lt;&gt;V229,EUconst_NA,INDEX(EUwideConstants!$N:$N,MATCH(R229,EUwideConstants!$Q:$Q,0))))</f>
        <v/>
      </c>
      <c r="X229" s="546" t="str">
        <f>IF(ISBLANK(F229),"",IF(F229=EUconst_NA,"",INDEX(EUwideConstants!$H:$M,MATCH(R229,EUwideConstants!$Q:$Q,0),MATCH(F229,CNTR_TierList,0))))</f>
        <v/>
      </c>
      <c r="Y229" s="30"/>
      <c r="Z229" s="30"/>
      <c r="AA229" s="548" t="b">
        <f>AND(AA224,W229&lt;&gt;EUconst_NA)</f>
        <v>0</v>
      </c>
      <c r="AB229" s="333"/>
      <c r="AC229" s="667"/>
      <c r="AD229" s="667" t="str">
        <f>""</f>
        <v/>
      </c>
      <c r="AE229" s="651">
        <f t="shared" si="34"/>
        <v>0</v>
      </c>
      <c r="AF229" s="651" t="b">
        <f>AND(AA229=TRUE,OR(ISNUMBER(L229),NOT(ISNUMBER(Y229))))</f>
        <v>0</v>
      </c>
      <c r="AG229" s="651" t="b">
        <f t="shared" si="35"/>
        <v>0</v>
      </c>
      <c r="AH229" s="30"/>
      <c r="AI229" s="30"/>
      <c r="AJ229" s="30"/>
      <c r="AK229" s="651" t="b">
        <f t="shared" si="36"/>
        <v>0</v>
      </c>
      <c r="AL229" s="30"/>
      <c r="AM229" s="30"/>
      <c r="AN229" s="538" t="s">
        <v>440</v>
      </c>
      <c r="AO229" s="537" t="str">
        <f>IF(ISNUMBER(AO227),AO227*AE237,"")</f>
        <v/>
      </c>
      <c r="AP229" s="515" t="str">
        <f>IF(ISNUMBER(AP227),AP227*AE237,"")</f>
        <v/>
      </c>
      <c r="AQ229" s="30"/>
      <c r="AR229" s="30"/>
      <c r="AS229" s="30"/>
      <c r="AT229" s="30"/>
      <c r="AU229" s="30"/>
      <c r="AV229" s="30"/>
      <c r="AW229" s="30"/>
      <c r="AX229" s="30"/>
      <c r="AY229" s="30"/>
      <c r="AZ229" s="30"/>
      <c r="BA229" s="30"/>
      <c r="BB229" s="30"/>
      <c r="BC229" s="30"/>
      <c r="BD229" s="30"/>
      <c r="BE229" s="30"/>
      <c r="BF229" s="30"/>
      <c r="BG229" s="30"/>
      <c r="BH229" s="30"/>
      <c r="BI229" s="30"/>
      <c r="BJ229" s="651" t="b">
        <f>OR(BJ224,W229=EUconst_NA)</f>
        <v>1</v>
      </c>
      <c r="BK229" s="23"/>
    </row>
    <row r="230" spans="1:63" s="1063" customFormat="1" ht="12.75" customHeight="1" thickBot="1" x14ac:dyDescent="0.25">
      <c r="A230" s="58"/>
      <c r="B230" s="1248"/>
      <c r="C230" s="753" t="s">
        <v>197</v>
      </c>
      <c r="D230" s="503" t="str">
        <f>Translations!$B$730</f>
        <v>B. EN</v>
      </c>
      <c r="E230" s="504"/>
      <c r="F230" s="539"/>
      <c r="G230" s="1603" t="str">
        <f t="shared" si="32"/>
        <v/>
      </c>
      <c r="H230" s="1604"/>
      <c r="I230" s="1691" t="str">
        <f>IF(W230=EUconst_NA,"","-")</f>
        <v>-</v>
      </c>
      <c r="J230" s="1692"/>
      <c r="K230" s="672" t="str">
        <f t="shared" si="33"/>
        <v/>
      </c>
      <c r="L230" s="562"/>
      <c r="M230" s="700" t="str">
        <f>IF(AND(E219&lt;&gt;"",OR(F230="",L230=""),W230&lt;&gt;EUconst_NA),EUconst_ERR_Incomplete,IF(COUNTIF(AI230:AL230,TRUE)&gt;0,EUconst_ERR_Inconsistent,""))</f>
        <v/>
      </c>
      <c r="N230" s="140"/>
      <c r="O230" s="1305"/>
      <c r="P230" s="635"/>
      <c r="Q230" s="30"/>
      <c r="R230" s="543" t="str">
        <f>R229</f>
        <v>ActivityData_</v>
      </c>
      <c r="S230" s="488"/>
      <c r="T230" s="649" t="str">
        <f t="shared" si="37"/>
        <v/>
      </c>
      <c r="U230" s="30"/>
      <c r="V230" s="488">
        <v>2</v>
      </c>
      <c r="W230" s="662" t="str">
        <f>IF(E219="","",IF(U219&lt;&gt;V230,EUconst_NA,INDEX(EUwideConstants!$N:$N,MATCH(R230,EUwideConstants!$Q:$Q,0))))</f>
        <v/>
      </c>
      <c r="X230" s="546" t="str">
        <f>IF(ISBLANK(F230),"",IF(F230=EUconst_NA,"",INDEX(EUwideConstants!$H:$M,MATCH(R230,EUwideConstants!$Q:$Q,0),MATCH(F230,CNTR_TierList,0))))</f>
        <v/>
      </c>
      <c r="Y230" s="30"/>
      <c r="Z230" s="30"/>
      <c r="AA230" s="548" t="b">
        <f>AND(AA224,W230&lt;&gt;EUconst_NA)</f>
        <v>0</v>
      </c>
      <c r="AB230" s="333"/>
      <c r="AC230" s="667"/>
      <c r="AD230" s="667" t="str">
        <f>""</f>
        <v/>
      </c>
      <c r="AE230" s="651">
        <f t="shared" si="34"/>
        <v>0</v>
      </c>
      <c r="AF230" s="651" t="b">
        <f>AND(AA230=TRUE,OR(ISNUMBER(L230),NOT(ISNUMBER(Y230))))</f>
        <v>0</v>
      </c>
      <c r="AG230" s="651" t="b">
        <f t="shared" si="35"/>
        <v>0</v>
      </c>
      <c r="AH230" s="30"/>
      <c r="AI230" s="30"/>
      <c r="AJ230" s="30"/>
      <c r="AK230" s="699" t="b">
        <f t="shared" si="36"/>
        <v>0</v>
      </c>
      <c r="AL230" s="515" t="b">
        <f>L230&gt;100%</f>
        <v>0</v>
      </c>
      <c r="AM230" s="30"/>
      <c r="AN230" s="538" t="s">
        <v>441</v>
      </c>
      <c r="AO230" s="537">
        <f>IF(ISNUMBER(AO228),AO228*AE238,"")</f>
        <v>0</v>
      </c>
      <c r="AP230" s="515">
        <f>IF(ISNUMBER(AP228),AP228*AE238,"")</f>
        <v>0</v>
      </c>
      <c r="AQ230" s="30"/>
      <c r="AR230" s="30"/>
      <c r="AS230" s="30"/>
      <c r="AT230" s="30"/>
      <c r="AU230" s="30"/>
      <c r="AV230" s="30"/>
      <c r="AW230" s="30"/>
      <c r="AX230" s="30"/>
      <c r="AY230" s="30"/>
      <c r="AZ230" s="30"/>
      <c r="BA230" s="30"/>
      <c r="BB230" s="30"/>
      <c r="BC230" s="30"/>
      <c r="BD230" s="30"/>
      <c r="BE230" s="30"/>
      <c r="BF230" s="30"/>
      <c r="BG230" s="30"/>
      <c r="BH230" s="30"/>
      <c r="BI230" s="30"/>
      <c r="BJ230" s="651" t="b">
        <f>OR(BJ224,W230=EUconst_NA)</f>
        <v>1</v>
      </c>
      <c r="BK230" s="23"/>
    </row>
    <row r="231" spans="1:63" s="1063" customFormat="1" ht="12.75" customHeight="1" thickBot="1" x14ac:dyDescent="0.25">
      <c r="A231" s="58"/>
      <c r="B231" s="1248"/>
      <c r="C231" s="783" t="s">
        <v>198</v>
      </c>
      <c r="D231" s="643" t="str">
        <f>Translations!$B$732</f>
        <v>B. VĮK</v>
      </c>
      <c r="E231" s="644"/>
      <c r="F231" s="539"/>
      <c r="G231" s="1689" t="str">
        <f t="shared" si="32"/>
        <v/>
      </c>
      <c r="H231" s="1690"/>
      <c r="I231" s="1691" t="str">
        <f>IF(W231=EUconst_NA,"",INDEX(PFCUnits,6))</f>
        <v>(kg CF4)/(t Al mV)</v>
      </c>
      <c r="J231" s="1692"/>
      <c r="K231" s="672" t="str">
        <f t="shared" si="33"/>
        <v/>
      </c>
      <c r="L231" s="675"/>
      <c r="M231" s="702" t="str">
        <f>IF(AND(E219&lt;&gt;"",OR(F231="",COUNT(K231:L231)=0),W231&lt;&gt;EUconst_NA),EUconst_ERR_Incomplete,IF(COUNTIF(AI231:AL231,TRUE)&gt;0,EUconst_ERR_Inconsistent,""))</f>
        <v/>
      </c>
      <c r="N231" s="140"/>
      <c r="O231" s="1305"/>
      <c r="P231" s="33"/>
      <c r="Q231" s="30"/>
      <c r="R231" s="543" t="str">
        <f>EUconst_CNTR_EF&amp;E219</f>
        <v>EF_</v>
      </c>
      <c r="S231" s="488"/>
      <c r="T231" s="649" t="str">
        <f t="shared" si="37"/>
        <v/>
      </c>
      <c r="U231" s="30"/>
      <c r="V231" s="488">
        <v>2</v>
      </c>
      <c r="W231" s="662" t="str">
        <f>IF(E219="","",IF(U219&lt;&gt;V231,EUconst_NA,INDEX(EUwideConstants!$N:$N,MATCH(R231,EUwideConstants!$Q:$Q,0))))</f>
        <v/>
      </c>
      <c r="X231" s="546" t="str">
        <f>IF(ISBLANK(F231),"",IF(F231=EUconst_NA,"",INDEX(EUwideConstants!$H:$M,MATCH(R231,EUwideConstants!$Q:$Q,0),MATCH(F231,CNTR_TierList,0))))</f>
        <v/>
      </c>
      <c r="Y231" s="580" t="str">
        <f>IF(COUNTIF(EUconst_DefaultValues,X231)&gt;0,MATCH(X231,EUconst_DefaultValues,0),"")</f>
        <v/>
      </c>
      <c r="Z231" s="30"/>
      <c r="AA231" s="548" t="b">
        <f>AND(AA224,W231&lt;&gt;EUconst_NA)</f>
        <v>0</v>
      </c>
      <c r="AB231" s="333"/>
      <c r="AC231" s="651" t="str">
        <f>IF(AA231=TRUE,IF(T231="","",INDEX(MSPara_PFCMethB,MATCH(T231,PFCCellTypes,0),1)),"")</f>
        <v/>
      </c>
      <c r="AD231" s="651" t="str">
        <f>IF(AND(Y231&lt;&gt;"",ISNUMBER(AC231)),AC231,"")</f>
        <v/>
      </c>
      <c r="AE231" s="651">
        <f t="shared" si="34"/>
        <v>0</v>
      </c>
      <c r="AF231" s="651" t="b">
        <f>AND(AA231=TRUE,OR(AND(F231&lt;&gt;"",NOT(ISNUMBER(Y231))),L231&lt;&gt;"",F231="",AD231=""))</f>
        <v>0</v>
      </c>
      <c r="AG231" s="651" t="b">
        <f t="shared" si="35"/>
        <v>0</v>
      </c>
      <c r="AH231" s="30"/>
      <c r="AI231" s="30"/>
      <c r="AJ231" s="30"/>
      <c r="AK231" s="651" t="b">
        <f t="shared" si="36"/>
        <v>0</v>
      </c>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651" t="b">
        <f>OR(BJ224,W231=EUconst_NA)</f>
        <v>1</v>
      </c>
      <c r="BK231" s="23"/>
    </row>
    <row r="232" spans="1:63" s="1063" customFormat="1" ht="12.75" customHeight="1" thickBot="1" x14ac:dyDescent="0.25">
      <c r="A232" s="58"/>
      <c r="B232" s="1248"/>
      <c r="C232" s="783" t="s">
        <v>324</v>
      </c>
      <c r="D232" s="641" t="str">
        <f>Translations!$B$734</f>
        <v>F(C2F6)</v>
      </c>
      <c r="E232" s="642"/>
      <c r="F232" s="588"/>
      <c r="G232" s="1681" t="str">
        <f t="shared" si="32"/>
        <v/>
      </c>
      <c r="H232" s="1682"/>
      <c r="I232" s="1685" t="str">
        <f>IF(W232=EUconst_NA,"",INDEX(PFCUnits,7))</f>
        <v>t C2F6/t CF4</v>
      </c>
      <c r="J232" s="1686"/>
      <c r="K232" s="673" t="str">
        <f t="shared" si="33"/>
        <v/>
      </c>
      <c r="L232" s="676"/>
      <c r="M232" s="703" t="str">
        <f>IF(AND(E219&lt;&gt;"",OR(F232="",COUNT(K232:L232)=0),W232&lt;&gt;EUconst_NA),EUconst_ERR_Incomplete,IF(COUNTIF(AI232:AL232,TRUE)&gt;0,EUconst_ERR_Inconsistent,""))</f>
        <v/>
      </c>
      <c r="N232" s="140"/>
      <c r="O232" s="1305"/>
      <c r="P232" s="33"/>
      <c r="Q232" s="30"/>
      <c r="R232" s="590" t="str">
        <f>EUconst_CNTR_EF&amp;E219</f>
        <v>EF_</v>
      </c>
      <c r="S232" s="488"/>
      <c r="T232" s="650" t="str">
        <f t="shared" si="37"/>
        <v/>
      </c>
      <c r="U232" s="30"/>
      <c r="V232" s="488" t="str">
        <f>""</f>
        <v/>
      </c>
      <c r="W232" s="664" t="str">
        <f>W224</f>
        <v/>
      </c>
      <c r="X232" s="592" t="str">
        <f>IF(ISBLANK(F232),"",IF(F232=EUconst_NA,"",INDEX(EUwideConstants!$H:$M,MATCH(R232,EUwideConstants!$Q:$Q,0),MATCH(F232,CNTR_TierList,0))))</f>
        <v/>
      </c>
      <c r="Y232" s="580" t="str">
        <f>IF(COUNTIF(EUconst_DefaultValues,X232)&gt;0,MATCH(X232,EUconst_DefaultValues,0),"")</f>
        <v/>
      </c>
      <c r="Z232" s="30"/>
      <c r="AA232" s="665" t="b">
        <f>AND(AA224,W232&lt;&gt;EUconst_NA)</f>
        <v>0</v>
      </c>
      <c r="AB232" s="333"/>
      <c r="AC232" s="573" t="str">
        <f>IF(AA232=TRUE,IF(T232="","",INDEX(MSPara_PFCMethA,MATCH(T232,PFCCellTypes,0),2)),"")</f>
        <v/>
      </c>
      <c r="AD232" s="573" t="str">
        <f>IF(AND(Y232&lt;&gt;"",ISNUMBER(AC232)),AC232,"")</f>
        <v/>
      </c>
      <c r="AE232" s="573">
        <f t="shared" si="34"/>
        <v>0</v>
      </c>
      <c r="AF232" s="573" t="b">
        <f>AND(AA232=TRUE,OR(AND(F232&lt;&gt;"",NOT(ISNUMBER(Y232))),L232&lt;&gt;"",F232="",AD232=""))</f>
        <v>0</v>
      </c>
      <c r="AG232" s="573" t="b">
        <f t="shared" si="35"/>
        <v>0</v>
      </c>
      <c r="AH232" s="30"/>
      <c r="AI232" s="30"/>
      <c r="AJ232" s="30"/>
      <c r="AK232" s="573" t="b">
        <f t="shared" si="36"/>
        <v>0</v>
      </c>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573" t="b">
        <f>OR(BJ224,W232=EUconst_NA)</f>
        <v>1</v>
      </c>
      <c r="BK232" s="23"/>
    </row>
    <row r="233" spans="1:63" s="1063" customFormat="1" ht="5.0999999999999996" customHeight="1" thickBot="1" x14ac:dyDescent="0.25">
      <c r="A233" s="58"/>
      <c r="B233" s="1248"/>
      <c r="C233" s="164"/>
      <c r="D233" s="178"/>
      <c r="E233" s="140"/>
      <c r="F233" s="140"/>
      <c r="G233" s="140"/>
      <c r="H233" s="140"/>
      <c r="I233" s="140"/>
      <c r="J233" s="140"/>
      <c r="K233" s="140"/>
      <c r="L233" s="140"/>
      <c r="M233" s="695"/>
      <c r="N233" s="140"/>
      <c r="O233" s="1305"/>
      <c r="P233" s="33"/>
      <c r="Q233" s="172"/>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23"/>
    </row>
    <row r="234" spans="1:63" s="1063" customFormat="1" ht="12.75" customHeight="1" x14ac:dyDescent="0.2">
      <c r="A234" s="58"/>
      <c r="B234" s="1248"/>
      <c r="C234" s="753" t="s">
        <v>325</v>
      </c>
      <c r="D234" s="637" t="str">
        <f>Translations!$B$748</f>
        <v>Išmestas CF4 kiekis</v>
      </c>
      <c r="E234" s="638"/>
      <c r="F234" s="504"/>
      <c r="G234" s="504"/>
      <c r="H234" s="504"/>
      <c r="I234" s="1683" t="str">
        <f>EUconst_t</f>
        <v>t</v>
      </c>
      <c r="J234" s="1684"/>
      <c r="K234" s="504"/>
      <c r="L234" s="917" t="str">
        <f>IF(ISNUMBER(U219),INDEX(AO227:AP227,U219),"")</f>
        <v/>
      </c>
      <c r="M234" s="695"/>
      <c r="N234" s="140"/>
      <c r="O234" s="1305"/>
      <c r="P234" s="33"/>
      <c r="Q234" s="172"/>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23"/>
    </row>
    <row r="235" spans="1:63" s="1063" customFormat="1" ht="12.75" customHeight="1" thickBot="1" x14ac:dyDescent="0.25">
      <c r="A235" s="58"/>
      <c r="B235" s="1248"/>
      <c r="C235" s="753" t="s">
        <v>448</v>
      </c>
      <c r="D235" s="637" t="str">
        <f>Translations!$B$749</f>
        <v>Išmestas C2F6 kiekis</v>
      </c>
      <c r="E235" s="504"/>
      <c r="F235" s="504"/>
      <c r="G235" s="504"/>
      <c r="H235" s="504"/>
      <c r="I235" s="1685" t="str">
        <f>EUconst_t</f>
        <v>t</v>
      </c>
      <c r="J235" s="1686"/>
      <c r="K235" s="504"/>
      <c r="L235" s="918" t="str">
        <f>IF(ISNUMBER(U219),INDEX(AO228:AP228,U219),"")</f>
        <v/>
      </c>
      <c r="M235" s="695"/>
      <c r="N235" s="140"/>
      <c r="O235" s="1305"/>
      <c r="P235" s="33"/>
      <c r="Q235" s="172"/>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23"/>
    </row>
    <row r="236" spans="1:63" s="1063" customFormat="1" ht="5.0999999999999996" customHeight="1" thickBot="1" x14ac:dyDescent="0.25">
      <c r="A236" s="58"/>
      <c r="B236" s="1248"/>
      <c r="C236" s="755"/>
      <c r="D236" s="178"/>
      <c r="E236" s="140"/>
      <c r="F236" s="140"/>
      <c r="G236" s="140"/>
      <c r="H236" s="140"/>
      <c r="I236" s="140"/>
      <c r="J236" s="140"/>
      <c r="K236" s="140"/>
      <c r="L236" s="140"/>
      <c r="M236" s="695"/>
      <c r="N236" s="140"/>
      <c r="O236" s="1305"/>
      <c r="P236" s="33"/>
      <c r="Q236" s="172"/>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23"/>
    </row>
    <row r="237" spans="1:63" s="1063" customFormat="1" ht="12.75" customHeight="1" x14ac:dyDescent="0.2">
      <c r="A237" s="58"/>
      <c r="B237" s="1248"/>
      <c r="C237" s="753" t="s">
        <v>449</v>
      </c>
      <c r="D237" s="637" t="str">
        <f>Translations!$B$736</f>
        <v>VAP(CF4)</v>
      </c>
      <c r="E237" s="638"/>
      <c r="F237" s="504"/>
      <c r="G237" s="504"/>
      <c r="H237" s="504"/>
      <c r="I237" s="1683" t="s">
        <v>438</v>
      </c>
      <c r="J237" s="1684"/>
      <c r="K237" s="639">
        <f>IF(L237="",7390,"")</f>
        <v>7390</v>
      </c>
      <c r="L237" s="930"/>
      <c r="M237" s="695"/>
      <c r="N237" s="140"/>
      <c r="O237" s="1305"/>
      <c r="P237" s="635"/>
      <c r="Q237" s="172"/>
      <c r="R237" s="30"/>
      <c r="S237" s="30"/>
      <c r="T237" s="30"/>
      <c r="U237" s="30"/>
      <c r="V237" s="30"/>
      <c r="W237" s="30"/>
      <c r="X237" s="30"/>
      <c r="Y237" s="30"/>
      <c r="Z237" s="30"/>
      <c r="AA237" s="30"/>
      <c r="AB237" s="30"/>
      <c r="AC237" s="30"/>
      <c r="AD237" s="30"/>
      <c r="AE237" s="526">
        <f>IF(L237="",K237,L237)</f>
        <v>7390</v>
      </c>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522" t="b">
        <f>BJ224</f>
        <v>1</v>
      </c>
      <c r="BK237" s="23"/>
    </row>
    <row r="238" spans="1:63" s="1063" customFormat="1" ht="12.75" customHeight="1" thickBot="1" x14ac:dyDescent="0.25">
      <c r="A238" s="58"/>
      <c r="B238" s="1248"/>
      <c r="C238" s="753" t="s">
        <v>450</v>
      </c>
      <c r="D238" s="637" t="str">
        <f>Translations!$B$738</f>
        <v>VAP(C2F6)</v>
      </c>
      <c r="E238" s="638"/>
      <c r="F238" s="504"/>
      <c r="G238" s="504"/>
      <c r="H238" s="504"/>
      <c r="I238" s="1685" t="s">
        <v>439</v>
      </c>
      <c r="J238" s="1686"/>
      <c r="K238" s="640">
        <f>IF(L238="",12200,"")</f>
        <v>12200</v>
      </c>
      <c r="L238" s="931"/>
      <c r="M238" s="695"/>
      <c r="N238" s="140"/>
      <c r="O238" s="1305"/>
      <c r="P238" s="33"/>
      <c r="Q238" s="172"/>
      <c r="R238" s="30"/>
      <c r="S238" s="30"/>
      <c r="T238" s="30"/>
      <c r="U238" s="30"/>
      <c r="V238" s="30"/>
      <c r="W238" s="30"/>
      <c r="X238" s="30"/>
      <c r="Y238" s="30"/>
      <c r="Z238" s="30"/>
      <c r="AA238" s="30"/>
      <c r="AB238" s="30"/>
      <c r="AC238" s="30"/>
      <c r="AD238" s="30"/>
      <c r="AE238" s="665">
        <f>IF(L238="",K238,L238)</f>
        <v>12200</v>
      </c>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571" t="b">
        <f>BJ237</f>
        <v>1</v>
      </c>
      <c r="BK238" s="23"/>
    </row>
    <row r="239" spans="1:63" s="1063" customFormat="1" ht="5.0999999999999996" customHeight="1" thickBot="1" x14ac:dyDescent="0.25">
      <c r="A239" s="58"/>
      <c r="B239" s="1248"/>
      <c r="C239" s="755"/>
      <c r="D239" s="298"/>
      <c r="E239" s="486"/>
      <c r="F239" s="140"/>
      <c r="G239" s="140"/>
      <c r="H239" s="140"/>
      <c r="I239" s="140"/>
      <c r="J239" s="140"/>
      <c r="K239" s="140"/>
      <c r="L239" s="695"/>
      <c r="M239" s="695"/>
      <c r="N239" s="140"/>
      <c r="O239" s="1305"/>
      <c r="P239" s="33"/>
      <c r="Q239" s="172"/>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23"/>
    </row>
    <row r="240" spans="1:63" s="1063" customFormat="1" ht="12.75" customHeight="1" x14ac:dyDescent="0.2">
      <c r="A240" s="58"/>
      <c r="B240" s="1248"/>
      <c r="C240" s="753" t="s">
        <v>451</v>
      </c>
      <c r="D240" s="637" t="str">
        <f>Translations!$B$748</f>
        <v>Išmestas CF4 kiekis</v>
      </c>
      <c r="E240" s="638"/>
      <c r="F240" s="504"/>
      <c r="G240" s="504"/>
      <c r="H240" s="504"/>
      <c r="I240" s="1683" t="s">
        <v>257</v>
      </c>
      <c r="J240" s="1684"/>
      <c r="K240" s="504"/>
      <c r="L240" s="696" t="str">
        <f>IF(ISNUMBER(U219),INDEX(AO229:AP229,U219),"")</f>
        <v/>
      </c>
      <c r="M240" s="695"/>
      <c r="N240" s="140"/>
      <c r="O240" s="1305"/>
      <c r="P240" s="635"/>
      <c r="Q240" s="172"/>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23"/>
    </row>
    <row r="241" spans="1:63" s="1063" customFormat="1" ht="12.75" customHeight="1" thickBot="1" x14ac:dyDescent="0.25">
      <c r="A241" s="58"/>
      <c r="B241" s="1248"/>
      <c r="C241" s="753" t="s">
        <v>452</v>
      </c>
      <c r="D241" s="637" t="str">
        <f>Translations!$B$749</f>
        <v>Išmestas C2F6 kiekis</v>
      </c>
      <c r="E241" s="504"/>
      <c r="F241" s="504"/>
      <c r="G241" s="504"/>
      <c r="H241" s="504"/>
      <c r="I241" s="1685" t="s">
        <v>257</v>
      </c>
      <c r="J241" s="1686"/>
      <c r="K241" s="504"/>
      <c r="L241" s="697" t="str">
        <f>IF(ISNUMBER(U219),INDEX(AO230:AP230,U219),"")</f>
        <v/>
      </c>
      <c r="M241" s="695"/>
      <c r="N241" s="140"/>
      <c r="O241" s="1305"/>
      <c r="P241" s="33"/>
      <c r="Q241" s="172"/>
      <c r="R241" s="30"/>
      <c r="S241" s="30"/>
      <c r="T241" s="30"/>
      <c r="U241" s="30"/>
      <c r="V241" s="30"/>
      <c r="W241" s="30"/>
      <c r="X241" s="30"/>
      <c r="Y241" s="30"/>
      <c r="Z241" s="30"/>
      <c r="AA241" s="30"/>
      <c r="AB241" s="30"/>
      <c r="AC241" s="30"/>
      <c r="AD241" s="30"/>
      <c r="AE241" s="483"/>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23"/>
    </row>
    <row r="242" spans="1:63" s="1063" customFormat="1" ht="5.0999999999999996" customHeight="1" thickBot="1" x14ac:dyDescent="0.25">
      <c r="A242" s="58"/>
      <c r="B242" s="1248"/>
      <c r="C242" s="755"/>
      <c r="D242" s="178"/>
      <c r="E242" s="140"/>
      <c r="F242" s="140"/>
      <c r="G242" s="140"/>
      <c r="H242" s="140"/>
      <c r="I242" s="140"/>
      <c r="J242" s="140"/>
      <c r="K242" s="140"/>
      <c r="L242" s="140"/>
      <c r="M242" s="695"/>
      <c r="N242" s="140"/>
      <c r="O242" s="1305"/>
      <c r="P242" s="33"/>
      <c r="Q242" s="172"/>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23"/>
    </row>
    <row r="243" spans="1:63" s="1063" customFormat="1" ht="12.75" customHeight="1" thickBot="1" x14ac:dyDescent="0.25">
      <c r="A243" s="58"/>
      <c r="B243" s="1248"/>
      <c r="C243" s="753" t="s">
        <v>453</v>
      </c>
      <c r="D243" s="637" t="str">
        <f>Translations!$B$167</f>
        <v>Surinkimo efektyvumas</v>
      </c>
      <c r="E243" s="504"/>
      <c r="F243" s="504"/>
      <c r="G243" s="504"/>
      <c r="H243" s="504"/>
      <c r="I243" s="1687" t="s">
        <v>258</v>
      </c>
      <c r="J243" s="1688"/>
      <c r="K243" s="504"/>
      <c r="L243" s="932"/>
      <c r="M243" s="700" t="str">
        <f>IF(AND(E219&lt;&gt;"",L243=""),EUconst_ERR_Incomplete,IF(COUNTIF(AI243:AL243,TRUE)&gt;0,EUconst_ERR_Inconsistent,""))</f>
        <v/>
      </c>
      <c r="N243" s="140"/>
      <c r="O243" s="1305"/>
      <c r="P243" s="635"/>
      <c r="Q243" s="172"/>
      <c r="R243" s="30"/>
      <c r="S243" s="30"/>
      <c r="T243" s="30"/>
      <c r="U243" s="30"/>
      <c r="V243" s="30"/>
      <c r="W243" s="30"/>
      <c r="X243" s="30"/>
      <c r="Y243" s="30"/>
      <c r="Z243" s="30"/>
      <c r="AA243" s="30"/>
      <c r="AB243" s="30"/>
      <c r="AC243" s="30"/>
      <c r="AD243" s="30"/>
      <c r="AE243" s="30"/>
      <c r="AF243" s="30"/>
      <c r="AG243" s="30"/>
      <c r="AH243" s="30"/>
      <c r="AI243" s="30"/>
      <c r="AJ243" s="30"/>
      <c r="AK243" s="30"/>
      <c r="AL243" s="515" t="b">
        <f>L243&gt;100%</f>
        <v>0</v>
      </c>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515" t="b">
        <f>BJ224</f>
        <v>1</v>
      </c>
      <c r="BK243" s="23"/>
    </row>
    <row r="244" spans="1:63" s="1063" customFormat="1" ht="5.0999999999999996" customHeight="1" thickBot="1" x14ac:dyDescent="0.25">
      <c r="A244" s="58"/>
      <c r="B244" s="1248"/>
      <c r="C244" s="164"/>
      <c r="D244" s="178"/>
      <c r="E244" s="140"/>
      <c r="F244" s="140"/>
      <c r="G244" s="140"/>
      <c r="H244" s="140"/>
      <c r="I244" s="140"/>
      <c r="J244" s="140"/>
      <c r="K244" s="140"/>
      <c r="L244" s="140"/>
      <c r="M244" s="140"/>
      <c r="N244" s="140"/>
      <c r="O244" s="1305"/>
      <c r="P244" s="33"/>
      <c r="Q244" s="172"/>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23"/>
    </row>
    <row r="245" spans="1:63" s="1063" customFormat="1" ht="12.75" customHeight="1" thickBot="1" x14ac:dyDescent="0.25">
      <c r="A245" s="58"/>
      <c r="B245" s="1248"/>
      <c r="C245" s="164"/>
      <c r="D245" s="1629" t="str">
        <f>Translations!$B$674</f>
        <v>Pakopos galioja nuo:</v>
      </c>
      <c r="E245" s="1629"/>
      <c r="F245" s="1630"/>
      <c r="G245" s="607"/>
      <c r="H245" s="606" t="str">
        <f>Translations!$B$675</f>
        <v>iki:</v>
      </c>
      <c r="I245" s="607"/>
      <c r="J245" s="140"/>
      <c r="K245" s="140"/>
      <c r="L245" s="140"/>
      <c r="M245" s="140"/>
      <c r="N245" s="140"/>
      <c r="O245" s="1305"/>
      <c r="P245" s="33"/>
      <c r="Q245" s="172"/>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515" t="b">
        <f>BJ224</f>
        <v>1</v>
      </c>
      <c r="BK245" s="23"/>
    </row>
    <row r="246" spans="1:63" s="1063" customFormat="1" ht="5.0999999999999996" customHeight="1" thickBot="1" x14ac:dyDescent="0.25">
      <c r="A246" s="30"/>
      <c r="B246" s="1316"/>
      <c r="C246" s="140"/>
      <c r="D246" s="178"/>
      <c r="E246" s="140"/>
      <c r="F246" s="140"/>
      <c r="G246" s="140"/>
      <c r="H246" s="140"/>
      <c r="I246" s="140"/>
      <c r="J246" s="140"/>
      <c r="K246" s="140"/>
      <c r="L246" s="140"/>
      <c r="M246" s="140"/>
      <c r="N246" s="140"/>
      <c r="O246" s="1317"/>
      <c r="P246" s="488"/>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23"/>
    </row>
    <row r="247" spans="1:63" s="1063" customFormat="1" ht="12.75" customHeight="1" thickBot="1" x14ac:dyDescent="0.25">
      <c r="A247" s="30"/>
      <c r="B247" s="1316"/>
      <c r="C247" s="140"/>
      <c r="D247" s="1618" t="str">
        <f>Translations!$B$160</f>
        <v>Pastabos:</v>
      </c>
      <c r="E247" s="1619"/>
      <c r="F247" s="1680"/>
      <c r="G247" s="1680"/>
      <c r="H247" s="1680"/>
      <c r="I247" s="1680"/>
      <c r="J247" s="1680"/>
      <c r="K247" s="1680"/>
      <c r="L247" s="1680"/>
      <c r="M247" s="1680"/>
      <c r="N247" s="1680"/>
      <c r="O247" s="1317"/>
      <c r="P247" s="488"/>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515" t="b">
        <f>BJ245</f>
        <v>1</v>
      </c>
      <c r="BK247" s="23"/>
    </row>
    <row r="248" spans="1:63" s="1060" customFormat="1" ht="12.75" customHeight="1" thickBot="1" x14ac:dyDescent="0.25">
      <c r="A248" s="58"/>
      <c r="B248" s="1312"/>
      <c r="C248" s="490"/>
      <c r="D248" s="491"/>
      <c r="E248" s="492"/>
      <c r="F248" s="490"/>
      <c r="G248" s="493"/>
      <c r="H248" s="493"/>
      <c r="I248" s="493"/>
      <c r="J248" s="493"/>
      <c r="K248" s="493"/>
      <c r="L248" s="493"/>
      <c r="M248" s="493"/>
      <c r="N248" s="493"/>
      <c r="O248" s="1313"/>
      <c r="P248" s="485"/>
      <c r="Q248" s="58"/>
      <c r="R248" s="58"/>
      <c r="S248" s="489"/>
      <c r="T248" s="58"/>
      <c r="U248" s="58"/>
      <c r="V248" s="489"/>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23"/>
    </row>
    <row r="249" spans="1:63" s="1060" customFormat="1" ht="12.75" customHeight="1" thickBot="1" x14ac:dyDescent="0.25">
      <c r="A249" s="482"/>
      <c r="B249" s="1312"/>
      <c r="C249" s="486"/>
      <c r="D249" s="178"/>
      <c r="E249" s="487"/>
      <c r="F249" s="486"/>
      <c r="G249" s="478"/>
      <c r="H249" s="478"/>
      <c r="I249" s="478"/>
      <c r="J249" s="478"/>
      <c r="K249" s="486"/>
      <c r="L249" s="478"/>
      <c r="M249" s="478"/>
      <c r="N249" s="478"/>
      <c r="O249" s="1313"/>
      <c r="P249" s="485"/>
      <c r="Q249" s="76"/>
      <c r="R249" s="76"/>
      <c r="S249" s="58"/>
      <c r="T249" s="23"/>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23"/>
    </row>
    <row r="250" spans="1:63" s="1063" customFormat="1" ht="15" customHeight="1" thickBot="1" x14ac:dyDescent="0.25">
      <c r="A250" s="58"/>
      <c r="B250" s="1248"/>
      <c r="C250" s="608">
        <f>C218+1</f>
        <v>7</v>
      </c>
      <c r="D250" s="334"/>
      <c r="E250" s="1610"/>
      <c r="F250" s="1611"/>
      <c r="G250" s="1611"/>
      <c r="H250" s="1611"/>
      <c r="I250" s="1611"/>
      <c r="J250" s="1612"/>
      <c r="K250" s="140"/>
      <c r="L250" s="140"/>
      <c r="M250" s="494" t="str">
        <f>Translations!$B$747</f>
        <v>Išmetamųjų teršalų kiekis:</v>
      </c>
      <c r="N250" s="998" t="str">
        <f>IF(COUNT(L272:L273,L275)=3,(L272+L273)/L275,"")</f>
        <v/>
      </c>
      <c r="O250" s="1314" t="s">
        <v>257</v>
      </c>
      <c r="P250" s="485"/>
      <c r="Q250" s="343" t="str">
        <f>EUconst_SumCO2 &amp; "_" &amp; EUconst_ProcessPFC</f>
        <v>SUM_CO2_Išmetamas PFC kiekis</v>
      </c>
      <c r="R250" s="27" t="str">
        <f>IF(ISBLANK(E250),"",MATCH(E250,CNTR_SourceStreamNames,0))</f>
        <v/>
      </c>
      <c r="S250" s="609" t="str">
        <f>IF(ISBLANK(E250),"",INDEX(B_InstallationDescription!$D$71:$D$145,MATCH(E250,CNTR_SourceStreamNames,0)))</f>
        <v/>
      </c>
      <c r="T250" s="500" t="s">
        <v>387</v>
      </c>
      <c r="U250" s="677" t="s">
        <v>67</v>
      </c>
      <c r="V250" s="58"/>
      <c r="W250" s="58"/>
      <c r="X250" s="58"/>
      <c r="Y250" s="58"/>
      <c r="Z250" s="58"/>
      <c r="AA250" s="58"/>
      <c r="AB250" s="333"/>
      <c r="AC250" s="333"/>
      <c r="AD250" s="333"/>
      <c r="AE250" s="333"/>
      <c r="AF250" s="333"/>
      <c r="AG250" s="333"/>
      <c r="AH250" s="333"/>
      <c r="AI250" s="333"/>
      <c r="AJ250" s="333"/>
      <c r="AK250" s="333"/>
      <c r="AL250" s="333"/>
      <c r="AM250" s="333"/>
      <c r="AN250" s="333"/>
      <c r="AO250" s="333"/>
      <c r="AP250" s="333"/>
      <c r="AQ250" s="333"/>
      <c r="AR250" s="333"/>
      <c r="AS250" s="866">
        <f>K256</f>
        <v>0</v>
      </c>
      <c r="AT250" s="833">
        <f>AE258</f>
        <v>0</v>
      </c>
      <c r="AU250" s="833">
        <f>AE259</f>
        <v>0</v>
      </c>
      <c r="AV250" s="833">
        <f>AE260</f>
        <v>0</v>
      </c>
      <c r="AW250" s="833">
        <f>AE261</f>
        <v>0</v>
      </c>
      <c r="AX250" s="833">
        <f>AE262</f>
        <v>0</v>
      </c>
      <c r="AY250" s="833">
        <f>AE263</f>
        <v>0</v>
      </c>
      <c r="AZ250" s="833">
        <f>AE264</f>
        <v>0</v>
      </c>
      <c r="BA250" s="867" t="str">
        <f>L266</f>
        <v/>
      </c>
      <c r="BB250" s="867" t="str">
        <f>L267</f>
        <v/>
      </c>
      <c r="BC250" s="833">
        <f>AE269</f>
        <v>7390</v>
      </c>
      <c r="BD250" s="833">
        <f>AE270</f>
        <v>12200</v>
      </c>
      <c r="BE250" s="866" t="str">
        <f>L272</f>
        <v/>
      </c>
      <c r="BF250" s="866" t="str">
        <f>L273</f>
        <v/>
      </c>
      <c r="BG250" s="868">
        <f>L275</f>
        <v>0</v>
      </c>
      <c r="BH250" s="866" t="str">
        <f>N250</f>
        <v/>
      </c>
      <c r="BI250" s="333"/>
      <c r="BJ250" s="515" t="b">
        <f>CNTR_PFCRelevant=EUconst_NotRelevant</f>
        <v>1</v>
      </c>
      <c r="BK250" s="23"/>
    </row>
    <row r="251" spans="1:63" s="1063" customFormat="1" ht="15" customHeight="1" thickBot="1" x14ac:dyDescent="0.25">
      <c r="A251" s="58"/>
      <c r="B251" s="1248"/>
      <c r="C251" s="164"/>
      <c r="D251" s="164"/>
      <c r="E251" s="1625" t="str">
        <f>IF(E250="","",IF(INDEX(B_InstallationDescription!$E$71:$E$145,MATCH(S250,B_InstallationDescription!$D$71:$D$145,0))&gt;0,INDEX(B_InstallationDescription!$E$71:$E$145,MATCH(S250,B_InstallationDescription!$D$71:$D$145,0)),""))</f>
        <v/>
      </c>
      <c r="F251" s="1626"/>
      <c r="G251" s="1626"/>
      <c r="H251" s="1626"/>
      <c r="I251" s="1626"/>
      <c r="J251" s="1627"/>
      <c r="K251" s="140"/>
      <c r="L251" s="140"/>
      <c r="M251" s="141"/>
      <c r="N251" s="141"/>
      <c r="O251" s="1305"/>
      <c r="P251" s="485"/>
      <c r="Q251" s="30"/>
      <c r="R251" s="27" t="s">
        <v>91</v>
      </c>
      <c r="S251" s="30"/>
      <c r="T251" s="569" t="b">
        <v>1</v>
      </c>
      <c r="U251" s="509" t="str">
        <f>IF(E251="","",INDEX(CNTR_PFCMethod,MATCH(E250,CNTR_PFCSourceStreamNames,0)))</f>
        <v/>
      </c>
      <c r="V251" s="30"/>
      <c r="W251" s="485"/>
      <c r="X251" s="30"/>
      <c r="Y251" s="30"/>
      <c r="Z251" s="30"/>
      <c r="AA251" s="30"/>
      <c r="AB251" s="333"/>
      <c r="AC251" s="27" t="s">
        <v>303</v>
      </c>
      <c r="AD251" s="30"/>
      <c r="AE251" s="30"/>
      <c r="AF251" s="30"/>
      <c r="AG251" s="30"/>
      <c r="AH251" s="30"/>
      <c r="AI251" s="27" t="s">
        <v>310</v>
      </c>
      <c r="AJ251" s="30"/>
      <c r="AK251" s="30"/>
      <c r="AL251" s="30"/>
      <c r="AM251" s="30"/>
      <c r="AN251" s="27" t="s">
        <v>217</v>
      </c>
      <c r="AO251" s="30"/>
      <c r="AP251" s="30"/>
      <c r="AQ251" s="30"/>
      <c r="AR251" s="865" t="s">
        <v>486</v>
      </c>
      <c r="AS251" s="834" t="s">
        <v>218</v>
      </c>
      <c r="AT251" s="834" t="s">
        <v>454</v>
      </c>
      <c r="AU251" s="834" t="s">
        <v>455</v>
      </c>
      <c r="AV251" s="834" t="s">
        <v>447</v>
      </c>
      <c r="AW251" s="834" t="s">
        <v>443</v>
      </c>
      <c r="AX251" s="834" t="s">
        <v>444</v>
      </c>
      <c r="AY251" s="834" t="s">
        <v>445</v>
      </c>
      <c r="AZ251" s="834" t="s">
        <v>446</v>
      </c>
      <c r="BA251" s="834" t="s">
        <v>436</v>
      </c>
      <c r="BB251" s="834" t="s">
        <v>437</v>
      </c>
      <c r="BC251" s="834" t="s">
        <v>434</v>
      </c>
      <c r="BD251" s="834" t="s">
        <v>435</v>
      </c>
      <c r="BE251" s="834" t="s">
        <v>436</v>
      </c>
      <c r="BF251" s="834" t="s">
        <v>437</v>
      </c>
      <c r="BG251" s="834" t="s">
        <v>337</v>
      </c>
      <c r="BH251" s="833" t="s">
        <v>287</v>
      </c>
      <c r="BI251" s="30"/>
      <c r="BJ251" s="30"/>
      <c r="BK251" s="23"/>
    </row>
    <row r="252" spans="1:63" s="1063" customFormat="1" ht="5.0999999999999996" customHeight="1" x14ac:dyDescent="0.2">
      <c r="A252" s="58"/>
      <c r="B252" s="1248"/>
      <c r="C252" s="164"/>
      <c r="D252" s="164"/>
      <c r="E252" s="164"/>
      <c r="F252" s="164"/>
      <c r="G252" s="164"/>
      <c r="H252" s="140"/>
      <c r="I252" s="140"/>
      <c r="J252" s="140"/>
      <c r="K252" s="140"/>
      <c r="L252" s="140"/>
      <c r="M252" s="141"/>
      <c r="N252" s="141"/>
      <c r="O252" s="1305"/>
      <c r="P252" s="33"/>
      <c r="Q252" s="30"/>
      <c r="R252" s="480"/>
      <c r="S252" s="30"/>
      <c r="T252" s="30"/>
      <c r="U252" s="30"/>
      <c r="V252" s="30"/>
      <c r="W252" s="485"/>
      <c r="X252" s="30"/>
      <c r="Y252" s="30"/>
      <c r="Z252" s="30"/>
      <c r="AA252" s="30"/>
      <c r="AB252" s="333"/>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23"/>
    </row>
    <row r="253" spans="1:63" s="1063" customFormat="1" ht="12.75" customHeight="1" x14ac:dyDescent="0.2">
      <c r="A253" s="58"/>
      <c r="B253" s="1248"/>
      <c r="C253" s="164"/>
      <c r="D253" s="164"/>
      <c r="E253" s="1628" t="str">
        <f>IF(E250="","",HYPERLINK("#JUMP_14",EUconst_FurtherGuidancePoint1))</f>
        <v/>
      </c>
      <c r="F253" s="1628"/>
      <c r="G253" s="1628"/>
      <c r="H253" s="1628"/>
      <c r="I253" s="1628"/>
      <c r="J253" s="1628"/>
      <c r="K253" s="1628"/>
      <c r="L253" s="1628"/>
      <c r="M253" s="141"/>
      <c r="N253" s="141"/>
      <c r="O253" s="1305"/>
      <c r="P253" s="33"/>
      <c r="Q253" s="30"/>
      <c r="R253" s="480"/>
      <c r="S253" s="30"/>
      <c r="T253" s="30"/>
      <c r="U253" s="30"/>
      <c r="V253" s="30"/>
      <c r="W253" s="485"/>
      <c r="X253" s="30"/>
      <c r="Y253" s="30"/>
      <c r="Z253" s="30"/>
      <c r="AA253" s="30"/>
      <c r="AB253" s="333"/>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23"/>
    </row>
    <row r="254" spans="1:63" s="1063" customFormat="1" ht="5.0999999999999996" customHeight="1" x14ac:dyDescent="0.2">
      <c r="A254" s="58"/>
      <c r="B254" s="1248"/>
      <c r="C254" s="164"/>
      <c r="D254" s="164"/>
      <c r="E254" s="164"/>
      <c r="F254" s="164"/>
      <c r="G254" s="164"/>
      <c r="H254" s="140"/>
      <c r="I254" s="140"/>
      <c r="J254" s="140"/>
      <c r="K254" s="140"/>
      <c r="L254" s="140"/>
      <c r="M254" s="141"/>
      <c r="N254" s="141"/>
      <c r="O254" s="1305"/>
      <c r="P254" s="33"/>
      <c r="Q254" s="30"/>
      <c r="R254" s="480"/>
      <c r="S254" s="30"/>
      <c r="T254" s="30"/>
      <c r="U254" s="30"/>
      <c r="V254" s="30"/>
      <c r="W254" s="485"/>
      <c r="X254" s="30"/>
      <c r="Y254" s="30"/>
      <c r="Z254" s="30"/>
      <c r="AA254" s="30"/>
      <c r="AB254" s="333"/>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23"/>
    </row>
    <row r="255" spans="1:63" s="1063" customFormat="1" ht="12.75" customHeight="1" thickBot="1" x14ac:dyDescent="0.25">
      <c r="A255" s="58"/>
      <c r="B255" s="1248"/>
      <c r="C255" s="164"/>
      <c r="D255" s="164"/>
      <c r="E255" s="164"/>
      <c r="F255" s="497" t="str">
        <f>Translations!$B$333</f>
        <v>Pakopa</v>
      </c>
      <c r="G255" s="1613" t="str">
        <f>Translations!$B$672</f>
        <v>pakopos aprašas</v>
      </c>
      <c r="H255" s="1613"/>
      <c r="I255" s="1608" t="str">
        <f>Translations!$B$158</f>
        <v>Vienetas</v>
      </c>
      <c r="J255" s="1608"/>
      <c r="K255" s="1608" t="str">
        <f>Translations!$B$673</f>
        <v>Vertė</v>
      </c>
      <c r="L255" s="1608"/>
      <c r="M255" s="498" t="str">
        <f>Translations!$B$610</f>
        <v>klaida</v>
      </c>
      <c r="N255" s="140"/>
      <c r="O255" s="1305"/>
      <c r="P255" s="499"/>
      <c r="Q255" s="30"/>
      <c r="R255" s="480"/>
      <c r="S255" s="30"/>
      <c r="T255" s="500" t="s">
        <v>298</v>
      </c>
      <c r="U255" s="30"/>
      <c r="V255" s="30"/>
      <c r="W255" s="485" t="s">
        <v>560</v>
      </c>
      <c r="X255" s="485" t="s">
        <v>313</v>
      </c>
      <c r="Y255" s="30"/>
      <c r="Z255" s="30"/>
      <c r="AA255" s="496" t="s">
        <v>304</v>
      </c>
      <c r="AB255" s="333"/>
      <c r="AC255" s="483" t="s">
        <v>301</v>
      </c>
      <c r="AD255" s="495" t="s">
        <v>563</v>
      </c>
      <c r="AE255" s="495" t="s">
        <v>562</v>
      </c>
      <c r="AF255" s="501"/>
      <c r="AG255" s="501"/>
      <c r="AH255" s="30"/>
      <c r="AI255" s="483"/>
      <c r="AJ255" s="483"/>
      <c r="AK255" s="483"/>
      <c r="AL255" s="483"/>
      <c r="AM255" s="483"/>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484" t="s">
        <v>259</v>
      </c>
      <c r="BK255" s="23"/>
    </row>
    <row r="256" spans="1:63" s="1063" customFormat="1" ht="12.75" customHeight="1" thickBot="1" x14ac:dyDescent="0.25">
      <c r="A256" s="58"/>
      <c r="B256" s="1248"/>
      <c r="C256" s="783" t="s">
        <v>4</v>
      </c>
      <c r="D256" s="503" t="str">
        <f>Translations!$B$622</f>
        <v>VD:</v>
      </c>
      <c r="E256" s="504"/>
      <c r="F256" s="393"/>
      <c r="G256" s="1603" t="str">
        <f>IF(OR(ISBLANK(F256),F256=EUconst_NoTier),"",IF(X256=0,EUconst_NA,IF(ISERROR(X256),"",X256)))</f>
        <v/>
      </c>
      <c r="H256" s="1604"/>
      <c r="I256" s="1687" t="str">
        <f>EUconst_t</f>
        <v>t</v>
      </c>
      <c r="J256" s="1688"/>
      <c r="K256" s="1693"/>
      <c r="L256" s="1694"/>
      <c r="M256" s="700" t="str">
        <f>IF(AND(E251&lt;&gt;"",OR(F256="",K256=""),W256&lt;&gt;EUconst_NA),EUconst_ERR_Incomplete,IF(COUNTIF(AI256:AL256,TRUE)&gt;0,EUconst_ERR_Inconsistent,""))</f>
        <v/>
      </c>
      <c r="N256" s="140"/>
      <c r="O256" s="1305"/>
      <c r="P256" s="635"/>
      <c r="Q256" s="30"/>
      <c r="R256" s="505" t="str">
        <f>EUconst_CNTR_ActivityData&amp;E251</f>
        <v>ActivityData_</v>
      </c>
      <c r="S256" s="488"/>
      <c r="T256" s="505" t="str">
        <f>IF(E250="","",INDEX(B_InstallationDescription!$I$71:$I$145,MATCH(S250,B_InstallationDescription!$D$71:$D$145,0)))</f>
        <v/>
      </c>
      <c r="U256" s="30"/>
      <c r="V256" s="488"/>
      <c r="W256" s="506" t="str">
        <f>IF(E251="","",INDEX(EUwideConstants!$N:$N,MATCH(R256,EUwideConstants!$Q:$Q,0)))</f>
        <v/>
      </c>
      <c r="X256" s="507" t="str">
        <f>IF(ISBLANK(F256),"",IF(F256=EUconst_NA,"",INDEX(EUwideConstants!$H:$M,MATCH(R256,EUwideConstants!$Q:$Q,0),MATCH(F256,CNTR_TierList,0))))</f>
        <v/>
      </c>
      <c r="Y256" s="508" t="s">
        <v>299</v>
      </c>
      <c r="Z256" s="495"/>
      <c r="AA256" s="509" t="b">
        <f>E250&lt;&gt;""</f>
        <v>0</v>
      </c>
      <c r="AB256" s="333"/>
      <c r="AC256" s="496"/>
      <c r="AD256" s="30"/>
      <c r="AE256" s="509">
        <f>IF(W256=EUconst_NA,1,IF(COUNT(K256:L256)=0,0,IF(L256="",K256,L256)))</f>
        <v>0</v>
      </c>
      <c r="AF256" s="501" t="s">
        <v>306</v>
      </c>
      <c r="AG256" s="501" t="s">
        <v>306</v>
      </c>
      <c r="AH256" s="30"/>
      <c r="AI256" s="30"/>
      <c r="AJ256" s="30"/>
      <c r="AK256" s="30" t="s">
        <v>536</v>
      </c>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515" t="b">
        <f>OR(CNTR_PFCRelevant=EUconst_NotRelevant,AND(COUNTA(CNTR_ListRelevantSections)&gt;0,E250=""))</f>
        <v>1</v>
      </c>
      <c r="BK256" s="23"/>
    </row>
    <row r="257" spans="1:63" s="1063" customFormat="1" ht="5.0999999999999996" customHeight="1" thickBot="1" x14ac:dyDescent="0.25">
      <c r="A257" s="58"/>
      <c r="B257" s="1248"/>
      <c r="C257" s="783"/>
      <c r="D257" s="298"/>
      <c r="E257" s="140"/>
      <c r="F257" s="141"/>
      <c r="G257" s="141"/>
      <c r="H257" s="141" t="s">
        <v>233</v>
      </c>
      <c r="I257" s="516"/>
      <c r="J257" s="516"/>
      <c r="K257" s="141"/>
      <c r="L257" s="141"/>
      <c r="M257" s="701"/>
      <c r="N257" s="140"/>
      <c r="O257" s="1305"/>
      <c r="P257" s="33"/>
      <c r="Q257" s="30"/>
      <c r="R257" s="153"/>
      <c r="S257" s="488"/>
      <c r="T257" s="30"/>
      <c r="U257" s="30"/>
      <c r="V257" s="488"/>
      <c r="W257" s="517"/>
      <c r="X257" s="30"/>
      <c r="Y257" s="30"/>
      <c r="Z257" s="30"/>
      <c r="AA257" s="30"/>
      <c r="AB257" s="333"/>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484"/>
      <c r="BK257" s="23"/>
    </row>
    <row r="258" spans="1:63" s="1063" customFormat="1" ht="12.75" customHeight="1" thickBot="1" x14ac:dyDescent="0.25">
      <c r="A258" s="58"/>
      <c r="B258" s="1248"/>
      <c r="C258" s="783" t="s">
        <v>5</v>
      </c>
      <c r="D258" s="503" t="str">
        <f>Translations!$B$722</f>
        <v>A. Dažnis</v>
      </c>
      <c r="E258" s="504"/>
      <c r="F258" s="518"/>
      <c r="G258" s="1603" t="str">
        <f t="shared" ref="G258:G264" si="38">IF(OR(ISBLANK(F258),F258=EUconst_NoTier),"",IF(X258=0,EUconst_NotApplicable,IF(ISERROR(X258),"",X258)))</f>
        <v/>
      </c>
      <c r="H258" s="1609"/>
      <c r="I258" s="1683" t="str">
        <f>IF(W258=EUconst_NA,"",INDEX(PFCUnits,1))</f>
        <v>1/(vienoje elektrolizės vonioje per parą)</v>
      </c>
      <c r="J258" s="1684"/>
      <c r="K258" s="669" t="str">
        <f t="shared" ref="K258:K264" si="39">IF(L258="",AD258,"")</f>
        <v/>
      </c>
      <c r="L258" s="685"/>
      <c r="M258" s="700" t="str">
        <f>IF(AND(E251&lt;&gt;"",OR(F258="",L258=""),W258&lt;&gt;EUconst_NA),EUconst_ERR_Incomplete,IF(COUNTIF(AI258:AL258,TRUE)&gt;0,EUconst_ERR_Inconsistent,""))</f>
        <v/>
      </c>
      <c r="N258" s="486"/>
      <c r="O258" s="1305"/>
      <c r="P258" s="33"/>
      <c r="Q258" s="30"/>
      <c r="R258" s="521" t="str">
        <f>R256</f>
        <v>ActivityData_</v>
      </c>
      <c r="S258" s="488"/>
      <c r="T258" s="648" t="str">
        <f>T256</f>
        <v/>
      </c>
      <c r="U258" s="30"/>
      <c r="V258" s="488">
        <v>1</v>
      </c>
      <c r="W258" s="663" t="str">
        <f>IF(E251="","",IF(U251&lt;&gt;V258,EUconst_NA,INDEX(EUwideConstants!$N:$N,MATCH(R258,EUwideConstants!$Q:$Q,0))))</f>
        <v/>
      </c>
      <c r="X258" s="524" t="str">
        <f>IF(ISBLANK(F258),"",IF(F258=EUconst_NA,"",INDEX(EUwideConstants!$H:$M,MATCH(R258,EUwideConstants!$Q:$Q,0),MATCH(F258,CNTR_TierList,0))))</f>
        <v/>
      </c>
      <c r="Y258" s="30"/>
      <c r="Z258" s="30"/>
      <c r="AA258" s="526" t="b">
        <f>AND(AA256,W258&lt;&gt;EUconst_NA)</f>
        <v>0</v>
      </c>
      <c r="AB258" s="333"/>
      <c r="AC258" s="666" t="str">
        <f>IF(AA258=TRUE,IF(COUNTIF(MSPara_SourceStreamCategory,T258)=0,"",INDEX(MSPara_CalcFactorsMatrix,MATCH(T258,MSPara_SourceStreamCategory,0),MATCH(#REF!&amp;"_"&amp;1,MSPara_CalcFactors,0))),"")</f>
        <v/>
      </c>
      <c r="AD258" s="666" t="str">
        <f>""</f>
        <v/>
      </c>
      <c r="AE258" s="525">
        <f t="shared" ref="AE258:AE264" si="40">IF(AA258=TRUE,IF(COUNT(K258:L258)=0,0,IF(L258="",K258,L258)),0)</f>
        <v>0</v>
      </c>
      <c r="AF258" s="525" t="b">
        <f>AND(AA258=TRUE,OR(AND(F258&lt;&gt;"",NOT(ISNUMBER(Y258))),L258&lt;&gt;"",F258="",AD258=""))</f>
        <v>0</v>
      </c>
      <c r="AG258" s="525" t="b">
        <f t="shared" ref="AG258:AG264" si="41">AND(AA258=TRUE,NOT(AF258))</f>
        <v>0</v>
      </c>
      <c r="AH258" s="30"/>
      <c r="AI258" s="30"/>
      <c r="AJ258" s="30"/>
      <c r="AK258" s="525" t="b">
        <f t="shared" ref="AK258:AK264" si="42">AND(L258&lt;&gt;"",W258=EUconst_NA)</f>
        <v>0</v>
      </c>
      <c r="AL258" s="30"/>
      <c r="AM258" s="30"/>
      <c r="AN258" s="30"/>
      <c r="AO258" s="484" t="s">
        <v>384</v>
      </c>
      <c r="AP258" s="484" t="s">
        <v>385</v>
      </c>
      <c r="AQ258" s="30"/>
      <c r="AR258" s="30"/>
      <c r="AS258" s="30"/>
      <c r="AT258" s="30"/>
      <c r="AU258" s="30"/>
      <c r="AV258" s="30"/>
      <c r="AW258" s="30"/>
      <c r="AX258" s="30"/>
      <c r="AY258" s="30"/>
      <c r="AZ258" s="30"/>
      <c r="BA258" s="30"/>
      <c r="BB258" s="30"/>
      <c r="BC258" s="30"/>
      <c r="BD258" s="30"/>
      <c r="BE258" s="30"/>
      <c r="BF258" s="30"/>
      <c r="BG258" s="30"/>
      <c r="BH258" s="30"/>
      <c r="BI258" s="30"/>
      <c r="BJ258" s="525" t="b">
        <f>OR(BJ256,W258=EUconst_NA)</f>
        <v>1</v>
      </c>
      <c r="BK258" s="23"/>
    </row>
    <row r="259" spans="1:63" s="1063" customFormat="1" ht="12.75" customHeight="1" thickBot="1" x14ac:dyDescent="0.25">
      <c r="A259" s="58"/>
      <c r="B259" s="1248"/>
      <c r="C259" s="783" t="s">
        <v>194</v>
      </c>
      <c r="D259" s="503" t="str">
        <f>Translations!$B$724</f>
        <v>A. Trukmė</v>
      </c>
      <c r="E259" s="504"/>
      <c r="F259" s="636"/>
      <c r="G259" s="1603" t="str">
        <f t="shared" si="38"/>
        <v/>
      </c>
      <c r="H259" s="1609"/>
      <c r="I259" s="1691" t="str">
        <f>IF(W259=EUconst_NA,"",INDEX(PFCUnits,2))</f>
        <v>min.</v>
      </c>
      <c r="J259" s="1692"/>
      <c r="K259" s="670" t="str">
        <f t="shared" si="39"/>
        <v/>
      </c>
      <c r="L259" s="686"/>
      <c r="M259" s="700" t="str">
        <f>IF(AND(E251&lt;&gt;"",OR(F259="",L259=""),W259&lt;&gt;EUconst_NA),EUconst_ERR_Incomplete,IF(COUNTIF(AI259:AL259,TRUE)&gt;0,EUconst_ERR_Inconsistent,""))</f>
        <v/>
      </c>
      <c r="N259" s="486"/>
      <c r="O259" s="1305"/>
      <c r="P259" s="33"/>
      <c r="Q259" s="30"/>
      <c r="R259" s="543" t="str">
        <f>R258</f>
        <v>ActivityData_</v>
      </c>
      <c r="S259" s="488"/>
      <c r="T259" s="649" t="str">
        <f t="shared" ref="T259:T264" si="43">T258</f>
        <v/>
      </c>
      <c r="U259" s="30"/>
      <c r="V259" s="488">
        <v>1</v>
      </c>
      <c r="W259" s="662" t="str">
        <f>IF(E251="","",IF(U251&lt;&gt;V259,EUconst_NA,INDEX(EUwideConstants!$N:$N,MATCH(R259,EUwideConstants!$Q:$Q,0))))</f>
        <v/>
      </c>
      <c r="X259" s="546" t="str">
        <f>IF(ISBLANK(F259),"",IF(F259=EUconst_NA,"",INDEX(EUwideConstants!$H:$M,MATCH(R259,EUwideConstants!$Q:$Q,0),MATCH(F259,CNTR_TierList,0))))</f>
        <v/>
      </c>
      <c r="Y259" s="30"/>
      <c r="Z259" s="30"/>
      <c r="AA259" s="548" t="b">
        <f>AND(AA256,W259&lt;&gt;EUconst_NA)</f>
        <v>0</v>
      </c>
      <c r="AB259" s="333"/>
      <c r="AC259" s="667" t="str">
        <f>IF(AA259=TRUE,IF(COUNTIF(MSPara_SourceStreamCategory,T259)=0,"",INDEX(MSPara_CalcFactorsMatrix,MATCH(T259,MSPara_SourceStreamCategory,0),MATCH(#REF!&amp;"_"&amp;1,MSPara_CalcFactors,0))),"")</f>
        <v/>
      </c>
      <c r="AD259" s="667" t="str">
        <f>""</f>
        <v/>
      </c>
      <c r="AE259" s="651">
        <f t="shared" si="40"/>
        <v>0</v>
      </c>
      <c r="AF259" s="651" t="b">
        <f>AND(AA259=TRUE,OR(AND(F259&lt;&gt;"",NOT(ISNUMBER(Y259))),L259&lt;&gt;"",F259="",AD259=""))</f>
        <v>0</v>
      </c>
      <c r="AG259" s="651" t="b">
        <f t="shared" si="41"/>
        <v>0</v>
      </c>
      <c r="AH259" s="30"/>
      <c r="AI259" s="30"/>
      <c r="AJ259" s="30"/>
      <c r="AK259" s="651" t="b">
        <f t="shared" si="42"/>
        <v>0</v>
      </c>
      <c r="AL259" s="30"/>
      <c r="AM259" s="30"/>
      <c r="AN259" s="538" t="s">
        <v>440</v>
      </c>
      <c r="AO259" s="537" t="str">
        <f>IF(ISNUMBER(U251),AE256*AE258*AE259*AE260/1000,"")</f>
        <v/>
      </c>
      <c r="AP259" s="515" t="str">
        <f>IF(ISNUMBER(U251),AE256*(AE261/IF(AE262=0,0.01,AE262))*AE263/1000,"")</f>
        <v/>
      </c>
      <c r="AQ259" s="30"/>
      <c r="AR259" s="30"/>
      <c r="AS259" s="30"/>
      <c r="AT259" s="30"/>
      <c r="AU259" s="30"/>
      <c r="AV259" s="30"/>
      <c r="AW259" s="30"/>
      <c r="AX259" s="30"/>
      <c r="AY259" s="30"/>
      <c r="AZ259" s="30"/>
      <c r="BA259" s="30"/>
      <c r="BB259" s="30"/>
      <c r="BC259" s="30"/>
      <c r="BD259" s="30"/>
      <c r="BE259" s="30"/>
      <c r="BF259" s="30"/>
      <c r="BG259" s="30"/>
      <c r="BH259" s="30"/>
      <c r="BI259" s="30"/>
      <c r="BJ259" s="651" t="b">
        <f>OR(BJ256,W259=EUconst_NA)</f>
        <v>1</v>
      </c>
      <c r="BK259" s="23"/>
    </row>
    <row r="260" spans="1:63" s="1063" customFormat="1" ht="12.75" customHeight="1" thickBot="1" x14ac:dyDescent="0.25">
      <c r="A260" s="58"/>
      <c r="B260" s="1248"/>
      <c r="C260" s="783" t="s">
        <v>195</v>
      </c>
      <c r="D260" s="643" t="str">
        <f>Translations!$B$726</f>
        <v>A. NITF(CF4)</v>
      </c>
      <c r="E260" s="644"/>
      <c r="F260" s="539"/>
      <c r="G260" s="1689" t="str">
        <f t="shared" si="38"/>
        <v/>
      </c>
      <c r="H260" s="1690"/>
      <c r="I260" s="1691" t="str">
        <f>IF(W260=EUconst_NA,"",INDEX(PFCUnits,3))</f>
        <v>(kg CF4/t Al)/(min./vienoje elektrolizės vonioje per parą)</v>
      </c>
      <c r="J260" s="1692"/>
      <c r="K260" s="671" t="str">
        <f t="shared" si="39"/>
        <v/>
      </c>
      <c r="L260" s="674"/>
      <c r="M260" s="702" t="str">
        <f>IF(AND(E251&lt;&gt;"",OR(F260="",COUNT(K260:L260)=0),W260&lt;&gt;EUconst_NA),EUconst_ERR_Incomplete,IF(COUNTIF(AI260:AL260,TRUE)&gt;0,EUconst_ERR_Inconsistent,""))</f>
        <v/>
      </c>
      <c r="N260" s="140"/>
      <c r="O260" s="1305"/>
      <c r="P260" s="33"/>
      <c r="Q260" s="30"/>
      <c r="R260" s="543" t="str">
        <f>EUconst_CNTR_EF&amp;$E251</f>
        <v>EF_</v>
      </c>
      <c r="S260" s="488"/>
      <c r="T260" s="649" t="str">
        <f t="shared" si="43"/>
        <v/>
      </c>
      <c r="U260" s="30"/>
      <c r="V260" s="488">
        <v>1</v>
      </c>
      <c r="W260" s="662" t="str">
        <f>IF(E251="","",IF(U251&lt;&gt;V260,EUconst_NA,INDEX(EUwideConstants!$N:$N,MATCH(R260,EUwideConstants!$Q:$Q,0))))</f>
        <v/>
      </c>
      <c r="X260" s="546" t="str">
        <f>IF(ISBLANK(F260),"",IF(F260=EUconst_NA,"",INDEX(EUwideConstants!$H:$M,MATCH(R260,EUwideConstants!$Q:$Q,0),MATCH(F260,CNTR_TierList,0))))</f>
        <v/>
      </c>
      <c r="Y260" s="580" t="str">
        <f>IF(COUNTIF(EUconst_DefaultValues,X260)&gt;0,MATCH(X260,EUconst_DefaultValues,0),"")</f>
        <v/>
      </c>
      <c r="Z260" s="30"/>
      <c r="AA260" s="548" t="b">
        <f>AND(AA256,W260&lt;&gt;EUconst_NA)</f>
        <v>0</v>
      </c>
      <c r="AB260" s="333"/>
      <c r="AC260" s="651" t="str">
        <f>IF(AA260=TRUE,IF(T260="","",INDEX(MSPara_PFCMethA,MATCH(T260,PFCCellTypes,0),1)),"")</f>
        <v/>
      </c>
      <c r="AD260" s="651" t="str">
        <f>IF(AND(Y260&lt;&gt;"",ISNUMBER(AC260)),AC260,"")</f>
        <v/>
      </c>
      <c r="AE260" s="651">
        <f t="shared" si="40"/>
        <v>0</v>
      </c>
      <c r="AF260" s="651" t="b">
        <f>AND(AA260=TRUE,OR(AND(F260&lt;&gt;"",NOT(ISNUMBER(Y260))),L260&lt;&gt;"",F260="",AD260=""))</f>
        <v>0</v>
      </c>
      <c r="AG260" s="651" t="b">
        <f t="shared" si="41"/>
        <v>0</v>
      </c>
      <c r="AH260" s="30"/>
      <c r="AI260" s="30"/>
      <c r="AJ260" s="30"/>
      <c r="AK260" s="651" t="b">
        <f t="shared" si="42"/>
        <v>0</v>
      </c>
      <c r="AL260" s="30"/>
      <c r="AM260" s="30"/>
      <c r="AN260" s="538" t="s">
        <v>441</v>
      </c>
      <c r="AO260" s="537">
        <f>IF(AND(ISNUMBER(AO259),AO259&gt;0),AO259*AE264,0)</f>
        <v>0</v>
      </c>
      <c r="AP260" s="515">
        <f>IF(AND(ISNUMBER(AP259),AP259&gt;0),AP259*AE264,0)</f>
        <v>0</v>
      </c>
      <c r="AQ260" s="30"/>
      <c r="AR260" s="30"/>
      <c r="AS260" s="30"/>
      <c r="AT260" s="30"/>
      <c r="AU260" s="30"/>
      <c r="AV260" s="30"/>
      <c r="AW260" s="30"/>
      <c r="AX260" s="30"/>
      <c r="AY260" s="30"/>
      <c r="AZ260" s="30"/>
      <c r="BA260" s="30"/>
      <c r="BB260" s="30"/>
      <c r="BC260" s="30"/>
      <c r="BD260" s="30"/>
      <c r="BE260" s="30"/>
      <c r="BF260" s="30"/>
      <c r="BG260" s="30"/>
      <c r="BH260" s="30"/>
      <c r="BI260" s="30"/>
      <c r="BJ260" s="651" t="b">
        <f>OR(BJ256,W260=EUconst_NA)</f>
        <v>1</v>
      </c>
      <c r="BK260" s="23"/>
    </row>
    <row r="261" spans="1:63" s="1063" customFormat="1" ht="12.75" customHeight="1" thickBot="1" x14ac:dyDescent="0.25">
      <c r="A261" s="58"/>
      <c r="B261" s="1248"/>
      <c r="C261" s="783" t="s">
        <v>196</v>
      </c>
      <c r="D261" s="641" t="str">
        <f>Translations!$B$728</f>
        <v>B. AEV</v>
      </c>
      <c r="E261" s="642"/>
      <c r="F261" s="636"/>
      <c r="G261" s="1681" t="str">
        <f t="shared" si="38"/>
        <v/>
      </c>
      <c r="H261" s="1682"/>
      <c r="I261" s="1691" t="str">
        <f>IF(W261=EUconst_NA,"",INDEX(PFCUnits,4))</f>
        <v>mV</v>
      </c>
      <c r="J261" s="1692"/>
      <c r="K261" s="670" t="str">
        <f t="shared" si="39"/>
        <v/>
      </c>
      <c r="L261" s="686"/>
      <c r="M261" s="703" t="str">
        <f>IF(AND(E251&lt;&gt;"",OR(F261="",L261=""),W261&lt;&gt;EUconst_NA),EUconst_ERR_Incomplete,IF(COUNTIF(AI261:AL261,TRUE)&gt;0,EUconst_ERR_Inconsistent,""))</f>
        <v/>
      </c>
      <c r="N261" s="140"/>
      <c r="O261" s="1305"/>
      <c r="P261" s="635"/>
      <c r="Q261" s="30"/>
      <c r="R261" s="543" t="str">
        <f>R256</f>
        <v>ActivityData_</v>
      </c>
      <c r="S261" s="488"/>
      <c r="T261" s="649" t="str">
        <f t="shared" si="43"/>
        <v/>
      </c>
      <c r="U261" s="30"/>
      <c r="V261" s="488">
        <v>2</v>
      </c>
      <c r="W261" s="662" t="str">
        <f>IF(E251="","",IF(U251&lt;&gt;V261,EUconst_NA,INDEX(EUwideConstants!$N:$N,MATCH(R261,EUwideConstants!$Q:$Q,0))))</f>
        <v/>
      </c>
      <c r="X261" s="546" t="str">
        <f>IF(ISBLANK(F261),"",IF(F261=EUconst_NA,"",INDEX(EUwideConstants!$H:$M,MATCH(R261,EUwideConstants!$Q:$Q,0),MATCH(F261,CNTR_TierList,0))))</f>
        <v/>
      </c>
      <c r="Y261" s="30"/>
      <c r="Z261" s="30"/>
      <c r="AA261" s="548" t="b">
        <f>AND(AA256,W261&lt;&gt;EUconst_NA)</f>
        <v>0</v>
      </c>
      <c r="AB261" s="333"/>
      <c r="AC261" s="667"/>
      <c r="AD261" s="667" t="str">
        <f>""</f>
        <v/>
      </c>
      <c r="AE261" s="651">
        <f t="shared" si="40"/>
        <v>0</v>
      </c>
      <c r="AF261" s="651" t="b">
        <f>AND(AA261=TRUE,OR(ISNUMBER(L261),NOT(ISNUMBER(Y261))))</f>
        <v>0</v>
      </c>
      <c r="AG261" s="651" t="b">
        <f t="shared" si="41"/>
        <v>0</v>
      </c>
      <c r="AH261" s="30"/>
      <c r="AI261" s="30"/>
      <c r="AJ261" s="30"/>
      <c r="AK261" s="651" t="b">
        <f t="shared" si="42"/>
        <v>0</v>
      </c>
      <c r="AL261" s="30"/>
      <c r="AM261" s="30"/>
      <c r="AN261" s="538" t="s">
        <v>440</v>
      </c>
      <c r="AO261" s="537" t="str">
        <f>IF(ISNUMBER(AO259),AO259*AE269,"")</f>
        <v/>
      </c>
      <c r="AP261" s="515" t="str">
        <f>IF(ISNUMBER(AP259),AP259*AE269,"")</f>
        <v/>
      </c>
      <c r="AQ261" s="30"/>
      <c r="AR261" s="30"/>
      <c r="AS261" s="30"/>
      <c r="AT261" s="30"/>
      <c r="AU261" s="30"/>
      <c r="AV261" s="30"/>
      <c r="AW261" s="30"/>
      <c r="AX261" s="30"/>
      <c r="AY261" s="30"/>
      <c r="AZ261" s="30"/>
      <c r="BA261" s="30"/>
      <c r="BB261" s="30"/>
      <c r="BC261" s="30"/>
      <c r="BD261" s="30"/>
      <c r="BE261" s="30"/>
      <c r="BF261" s="30"/>
      <c r="BG261" s="30"/>
      <c r="BH261" s="30"/>
      <c r="BI261" s="30"/>
      <c r="BJ261" s="651" t="b">
        <f>OR(BJ256,W261=EUconst_NA)</f>
        <v>1</v>
      </c>
      <c r="BK261" s="23"/>
    </row>
    <row r="262" spans="1:63" s="1063" customFormat="1" ht="12.75" customHeight="1" thickBot="1" x14ac:dyDescent="0.25">
      <c r="A262" s="58"/>
      <c r="B262" s="1248"/>
      <c r="C262" s="753" t="s">
        <v>197</v>
      </c>
      <c r="D262" s="503" t="str">
        <f>Translations!$B$730</f>
        <v>B. EN</v>
      </c>
      <c r="E262" s="504"/>
      <c r="F262" s="539"/>
      <c r="G262" s="1603" t="str">
        <f t="shared" si="38"/>
        <v/>
      </c>
      <c r="H262" s="1604"/>
      <c r="I262" s="1691" t="str">
        <f>IF(W262=EUconst_NA,"","-")</f>
        <v>-</v>
      </c>
      <c r="J262" s="1692"/>
      <c r="K262" s="672" t="str">
        <f t="shared" si="39"/>
        <v/>
      </c>
      <c r="L262" s="562"/>
      <c r="M262" s="700" t="str">
        <f>IF(AND(E251&lt;&gt;"",OR(F262="",L262=""),W262&lt;&gt;EUconst_NA),EUconst_ERR_Incomplete,IF(COUNTIF(AI262:AL262,TRUE)&gt;0,EUconst_ERR_Inconsistent,""))</f>
        <v/>
      </c>
      <c r="N262" s="140"/>
      <c r="O262" s="1305"/>
      <c r="P262" s="635"/>
      <c r="Q262" s="30"/>
      <c r="R262" s="543" t="str">
        <f>R261</f>
        <v>ActivityData_</v>
      </c>
      <c r="S262" s="488"/>
      <c r="T262" s="649" t="str">
        <f t="shared" si="43"/>
        <v/>
      </c>
      <c r="U262" s="30"/>
      <c r="V262" s="488">
        <v>2</v>
      </c>
      <c r="W262" s="662" t="str">
        <f>IF(E251="","",IF(U251&lt;&gt;V262,EUconst_NA,INDEX(EUwideConstants!$N:$N,MATCH(R262,EUwideConstants!$Q:$Q,0))))</f>
        <v/>
      </c>
      <c r="X262" s="546" t="str">
        <f>IF(ISBLANK(F262),"",IF(F262=EUconst_NA,"",INDEX(EUwideConstants!$H:$M,MATCH(R262,EUwideConstants!$Q:$Q,0),MATCH(F262,CNTR_TierList,0))))</f>
        <v/>
      </c>
      <c r="Y262" s="30"/>
      <c r="Z262" s="30"/>
      <c r="AA262" s="548" t="b">
        <f>AND(AA256,W262&lt;&gt;EUconst_NA)</f>
        <v>0</v>
      </c>
      <c r="AB262" s="333"/>
      <c r="AC262" s="667"/>
      <c r="AD262" s="667" t="str">
        <f>""</f>
        <v/>
      </c>
      <c r="AE262" s="651">
        <f t="shared" si="40"/>
        <v>0</v>
      </c>
      <c r="AF262" s="651" t="b">
        <f>AND(AA262=TRUE,OR(ISNUMBER(L262),NOT(ISNUMBER(Y262))))</f>
        <v>0</v>
      </c>
      <c r="AG262" s="651" t="b">
        <f t="shared" si="41"/>
        <v>0</v>
      </c>
      <c r="AH262" s="30"/>
      <c r="AI262" s="30"/>
      <c r="AJ262" s="30"/>
      <c r="AK262" s="699" t="b">
        <f t="shared" si="42"/>
        <v>0</v>
      </c>
      <c r="AL262" s="515" t="b">
        <f>L262&gt;100%</f>
        <v>0</v>
      </c>
      <c r="AM262" s="30"/>
      <c r="AN262" s="538" t="s">
        <v>441</v>
      </c>
      <c r="AO262" s="537">
        <f>IF(ISNUMBER(AO260),AO260*AE270,"")</f>
        <v>0</v>
      </c>
      <c r="AP262" s="515">
        <f>IF(ISNUMBER(AP260),AP260*AE270,"")</f>
        <v>0</v>
      </c>
      <c r="AQ262" s="30"/>
      <c r="AR262" s="30"/>
      <c r="AS262" s="30"/>
      <c r="AT262" s="30"/>
      <c r="AU262" s="30"/>
      <c r="AV262" s="30"/>
      <c r="AW262" s="30"/>
      <c r="AX262" s="30"/>
      <c r="AY262" s="30"/>
      <c r="AZ262" s="30"/>
      <c r="BA262" s="30"/>
      <c r="BB262" s="30"/>
      <c r="BC262" s="30"/>
      <c r="BD262" s="30"/>
      <c r="BE262" s="30"/>
      <c r="BF262" s="30"/>
      <c r="BG262" s="30"/>
      <c r="BH262" s="30"/>
      <c r="BI262" s="30"/>
      <c r="BJ262" s="651" t="b">
        <f>OR(BJ256,W262=EUconst_NA)</f>
        <v>1</v>
      </c>
      <c r="BK262" s="23"/>
    </row>
    <row r="263" spans="1:63" s="1063" customFormat="1" ht="12.75" customHeight="1" thickBot="1" x14ac:dyDescent="0.25">
      <c r="A263" s="58"/>
      <c r="B263" s="1248"/>
      <c r="C263" s="783" t="s">
        <v>198</v>
      </c>
      <c r="D263" s="643" t="str">
        <f>Translations!$B$732</f>
        <v>B. VĮK</v>
      </c>
      <c r="E263" s="644"/>
      <c r="F263" s="539"/>
      <c r="G263" s="1689" t="str">
        <f t="shared" si="38"/>
        <v/>
      </c>
      <c r="H263" s="1690"/>
      <c r="I263" s="1691" t="str">
        <f>IF(W263=EUconst_NA,"",INDEX(PFCUnits,6))</f>
        <v>(kg CF4)/(t Al mV)</v>
      </c>
      <c r="J263" s="1692"/>
      <c r="K263" s="672" t="str">
        <f t="shared" si="39"/>
        <v/>
      </c>
      <c r="L263" s="675"/>
      <c r="M263" s="702" t="str">
        <f>IF(AND(E251&lt;&gt;"",OR(F263="",COUNT(K263:L263)=0),W263&lt;&gt;EUconst_NA),EUconst_ERR_Incomplete,IF(COUNTIF(AI263:AL263,TRUE)&gt;0,EUconst_ERR_Inconsistent,""))</f>
        <v/>
      </c>
      <c r="N263" s="140"/>
      <c r="O263" s="1305"/>
      <c r="P263" s="33"/>
      <c r="Q263" s="30"/>
      <c r="R263" s="543" t="str">
        <f>EUconst_CNTR_EF&amp;E251</f>
        <v>EF_</v>
      </c>
      <c r="S263" s="488"/>
      <c r="T263" s="649" t="str">
        <f t="shared" si="43"/>
        <v/>
      </c>
      <c r="U263" s="30"/>
      <c r="V263" s="488">
        <v>2</v>
      </c>
      <c r="W263" s="662" t="str">
        <f>IF(E251="","",IF(U251&lt;&gt;V263,EUconst_NA,INDEX(EUwideConstants!$N:$N,MATCH(R263,EUwideConstants!$Q:$Q,0))))</f>
        <v/>
      </c>
      <c r="X263" s="546" t="str">
        <f>IF(ISBLANK(F263),"",IF(F263=EUconst_NA,"",INDEX(EUwideConstants!$H:$M,MATCH(R263,EUwideConstants!$Q:$Q,0),MATCH(F263,CNTR_TierList,0))))</f>
        <v/>
      </c>
      <c r="Y263" s="580" t="str">
        <f>IF(COUNTIF(EUconst_DefaultValues,X263)&gt;0,MATCH(X263,EUconst_DefaultValues,0),"")</f>
        <v/>
      </c>
      <c r="Z263" s="30"/>
      <c r="AA263" s="548" t="b">
        <f>AND(AA256,W263&lt;&gt;EUconst_NA)</f>
        <v>0</v>
      </c>
      <c r="AB263" s="333"/>
      <c r="AC263" s="651" t="str">
        <f>IF(AA263=TRUE,IF(T263="","",INDEX(MSPara_PFCMethB,MATCH(T263,PFCCellTypes,0),1)),"")</f>
        <v/>
      </c>
      <c r="AD263" s="651" t="str">
        <f>IF(AND(Y263&lt;&gt;"",ISNUMBER(AC263)),AC263,"")</f>
        <v/>
      </c>
      <c r="AE263" s="651">
        <f t="shared" si="40"/>
        <v>0</v>
      </c>
      <c r="AF263" s="651" t="b">
        <f>AND(AA263=TRUE,OR(AND(F263&lt;&gt;"",NOT(ISNUMBER(Y263))),L263&lt;&gt;"",F263="",AD263=""))</f>
        <v>0</v>
      </c>
      <c r="AG263" s="651" t="b">
        <f t="shared" si="41"/>
        <v>0</v>
      </c>
      <c r="AH263" s="30"/>
      <c r="AI263" s="30"/>
      <c r="AJ263" s="30"/>
      <c r="AK263" s="651" t="b">
        <f t="shared" si="42"/>
        <v>0</v>
      </c>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651" t="b">
        <f>OR(BJ256,W263=EUconst_NA)</f>
        <v>1</v>
      </c>
      <c r="BK263" s="23"/>
    </row>
    <row r="264" spans="1:63" s="1063" customFormat="1" ht="12.75" customHeight="1" thickBot="1" x14ac:dyDescent="0.25">
      <c r="A264" s="58"/>
      <c r="B264" s="1248"/>
      <c r="C264" s="783" t="s">
        <v>324</v>
      </c>
      <c r="D264" s="641" t="str">
        <f>Translations!$B$734</f>
        <v>F(C2F6)</v>
      </c>
      <c r="E264" s="642"/>
      <c r="F264" s="588"/>
      <c r="G264" s="1681" t="str">
        <f t="shared" si="38"/>
        <v/>
      </c>
      <c r="H264" s="1682"/>
      <c r="I264" s="1685" t="str">
        <f>IF(W264=EUconst_NA,"",INDEX(PFCUnits,7))</f>
        <v>t C2F6/t CF4</v>
      </c>
      <c r="J264" s="1686"/>
      <c r="K264" s="673" t="str">
        <f t="shared" si="39"/>
        <v/>
      </c>
      <c r="L264" s="676"/>
      <c r="M264" s="703" t="str">
        <f>IF(AND(E251&lt;&gt;"",OR(F264="",COUNT(K264:L264)=0),W264&lt;&gt;EUconst_NA),EUconst_ERR_Incomplete,IF(COUNTIF(AI264:AL264,TRUE)&gt;0,EUconst_ERR_Inconsistent,""))</f>
        <v/>
      </c>
      <c r="N264" s="140"/>
      <c r="O264" s="1305"/>
      <c r="P264" s="33"/>
      <c r="Q264" s="30"/>
      <c r="R264" s="590" t="str">
        <f>EUconst_CNTR_EF&amp;E251</f>
        <v>EF_</v>
      </c>
      <c r="S264" s="488"/>
      <c r="T264" s="650" t="str">
        <f t="shared" si="43"/>
        <v/>
      </c>
      <c r="U264" s="30"/>
      <c r="V264" s="488" t="str">
        <f>""</f>
        <v/>
      </c>
      <c r="W264" s="664" t="str">
        <f>W256</f>
        <v/>
      </c>
      <c r="X264" s="592" t="str">
        <f>IF(ISBLANK(F264),"",IF(F264=EUconst_NA,"",INDEX(EUwideConstants!$H:$M,MATCH(R264,EUwideConstants!$Q:$Q,0),MATCH(F264,CNTR_TierList,0))))</f>
        <v/>
      </c>
      <c r="Y264" s="580" t="str">
        <f>IF(COUNTIF(EUconst_DefaultValues,X264)&gt;0,MATCH(X264,EUconst_DefaultValues,0),"")</f>
        <v/>
      </c>
      <c r="Z264" s="30"/>
      <c r="AA264" s="665" t="b">
        <f>AND(AA256,W264&lt;&gt;EUconst_NA)</f>
        <v>0</v>
      </c>
      <c r="AB264" s="333"/>
      <c r="AC264" s="573" t="str">
        <f>IF(AA264=TRUE,IF(T264="","",INDEX(MSPara_PFCMethA,MATCH(T264,PFCCellTypes,0),2)),"")</f>
        <v/>
      </c>
      <c r="AD264" s="573" t="str">
        <f>IF(AND(Y264&lt;&gt;"",ISNUMBER(AC264)),AC264,"")</f>
        <v/>
      </c>
      <c r="AE264" s="573">
        <f t="shared" si="40"/>
        <v>0</v>
      </c>
      <c r="AF264" s="573" t="b">
        <f>AND(AA264=TRUE,OR(AND(F264&lt;&gt;"",NOT(ISNUMBER(Y264))),L264&lt;&gt;"",F264="",AD264=""))</f>
        <v>0</v>
      </c>
      <c r="AG264" s="573" t="b">
        <f t="shared" si="41"/>
        <v>0</v>
      </c>
      <c r="AH264" s="30"/>
      <c r="AI264" s="30"/>
      <c r="AJ264" s="30"/>
      <c r="AK264" s="573" t="b">
        <f t="shared" si="42"/>
        <v>0</v>
      </c>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573" t="b">
        <f>OR(BJ256,W264=EUconst_NA)</f>
        <v>1</v>
      </c>
      <c r="BK264" s="23"/>
    </row>
    <row r="265" spans="1:63" s="1063" customFormat="1" ht="5.0999999999999996" customHeight="1" thickBot="1" x14ac:dyDescent="0.25">
      <c r="A265" s="58"/>
      <c r="B265" s="1248"/>
      <c r="C265" s="164"/>
      <c r="D265" s="178"/>
      <c r="E265" s="140"/>
      <c r="F265" s="140"/>
      <c r="G265" s="140"/>
      <c r="H265" s="140"/>
      <c r="I265" s="140"/>
      <c r="J265" s="140"/>
      <c r="K265" s="140"/>
      <c r="L265" s="140"/>
      <c r="M265" s="695"/>
      <c r="N265" s="140"/>
      <c r="O265" s="1305"/>
      <c r="P265" s="33"/>
      <c r="Q265" s="172"/>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23"/>
    </row>
    <row r="266" spans="1:63" s="1063" customFormat="1" ht="12.75" customHeight="1" x14ac:dyDescent="0.2">
      <c r="A266" s="58"/>
      <c r="B266" s="1248"/>
      <c r="C266" s="753" t="s">
        <v>325</v>
      </c>
      <c r="D266" s="637" t="str">
        <f>Translations!$B$748</f>
        <v>Išmestas CF4 kiekis</v>
      </c>
      <c r="E266" s="638"/>
      <c r="F266" s="504"/>
      <c r="G266" s="504"/>
      <c r="H266" s="504"/>
      <c r="I266" s="1683" t="str">
        <f>EUconst_t</f>
        <v>t</v>
      </c>
      <c r="J266" s="1684"/>
      <c r="K266" s="504"/>
      <c r="L266" s="917" t="str">
        <f>IF(ISNUMBER(U251),INDEX(AO259:AP259,U251),"")</f>
        <v/>
      </c>
      <c r="M266" s="695"/>
      <c r="N266" s="140"/>
      <c r="O266" s="1305"/>
      <c r="P266" s="33"/>
      <c r="Q266" s="172"/>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23"/>
    </row>
    <row r="267" spans="1:63" s="1063" customFormat="1" ht="12.75" customHeight="1" thickBot="1" x14ac:dyDescent="0.25">
      <c r="A267" s="58"/>
      <c r="B267" s="1248"/>
      <c r="C267" s="753" t="s">
        <v>448</v>
      </c>
      <c r="D267" s="637" t="str">
        <f>Translations!$B$749</f>
        <v>Išmestas C2F6 kiekis</v>
      </c>
      <c r="E267" s="504"/>
      <c r="F267" s="504"/>
      <c r="G267" s="504"/>
      <c r="H267" s="504"/>
      <c r="I267" s="1685" t="str">
        <f>EUconst_t</f>
        <v>t</v>
      </c>
      <c r="J267" s="1686"/>
      <c r="K267" s="504"/>
      <c r="L267" s="918" t="str">
        <f>IF(ISNUMBER(U251),INDEX(AO260:AP260,U251),"")</f>
        <v/>
      </c>
      <c r="M267" s="695"/>
      <c r="N267" s="140"/>
      <c r="O267" s="1305"/>
      <c r="P267" s="33"/>
      <c r="Q267" s="172"/>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23"/>
    </row>
    <row r="268" spans="1:63" s="1063" customFormat="1" ht="5.0999999999999996" customHeight="1" thickBot="1" x14ac:dyDescent="0.25">
      <c r="A268" s="58"/>
      <c r="B268" s="1248"/>
      <c r="C268" s="755"/>
      <c r="D268" s="178"/>
      <c r="E268" s="140"/>
      <c r="F268" s="140"/>
      <c r="G268" s="140"/>
      <c r="H268" s="140"/>
      <c r="I268" s="140"/>
      <c r="J268" s="140"/>
      <c r="K268" s="140"/>
      <c r="L268" s="140"/>
      <c r="M268" s="695"/>
      <c r="N268" s="140"/>
      <c r="O268" s="1305"/>
      <c r="P268" s="33"/>
      <c r="Q268" s="172"/>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23"/>
    </row>
    <row r="269" spans="1:63" s="1063" customFormat="1" ht="12.75" customHeight="1" x14ac:dyDescent="0.2">
      <c r="A269" s="58"/>
      <c r="B269" s="1248"/>
      <c r="C269" s="753" t="s">
        <v>449</v>
      </c>
      <c r="D269" s="637" t="str">
        <f>Translations!$B$736</f>
        <v>VAP(CF4)</v>
      </c>
      <c r="E269" s="638"/>
      <c r="F269" s="504"/>
      <c r="G269" s="504"/>
      <c r="H269" s="504"/>
      <c r="I269" s="1683" t="s">
        <v>438</v>
      </c>
      <c r="J269" s="1684"/>
      <c r="K269" s="639">
        <f>IF(L269="",7390,"")</f>
        <v>7390</v>
      </c>
      <c r="L269" s="930"/>
      <c r="M269" s="695"/>
      <c r="N269" s="140"/>
      <c r="O269" s="1305"/>
      <c r="P269" s="635"/>
      <c r="Q269" s="172"/>
      <c r="R269" s="30"/>
      <c r="S269" s="30"/>
      <c r="T269" s="30"/>
      <c r="U269" s="30"/>
      <c r="V269" s="30"/>
      <c r="W269" s="30"/>
      <c r="X269" s="30"/>
      <c r="Y269" s="30"/>
      <c r="Z269" s="30"/>
      <c r="AA269" s="30"/>
      <c r="AB269" s="30"/>
      <c r="AC269" s="30"/>
      <c r="AD269" s="30"/>
      <c r="AE269" s="526">
        <f>IF(L269="",K269,L269)</f>
        <v>7390</v>
      </c>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522" t="b">
        <f>BJ256</f>
        <v>1</v>
      </c>
      <c r="BK269" s="23"/>
    </row>
    <row r="270" spans="1:63" s="1063" customFormat="1" ht="12.75" customHeight="1" thickBot="1" x14ac:dyDescent="0.25">
      <c r="A270" s="58"/>
      <c r="B270" s="1248"/>
      <c r="C270" s="753" t="s">
        <v>450</v>
      </c>
      <c r="D270" s="637" t="str">
        <f>Translations!$B$738</f>
        <v>VAP(C2F6)</v>
      </c>
      <c r="E270" s="638"/>
      <c r="F270" s="504"/>
      <c r="G270" s="504"/>
      <c r="H270" s="504"/>
      <c r="I270" s="1685" t="s">
        <v>439</v>
      </c>
      <c r="J270" s="1686"/>
      <c r="K270" s="640">
        <f>IF(L270="",12200,"")</f>
        <v>12200</v>
      </c>
      <c r="L270" s="931"/>
      <c r="M270" s="695"/>
      <c r="N270" s="140"/>
      <c r="O270" s="1305"/>
      <c r="P270" s="33"/>
      <c r="Q270" s="172"/>
      <c r="R270" s="30"/>
      <c r="S270" s="30"/>
      <c r="T270" s="30"/>
      <c r="U270" s="30"/>
      <c r="V270" s="30"/>
      <c r="W270" s="30"/>
      <c r="X270" s="30"/>
      <c r="Y270" s="30"/>
      <c r="Z270" s="30"/>
      <c r="AA270" s="30"/>
      <c r="AB270" s="30"/>
      <c r="AC270" s="30"/>
      <c r="AD270" s="30"/>
      <c r="AE270" s="665">
        <f>IF(L270="",K270,L270)</f>
        <v>12200</v>
      </c>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571" t="b">
        <f>BJ269</f>
        <v>1</v>
      </c>
      <c r="BK270" s="23"/>
    </row>
    <row r="271" spans="1:63" s="1063" customFormat="1" ht="5.0999999999999996" customHeight="1" thickBot="1" x14ac:dyDescent="0.25">
      <c r="A271" s="58"/>
      <c r="B271" s="1248"/>
      <c r="C271" s="755"/>
      <c r="D271" s="298"/>
      <c r="E271" s="486"/>
      <c r="F271" s="140"/>
      <c r="G271" s="140"/>
      <c r="H271" s="140"/>
      <c r="I271" s="140"/>
      <c r="J271" s="140"/>
      <c r="K271" s="140"/>
      <c r="L271" s="695"/>
      <c r="M271" s="695"/>
      <c r="N271" s="140"/>
      <c r="O271" s="1305"/>
      <c r="P271" s="33"/>
      <c r="Q271" s="172"/>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23"/>
    </row>
    <row r="272" spans="1:63" s="1063" customFormat="1" ht="12.75" customHeight="1" x14ac:dyDescent="0.2">
      <c r="A272" s="58"/>
      <c r="B272" s="1248"/>
      <c r="C272" s="753" t="s">
        <v>451</v>
      </c>
      <c r="D272" s="637" t="str">
        <f>Translations!$B$748</f>
        <v>Išmestas CF4 kiekis</v>
      </c>
      <c r="E272" s="638"/>
      <c r="F272" s="504"/>
      <c r="G272" s="504"/>
      <c r="H272" s="504"/>
      <c r="I272" s="1683" t="s">
        <v>257</v>
      </c>
      <c r="J272" s="1684"/>
      <c r="K272" s="504"/>
      <c r="L272" s="696" t="str">
        <f>IF(ISNUMBER(U251),INDEX(AO261:AP261,U251),"")</f>
        <v/>
      </c>
      <c r="M272" s="695"/>
      <c r="N272" s="140"/>
      <c r="O272" s="1305"/>
      <c r="P272" s="635"/>
      <c r="Q272" s="172"/>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23"/>
    </row>
    <row r="273" spans="1:63" s="1063" customFormat="1" ht="12.75" customHeight="1" thickBot="1" x14ac:dyDescent="0.25">
      <c r="A273" s="58"/>
      <c r="B273" s="1248"/>
      <c r="C273" s="753" t="s">
        <v>452</v>
      </c>
      <c r="D273" s="637" t="str">
        <f>Translations!$B$749</f>
        <v>Išmestas C2F6 kiekis</v>
      </c>
      <c r="E273" s="504"/>
      <c r="F273" s="504"/>
      <c r="G273" s="504"/>
      <c r="H273" s="504"/>
      <c r="I273" s="1685" t="s">
        <v>257</v>
      </c>
      <c r="J273" s="1686"/>
      <c r="K273" s="504"/>
      <c r="L273" s="697" t="str">
        <f>IF(ISNUMBER(U251),INDEX(AO262:AP262,U251),"")</f>
        <v/>
      </c>
      <c r="M273" s="695"/>
      <c r="N273" s="140"/>
      <c r="O273" s="1305"/>
      <c r="P273" s="33"/>
      <c r="Q273" s="172"/>
      <c r="R273" s="30"/>
      <c r="S273" s="30"/>
      <c r="T273" s="30"/>
      <c r="U273" s="30"/>
      <c r="V273" s="30"/>
      <c r="W273" s="30"/>
      <c r="X273" s="30"/>
      <c r="Y273" s="30"/>
      <c r="Z273" s="30"/>
      <c r="AA273" s="30"/>
      <c r="AB273" s="30"/>
      <c r="AC273" s="30"/>
      <c r="AD273" s="30"/>
      <c r="AE273" s="483"/>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23"/>
    </row>
    <row r="274" spans="1:63" s="1063" customFormat="1" ht="5.0999999999999996" customHeight="1" thickBot="1" x14ac:dyDescent="0.25">
      <c r="A274" s="58"/>
      <c r="B274" s="1248"/>
      <c r="C274" s="755"/>
      <c r="D274" s="178"/>
      <c r="E274" s="140"/>
      <c r="F274" s="140"/>
      <c r="G274" s="140"/>
      <c r="H274" s="140"/>
      <c r="I274" s="140"/>
      <c r="J274" s="140"/>
      <c r="K274" s="140"/>
      <c r="L274" s="140"/>
      <c r="M274" s="695"/>
      <c r="N274" s="140"/>
      <c r="O274" s="1305"/>
      <c r="P274" s="33"/>
      <c r="Q274" s="172"/>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23"/>
    </row>
    <row r="275" spans="1:63" s="1063" customFormat="1" ht="12.75" customHeight="1" thickBot="1" x14ac:dyDescent="0.25">
      <c r="A275" s="58"/>
      <c r="B275" s="1248"/>
      <c r="C275" s="753" t="s">
        <v>453</v>
      </c>
      <c r="D275" s="637" t="str">
        <f>Translations!$B$167</f>
        <v>Surinkimo efektyvumas</v>
      </c>
      <c r="E275" s="504"/>
      <c r="F275" s="504"/>
      <c r="G275" s="504"/>
      <c r="H275" s="504"/>
      <c r="I275" s="1687" t="s">
        <v>258</v>
      </c>
      <c r="J275" s="1688"/>
      <c r="K275" s="504"/>
      <c r="L275" s="1094"/>
      <c r="M275" s="700" t="str">
        <f>IF(AND(E251&lt;&gt;"",L275=""),EUconst_ERR_Incomplete,IF(COUNTIF(AI275:AL275,TRUE)&gt;0,EUconst_ERR_Inconsistent,""))</f>
        <v/>
      </c>
      <c r="N275" s="140"/>
      <c r="O275" s="1305"/>
      <c r="P275" s="635"/>
      <c r="Q275" s="172"/>
      <c r="R275" s="30"/>
      <c r="S275" s="30"/>
      <c r="T275" s="30"/>
      <c r="U275" s="30"/>
      <c r="V275" s="30"/>
      <c r="W275" s="30"/>
      <c r="X275" s="30"/>
      <c r="Y275" s="30"/>
      <c r="Z275" s="30"/>
      <c r="AA275" s="30"/>
      <c r="AB275" s="30"/>
      <c r="AC275" s="30"/>
      <c r="AD275" s="30"/>
      <c r="AE275" s="30"/>
      <c r="AF275" s="30"/>
      <c r="AG275" s="30"/>
      <c r="AH275" s="30"/>
      <c r="AI275" s="30"/>
      <c r="AJ275" s="30"/>
      <c r="AK275" s="30"/>
      <c r="AL275" s="515" t="b">
        <f>L275&gt;100%</f>
        <v>0</v>
      </c>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515" t="b">
        <f>BJ256</f>
        <v>1</v>
      </c>
      <c r="BK275" s="23"/>
    </row>
    <row r="276" spans="1:63" s="1063" customFormat="1" ht="5.0999999999999996" customHeight="1" thickBot="1" x14ac:dyDescent="0.25">
      <c r="A276" s="58"/>
      <c r="B276" s="1248"/>
      <c r="C276" s="164"/>
      <c r="D276" s="178"/>
      <c r="E276" s="140"/>
      <c r="F276" s="140"/>
      <c r="G276" s="140"/>
      <c r="H276" s="140"/>
      <c r="I276" s="140"/>
      <c r="J276" s="140"/>
      <c r="K276" s="140"/>
      <c r="L276" s="140"/>
      <c r="M276" s="140"/>
      <c r="N276" s="140"/>
      <c r="O276" s="1305"/>
      <c r="P276" s="33"/>
      <c r="Q276" s="172"/>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23"/>
    </row>
    <row r="277" spans="1:63" s="1063" customFormat="1" ht="12.75" customHeight="1" thickBot="1" x14ac:dyDescent="0.25">
      <c r="A277" s="58"/>
      <c r="B277" s="1248"/>
      <c r="C277" s="164"/>
      <c r="D277" s="1629" t="str">
        <f>Translations!$B$674</f>
        <v>Pakopos galioja nuo:</v>
      </c>
      <c r="E277" s="1629"/>
      <c r="F277" s="1630"/>
      <c r="G277" s="607"/>
      <c r="H277" s="606" t="str">
        <f>Translations!$B$675</f>
        <v>iki:</v>
      </c>
      <c r="I277" s="607"/>
      <c r="J277" s="140"/>
      <c r="K277" s="140"/>
      <c r="L277" s="140"/>
      <c r="M277" s="140"/>
      <c r="N277" s="140"/>
      <c r="O277" s="1305"/>
      <c r="P277" s="33"/>
      <c r="Q277" s="172"/>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515" t="b">
        <f>BJ256</f>
        <v>1</v>
      </c>
      <c r="BK277" s="23"/>
    </row>
    <row r="278" spans="1:63" s="1063" customFormat="1" ht="5.0999999999999996" customHeight="1" thickBot="1" x14ac:dyDescent="0.25">
      <c r="A278" s="30"/>
      <c r="B278" s="1316"/>
      <c r="C278" s="140"/>
      <c r="D278" s="178"/>
      <c r="E278" s="140"/>
      <c r="F278" s="140"/>
      <c r="G278" s="140"/>
      <c r="H278" s="140"/>
      <c r="I278" s="140"/>
      <c r="J278" s="140"/>
      <c r="K278" s="140"/>
      <c r="L278" s="140"/>
      <c r="M278" s="140"/>
      <c r="N278" s="140"/>
      <c r="O278" s="1317"/>
      <c r="P278" s="488"/>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23"/>
    </row>
    <row r="279" spans="1:63" s="1063" customFormat="1" ht="12.75" customHeight="1" thickBot="1" x14ac:dyDescent="0.25">
      <c r="A279" s="30"/>
      <c r="B279" s="1316"/>
      <c r="C279" s="140"/>
      <c r="D279" s="1618" t="str">
        <f>Translations!$B$160</f>
        <v>Pastabos:</v>
      </c>
      <c r="E279" s="1619"/>
      <c r="F279" s="1680"/>
      <c r="G279" s="1680"/>
      <c r="H279" s="1680"/>
      <c r="I279" s="1680"/>
      <c r="J279" s="1680"/>
      <c r="K279" s="1680"/>
      <c r="L279" s="1680"/>
      <c r="M279" s="1680"/>
      <c r="N279" s="1680"/>
      <c r="O279" s="1317"/>
      <c r="P279" s="488"/>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515" t="b">
        <f>BJ277</f>
        <v>1</v>
      </c>
      <c r="BK279" s="23"/>
    </row>
    <row r="280" spans="1:63" s="1060" customFormat="1" ht="12.75" customHeight="1" thickBot="1" x14ac:dyDescent="0.25">
      <c r="A280" s="58"/>
      <c r="B280" s="1312"/>
      <c r="C280" s="490"/>
      <c r="D280" s="491"/>
      <c r="E280" s="492"/>
      <c r="F280" s="490"/>
      <c r="G280" s="493"/>
      <c r="H280" s="493"/>
      <c r="I280" s="493"/>
      <c r="J280" s="493"/>
      <c r="K280" s="493"/>
      <c r="L280" s="493"/>
      <c r="M280" s="493"/>
      <c r="N280" s="493"/>
      <c r="O280" s="1313"/>
      <c r="P280" s="485"/>
      <c r="Q280" s="58"/>
      <c r="R280" s="58"/>
      <c r="S280" s="489"/>
      <c r="T280" s="58"/>
      <c r="U280" s="58"/>
      <c r="V280" s="489"/>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23"/>
    </row>
    <row r="281" spans="1:63" s="1060" customFormat="1" ht="12.75" customHeight="1" thickBot="1" x14ac:dyDescent="0.25">
      <c r="A281" s="482"/>
      <c r="B281" s="1312"/>
      <c r="C281" s="486"/>
      <c r="D281" s="178"/>
      <c r="E281" s="487"/>
      <c r="F281" s="486"/>
      <c r="G281" s="478"/>
      <c r="H281" s="478"/>
      <c r="I281" s="478"/>
      <c r="J281" s="478"/>
      <c r="K281" s="486"/>
      <c r="L281" s="478"/>
      <c r="M281" s="478"/>
      <c r="N281" s="478"/>
      <c r="O281" s="1313"/>
      <c r="P281" s="485"/>
      <c r="Q281" s="76"/>
      <c r="R281" s="76"/>
      <c r="S281" s="58"/>
      <c r="T281" s="23"/>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23"/>
    </row>
    <row r="282" spans="1:63" s="1063" customFormat="1" ht="15" customHeight="1" thickBot="1" x14ac:dyDescent="0.25">
      <c r="A282" s="58"/>
      <c r="B282" s="1248"/>
      <c r="C282" s="608">
        <f>C250+1</f>
        <v>8</v>
      </c>
      <c r="D282" s="334"/>
      <c r="E282" s="1610"/>
      <c r="F282" s="1611"/>
      <c r="G282" s="1611"/>
      <c r="H282" s="1611"/>
      <c r="I282" s="1611"/>
      <c r="J282" s="1612"/>
      <c r="K282" s="140"/>
      <c r="L282" s="140"/>
      <c r="M282" s="494" t="str">
        <f>Translations!$B$747</f>
        <v>Išmetamųjų teršalų kiekis:</v>
      </c>
      <c r="N282" s="998" t="str">
        <f>IF(COUNT(L304:L305,L307)=3,(L304+L305)/L307,"")</f>
        <v/>
      </c>
      <c r="O282" s="1314" t="s">
        <v>257</v>
      </c>
      <c r="P282" s="485"/>
      <c r="Q282" s="343" t="str">
        <f>EUconst_SumCO2 &amp; "_" &amp; EUconst_ProcessPFC</f>
        <v>SUM_CO2_Išmetamas PFC kiekis</v>
      </c>
      <c r="R282" s="27" t="str">
        <f>IF(ISBLANK(E282),"",MATCH(E282,CNTR_SourceStreamNames,0))</f>
        <v/>
      </c>
      <c r="S282" s="609" t="str">
        <f>IF(ISBLANK(E282),"",INDEX(B_InstallationDescription!$D$71:$D$145,MATCH(E282,CNTR_SourceStreamNames,0)))</f>
        <v/>
      </c>
      <c r="T282" s="500" t="s">
        <v>387</v>
      </c>
      <c r="U282" s="677" t="s">
        <v>67</v>
      </c>
      <c r="V282" s="58"/>
      <c r="W282" s="58"/>
      <c r="X282" s="58"/>
      <c r="Y282" s="58"/>
      <c r="Z282" s="58"/>
      <c r="AA282" s="58"/>
      <c r="AB282" s="333"/>
      <c r="AC282" s="333"/>
      <c r="AD282" s="333"/>
      <c r="AE282" s="333"/>
      <c r="AF282" s="333"/>
      <c r="AG282" s="333"/>
      <c r="AH282" s="333"/>
      <c r="AI282" s="333"/>
      <c r="AJ282" s="333"/>
      <c r="AK282" s="333"/>
      <c r="AL282" s="333"/>
      <c r="AM282" s="333"/>
      <c r="AN282" s="333"/>
      <c r="AO282" s="333"/>
      <c r="AP282" s="333"/>
      <c r="AQ282" s="333"/>
      <c r="AR282" s="333"/>
      <c r="AS282" s="866">
        <f>K288</f>
        <v>0</v>
      </c>
      <c r="AT282" s="833">
        <f>AE290</f>
        <v>0</v>
      </c>
      <c r="AU282" s="833">
        <f>AE291</f>
        <v>0</v>
      </c>
      <c r="AV282" s="833">
        <f>AE292</f>
        <v>0</v>
      </c>
      <c r="AW282" s="833">
        <f>AE293</f>
        <v>0</v>
      </c>
      <c r="AX282" s="833">
        <f>AE294</f>
        <v>0</v>
      </c>
      <c r="AY282" s="833">
        <f>AE295</f>
        <v>0</v>
      </c>
      <c r="AZ282" s="833">
        <f>AE296</f>
        <v>0</v>
      </c>
      <c r="BA282" s="867" t="str">
        <f>L298</f>
        <v/>
      </c>
      <c r="BB282" s="867" t="str">
        <f>L299</f>
        <v/>
      </c>
      <c r="BC282" s="833">
        <f>AE301</f>
        <v>7390</v>
      </c>
      <c r="BD282" s="833">
        <f>AE302</f>
        <v>12200</v>
      </c>
      <c r="BE282" s="866" t="str">
        <f>L304</f>
        <v/>
      </c>
      <c r="BF282" s="866" t="str">
        <f>L305</f>
        <v/>
      </c>
      <c r="BG282" s="868">
        <f>L307</f>
        <v>0</v>
      </c>
      <c r="BH282" s="866" t="str">
        <f>N282</f>
        <v/>
      </c>
      <c r="BI282" s="333"/>
      <c r="BJ282" s="515" t="b">
        <f>CNTR_PFCRelevant=EUconst_NotRelevant</f>
        <v>1</v>
      </c>
      <c r="BK282" s="23"/>
    </row>
    <row r="283" spans="1:63" s="1063" customFormat="1" ht="15" customHeight="1" thickBot="1" x14ac:dyDescent="0.25">
      <c r="A283" s="58"/>
      <c r="B283" s="1248"/>
      <c r="C283" s="164"/>
      <c r="D283" s="164"/>
      <c r="E283" s="1625" t="str">
        <f>IF(E282="","",IF(INDEX(B_InstallationDescription!$E$71:$E$145,MATCH(S282,B_InstallationDescription!$D$71:$D$145,0))&gt;0,INDEX(B_InstallationDescription!$E$71:$E$145,MATCH(S282,B_InstallationDescription!$D$71:$D$145,0)),""))</f>
        <v/>
      </c>
      <c r="F283" s="1626"/>
      <c r="G283" s="1626"/>
      <c r="H283" s="1626"/>
      <c r="I283" s="1626"/>
      <c r="J283" s="1627"/>
      <c r="K283" s="140"/>
      <c r="L283" s="140"/>
      <c r="M283" s="141"/>
      <c r="N283" s="141"/>
      <c r="O283" s="1305"/>
      <c r="P283" s="485"/>
      <c r="Q283" s="30"/>
      <c r="R283" s="27" t="s">
        <v>91</v>
      </c>
      <c r="S283" s="30"/>
      <c r="T283" s="569" t="b">
        <v>1</v>
      </c>
      <c r="U283" s="509" t="str">
        <f>IF(E283="","",INDEX(CNTR_PFCMethod,MATCH(E282,CNTR_PFCSourceStreamNames,0)))</f>
        <v/>
      </c>
      <c r="V283" s="30"/>
      <c r="W283" s="485"/>
      <c r="X283" s="30"/>
      <c r="Y283" s="30"/>
      <c r="Z283" s="30"/>
      <c r="AA283" s="30"/>
      <c r="AB283" s="333"/>
      <c r="AC283" s="27" t="s">
        <v>303</v>
      </c>
      <c r="AD283" s="30"/>
      <c r="AE283" s="30"/>
      <c r="AF283" s="30"/>
      <c r="AG283" s="30"/>
      <c r="AH283" s="30"/>
      <c r="AI283" s="27" t="s">
        <v>310</v>
      </c>
      <c r="AJ283" s="30"/>
      <c r="AK283" s="30"/>
      <c r="AL283" s="30"/>
      <c r="AM283" s="30"/>
      <c r="AN283" s="27" t="s">
        <v>217</v>
      </c>
      <c r="AO283" s="30"/>
      <c r="AP283" s="30"/>
      <c r="AQ283" s="30"/>
      <c r="AR283" s="865" t="s">
        <v>486</v>
      </c>
      <c r="AS283" s="834" t="s">
        <v>218</v>
      </c>
      <c r="AT283" s="834" t="s">
        <v>454</v>
      </c>
      <c r="AU283" s="834" t="s">
        <v>455</v>
      </c>
      <c r="AV283" s="834" t="s">
        <v>447</v>
      </c>
      <c r="AW283" s="834" t="s">
        <v>443</v>
      </c>
      <c r="AX283" s="834" t="s">
        <v>444</v>
      </c>
      <c r="AY283" s="834" t="s">
        <v>445</v>
      </c>
      <c r="AZ283" s="834" t="s">
        <v>446</v>
      </c>
      <c r="BA283" s="834" t="s">
        <v>436</v>
      </c>
      <c r="BB283" s="834" t="s">
        <v>437</v>
      </c>
      <c r="BC283" s="834" t="s">
        <v>434</v>
      </c>
      <c r="BD283" s="834" t="s">
        <v>435</v>
      </c>
      <c r="BE283" s="834" t="s">
        <v>436</v>
      </c>
      <c r="BF283" s="834" t="s">
        <v>437</v>
      </c>
      <c r="BG283" s="834" t="s">
        <v>337</v>
      </c>
      <c r="BH283" s="833" t="s">
        <v>287</v>
      </c>
      <c r="BI283" s="30"/>
      <c r="BJ283" s="30"/>
      <c r="BK283" s="23"/>
    </row>
    <row r="284" spans="1:63" s="1063" customFormat="1" ht="5.0999999999999996" customHeight="1" x14ac:dyDescent="0.2">
      <c r="A284" s="58"/>
      <c r="B284" s="1248"/>
      <c r="C284" s="164"/>
      <c r="D284" s="164"/>
      <c r="E284" s="164"/>
      <c r="F284" s="164"/>
      <c r="G284" s="164"/>
      <c r="H284" s="140"/>
      <c r="I284" s="140"/>
      <c r="J284" s="140"/>
      <c r="K284" s="140"/>
      <c r="L284" s="140"/>
      <c r="M284" s="141"/>
      <c r="N284" s="141"/>
      <c r="O284" s="1305"/>
      <c r="P284" s="33"/>
      <c r="Q284" s="30"/>
      <c r="R284" s="480"/>
      <c r="S284" s="30"/>
      <c r="T284" s="30"/>
      <c r="U284" s="30"/>
      <c r="V284" s="30"/>
      <c r="W284" s="485"/>
      <c r="X284" s="30"/>
      <c r="Y284" s="30"/>
      <c r="Z284" s="30"/>
      <c r="AA284" s="30"/>
      <c r="AB284" s="333"/>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23"/>
    </row>
    <row r="285" spans="1:63" s="1063" customFormat="1" ht="12.75" customHeight="1" x14ac:dyDescent="0.2">
      <c r="A285" s="58"/>
      <c r="B285" s="1248"/>
      <c r="C285" s="164"/>
      <c r="D285" s="164"/>
      <c r="E285" s="1628" t="str">
        <f>IF(E282="","",HYPERLINK("#JUMP_14",EUconst_FurtherGuidancePoint1))</f>
        <v/>
      </c>
      <c r="F285" s="1628"/>
      <c r="G285" s="1628"/>
      <c r="H285" s="1628"/>
      <c r="I285" s="1628"/>
      <c r="J285" s="1628"/>
      <c r="K285" s="1628"/>
      <c r="L285" s="1628"/>
      <c r="M285" s="141"/>
      <c r="N285" s="141"/>
      <c r="O285" s="1305"/>
      <c r="P285" s="33"/>
      <c r="Q285" s="30"/>
      <c r="R285" s="480"/>
      <c r="S285" s="30"/>
      <c r="T285" s="30"/>
      <c r="U285" s="30"/>
      <c r="V285" s="30"/>
      <c r="W285" s="485"/>
      <c r="X285" s="30"/>
      <c r="Y285" s="30"/>
      <c r="Z285" s="30"/>
      <c r="AA285" s="30"/>
      <c r="AB285" s="333"/>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23"/>
    </row>
    <row r="286" spans="1:63" s="1063" customFormat="1" ht="5.0999999999999996" customHeight="1" x14ac:dyDescent="0.2">
      <c r="A286" s="58"/>
      <c r="B286" s="1248"/>
      <c r="C286" s="164"/>
      <c r="D286" s="164"/>
      <c r="E286" s="164"/>
      <c r="F286" s="164"/>
      <c r="G286" s="164"/>
      <c r="H286" s="140"/>
      <c r="I286" s="140"/>
      <c r="J286" s="140"/>
      <c r="K286" s="140"/>
      <c r="L286" s="140"/>
      <c r="M286" s="141"/>
      <c r="N286" s="141"/>
      <c r="O286" s="1305"/>
      <c r="P286" s="33"/>
      <c r="Q286" s="30"/>
      <c r="R286" s="480"/>
      <c r="S286" s="30"/>
      <c r="T286" s="30"/>
      <c r="U286" s="30"/>
      <c r="V286" s="30"/>
      <c r="W286" s="485"/>
      <c r="X286" s="30"/>
      <c r="Y286" s="30"/>
      <c r="Z286" s="30"/>
      <c r="AA286" s="30"/>
      <c r="AB286" s="333"/>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23"/>
    </row>
    <row r="287" spans="1:63" s="1063" customFormat="1" ht="12.75" customHeight="1" thickBot="1" x14ac:dyDescent="0.25">
      <c r="A287" s="58"/>
      <c r="B287" s="1248"/>
      <c r="C287" s="164"/>
      <c r="D287" s="164"/>
      <c r="E287" s="164"/>
      <c r="F287" s="497" t="str">
        <f>Translations!$B$333</f>
        <v>Pakopa</v>
      </c>
      <c r="G287" s="1613" t="str">
        <f>Translations!$B$672</f>
        <v>pakopos aprašas</v>
      </c>
      <c r="H287" s="1613"/>
      <c r="I287" s="1608" t="str">
        <f>Translations!$B$158</f>
        <v>Vienetas</v>
      </c>
      <c r="J287" s="1608"/>
      <c r="K287" s="1608" t="str">
        <f>Translations!$B$673</f>
        <v>Vertė</v>
      </c>
      <c r="L287" s="1608"/>
      <c r="M287" s="498" t="str">
        <f>Translations!$B$610</f>
        <v>klaida</v>
      </c>
      <c r="N287" s="140"/>
      <c r="O287" s="1305"/>
      <c r="P287" s="499"/>
      <c r="Q287" s="30"/>
      <c r="R287" s="480"/>
      <c r="S287" s="30"/>
      <c r="T287" s="500" t="s">
        <v>298</v>
      </c>
      <c r="U287" s="30"/>
      <c r="V287" s="30"/>
      <c r="W287" s="485" t="s">
        <v>560</v>
      </c>
      <c r="X287" s="485" t="s">
        <v>313</v>
      </c>
      <c r="Y287" s="30"/>
      <c r="Z287" s="30"/>
      <c r="AA287" s="496" t="s">
        <v>304</v>
      </c>
      <c r="AB287" s="333"/>
      <c r="AC287" s="483" t="s">
        <v>301</v>
      </c>
      <c r="AD287" s="495" t="s">
        <v>563</v>
      </c>
      <c r="AE287" s="495" t="s">
        <v>562</v>
      </c>
      <c r="AF287" s="501"/>
      <c r="AG287" s="501"/>
      <c r="AH287" s="30"/>
      <c r="AI287" s="483"/>
      <c r="AJ287" s="483"/>
      <c r="AK287" s="483"/>
      <c r="AL287" s="483"/>
      <c r="AM287" s="483"/>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484" t="s">
        <v>259</v>
      </c>
      <c r="BK287" s="23"/>
    </row>
    <row r="288" spans="1:63" s="1063" customFormat="1" ht="12.75" customHeight="1" thickBot="1" x14ac:dyDescent="0.25">
      <c r="A288" s="58"/>
      <c r="B288" s="1248"/>
      <c r="C288" s="783" t="s">
        <v>4</v>
      </c>
      <c r="D288" s="503" t="str">
        <f>Translations!$B$622</f>
        <v>VD:</v>
      </c>
      <c r="E288" s="504"/>
      <c r="F288" s="393"/>
      <c r="G288" s="1603" t="str">
        <f>IF(OR(ISBLANK(F288),F288=EUconst_NoTier),"",IF(X288=0,EUconst_NA,IF(ISERROR(X288),"",X288)))</f>
        <v/>
      </c>
      <c r="H288" s="1604"/>
      <c r="I288" s="1687" t="str">
        <f>EUconst_t</f>
        <v>t</v>
      </c>
      <c r="J288" s="1688"/>
      <c r="K288" s="1693"/>
      <c r="L288" s="1694"/>
      <c r="M288" s="700" t="str">
        <f>IF(AND(E283&lt;&gt;"",OR(F288="",K288=""),W288&lt;&gt;EUconst_NA),EUconst_ERR_Incomplete,IF(COUNTIF(AI288:AL288,TRUE)&gt;0,EUconst_ERR_Inconsistent,""))</f>
        <v/>
      </c>
      <c r="N288" s="140"/>
      <c r="O288" s="1305"/>
      <c r="P288" s="635"/>
      <c r="Q288" s="30"/>
      <c r="R288" s="505" t="str">
        <f>EUconst_CNTR_ActivityData&amp;E283</f>
        <v>ActivityData_</v>
      </c>
      <c r="S288" s="488"/>
      <c r="T288" s="505" t="str">
        <f>IF(E282="","",INDEX(B_InstallationDescription!$I$71:$I$145,MATCH(S282,B_InstallationDescription!$D$71:$D$145,0)))</f>
        <v/>
      </c>
      <c r="U288" s="30"/>
      <c r="V288" s="488"/>
      <c r="W288" s="506" t="str">
        <f>IF(E283="","",INDEX(EUwideConstants!$N:$N,MATCH(R288,EUwideConstants!$Q:$Q,0)))</f>
        <v/>
      </c>
      <c r="X288" s="507" t="str">
        <f>IF(ISBLANK(F288),"",IF(F288=EUconst_NA,"",INDEX(EUwideConstants!$H:$M,MATCH(R288,EUwideConstants!$Q:$Q,0),MATCH(F288,CNTR_TierList,0))))</f>
        <v/>
      </c>
      <c r="Y288" s="508" t="s">
        <v>299</v>
      </c>
      <c r="Z288" s="495"/>
      <c r="AA288" s="509" t="b">
        <f>E282&lt;&gt;""</f>
        <v>0</v>
      </c>
      <c r="AB288" s="333"/>
      <c r="AC288" s="496"/>
      <c r="AD288" s="30"/>
      <c r="AE288" s="509">
        <f>IF(W288=EUconst_NA,1,IF(COUNT(K288:L288)=0,0,IF(L288="",K288,L288)))</f>
        <v>0</v>
      </c>
      <c r="AF288" s="501" t="s">
        <v>306</v>
      </c>
      <c r="AG288" s="501" t="s">
        <v>306</v>
      </c>
      <c r="AH288" s="30"/>
      <c r="AI288" s="30"/>
      <c r="AJ288" s="30"/>
      <c r="AK288" s="30" t="s">
        <v>536</v>
      </c>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515" t="b">
        <f>OR(CNTR_PFCRelevant=EUconst_NotRelevant,AND(COUNTA(CNTR_ListRelevantSections)&gt;0,E282=""))</f>
        <v>1</v>
      </c>
      <c r="BK288" s="23"/>
    </row>
    <row r="289" spans="1:63" s="1063" customFormat="1" ht="5.0999999999999996" customHeight="1" thickBot="1" x14ac:dyDescent="0.25">
      <c r="A289" s="58"/>
      <c r="B289" s="1248"/>
      <c r="C289" s="783"/>
      <c r="D289" s="298"/>
      <c r="E289" s="140"/>
      <c r="F289" s="141"/>
      <c r="G289" s="141"/>
      <c r="H289" s="141" t="s">
        <v>233</v>
      </c>
      <c r="I289" s="516"/>
      <c r="J289" s="516"/>
      <c r="K289" s="141"/>
      <c r="L289" s="141"/>
      <c r="M289" s="701"/>
      <c r="N289" s="140"/>
      <c r="O289" s="1305"/>
      <c r="P289" s="33"/>
      <c r="Q289" s="30"/>
      <c r="R289" s="153"/>
      <c r="S289" s="488"/>
      <c r="T289" s="30"/>
      <c r="U289" s="30"/>
      <c r="V289" s="488"/>
      <c r="W289" s="517"/>
      <c r="X289" s="30"/>
      <c r="Y289" s="30"/>
      <c r="Z289" s="30"/>
      <c r="AA289" s="30"/>
      <c r="AB289" s="333"/>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484"/>
      <c r="BK289" s="23"/>
    </row>
    <row r="290" spans="1:63" s="1063" customFormat="1" ht="12.75" customHeight="1" thickBot="1" x14ac:dyDescent="0.25">
      <c r="A290" s="58"/>
      <c r="B290" s="1248"/>
      <c r="C290" s="783" t="s">
        <v>5</v>
      </c>
      <c r="D290" s="503" t="str">
        <f>Translations!$B$722</f>
        <v>A. Dažnis</v>
      </c>
      <c r="E290" s="504"/>
      <c r="F290" s="518"/>
      <c r="G290" s="1603" t="str">
        <f t="shared" ref="G290:G296" si="44">IF(OR(ISBLANK(F290),F290=EUconst_NoTier),"",IF(X290=0,EUconst_NotApplicable,IF(ISERROR(X290),"",X290)))</f>
        <v/>
      </c>
      <c r="H290" s="1609"/>
      <c r="I290" s="1683" t="str">
        <f>IF(W290=EUconst_NA,"",INDEX(PFCUnits,1))</f>
        <v>1/(vienoje elektrolizės vonioje per parą)</v>
      </c>
      <c r="J290" s="1684"/>
      <c r="K290" s="669" t="str">
        <f t="shared" ref="K290:K296" si="45">IF(L290="",AD290,"")</f>
        <v/>
      </c>
      <c r="L290" s="685"/>
      <c r="M290" s="700" t="str">
        <f>IF(AND(E283&lt;&gt;"",OR(F290="",L290=""),W290&lt;&gt;EUconst_NA),EUconst_ERR_Incomplete,IF(COUNTIF(AI290:AL290,TRUE)&gt;0,EUconst_ERR_Inconsistent,""))</f>
        <v/>
      </c>
      <c r="N290" s="486"/>
      <c r="O290" s="1305"/>
      <c r="P290" s="33"/>
      <c r="Q290" s="30"/>
      <c r="R290" s="521" t="str">
        <f>R288</f>
        <v>ActivityData_</v>
      </c>
      <c r="S290" s="488"/>
      <c r="T290" s="648" t="str">
        <f>T288</f>
        <v/>
      </c>
      <c r="U290" s="30"/>
      <c r="V290" s="488">
        <v>1</v>
      </c>
      <c r="W290" s="663" t="str">
        <f>IF(E283="","",IF(U283&lt;&gt;V290,EUconst_NA,INDEX(EUwideConstants!$N:$N,MATCH(R290,EUwideConstants!$Q:$Q,0))))</f>
        <v/>
      </c>
      <c r="X290" s="524" t="str">
        <f>IF(ISBLANK(F290),"",IF(F290=EUconst_NA,"",INDEX(EUwideConstants!$H:$M,MATCH(R290,EUwideConstants!$Q:$Q,0),MATCH(F290,CNTR_TierList,0))))</f>
        <v/>
      </c>
      <c r="Y290" s="30"/>
      <c r="Z290" s="30"/>
      <c r="AA290" s="526" t="b">
        <f>AND(AA288,W290&lt;&gt;EUconst_NA)</f>
        <v>0</v>
      </c>
      <c r="AB290" s="333"/>
      <c r="AC290" s="666" t="str">
        <f>IF(AA290=TRUE,IF(COUNTIF(MSPara_SourceStreamCategory,T290)=0,"",INDEX(MSPara_CalcFactorsMatrix,MATCH(T290,MSPara_SourceStreamCategory,0),MATCH(#REF!&amp;"_"&amp;1,MSPara_CalcFactors,0))),"")</f>
        <v/>
      </c>
      <c r="AD290" s="666" t="str">
        <f>""</f>
        <v/>
      </c>
      <c r="AE290" s="525">
        <f t="shared" ref="AE290:AE296" si="46">IF(AA290=TRUE,IF(COUNT(K290:L290)=0,0,IF(L290="",K290,L290)),0)</f>
        <v>0</v>
      </c>
      <c r="AF290" s="525" t="b">
        <f>AND(AA290=TRUE,OR(AND(F290&lt;&gt;"",NOT(ISNUMBER(Y290))),L290&lt;&gt;"",F290="",AD290=""))</f>
        <v>0</v>
      </c>
      <c r="AG290" s="525" t="b">
        <f t="shared" ref="AG290:AG296" si="47">AND(AA290=TRUE,NOT(AF290))</f>
        <v>0</v>
      </c>
      <c r="AH290" s="30"/>
      <c r="AI290" s="30"/>
      <c r="AJ290" s="30"/>
      <c r="AK290" s="525" t="b">
        <f t="shared" ref="AK290:AK296" si="48">AND(L290&lt;&gt;"",W290=EUconst_NA)</f>
        <v>0</v>
      </c>
      <c r="AL290" s="30"/>
      <c r="AM290" s="30"/>
      <c r="AN290" s="30"/>
      <c r="AO290" s="484" t="s">
        <v>384</v>
      </c>
      <c r="AP290" s="484" t="s">
        <v>385</v>
      </c>
      <c r="AQ290" s="30"/>
      <c r="AR290" s="30"/>
      <c r="AS290" s="30"/>
      <c r="AT290" s="30"/>
      <c r="AU290" s="30"/>
      <c r="AV290" s="30"/>
      <c r="AW290" s="30"/>
      <c r="AX290" s="30"/>
      <c r="AY290" s="30"/>
      <c r="AZ290" s="30"/>
      <c r="BA290" s="30"/>
      <c r="BB290" s="30"/>
      <c r="BC290" s="30"/>
      <c r="BD290" s="30"/>
      <c r="BE290" s="30"/>
      <c r="BF290" s="30"/>
      <c r="BG290" s="30"/>
      <c r="BH290" s="30"/>
      <c r="BI290" s="30"/>
      <c r="BJ290" s="525" t="b">
        <f>OR(BJ288,W290=EUconst_NA)</f>
        <v>1</v>
      </c>
      <c r="BK290" s="23"/>
    </row>
    <row r="291" spans="1:63" s="1063" customFormat="1" ht="12.75" customHeight="1" thickBot="1" x14ac:dyDescent="0.25">
      <c r="A291" s="58"/>
      <c r="B291" s="1248"/>
      <c r="C291" s="783" t="s">
        <v>194</v>
      </c>
      <c r="D291" s="503" t="str">
        <f>Translations!$B$724</f>
        <v>A. Trukmė</v>
      </c>
      <c r="E291" s="504"/>
      <c r="F291" s="636"/>
      <c r="G291" s="1603" t="str">
        <f t="shared" si="44"/>
        <v/>
      </c>
      <c r="H291" s="1609"/>
      <c r="I291" s="1691" t="str">
        <f>IF(W291=EUconst_NA,"",INDEX(PFCUnits,2))</f>
        <v>min.</v>
      </c>
      <c r="J291" s="1692"/>
      <c r="K291" s="670" t="str">
        <f t="shared" si="45"/>
        <v/>
      </c>
      <c r="L291" s="686"/>
      <c r="M291" s="700" t="str">
        <f>IF(AND(E283&lt;&gt;"",OR(F291="",L291=""),W291&lt;&gt;EUconst_NA),EUconst_ERR_Incomplete,IF(COUNTIF(AI291:AL291,TRUE)&gt;0,EUconst_ERR_Inconsistent,""))</f>
        <v/>
      </c>
      <c r="N291" s="486"/>
      <c r="O291" s="1305"/>
      <c r="P291" s="33"/>
      <c r="Q291" s="30"/>
      <c r="R291" s="543" t="str">
        <f>R290</f>
        <v>ActivityData_</v>
      </c>
      <c r="S291" s="488"/>
      <c r="T291" s="649" t="str">
        <f t="shared" ref="T291:T296" si="49">T290</f>
        <v/>
      </c>
      <c r="U291" s="30"/>
      <c r="V291" s="488">
        <v>1</v>
      </c>
      <c r="W291" s="662" t="str">
        <f>IF(E283="","",IF(U283&lt;&gt;V291,EUconst_NA,INDEX(EUwideConstants!$N:$N,MATCH(R291,EUwideConstants!$Q:$Q,0))))</f>
        <v/>
      </c>
      <c r="X291" s="546" t="str">
        <f>IF(ISBLANK(F291),"",IF(F291=EUconst_NA,"",INDEX(EUwideConstants!$H:$M,MATCH(R291,EUwideConstants!$Q:$Q,0),MATCH(F291,CNTR_TierList,0))))</f>
        <v/>
      </c>
      <c r="Y291" s="30"/>
      <c r="Z291" s="30"/>
      <c r="AA291" s="548" t="b">
        <f>AND(AA288,W291&lt;&gt;EUconst_NA)</f>
        <v>0</v>
      </c>
      <c r="AB291" s="333"/>
      <c r="AC291" s="667" t="str">
        <f>IF(AA291=TRUE,IF(COUNTIF(MSPara_SourceStreamCategory,T291)=0,"",INDEX(MSPara_CalcFactorsMatrix,MATCH(T291,MSPara_SourceStreamCategory,0),MATCH(#REF!&amp;"_"&amp;1,MSPara_CalcFactors,0))),"")</f>
        <v/>
      </c>
      <c r="AD291" s="667" t="str">
        <f>""</f>
        <v/>
      </c>
      <c r="AE291" s="651">
        <f t="shared" si="46"/>
        <v>0</v>
      </c>
      <c r="AF291" s="651" t="b">
        <f>AND(AA291=TRUE,OR(AND(F291&lt;&gt;"",NOT(ISNUMBER(Y291))),L291&lt;&gt;"",F291="",AD291=""))</f>
        <v>0</v>
      </c>
      <c r="AG291" s="651" t="b">
        <f t="shared" si="47"/>
        <v>0</v>
      </c>
      <c r="AH291" s="30"/>
      <c r="AI291" s="30"/>
      <c r="AJ291" s="30"/>
      <c r="AK291" s="651" t="b">
        <f t="shared" si="48"/>
        <v>0</v>
      </c>
      <c r="AL291" s="30"/>
      <c r="AM291" s="30"/>
      <c r="AN291" s="538" t="s">
        <v>440</v>
      </c>
      <c r="AO291" s="537" t="str">
        <f>IF(ISNUMBER(U283),AE288*AE290*AE291*AE292/1000,"")</f>
        <v/>
      </c>
      <c r="AP291" s="515" t="str">
        <f>IF(ISNUMBER(U283),AE288*(AE293/IF(AE294=0,0.01,AE294))*AE295/1000,"")</f>
        <v/>
      </c>
      <c r="AQ291" s="30"/>
      <c r="AR291" s="30"/>
      <c r="AS291" s="30"/>
      <c r="AT291" s="30"/>
      <c r="AU291" s="30"/>
      <c r="AV291" s="30"/>
      <c r="AW291" s="30"/>
      <c r="AX291" s="30"/>
      <c r="AY291" s="30"/>
      <c r="AZ291" s="30"/>
      <c r="BA291" s="30"/>
      <c r="BB291" s="30"/>
      <c r="BC291" s="30"/>
      <c r="BD291" s="30"/>
      <c r="BE291" s="30"/>
      <c r="BF291" s="30"/>
      <c r="BG291" s="30"/>
      <c r="BH291" s="30"/>
      <c r="BI291" s="30"/>
      <c r="BJ291" s="651" t="b">
        <f>OR(BJ288,W291=EUconst_NA)</f>
        <v>1</v>
      </c>
      <c r="BK291" s="23"/>
    </row>
    <row r="292" spans="1:63" s="1063" customFormat="1" ht="12.75" customHeight="1" thickBot="1" x14ac:dyDescent="0.25">
      <c r="A292" s="58"/>
      <c r="B292" s="1248"/>
      <c r="C292" s="783" t="s">
        <v>195</v>
      </c>
      <c r="D292" s="643" t="str">
        <f>Translations!$B$726</f>
        <v>A. NITF(CF4)</v>
      </c>
      <c r="E292" s="644"/>
      <c r="F292" s="539"/>
      <c r="G292" s="1689" t="str">
        <f t="shared" si="44"/>
        <v/>
      </c>
      <c r="H292" s="1690"/>
      <c r="I292" s="1691" t="str">
        <f>IF(W292=EUconst_NA,"",INDEX(PFCUnits,3))</f>
        <v>(kg CF4/t Al)/(min./vienoje elektrolizės vonioje per parą)</v>
      </c>
      <c r="J292" s="1692"/>
      <c r="K292" s="671" t="str">
        <f t="shared" si="45"/>
        <v/>
      </c>
      <c r="L292" s="674"/>
      <c r="M292" s="702" t="str">
        <f>IF(AND(E283&lt;&gt;"",OR(F292="",COUNT(K292:L292)=0),W292&lt;&gt;EUconst_NA),EUconst_ERR_Incomplete,IF(COUNTIF(AI292:AL292,TRUE)&gt;0,EUconst_ERR_Inconsistent,""))</f>
        <v/>
      </c>
      <c r="N292" s="140"/>
      <c r="O292" s="1305"/>
      <c r="P292" s="33"/>
      <c r="Q292" s="30"/>
      <c r="R292" s="543" t="str">
        <f>EUconst_CNTR_EF&amp;$E283</f>
        <v>EF_</v>
      </c>
      <c r="S292" s="488"/>
      <c r="T292" s="649" t="str">
        <f t="shared" si="49"/>
        <v/>
      </c>
      <c r="U292" s="30"/>
      <c r="V292" s="488">
        <v>1</v>
      </c>
      <c r="W292" s="662" t="str">
        <f>IF(E283="","",IF(U283&lt;&gt;V292,EUconst_NA,INDEX(EUwideConstants!$N:$N,MATCH(R292,EUwideConstants!$Q:$Q,0))))</f>
        <v/>
      </c>
      <c r="X292" s="546" t="str">
        <f>IF(ISBLANK(F292),"",IF(F292=EUconst_NA,"",INDEX(EUwideConstants!$H:$M,MATCH(R292,EUwideConstants!$Q:$Q,0),MATCH(F292,CNTR_TierList,0))))</f>
        <v/>
      </c>
      <c r="Y292" s="580" t="str">
        <f>IF(COUNTIF(EUconst_DefaultValues,X292)&gt;0,MATCH(X292,EUconst_DefaultValues,0),"")</f>
        <v/>
      </c>
      <c r="Z292" s="30"/>
      <c r="AA292" s="548" t="b">
        <f>AND(AA288,W292&lt;&gt;EUconst_NA)</f>
        <v>0</v>
      </c>
      <c r="AB292" s="333"/>
      <c r="AC292" s="651" t="str">
        <f>IF(AA292=TRUE,IF(T292="","",INDEX(MSPara_PFCMethA,MATCH(T292,PFCCellTypes,0),1)),"")</f>
        <v/>
      </c>
      <c r="AD292" s="651" t="str">
        <f>IF(AND(Y292&lt;&gt;"",ISNUMBER(AC292)),AC292,"")</f>
        <v/>
      </c>
      <c r="AE292" s="651">
        <f t="shared" si="46"/>
        <v>0</v>
      </c>
      <c r="AF292" s="651" t="b">
        <f>AND(AA292=TRUE,OR(AND(F292&lt;&gt;"",NOT(ISNUMBER(Y292))),L292&lt;&gt;"",F292="",AD292=""))</f>
        <v>0</v>
      </c>
      <c r="AG292" s="651" t="b">
        <f t="shared" si="47"/>
        <v>0</v>
      </c>
      <c r="AH292" s="30"/>
      <c r="AI292" s="30"/>
      <c r="AJ292" s="30"/>
      <c r="AK292" s="651" t="b">
        <f t="shared" si="48"/>
        <v>0</v>
      </c>
      <c r="AL292" s="30"/>
      <c r="AM292" s="30"/>
      <c r="AN292" s="538" t="s">
        <v>441</v>
      </c>
      <c r="AO292" s="537">
        <f>IF(AND(ISNUMBER(AO291),AO291&gt;0),AO291*AE296,0)</f>
        <v>0</v>
      </c>
      <c r="AP292" s="515">
        <f>IF(AND(ISNUMBER(AP291),AP291&gt;0),AP291*AE296,0)</f>
        <v>0</v>
      </c>
      <c r="AQ292" s="30"/>
      <c r="AR292" s="30"/>
      <c r="AS292" s="30"/>
      <c r="AT292" s="30"/>
      <c r="AU292" s="30"/>
      <c r="AV292" s="30"/>
      <c r="AW292" s="30"/>
      <c r="AX292" s="30"/>
      <c r="AY292" s="30"/>
      <c r="AZ292" s="30"/>
      <c r="BA292" s="30"/>
      <c r="BB292" s="30"/>
      <c r="BC292" s="30"/>
      <c r="BD292" s="30"/>
      <c r="BE292" s="30"/>
      <c r="BF292" s="30"/>
      <c r="BG292" s="30"/>
      <c r="BH292" s="30"/>
      <c r="BI292" s="30"/>
      <c r="BJ292" s="651" t="b">
        <f>OR(BJ288,W292=EUconst_NA)</f>
        <v>1</v>
      </c>
      <c r="BK292" s="23"/>
    </row>
    <row r="293" spans="1:63" s="1063" customFormat="1" ht="12.75" customHeight="1" thickBot="1" x14ac:dyDescent="0.25">
      <c r="A293" s="58"/>
      <c r="B293" s="1248"/>
      <c r="C293" s="783" t="s">
        <v>196</v>
      </c>
      <c r="D293" s="641" t="str">
        <f>Translations!$B$728</f>
        <v>B. AEV</v>
      </c>
      <c r="E293" s="642"/>
      <c r="F293" s="636"/>
      <c r="G293" s="1681" t="str">
        <f t="shared" si="44"/>
        <v/>
      </c>
      <c r="H293" s="1682"/>
      <c r="I293" s="1691" t="str">
        <f>IF(W293=EUconst_NA,"",INDEX(PFCUnits,4))</f>
        <v>mV</v>
      </c>
      <c r="J293" s="1692"/>
      <c r="K293" s="670" t="str">
        <f t="shared" si="45"/>
        <v/>
      </c>
      <c r="L293" s="686"/>
      <c r="M293" s="703" t="str">
        <f>IF(AND(E283&lt;&gt;"",OR(F293="",L293=""),W293&lt;&gt;EUconst_NA),EUconst_ERR_Incomplete,IF(COUNTIF(AI293:AL293,TRUE)&gt;0,EUconst_ERR_Inconsistent,""))</f>
        <v/>
      </c>
      <c r="N293" s="140"/>
      <c r="O293" s="1305"/>
      <c r="P293" s="635"/>
      <c r="Q293" s="30"/>
      <c r="R293" s="543" t="str">
        <f>R288</f>
        <v>ActivityData_</v>
      </c>
      <c r="S293" s="488"/>
      <c r="T293" s="649" t="str">
        <f t="shared" si="49"/>
        <v/>
      </c>
      <c r="U293" s="30"/>
      <c r="V293" s="488">
        <v>2</v>
      </c>
      <c r="W293" s="662" t="str">
        <f>IF(E283="","",IF(U283&lt;&gt;V293,EUconst_NA,INDEX(EUwideConstants!$N:$N,MATCH(R293,EUwideConstants!$Q:$Q,0))))</f>
        <v/>
      </c>
      <c r="X293" s="546" t="str">
        <f>IF(ISBLANK(F293),"",IF(F293=EUconst_NA,"",INDEX(EUwideConstants!$H:$M,MATCH(R293,EUwideConstants!$Q:$Q,0),MATCH(F293,CNTR_TierList,0))))</f>
        <v/>
      </c>
      <c r="Y293" s="30"/>
      <c r="Z293" s="30"/>
      <c r="AA293" s="548" t="b">
        <f>AND(AA288,W293&lt;&gt;EUconst_NA)</f>
        <v>0</v>
      </c>
      <c r="AB293" s="333"/>
      <c r="AC293" s="667"/>
      <c r="AD293" s="667" t="str">
        <f>""</f>
        <v/>
      </c>
      <c r="AE293" s="651">
        <f t="shared" si="46"/>
        <v>0</v>
      </c>
      <c r="AF293" s="651" t="b">
        <f>AND(AA293=TRUE,OR(ISNUMBER(L293),NOT(ISNUMBER(Y293))))</f>
        <v>0</v>
      </c>
      <c r="AG293" s="651" t="b">
        <f t="shared" si="47"/>
        <v>0</v>
      </c>
      <c r="AH293" s="30"/>
      <c r="AI293" s="30"/>
      <c r="AJ293" s="30"/>
      <c r="AK293" s="651" t="b">
        <f t="shared" si="48"/>
        <v>0</v>
      </c>
      <c r="AL293" s="30"/>
      <c r="AM293" s="30"/>
      <c r="AN293" s="538" t="s">
        <v>440</v>
      </c>
      <c r="AO293" s="537" t="str">
        <f>IF(ISNUMBER(AO291),AO291*AE301,"")</f>
        <v/>
      </c>
      <c r="AP293" s="515" t="str">
        <f>IF(ISNUMBER(AP291),AP291*AE301,"")</f>
        <v/>
      </c>
      <c r="AQ293" s="30"/>
      <c r="AR293" s="30"/>
      <c r="AS293" s="30"/>
      <c r="AT293" s="30"/>
      <c r="AU293" s="30"/>
      <c r="AV293" s="30"/>
      <c r="AW293" s="30"/>
      <c r="AX293" s="30"/>
      <c r="AY293" s="30"/>
      <c r="AZ293" s="30"/>
      <c r="BA293" s="30"/>
      <c r="BB293" s="30"/>
      <c r="BC293" s="30"/>
      <c r="BD293" s="30"/>
      <c r="BE293" s="30"/>
      <c r="BF293" s="30"/>
      <c r="BG293" s="30"/>
      <c r="BH293" s="30"/>
      <c r="BI293" s="30"/>
      <c r="BJ293" s="651" t="b">
        <f>OR(BJ288,W293=EUconst_NA)</f>
        <v>1</v>
      </c>
      <c r="BK293" s="23"/>
    </row>
    <row r="294" spans="1:63" s="1063" customFormat="1" ht="12.75" customHeight="1" thickBot="1" x14ac:dyDescent="0.25">
      <c r="A294" s="58"/>
      <c r="B294" s="1248"/>
      <c r="C294" s="753" t="s">
        <v>197</v>
      </c>
      <c r="D294" s="503" t="str">
        <f>Translations!$B$730</f>
        <v>B. EN</v>
      </c>
      <c r="E294" s="504"/>
      <c r="F294" s="539"/>
      <c r="G294" s="1603" t="str">
        <f t="shared" si="44"/>
        <v/>
      </c>
      <c r="H294" s="1604"/>
      <c r="I294" s="1691" t="str">
        <f>IF(W294=EUconst_NA,"","-")</f>
        <v>-</v>
      </c>
      <c r="J294" s="1692"/>
      <c r="K294" s="672" t="str">
        <f t="shared" si="45"/>
        <v/>
      </c>
      <c r="L294" s="562"/>
      <c r="M294" s="700" t="str">
        <f>IF(AND(E283&lt;&gt;"",OR(F294="",L294=""),W294&lt;&gt;EUconst_NA),EUconst_ERR_Incomplete,IF(COUNTIF(AI294:AL294,TRUE)&gt;0,EUconst_ERR_Inconsistent,""))</f>
        <v/>
      </c>
      <c r="N294" s="140"/>
      <c r="O294" s="1305"/>
      <c r="P294" s="635"/>
      <c r="Q294" s="30"/>
      <c r="R294" s="543" t="str">
        <f>R293</f>
        <v>ActivityData_</v>
      </c>
      <c r="S294" s="488"/>
      <c r="T294" s="649" t="str">
        <f t="shared" si="49"/>
        <v/>
      </c>
      <c r="U294" s="30"/>
      <c r="V294" s="488">
        <v>2</v>
      </c>
      <c r="W294" s="662" t="str">
        <f>IF(E283="","",IF(U283&lt;&gt;V294,EUconst_NA,INDEX(EUwideConstants!$N:$N,MATCH(R294,EUwideConstants!$Q:$Q,0))))</f>
        <v/>
      </c>
      <c r="X294" s="546" t="str">
        <f>IF(ISBLANK(F294),"",IF(F294=EUconst_NA,"",INDEX(EUwideConstants!$H:$M,MATCH(R294,EUwideConstants!$Q:$Q,0),MATCH(F294,CNTR_TierList,0))))</f>
        <v/>
      </c>
      <c r="Y294" s="30"/>
      <c r="Z294" s="30"/>
      <c r="AA294" s="548" t="b">
        <f>AND(AA288,W294&lt;&gt;EUconst_NA)</f>
        <v>0</v>
      </c>
      <c r="AB294" s="333"/>
      <c r="AC294" s="667"/>
      <c r="AD294" s="667" t="str">
        <f>""</f>
        <v/>
      </c>
      <c r="AE294" s="651">
        <f t="shared" si="46"/>
        <v>0</v>
      </c>
      <c r="AF294" s="651" t="b">
        <f>AND(AA294=TRUE,OR(ISNUMBER(L294),NOT(ISNUMBER(Y294))))</f>
        <v>0</v>
      </c>
      <c r="AG294" s="651" t="b">
        <f t="shared" si="47"/>
        <v>0</v>
      </c>
      <c r="AH294" s="30"/>
      <c r="AI294" s="30"/>
      <c r="AJ294" s="30"/>
      <c r="AK294" s="699" t="b">
        <f t="shared" si="48"/>
        <v>0</v>
      </c>
      <c r="AL294" s="515" t="b">
        <f>L294&gt;100%</f>
        <v>0</v>
      </c>
      <c r="AM294" s="30"/>
      <c r="AN294" s="538" t="s">
        <v>441</v>
      </c>
      <c r="AO294" s="537">
        <f>IF(ISNUMBER(AO292),AO292*AE302,"")</f>
        <v>0</v>
      </c>
      <c r="AP294" s="515">
        <f>IF(ISNUMBER(AP292),AP292*AE302,"")</f>
        <v>0</v>
      </c>
      <c r="AQ294" s="30"/>
      <c r="AR294" s="30"/>
      <c r="AS294" s="30"/>
      <c r="AT294" s="30"/>
      <c r="AU294" s="30"/>
      <c r="AV294" s="30"/>
      <c r="AW294" s="30"/>
      <c r="AX294" s="30"/>
      <c r="AY294" s="30"/>
      <c r="AZ294" s="30"/>
      <c r="BA294" s="30"/>
      <c r="BB294" s="30"/>
      <c r="BC294" s="30"/>
      <c r="BD294" s="30"/>
      <c r="BE294" s="30"/>
      <c r="BF294" s="30"/>
      <c r="BG294" s="30"/>
      <c r="BH294" s="30"/>
      <c r="BI294" s="30"/>
      <c r="BJ294" s="651" t="b">
        <f>OR(BJ288,W294=EUconst_NA)</f>
        <v>1</v>
      </c>
      <c r="BK294" s="23"/>
    </row>
    <row r="295" spans="1:63" s="1063" customFormat="1" ht="12.75" customHeight="1" thickBot="1" x14ac:dyDescent="0.25">
      <c r="A295" s="58"/>
      <c r="B295" s="1248"/>
      <c r="C295" s="783" t="s">
        <v>198</v>
      </c>
      <c r="D295" s="643" t="str">
        <f>Translations!$B$732</f>
        <v>B. VĮK</v>
      </c>
      <c r="E295" s="644"/>
      <c r="F295" s="539"/>
      <c r="G295" s="1689" t="str">
        <f t="shared" si="44"/>
        <v/>
      </c>
      <c r="H295" s="1690"/>
      <c r="I295" s="1691" t="str">
        <f>IF(W295=EUconst_NA,"",INDEX(PFCUnits,6))</f>
        <v>(kg CF4)/(t Al mV)</v>
      </c>
      <c r="J295" s="1692"/>
      <c r="K295" s="672" t="str">
        <f t="shared" si="45"/>
        <v/>
      </c>
      <c r="L295" s="675"/>
      <c r="M295" s="702" t="str">
        <f>IF(AND(E283&lt;&gt;"",OR(F295="",COUNT(K295:L295)=0),W295&lt;&gt;EUconst_NA),EUconst_ERR_Incomplete,IF(COUNTIF(AI295:AL295,TRUE)&gt;0,EUconst_ERR_Inconsistent,""))</f>
        <v/>
      </c>
      <c r="N295" s="140"/>
      <c r="O295" s="1305"/>
      <c r="P295" s="33"/>
      <c r="Q295" s="30"/>
      <c r="R295" s="543" t="str">
        <f>EUconst_CNTR_EF&amp;E283</f>
        <v>EF_</v>
      </c>
      <c r="S295" s="488"/>
      <c r="T295" s="649" t="str">
        <f t="shared" si="49"/>
        <v/>
      </c>
      <c r="U295" s="30"/>
      <c r="V295" s="488">
        <v>2</v>
      </c>
      <c r="W295" s="662" t="str">
        <f>IF(E283="","",IF(U283&lt;&gt;V295,EUconst_NA,INDEX(EUwideConstants!$N:$N,MATCH(R295,EUwideConstants!$Q:$Q,0))))</f>
        <v/>
      </c>
      <c r="X295" s="546" t="str">
        <f>IF(ISBLANK(F295),"",IF(F295=EUconst_NA,"",INDEX(EUwideConstants!$H:$M,MATCH(R295,EUwideConstants!$Q:$Q,0),MATCH(F295,CNTR_TierList,0))))</f>
        <v/>
      </c>
      <c r="Y295" s="580" t="str">
        <f>IF(COUNTIF(EUconst_DefaultValues,X295)&gt;0,MATCH(X295,EUconst_DefaultValues,0),"")</f>
        <v/>
      </c>
      <c r="Z295" s="30"/>
      <c r="AA295" s="548" t="b">
        <f>AND(AA288,W295&lt;&gt;EUconst_NA)</f>
        <v>0</v>
      </c>
      <c r="AB295" s="333"/>
      <c r="AC295" s="651" t="str">
        <f>IF(AA295=TRUE,IF(T295="","",INDEX(MSPara_PFCMethB,MATCH(T295,PFCCellTypes,0),1)),"")</f>
        <v/>
      </c>
      <c r="AD295" s="651" t="str">
        <f>IF(AND(Y295&lt;&gt;"",ISNUMBER(AC295)),AC295,"")</f>
        <v/>
      </c>
      <c r="AE295" s="651">
        <f t="shared" si="46"/>
        <v>0</v>
      </c>
      <c r="AF295" s="651" t="b">
        <f>AND(AA295=TRUE,OR(AND(F295&lt;&gt;"",NOT(ISNUMBER(Y295))),L295&lt;&gt;"",F295="",AD295=""))</f>
        <v>0</v>
      </c>
      <c r="AG295" s="651" t="b">
        <f t="shared" si="47"/>
        <v>0</v>
      </c>
      <c r="AH295" s="30"/>
      <c r="AI295" s="30"/>
      <c r="AJ295" s="30"/>
      <c r="AK295" s="651" t="b">
        <f t="shared" si="48"/>
        <v>0</v>
      </c>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651" t="b">
        <f>OR(BJ288,W295=EUconst_NA)</f>
        <v>1</v>
      </c>
      <c r="BK295" s="23"/>
    </row>
    <row r="296" spans="1:63" s="1063" customFormat="1" ht="12.75" customHeight="1" thickBot="1" x14ac:dyDescent="0.25">
      <c r="A296" s="58"/>
      <c r="B296" s="1248"/>
      <c r="C296" s="783" t="s">
        <v>324</v>
      </c>
      <c r="D296" s="641" t="str">
        <f>Translations!$B$734</f>
        <v>F(C2F6)</v>
      </c>
      <c r="E296" s="642"/>
      <c r="F296" s="588"/>
      <c r="G296" s="1681" t="str">
        <f t="shared" si="44"/>
        <v/>
      </c>
      <c r="H296" s="1682"/>
      <c r="I296" s="1685" t="str">
        <f>IF(W296=EUconst_NA,"",INDEX(PFCUnits,7))</f>
        <v>t C2F6/t CF4</v>
      </c>
      <c r="J296" s="1686"/>
      <c r="K296" s="673" t="str">
        <f t="shared" si="45"/>
        <v/>
      </c>
      <c r="L296" s="676"/>
      <c r="M296" s="703" t="str">
        <f>IF(AND(E283&lt;&gt;"",OR(F296="",COUNT(K296:L296)=0),W296&lt;&gt;EUconst_NA),EUconst_ERR_Incomplete,IF(COUNTIF(AI296:AL296,TRUE)&gt;0,EUconst_ERR_Inconsistent,""))</f>
        <v/>
      </c>
      <c r="N296" s="140"/>
      <c r="O296" s="1305"/>
      <c r="P296" s="33"/>
      <c r="Q296" s="30"/>
      <c r="R296" s="590" t="str">
        <f>EUconst_CNTR_EF&amp;E283</f>
        <v>EF_</v>
      </c>
      <c r="S296" s="488"/>
      <c r="T296" s="650" t="str">
        <f t="shared" si="49"/>
        <v/>
      </c>
      <c r="U296" s="30"/>
      <c r="V296" s="488" t="str">
        <f>""</f>
        <v/>
      </c>
      <c r="W296" s="664" t="str">
        <f>W288</f>
        <v/>
      </c>
      <c r="X296" s="592" t="str">
        <f>IF(ISBLANK(F296),"",IF(F296=EUconst_NA,"",INDEX(EUwideConstants!$H:$M,MATCH(R296,EUwideConstants!$Q:$Q,0),MATCH(F296,CNTR_TierList,0))))</f>
        <v/>
      </c>
      <c r="Y296" s="580" t="str">
        <f>IF(COUNTIF(EUconst_DefaultValues,X296)&gt;0,MATCH(X296,EUconst_DefaultValues,0),"")</f>
        <v/>
      </c>
      <c r="Z296" s="30"/>
      <c r="AA296" s="665" t="b">
        <f>AND(AA288,W296&lt;&gt;EUconst_NA)</f>
        <v>0</v>
      </c>
      <c r="AB296" s="333"/>
      <c r="AC296" s="573" t="str">
        <f>IF(AA296=TRUE,IF(T296="","",INDEX(MSPara_PFCMethA,MATCH(T296,PFCCellTypes,0),2)),"")</f>
        <v/>
      </c>
      <c r="AD296" s="573" t="str">
        <f>IF(AND(Y296&lt;&gt;"",ISNUMBER(AC296)),AC296,"")</f>
        <v/>
      </c>
      <c r="AE296" s="573">
        <f t="shared" si="46"/>
        <v>0</v>
      </c>
      <c r="AF296" s="573" t="b">
        <f>AND(AA296=TRUE,OR(AND(F296&lt;&gt;"",NOT(ISNUMBER(Y296))),L296&lt;&gt;"",F296="",AD296=""))</f>
        <v>0</v>
      </c>
      <c r="AG296" s="573" t="b">
        <f t="shared" si="47"/>
        <v>0</v>
      </c>
      <c r="AH296" s="30"/>
      <c r="AI296" s="30"/>
      <c r="AJ296" s="30"/>
      <c r="AK296" s="573" t="b">
        <f t="shared" si="48"/>
        <v>0</v>
      </c>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573" t="b">
        <f>OR(BJ288,W296=EUconst_NA)</f>
        <v>1</v>
      </c>
      <c r="BK296" s="23"/>
    </row>
    <row r="297" spans="1:63" s="1063" customFormat="1" ht="5.0999999999999996" customHeight="1" thickBot="1" x14ac:dyDescent="0.25">
      <c r="A297" s="58"/>
      <c r="B297" s="1248"/>
      <c r="C297" s="164"/>
      <c r="D297" s="178"/>
      <c r="E297" s="140"/>
      <c r="F297" s="140"/>
      <c r="G297" s="140"/>
      <c r="H297" s="140"/>
      <c r="I297" s="140"/>
      <c r="J297" s="140"/>
      <c r="K297" s="140"/>
      <c r="L297" s="140"/>
      <c r="M297" s="695"/>
      <c r="N297" s="140"/>
      <c r="O297" s="1305"/>
      <c r="P297" s="33"/>
      <c r="Q297" s="172"/>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23"/>
    </row>
    <row r="298" spans="1:63" s="1063" customFormat="1" ht="12.75" customHeight="1" x14ac:dyDescent="0.2">
      <c r="A298" s="58"/>
      <c r="B298" s="1248"/>
      <c r="C298" s="753" t="s">
        <v>325</v>
      </c>
      <c r="D298" s="637" t="str">
        <f>Translations!$B$748</f>
        <v>Išmestas CF4 kiekis</v>
      </c>
      <c r="E298" s="638"/>
      <c r="F298" s="504"/>
      <c r="G298" s="504"/>
      <c r="H298" s="504"/>
      <c r="I298" s="1683" t="str">
        <f>EUconst_t</f>
        <v>t</v>
      </c>
      <c r="J298" s="1684"/>
      <c r="K298" s="504"/>
      <c r="L298" s="917" t="str">
        <f>IF(ISNUMBER(U283),INDEX(AO291:AP291,U283),"")</f>
        <v/>
      </c>
      <c r="M298" s="695"/>
      <c r="N298" s="140"/>
      <c r="O298" s="1305"/>
      <c r="P298" s="33"/>
      <c r="Q298" s="172"/>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23"/>
    </row>
    <row r="299" spans="1:63" s="1063" customFormat="1" ht="12.75" customHeight="1" thickBot="1" x14ac:dyDescent="0.25">
      <c r="A299" s="58"/>
      <c r="B299" s="1248"/>
      <c r="C299" s="753" t="s">
        <v>448</v>
      </c>
      <c r="D299" s="637" t="str">
        <f>Translations!$B$749</f>
        <v>Išmestas C2F6 kiekis</v>
      </c>
      <c r="E299" s="504"/>
      <c r="F299" s="504"/>
      <c r="G299" s="504"/>
      <c r="H299" s="504"/>
      <c r="I299" s="1685" t="str">
        <f>EUconst_t</f>
        <v>t</v>
      </c>
      <c r="J299" s="1686"/>
      <c r="K299" s="504"/>
      <c r="L299" s="918" t="str">
        <f>IF(ISNUMBER(U283),INDEX(AO292:AP292,U283),"")</f>
        <v/>
      </c>
      <c r="M299" s="695"/>
      <c r="N299" s="140"/>
      <c r="O299" s="1305"/>
      <c r="P299" s="33"/>
      <c r="Q299" s="172"/>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23"/>
    </row>
    <row r="300" spans="1:63" s="1063" customFormat="1" ht="5.0999999999999996" customHeight="1" thickBot="1" x14ac:dyDescent="0.25">
      <c r="A300" s="58"/>
      <c r="B300" s="1248"/>
      <c r="C300" s="755"/>
      <c r="D300" s="178"/>
      <c r="E300" s="140"/>
      <c r="F300" s="140"/>
      <c r="G300" s="140"/>
      <c r="H300" s="140"/>
      <c r="I300" s="140"/>
      <c r="J300" s="140"/>
      <c r="K300" s="140"/>
      <c r="L300" s="140"/>
      <c r="M300" s="695"/>
      <c r="N300" s="140"/>
      <c r="O300" s="1305"/>
      <c r="P300" s="33"/>
      <c r="Q300" s="172"/>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23"/>
    </row>
    <row r="301" spans="1:63" s="1063" customFormat="1" ht="12.75" customHeight="1" x14ac:dyDescent="0.2">
      <c r="A301" s="58"/>
      <c r="B301" s="1248"/>
      <c r="C301" s="753" t="s">
        <v>449</v>
      </c>
      <c r="D301" s="637" t="str">
        <f>Translations!$B$736</f>
        <v>VAP(CF4)</v>
      </c>
      <c r="E301" s="638"/>
      <c r="F301" s="504"/>
      <c r="G301" s="504"/>
      <c r="H301" s="504"/>
      <c r="I301" s="1683" t="s">
        <v>438</v>
      </c>
      <c r="J301" s="1684"/>
      <c r="K301" s="639">
        <f>IF(L301="",7390,"")</f>
        <v>7390</v>
      </c>
      <c r="L301" s="930"/>
      <c r="M301" s="695"/>
      <c r="N301" s="140"/>
      <c r="O301" s="1305"/>
      <c r="P301" s="635"/>
      <c r="Q301" s="172"/>
      <c r="R301" s="30"/>
      <c r="S301" s="30"/>
      <c r="T301" s="30"/>
      <c r="U301" s="30"/>
      <c r="V301" s="30"/>
      <c r="W301" s="30"/>
      <c r="X301" s="30"/>
      <c r="Y301" s="30"/>
      <c r="Z301" s="30"/>
      <c r="AA301" s="30"/>
      <c r="AB301" s="30"/>
      <c r="AC301" s="30"/>
      <c r="AD301" s="30"/>
      <c r="AE301" s="526">
        <f>IF(L301="",K301,L301)</f>
        <v>7390</v>
      </c>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522" t="b">
        <f>BJ288</f>
        <v>1</v>
      </c>
      <c r="BK301" s="23"/>
    </row>
    <row r="302" spans="1:63" s="1063" customFormat="1" ht="12.75" customHeight="1" thickBot="1" x14ac:dyDescent="0.25">
      <c r="A302" s="58"/>
      <c r="B302" s="1248"/>
      <c r="C302" s="753" t="s">
        <v>450</v>
      </c>
      <c r="D302" s="637" t="str">
        <f>Translations!$B$738</f>
        <v>VAP(C2F6)</v>
      </c>
      <c r="E302" s="638"/>
      <c r="F302" s="504"/>
      <c r="G302" s="504"/>
      <c r="H302" s="504"/>
      <c r="I302" s="1685" t="s">
        <v>439</v>
      </c>
      <c r="J302" s="1686"/>
      <c r="K302" s="640">
        <f>IF(L302="",12200,"")</f>
        <v>12200</v>
      </c>
      <c r="L302" s="931"/>
      <c r="M302" s="695"/>
      <c r="N302" s="140"/>
      <c r="O302" s="1305"/>
      <c r="P302" s="33"/>
      <c r="Q302" s="172"/>
      <c r="R302" s="30"/>
      <c r="S302" s="30"/>
      <c r="T302" s="30"/>
      <c r="U302" s="30"/>
      <c r="V302" s="30"/>
      <c r="W302" s="30"/>
      <c r="X302" s="30"/>
      <c r="Y302" s="30"/>
      <c r="Z302" s="30"/>
      <c r="AA302" s="30"/>
      <c r="AB302" s="30"/>
      <c r="AC302" s="30"/>
      <c r="AD302" s="30"/>
      <c r="AE302" s="665">
        <f>IF(L302="",K302,L302)</f>
        <v>12200</v>
      </c>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571" t="b">
        <f>BJ301</f>
        <v>1</v>
      </c>
      <c r="BK302" s="23"/>
    </row>
    <row r="303" spans="1:63" s="1063" customFormat="1" ht="5.0999999999999996" customHeight="1" thickBot="1" x14ac:dyDescent="0.25">
      <c r="A303" s="58"/>
      <c r="B303" s="1248"/>
      <c r="C303" s="755"/>
      <c r="D303" s="298"/>
      <c r="E303" s="486"/>
      <c r="F303" s="140"/>
      <c r="G303" s="140"/>
      <c r="H303" s="140"/>
      <c r="I303" s="140"/>
      <c r="J303" s="140"/>
      <c r="K303" s="140"/>
      <c r="L303" s="695"/>
      <c r="M303" s="695"/>
      <c r="N303" s="140"/>
      <c r="O303" s="1305"/>
      <c r="P303" s="33"/>
      <c r="Q303" s="172"/>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23"/>
    </row>
    <row r="304" spans="1:63" s="1063" customFormat="1" ht="12.75" customHeight="1" x14ac:dyDescent="0.2">
      <c r="A304" s="58"/>
      <c r="B304" s="1248"/>
      <c r="C304" s="753" t="s">
        <v>451</v>
      </c>
      <c r="D304" s="637" t="str">
        <f>Translations!$B$748</f>
        <v>Išmestas CF4 kiekis</v>
      </c>
      <c r="E304" s="638"/>
      <c r="F304" s="504"/>
      <c r="G304" s="504"/>
      <c r="H304" s="504"/>
      <c r="I304" s="1683" t="s">
        <v>257</v>
      </c>
      <c r="J304" s="1684"/>
      <c r="K304" s="504"/>
      <c r="L304" s="696" t="str">
        <f>IF(ISNUMBER(U283),INDEX(AO293:AP293,U283),"")</f>
        <v/>
      </c>
      <c r="M304" s="695"/>
      <c r="N304" s="140"/>
      <c r="O304" s="1305"/>
      <c r="P304" s="635"/>
      <c r="Q304" s="172"/>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23"/>
    </row>
    <row r="305" spans="1:63" s="1063" customFormat="1" ht="12.75" customHeight="1" thickBot="1" x14ac:dyDescent="0.25">
      <c r="A305" s="58"/>
      <c r="B305" s="1248"/>
      <c r="C305" s="753" t="s">
        <v>452</v>
      </c>
      <c r="D305" s="637" t="str">
        <f>Translations!$B$749</f>
        <v>Išmestas C2F6 kiekis</v>
      </c>
      <c r="E305" s="504"/>
      <c r="F305" s="504"/>
      <c r="G305" s="504"/>
      <c r="H305" s="504"/>
      <c r="I305" s="1685" t="s">
        <v>257</v>
      </c>
      <c r="J305" s="1686"/>
      <c r="K305" s="504"/>
      <c r="L305" s="697" t="str">
        <f>IF(ISNUMBER(U283),INDEX(AO294:AP294,U283),"")</f>
        <v/>
      </c>
      <c r="M305" s="695"/>
      <c r="N305" s="140"/>
      <c r="O305" s="1305"/>
      <c r="P305" s="33"/>
      <c r="Q305" s="172"/>
      <c r="R305" s="30"/>
      <c r="S305" s="30"/>
      <c r="T305" s="30"/>
      <c r="U305" s="30"/>
      <c r="V305" s="30"/>
      <c r="W305" s="30"/>
      <c r="X305" s="30"/>
      <c r="Y305" s="30"/>
      <c r="Z305" s="30"/>
      <c r="AA305" s="30"/>
      <c r="AB305" s="30"/>
      <c r="AC305" s="30"/>
      <c r="AD305" s="30"/>
      <c r="AE305" s="483"/>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23"/>
    </row>
    <row r="306" spans="1:63" s="1063" customFormat="1" ht="5.0999999999999996" customHeight="1" thickBot="1" x14ac:dyDescent="0.25">
      <c r="A306" s="58"/>
      <c r="B306" s="1248"/>
      <c r="C306" s="755"/>
      <c r="D306" s="178"/>
      <c r="E306" s="140"/>
      <c r="F306" s="140"/>
      <c r="G306" s="140"/>
      <c r="H306" s="140"/>
      <c r="I306" s="140"/>
      <c r="J306" s="140"/>
      <c r="K306" s="140"/>
      <c r="L306" s="140"/>
      <c r="M306" s="695"/>
      <c r="N306" s="140"/>
      <c r="O306" s="1305"/>
      <c r="P306" s="33"/>
      <c r="Q306" s="172"/>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23"/>
    </row>
    <row r="307" spans="1:63" s="1063" customFormat="1" ht="12.75" customHeight="1" thickBot="1" x14ac:dyDescent="0.25">
      <c r="A307" s="58"/>
      <c r="B307" s="1248"/>
      <c r="C307" s="753" t="s">
        <v>453</v>
      </c>
      <c r="D307" s="637" t="str">
        <f>Translations!$B$167</f>
        <v>Surinkimo efektyvumas</v>
      </c>
      <c r="E307" s="504"/>
      <c r="F307" s="504"/>
      <c r="G307" s="504"/>
      <c r="H307" s="504"/>
      <c r="I307" s="1687" t="s">
        <v>258</v>
      </c>
      <c r="J307" s="1688"/>
      <c r="K307" s="504"/>
      <c r="L307" s="932"/>
      <c r="M307" s="700" t="str">
        <f>IF(AND(E283&lt;&gt;"",L307=""),EUconst_ERR_Incomplete,IF(COUNTIF(AI307:AL307,TRUE)&gt;0,EUconst_ERR_Inconsistent,""))</f>
        <v/>
      </c>
      <c r="N307" s="140"/>
      <c r="O307" s="1305"/>
      <c r="P307" s="635"/>
      <c r="Q307" s="172"/>
      <c r="R307" s="30"/>
      <c r="S307" s="30"/>
      <c r="T307" s="30"/>
      <c r="U307" s="30"/>
      <c r="V307" s="30"/>
      <c r="W307" s="30"/>
      <c r="X307" s="30"/>
      <c r="Y307" s="30"/>
      <c r="Z307" s="30"/>
      <c r="AA307" s="30"/>
      <c r="AB307" s="30"/>
      <c r="AC307" s="30"/>
      <c r="AD307" s="30"/>
      <c r="AE307" s="30"/>
      <c r="AF307" s="30"/>
      <c r="AG307" s="30"/>
      <c r="AH307" s="30"/>
      <c r="AI307" s="30"/>
      <c r="AJ307" s="30"/>
      <c r="AK307" s="30"/>
      <c r="AL307" s="515" t="b">
        <f>L307&gt;100%</f>
        <v>0</v>
      </c>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515" t="b">
        <f>BJ288</f>
        <v>1</v>
      </c>
      <c r="BK307" s="23"/>
    </row>
    <row r="308" spans="1:63" s="1063" customFormat="1" ht="5.0999999999999996" customHeight="1" thickBot="1" x14ac:dyDescent="0.25">
      <c r="A308" s="58"/>
      <c r="B308" s="1248"/>
      <c r="C308" s="164"/>
      <c r="D308" s="178"/>
      <c r="E308" s="140"/>
      <c r="F308" s="140"/>
      <c r="G308" s="140"/>
      <c r="H308" s="140"/>
      <c r="I308" s="140"/>
      <c r="J308" s="140"/>
      <c r="K308" s="140"/>
      <c r="L308" s="140"/>
      <c r="M308" s="140"/>
      <c r="N308" s="140"/>
      <c r="O308" s="1305"/>
      <c r="P308" s="33"/>
      <c r="Q308" s="172"/>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23"/>
    </row>
    <row r="309" spans="1:63" s="1063" customFormat="1" ht="12.75" customHeight="1" thickBot="1" x14ac:dyDescent="0.25">
      <c r="A309" s="58"/>
      <c r="B309" s="1248"/>
      <c r="C309" s="164"/>
      <c r="D309" s="1629" t="str">
        <f>Translations!$B$674</f>
        <v>Pakopos galioja nuo:</v>
      </c>
      <c r="E309" s="1629"/>
      <c r="F309" s="1630"/>
      <c r="G309" s="607"/>
      <c r="H309" s="606" t="str">
        <f>Translations!$B$675</f>
        <v>iki:</v>
      </c>
      <c r="I309" s="607"/>
      <c r="J309" s="140"/>
      <c r="K309" s="140"/>
      <c r="L309" s="140"/>
      <c r="M309" s="140"/>
      <c r="N309" s="140"/>
      <c r="O309" s="1305"/>
      <c r="P309" s="33"/>
      <c r="Q309" s="172"/>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515" t="b">
        <f>BJ288</f>
        <v>1</v>
      </c>
      <c r="BK309" s="23"/>
    </row>
    <row r="310" spans="1:63" s="1063" customFormat="1" ht="5.0999999999999996" customHeight="1" thickBot="1" x14ac:dyDescent="0.25">
      <c r="A310" s="30"/>
      <c r="B310" s="1316"/>
      <c r="C310" s="140"/>
      <c r="D310" s="178"/>
      <c r="E310" s="140"/>
      <c r="F310" s="140"/>
      <c r="G310" s="140"/>
      <c r="H310" s="140"/>
      <c r="I310" s="140"/>
      <c r="J310" s="140"/>
      <c r="K310" s="140"/>
      <c r="L310" s="140"/>
      <c r="M310" s="140"/>
      <c r="N310" s="140"/>
      <c r="O310" s="1317"/>
      <c r="P310" s="488"/>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23"/>
    </row>
    <row r="311" spans="1:63" s="1063" customFormat="1" ht="12.75" customHeight="1" thickBot="1" x14ac:dyDescent="0.25">
      <c r="A311" s="30"/>
      <c r="B311" s="1316"/>
      <c r="C311" s="140"/>
      <c r="D311" s="1618" t="str">
        <f>Translations!$B$160</f>
        <v>Pastabos:</v>
      </c>
      <c r="E311" s="1619"/>
      <c r="F311" s="1680"/>
      <c r="G311" s="1680"/>
      <c r="H311" s="1680"/>
      <c r="I311" s="1680"/>
      <c r="J311" s="1680"/>
      <c r="K311" s="1680"/>
      <c r="L311" s="1680"/>
      <c r="M311" s="1680"/>
      <c r="N311" s="1680"/>
      <c r="O311" s="1317"/>
      <c r="P311" s="488"/>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515" t="b">
        <f>BJ309</f>
        <v>1</v>
      </c>
      <c r="BK311" s="23"/>
    </row>
    <row r="312" spans="1:63" s="1060" customFormat="1" ht="12.75" customHeight="1" thickBot="1" x14ac:dyDescent="0.25">
      <c r="A312" s="58"/>
      <c r="B312" s="1312"/>
      <c r="C312" s="490"/>
      <c r="D312" s="491"/>
      <c r="E312" s="492"/>
      <c r="F312" s="490"/>
      <c r="G312" s="493"/>
      <c r="H312" s="493"/>
      <c r="I312" s="493"/>
      <c r="J312" s="493"/>
      <c r="K312" s="493"/>
      <c r="L312" s="493"/>
      <c r="M312" s="493"/>
      <c r="N312" s="493"/>
      <c r="O312" s="1313"/>
      <c r="P312" s="485"/>
      <c r="Q312" s="58"/>
      <c r="R312" s="58"/>
      <c r="S312" s="489"/>
      <c r="T312" s="58"/>
      <c r="U312" s="58"/>
      <c r="V312" s="489"/>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23"/>
    </row>
    <row r="313" spans="1:63" s="1060" customFormat="1" ht="12.75" customHeight="1" thickBot="1" x14ac:dyDescent="0.25">
      <c r="A313" s="482"/>
      <c r="B313" s="1312"/>
      <c r="C313" s="486"/>
      <c r="D313" s="178"/>
      <c r="E313" s="487"/>
      <c r="F313" s="486"/>
      <c r="G313" s="478"/>
      <c r="H313" s="478"/>
      <c r="I313" s="478"/>
      <c r="J313" s="478"/>
      <c r="K313" s="486"/>
      <c r="L313" s="478"/>
      <c r="M313" s="478"/>
      <c r="N313" s="478"/>
      <c r="O313" s="1313"/>
      <c r="P313" s="485"/>
      <c r="Q313" s="76"/>
      <c r="R313" s="76"/>
      <c r="S313" s="58"/>
      <c r="T313" s="23"/>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23"/>
    </row>
    <row r="314" spans="1:63" s="1063" customFormat="1" ht="15" customHeight="1" thickBot="1" x14ac:dyDescent="0.25">
      <c r="A314" s="58"/>
      <c r="B314" s="1248"/>
      <c r="C314" s="608">
        <f>C282+1</f>
        <v>9</v>
      </c>
      <c r="D314" s="334"/>
      <c r="E314" s="1610"/>
      <c r="F314" s="1611"/>
      <c r="G314" s="1611"/>
      <c r="H314" s="1611"/>
      <c r="I314" s="1611"/>
      <c r="J314" s="1612"/>
      <c r="K314" s="140"/>
      <c r="L314" s="140"/>
      <c r="M314" s="494" t="str">
        <f>Translations!$B$747</f>
        <v>Išmetamųjų teršalų kiekis:</v>
      </c>
      <c r="N314" s="998" t="str">
        <f>IF(COUNT(L336:L337,L339)=3,(L336+L337)/L339,"")</f>
        <v/>
      </c>
      <c r="O314" s="1314" t="s">
        <v>257</v>
      </c>
      <c r="P314" s="485"/>
      <c r="Q314" s="343" t="str">
        <f>EUconst_SumCO2 &amp; "_" &amp; EUconst_ProcessPFC</f>
        <v>SUM_CO2_Išmetamas PFC kiekis</v>
      </c>
      <c r="R314" s="27" t="str">
        <f>IF(ISBLANK(E314),"",MATCH(E314,CNTR_SourceStreamNames,0))</f>
        <v/>
      </c>
      <c r="S314" s="609" t="str">
        <f>IF(ISBLANK(E314),"",INDEX(B_InstallationDescription!$D$71:$D$145,MATCH(E314,CNTR_SourceStreamNames,0)))</f>
        <v/>
      </c>
      <c r="T314" s="500" t="s">
        <v>387</v>
      </c>
      <c r="U314" s="677" t="s">
        <v>67</v>
      </c>
      <c r="V314" s="58"/>
      <c r="W314" s="58"/>
      <c r="X314" s="58"/>
      <c r="Y314" s="58"/>
      <c r="Z314" s="58"/>
      <c r="AA314" s="58"/>
      <c r="AB314" s="333"/>
      <c r="AC314" s="333"/>
      <c r="AD314" s="333"/>
      <c r="AE314" s="333"/>
      <c r="AF314" s="333"/>
      <c r="AG314" s="333"/>
      <c r="AH314" s="333"/>
      <c r="AI314" s="333"/>
      <c r="AJ314" s="333"/>
      <c r="AK314" s="333"/>
      <c r="AL314" s="333"/>
      <c r="AM314" s="333"/>
      <c r="AN314" s="333"/>
      <c r="AO314" s="333"/>
      <c r="AP314" s="333"/>
      <c r="AQ314" s="333"/>
      <c r="AR314" s="333"/>
      <c r="AS314" s="866">
        <f>K320</f>
        <v>0</v>
      </c>
      <c r="AT314" s="833">
        <f>AE322</f>
        <v>0</v>
      </c>
      <c r="AU314" s="833">
        <f>AE323</f>
        <v>0</v>
      </c>
      <c r="AV314" s="833">
        <f>AE324</f>
        <v>0</v>
      </c>
      <c r="AW314" s="833">
        <f>AE325</f>
        <v>0</v>
      </c>
      <c r="AX314" s="833">
        <f>AE326</f>
        <v>0</v>
      </c>
      <c r="AY314" s="833">
        <f>AE327</f>
        <v>0</v>
      </c>
      <c r="AZ314" s="833">
        <f>AE328</f>
        <v>0</v>
      </c>
      <c r="BA314" s="867" t="str">
        <f>L330</f>
        <v/>
      </c>
      <c r="BB314" s="867" t="str">
        <f>L331</f>
        <v/>
      </c>
      <c r="BC314" s="833">
        <f>AE333</f>
        <v>7390</v>
      </c>
      <c r="BD314" s="833">
        <f>AE334</f>
        <v>12200</v>
      </c>
      <c r="BE314" s="866" t="str">
        <f>L336</f>
        <v/>
      </c>
      <c r="BF314" s="866" t="str">
        <f>L337</f>
        <v/>
      </c>
      <c r="BG314" s="868">
        <f>L339</f>
        <v>0</v>
      </c>
      <c r="BH314" s="866" t="str">
        <f>N314</f>
        <v/>
      </c>
      <c r="BI314" s="333"/>
      <c r="BJ314" s="515" t="b">
        <f>CNTR_PFCRelevant=EUconst_NotRelevant</f>
        <v>1</v>
      </c>
      <c r="BK314" s="23"/>
    </row>
    <row r="315" spans="1:63" s="1063" customFormat="1" ht="15" customHeight="1" thickBot="1" x14ac:dyDescent="0.25">
      <c r="A315" s="58"/>
      <c r="B315" s="1248"/>
      <c r="C315" s="164"/>
      <c r="D315" s="164"/>
      <c r="E315" s="1625" t="str">
        <f>IF(E314="","",IF(INDEX(B_InstallationDescription!$E$71:$E$145,MATCH(S314,B_InstallationDescription!$D$71:$D$145,0))&gt;0,INDEX(B_InstallationDescription!$E$71:$E$145,MATCH(S314,B_InstallationDescription!$D$71:$D$145,0)),""))</f>
        <v/>
      </c>
      <c r="F315" s="1626"/>
      <c r="G315" s="1626"/>
      <c r="H315" s="1626"/>
      <c r="I315" s="1626"/>
      <c r="J315" s="1627"/>
      <c r="K315" s="140"/>
      <c r="L315" s="140"/>
      <c r="M315" s="141"/>
      <c r="N315" s="141"/>
      <c r="O315" s="1305"/>
      <c r="P315" s="485"/>
      <c r="Q315" s="30"/>
      <c r="R315" s="27" t="s">
        <v>91</v>
      </c>
      <c r="S315" s="30"/>
      <c r="T315" s="569" t="b">
        <v>1</v>
      </c>
      <c r="U315" s="509" t="str">
        <f>IF(E315="","",INDEX(CNTR_PFCMethod,MATCH(E314,CNTR_PFCSourceStreamNames,0)))</f>
        <v/>
      </c>
      <c r="V315" s="30"/>
      <c r="W315" s="485"/>
      <c r="X315" s="30"/>
      <c r="Y315" s="30"/>
      <c r="Z315" s="30"/>
      <c r="AA315" s="30"/>
      <c r="AB315" s="333"/>
      <c r="AC315" s="27" t="s">
        <v>303</v>
      </c>
      <c r="AD315" s="30"/>
      <c r="AE315" s="30"/>
      <c r="AF315" s="30"/>
      <c r="AG315" s="30"/>
      <c r="AH315" s="30"/>
      <c r="AI315" s="27" t="s">
        <v>310</v>
      </c>
      <c r="AJ315" s="30"/>
      <c r="AK315" s="30"/>
      <c r="AL315" s="30"/>
      <c r="AM315" s="30"/>
      <c r="AN315" s="27" t="s">
        <v>217</v>
      </c>
      <c r="AO315" s="30"/>
      <c r="AP315" s="30"/>
      <c r="AQ315" s="30"/>
      <c r="AR315" s="865" t="s">
        <v>486</v>
      </c>
      <c r="AS315" s="834" t="s">
        <v>218</v>
      </c>
      <c r="AT315" s="834" t="s">
        <v>454</v>
      </c>
      <c r="AU315" s="834" t="s">
        <v>455</v>
      </c>
      <c r="AV315" s="834" t="s">
        <v>447</v>
      </c>
      <c r="AW315" s="834" t="s">
        <v>443</v>
      </c>
      <c r="AX315" s="834" t="s">
        <v>444</v>
      </c>
      <c r="AY315" s="834" t="s">
        <v>445</v>
      </c>
      <c r="AZ315" s="834" t="s">
        <v>446</v>
      </c>
      <c r="BA315" s="834" t="s">
        <v>436</v>
      </c>
      <c r="BB315" s="834" t="s">
        <v>437</v>
      </c>
      <c r="BC315" s="834" t="s">
        <v>434</v>
      </c>
      <c r="BD315" s="834" t="s">
        <v>435</v>
      </c>
      <c r="BE315" s="834" t="s">
        <v>436</v>
      </c>
      <c r="BF315" s="834" t="s">
        <v>437</v>
      </c>
      <c r="BG315" s="834" t="s">
        <v>337</v>
      </c>
      <c r="BH315" s="833" t="s">
        <v>287</v>
      </c>
      <c r="BI315" s="30"/>
      <c r="BJ315" s="30"/>
      <c r="BK315" s="23"/>
    </row>
    <row r="316" spans="1:63" s="1063" customFormat="1" ht="5.0999999999999996" customHeight="1" x14ac:dyDescent="0.2">
      <c r="A316" s="58"/>
      <c r="B316" s="1248"/>
      <c r="C316" s="164"/>
      <c r="D316" s="164"/>
      <c r="E316" s="164"/>
      <c r="F316" s="164"/>
      <c r="G316" s="164"/>
      <c r="H316" s="140"/>
      <c r="I316" s="140"/>
      <c r="J316" s="140"/>
      <c r="K316" s="140"/>
      <c r="L316" s="140"/>
      <c r="M316" s="141"/>
      <c r="N316" s="141"/>
      <c r="O316" s="1305"/>
      <c r="P316" s="33"/>
      <c r="Q316" s="30"/>
      <c r="R316" s="480"/>
      <c r="S316" s="30"/>
      <c r="T316" s="30"/>
      <c r="U316" s="30"/>
      <c r="V316" s="30"/>
      <c r="W316" s="485"/>
      <c r="X316" s="30"/>
      <c r="Y316" s="30"/>
      <c r="Z316" s="30"/>
      <c r="AA316" s="30"/>
      <c r="AB316" s="333"/>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23"/>
    </row>
    <row r="317" spans="1:63" s="1063" customFormat="1" ht="12.75" customHeight="1" x14ac:dyDescent="0.2">
      <c r="A317" s="58"/>
      <c r="B317" s="1248"/>
      <c r="C317" s="164"/>
      <c r="D317" s="164"/>
      <c r="E317" s="1628" t="str">
        <f>IF(E314="","",HYPERLINK("#JUMP_14",EUconst_FurtherGuidancePoint1))</f>
        <v/>
      </c>
      <c r="F317" s="1628"/>
      <c r="G317" s="1628"/>
      <c r="H317" s="1628"/>
      <c r="I317" s="1628"/>
      <c r="J317" s="1628"/>
      <c r="K317" s="1628"/>
      <c r="L317" s="1628"/>
      <c r="M317" s="141"/>
      <c r="N317" s="141"/>
      <c r="O317" s="1305"/>
      <c r="P317" s="33"/>
      <c r="Q317" s="30"/>
      <c r="R317" s="480"/>
      <c r="S317" s="30"/>
      <c r="T317" s="30"/>
      <c r="U317" s="30"/>
      <c r="V317" s="30"/>
      <c r="W317" s="485"/>
      <c r="X317" s="30"/>
      <c r="Y317" s="30"/>
      <c r="Z317" s="30"/>
      <c r="AA317" s="30"/>
      <c r="AB317" s="333"/>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23"/>
    </row>
    <row r="318" spans="1:63" s="1063" customFormat="1" ht="5.0999999999999996" customHeight="1" x14ac:dyDescent="0.2">
      <c r="A318" s="58"/>
      <c r="B318" s="1248"/>
      <c r="C318" s="164"/>
      <c r="D318" s="164"/>
      <c r="E318" s="164"/>
      <c r="F318" s="164"/>
      <c r="G318" s="164"/>
      <c r="H318" s="140"/>
      <c r="I318" s="140"/>
      <c r="J318" s="140"/>
      <c r="K318" s="140"/>
      <c r="L318" s="140"/>
      <c r="M318" s="141"/>
      <c r="N318" s="141"/>
      <c r="O318" s="1305"/>
      <c r="P318" s="33"/>
      <c r="Q318" s="30"/>
      <c r="R318" s="480"/>
      <c r="S318" s="30"/>
      <c r="T318" s="30"/>
      <c r="U318" s="30"/>
      <c r="V318" s="30"/>
      <c r="W318" s="485"/>
      <c r="X318" s="30"/>
      <c r="Y318" s="30"/>
      <c r="Z318" s="30"/>
      <c r="AA318" s="30"/>
      <c r="AB318" s="333"/>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23"/>
    </row>
    <row r="319" spans="1:63" s="1063" customFormat="1" ht="12.75" customHeight="1" thickBot="1" x14ac:dyDescent="0.25">
      <c r="A319" s="58"/>
      <c r="B319" s="1248"/>
      <c r="C319" s="164"/>
      <c r="D319" s="164"/>
      <c r="E319" s="164"/>
      <c r="F319" s="497" t="str">
        <f>Translations!$B$333</f>
        <v>Pakopa</v>
      </c>
      <c r="G319" s="1613" t="str">
        <f>Translations!$B$672</f>
        <v>pakopos aprašas</v>
      </c>
      <c r="H319" s="1613"/>
      <c r="I319" s="1608" t="str">
        <f>Translations!$B$158</f>
        <v>Vienetas</v>
      </c>
      <c r="J319" s="1608"/>
      <c r="K319" s="1608" t="str">
        <f>Translations!$B$673</f>
        <v>Vertė</v>
      </c>
      <c r="L319" s="1608"/>
      <c r="M319" s="498" t="str">
        <f>Translations!$B$610</f>
        <v>klaida</v>
      </c>
      <c r="N319" s="140"/>
      <c r="O319" s="1305"/>
      <c r="P319" s="499"/>
      <c r="Q319" s="30"/>
      <c r="R319" s="480"/>
      <c r="S319" s="30"/>
      <c r="T319" s="500" t="s">
        <v>298</v>
      </c>
      <c r="U319" s="30"/>
      <c r="V319" s="30"/>
      <c r="W319" s="485" t="s">
        <v>560</v>
      </c>
      <c r="X319" s="485" t="s">
        <v>313</v>
      </c>
      <c r="Y319" s="30"/>
      <c r="Z319" s="30"/>
      <c r="AA319" s="496" t="s">
        <v>304</v>
      </c>
      <c r="AB319" s="333"/>
      <c r="AC319" s="483" t="s">
        <v>301</v>
      </c>
      <c r="AD319" s="495" t="s">
        <v>563</v>
      </c>
      <c r="AE319" s="495" t="s">
        <v>562</v>
      </c>
      <c r="AF319" s="501"/>
      <c r="AG319" s="501"/>
      <c r="AH319" s="30"/>
      <c r="AI319" s="483"/>
      <c r="AJ319" s="483"/>
      <c r="AK319" s="483"/>
      <c r="AL319" s="483"/>
      <c r="AM319" s="483"/>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484" t="s">
        <v>259</v>
      </c>
      <c r="BK319" s="23"/>
    </row>
    <row r="320" spans="1:63" s="1063" customFormat="1" ht="12.75" customHeight="1" thickBot="1" x14ac:dyDescent="0.25">
      <c r="A320" s="58"/>
      <c r="B320" s="1248"/>
      <c r="C320" s="783" t="s">
        <v>4</v>
      </c>
      <c r="D320" s="503" t="str">
        <f>Translations!$B$622</f>
        <v>VD:</v>
      </c>
      <c r="E320" s="504"/>
      <c r="F320" s="393"/>
      <c r="G320" s="1603" t="str">
        <f>IF(OR(ISBLANK(F320),F320=EUconst_NoTier),"",IF(X320=0,EUconst_NA,IF(ISERROR(X320),"",X320)))</f>
        <v/>
      </c>
      <c r="H320" s="1604"/>
      <c r="I320" s="1687" t="str">
        <f>EUconst_t</f>
        <v>t</v>
      </c>
      <c r="J320" s="1688"/>
      <c r="K320" s="1693"/>
      <c r="L320" s="1694"/>
      <c r="M320" s="700" t="str">
        <f>IF(AND(E315&lt;&gt;"",OR(F320="",K320=""),W320&lt;&gt;EUconst_NA),EUconst_ERR_Incomplete,IF(COUNTIF(AI320:AL320,TRUE)&gt;0,EUconst_ERR_Inconsistent,""))</f>
        <v/>
      </c>
      <c r="N320" s="140"/>
      <c r="O320" s="1305"/>
      <c r="P320" s="635"/>
      <c r="Q320" s="30"/>
      <c r="R320" s="505" t="str">
        <f>EUconst_CNTR_ActivityData&amp;E315</f>
        <v>ActivityData_</v>
      </c>
      <c r="S320" s="488"/>
      <c r="T320" s="505" t="str">
        <f>IF(E314="","",INDEX(B_InstallationDescription!$I$71:$I$145,MATCH(S314,B_InstallationDescription!$D$71:$D$145,0)))</f>
        <v/>
      </c>
      <c r="U320" s="30"/>
      <c r="V320" s="488"/>
      <c r="W320" s="506" t="str">
        <f>IF(E315="","",INDEX(EUwideConstants!$N:$N,MATCH(R320,EUwideConstants!$Q:$Q,0)))</f>
        <v/>
      </c>
      <c r="X320" s="507" t="str">
        <f>IF(ISBLANK(F320),"",IF(F320=EUconst_NA,"",INDEX(EUwideConstants!$H:$M,MATCH(R320,EUwideConstants!$Q:$Q,0),MATCH(F320,CNTR_TierList,0))))</f>
        <v/>
      </c>
      <c r="Y320" s="508" t="s">
        <v>299</v>
      </c>
      <c r="Z320" s="495"/>
      <c r="AA320" s="509" t="b">
        <f>E314&lt;&gt;""</f>
        <v>0</v>
      </c>
      <c r="AB320" s="333"/>
      <c r="AC320" s="496"/>
      <c r="AD320" s="30"/>
      <c r="AE320" s="509">
        <f>IF(W320=EUconst_NA,1,IF(COUNT(K320:L320)=0,0,IF(L320="",K320,L320)))</f>
        <v>0</v>
      </c>
      <c r="AF320" s="501" t="s">
        <v>306</v>
      </c>
      <c r="AG320" s="501" t="s">
        <v>306</v>
      </c>
      <c r="AH320" s="30"/>
      <c r="AI320" s="30"/>
      <c r="AJ320" s="30"/>
      <c r="AK320" s="30" t="s">
        <v>536</v>
      </c>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515" t="b">
        <f>OR(CNTR_PFCRelevant=EUconst_NotRelevant,AND(COUNTA(CNTR_ListRelevantSections)&gt;0,E314=""))</f>
        <v>1</v>
      </c>
      <c r="BK320" s="23"/>
    </row>
    <row r="321" spans="1:63" s="1063" customFormat="1" ht="5.0999999999999996" customHeight="1" thickBot="1" x14ac:dyDescent="0.25">
      <c r="A321" s="58"/>
      <c r="B321" s="1248"/>
      <c r="C321" s="783"/>
      <c r="D321" s="298"/>
      <c r="E321" s="140"/>
      <c r="F321" s="141"/>
      <c r="G321" s="141"/>
      <c r="H321" s="141" t="s">
        <v>233</v>
      </c>
      <c r="I321" s="516"/>
      <c r="J321" s="516"/>
      <c r="K321" s="141"/>
      <c r="L321" s="141"/>
      <c r="M321" s="701"/>
      <c r="N321" s="140"/>
      <c r="O321" s="1305"/>
      <c r="P321" s="33"/>
      <c r="Q321" s="30"/>
      <c r="R321" s="153"/>
      <c r="S321" s="488"/>
      <c r="T321" s="30"/>
      <c r="U321" s="30"/>
      <c r="V321" s="488"/>
      <c r="W321" s="517"/>
      <c r="X321" s="30"/>
      <c r="Y321" s="30"/>
      <c r="Z321" s="30"/>
      <c r="AA321" s="30"/>
      <c r="AB321" s="333"/>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484"/>
      <c r="BK321" s="23"/>
    </row>
    <row r="322" spans="1:63" s="1063" customFormat="1" ht="12.75" customHeight="1" thickBot="1" x14ac:dyDescent="0.25">
      <c r="A322" s="58"/>
      <c r="B322" s="1248"/>
      <c r="C322" s="783" t="s">
        <v>5</v>
      </c>
      <c r="D322" s="503" t="str">
        <f>Translations!$B$722</f>
        <v>A. Dažnis</v>
      </c>
      <c r="E322" s="504"/>
      <c r="F322" s="518"/>
      <c r="G322" s="1603" t="str">
        <f t="shared" ref="G322:G328" si="50">IF(OR(ISBLANK(F322),F322=EUconst_NoTier),"",IF(X322=0,EUconst_NotApplicable,IF(ISERROR(X322),"",X322)))</f>
        <v/>
      </c>
      <c r="H322" s="1609"/>
      <c r="I322" s="1683" t="str">
        <f>IF(W322=EUconst_NA,"",INDEX(PFCUnits,1))</f>
        <v>1/(vienoje elektrolizės vonioje per parą)</v>
      </c>
      <c r="J322" s="1684"/>
      <c r="K322" s="669" t="str">
        <f t="shared" ref="K322:K328" si="51">IF(L322="",AD322,"")</f>
        <v/>
      </c>
      <c r="L322" s="685"/>
      <c r="M322" s="700" t="str">
        <f>IF(AND(E315&lt;&gt;"",OR(F322="",L322=""),W322&lt;&gt;EUconst_NA),EUconst_ERR_Incomplete,IF(COUNTIF(AI322:AL322,TRUE)&gt;0,EUconst_ERR_Inconsistent,""))</f>
        <v/>
      </c>
      <c r="N322" s="486"/>
      <c r="O322" s="1305"/>
      <c r="P322" s="33"/>
      <c r="Q322" s="30"/>
      <c r="R322" s="521" t="str">
        <f>R320</f>
        <v>ActivityData_</v>
      </c>
      <c r="S322" s="488"/>
      <c r="T322" s="648" t="str">
        <f>T320</f>
        <v/>
      </c>
      <c r="U322" s="30"/>
      <c r="V322" s="488">
        <v>1</v>
      </c>
      <c r="W322" s="663" t="str">
        <f>IF(E315="","",IF(U315&lt;&gt;V322,EUconst_NA,INDEX(EUwideConstants!$N:$N,MATCH(R322,EUwideConstants!$Q:$Q,0))))</f>
        <v/>
      </c>
      <c r="X322" s="524" t="str">
        <f>IF(ISBLANK(F322),"",IF(F322=EUconst_NA,"",INDEX(EUwideConstants!$H:$M,MATCH(R322,EUwideConstants!$Q:$Q,0),MATCH(F322,CNTR_TierList,0))))</f>
        <v/>
      </c>
      <c r="Y322" s="30"/>
      <c r="Z322" s="30"/>
      <c r="AA322" s="526" t="b">
        <f>AND(AA320,W322&lt;&gt;EUconst_NA)</f>
        <v>0</v>
      </c>
      <c r="AB322" s="333"/>
      <c r="AC322" s="666" t="str">
        <f>IF(AA322=TRUE,IF(COUNTIF(MSPara_SourceStreamCategory,T322)=0,"",INDEX(MSPara_CalcFactorsMatrix,MATCH(T322,MSPara_SourceStreamCategory,0),MATCH(#REF!&amp;"_"&amp;1,MSPara_CalcFactors,0))),"")</f>
        <v/>
      </c>
      <c r="AD322" s="666" t="str">
        <f>""</f>
        <v/>
      </c>
      <c r="AE322" s="525">
        <f t="shared" ref="AE322:AE328" si="52">IF(AA322=TRUE,IF(COUNT(K322:L322)=0,0,IF(L322="",K322,L322)),0)</f>
        <v>0</v>
      </c>
      <c r="AF322" s="525" t="b">
        <f>AND(AA322=TRUE,OR(AND(F322&lt;&gt;"",NOT(ISNUMBER(Y322))),L322&lt;&gt;"",F322="",AD322=""))</f>
        <v>0</v>
      </c>
      <c r="AG322" s="525" t="b">
        <f t="shared" ref="AG322:AG328" si="53">AND(AA322=TRUE,NOT(AF322))</f>
        <v>0</v>
      </c>
      <c r="AH322" s="30"/>
      <c r="AI322" s="30"/>
      <c r="AJ322" s="30"/>
      <c r="AK322" s="525" t="b">
        <f t="shared" ref="AK322:AK328" si="54">AND(L322&lt;&gt;"",W322=EUconst_NA)</f>
        <v>0</v>
      </c>
      <c r="AL322" s="30"/>
      <c r="AM322" s="30"/>
      <c r="AN322" s="30"/>
      <c r="AO322" s="484" t="s">
        <v>384</v>
      </c>
      <c r="AP322" s="484" t="s">
        <v>385</v>
      </c>
      <c r="AQ322" s="30"/>
      <c r="AR322" s="30"/>
      <c r="AS322" s="30"/>
      <c r="AT322" s="30"/>
      <c r="AU322" s="30"/>
      <c r="AV322" s="30"/>
      <c r="AW322" s="30"/>
      <c r="AX322" s="30"/>
      <c r="AY322" s="30"/>
      <c r="AZ322" s="30"/>
      <c r="BA322" s="30"/>
      <c r="BB322" s="30"/>
      <c r="BC322" s="30"/>
      <c r="BD322" s="30"/>
      <c r="BE322" s="30"/>
      <c r="BF322" s="30"/>
      <c r="BG322" s="30"/>
      <c r="BH322" s="30"/>
      <c r="BI322" s="30"/>
      <c r="BJ322" s="525" t="b">
        <f>OR(BJ320,W322=EUconst_NA)</f>
        <v>1</v>
      </c>
      <c r="BK322" s="23"/>
    </row>
    <row r="323" spans="1:63" s="1063" customFormat="1" ht="12.75" customHeight="1" thickBot="1" x14ac:dyDescent="0.25">
      <c r="A323" s="58"/>
      <c r="B323" s="1248"/>
      <c r="C323" s="783" t="s">
        <v>194</v>
      </c>
      <c r="D323" s="503" t="str">
        <f>Translations!$B$724</f>
        <v>A. Trukmė</v>
      </c>
      <c r="E323" s="504"/>
      <c r="F323" s="636"/>
      <c r="G323" s="1603" t="str">
        <f t="shared" si="50"/>
        <v/>
      </c>
      <c r="H323" s="1609"/>
      <c r="I323" s="1691" t="str">
        <f>IF(W323=EUconst_NA,"",INDEX(PFCUnits,2))</f>
        <v>min.</v>
      </c>
      <c r="J323" s="1692"/>
      <c r="K323" s="670" t="str">
        <f t="shared" si="51"/>
        <v/>
      </c>
      <c r="L323" s="686"/>
      <c r="M323" s="700" t="str">
        <f>IF(AND(E315&lt;&gt;"",OR(F323="",L323=""),W323&lt;&gt;EUconst_NA),EUconst_ERR_Incomplete,IF(COUNTIF(AI323:AL323,TRUE)&gt;0,EUconst_ERR_Inconsistent,""))</f>
        <v/>
      </c>
      <c r="N323" s="486"/>
      <c r="O323" s="1305"/>
      <c r="P323" s="33"/>
      <c r="Q323" s="30"/>
      <c r="R323" s="543" t="str">
        <f>R322</f>
        <v>ActivityData_</v>
      </c>
      <c r="S323" s="488"/>
      <c r="T323" s="649" t="str">
        <f t="shared" ref="T323:T328" si="55">T322</f>
        <v/>
      </c>
      <c r="U323" s="30"/>
      <c r="V323" s="488">
        <v>1</v>
      </c>
      <c r="W323" s="662" t="str">
        <f>IF(E315="","",IF(U315&lt;&gt;V323,EUconst_NA,INDEX(EUwideConstants!$N:$N,MATCH(R323,EUwideConstants!$Q:$Q,0))))</f>
        <v/>
      </c>
      <c r="X323" s="546" t="str">
        <f>IF(ISBLANK(F323),"",IF(F323=EUconst_NA,"",INDEX(EUwideConstants!$H:$M,MATCH(R323,EUwideConstants!$Q:$Q,0),MATCH(F323,CNTR_TierList,0))))</f>
        <v/>
      </c>
      <c r="Y323" s="30"/>
      <c r="Z323" s="30"/>
      <c r="AA323" s="548" t="b">
        <f>AND(AA320,W323&lt;&gt;EUconst_NA)</f>
        <v>0</v>
      </c>
      <c r="AB323" s="333"/>
      <c r="AC323" s="667" t="str">
        <f>IF(AA323=TRUE,IF(COUNTIF(MSPara_SourceStreamCategory,T323)=0,"",INDEX(MSPara_CalcFactorsMatrix,MATCH(T323,MSPara_SourceStreamCategory,0),MATCH(#REF!&amp;"_"&amp;1,MSPara_CalcFactors,0))),"")</f>
        <v/>
      </c>
      <c r="AD323" s="667" t="str">
        <f>""</f>
        <v/>
      </c>
      <c r="AE323" s="651">
        <f t="shared" si="52"/>
        <v>0</v>
      </c>
      <c r="AF323" s="651" t="b">
        <f>AND(AA323=TRUE,OR(AND(F323&lt;&gt;"",NOT(ISNUMBER(Y323))),L323&lt;&gt;"",F323="",AD323=""))</f>
        <v>0</v>
      </c>
      <c r="AG323" s="651" t="b">
        <f t="shared" si="53"/>
        <v>0</v>
      </c>
      <c r="AH323" s="30"/>
      <c r="AI323" s="30"/>
      <c r="AJ323" s="30"/>
      <c r="AK323" s="651" t="b">
        <f t="shared" si="54"/>
        <v>0</v>
      </c>
      <c r="AL323" s="30"/>
      <c r="AM323" s="30"/>
      <c r="AN323" s="538" t="s">
        <v>440</v>
      </c>
      <c r="AO323" s="537" t="str">
        <f>IF(ISNUMBER(U315),AE320*AE322*AE323*AE324/1000,"")</f>
        <v/>
      </c>
      <c r="AP323" s="515" t="str">
        <f>IF(ISNUMBER(U315),AE320*(AE325/IF(AE326=0,0.01,AE326))*AE327/1000,"")</f>
        <v/>
      </c>
      <c r="AQ323" s="30"/>
      <c r="AR323" s="30"/>
      <c r="AS323" s="30"/>
      <c r="AT323" s="30"/>
      <c r="AU323" s="30"/>
      <c r="AV323" s="30"/>
      <c r="AW323" s="30"/>
      <c r="AX323" s="30"/>
      <c r="AY323" s="30"/>
      <c r="AZ323" s="30"/>
      <c r="BA323" s="30"/>
      <c r="BB323" s="30"/>
      <c r="BC323" s="30"/>
      <c r="BD323" s="30"/>
      <c r="BE323" s="30"/>
      <c r="BF323" s="30"/>
      <c r="BG323" s="30"/>
      <c r="BH323" s="30"/>
      <c r="BI323" s="30"/>
      <c r="BJ323" s="651" t="b">
        <f>OR(BJ320,W323=EUconst_NA)</f>
        <v>1</v>
      </c>
      <c r="BK323" s="23"/>
    </row>
    <row r="324" spans="1:63" s="1063" customFormat="1" ht="12.75" customHeight="1" thickBot="1" x14ac:dyDescent="0.25">
      <c r="A324" s="58"/>
      <c r="B324" s="1248"/>
      <c r="C324" s="783" t="s">
        <v>195</v>
      </c>
      <c r="D324" s="643" t="str">
        <f>Translations!$B$726</f>
        <v>A. NITF(CF4)</v>
      </c>
      <c r="E324" s="644"/>
      <c r="F324" s="539"/>
      <c r="G324" s="1689" t="str">
        <f t="shared" si="50"/>
        <v/>
      </c>
      <c r="H324" s="1690"/>
      <c r="I324" s="1691" t="str">
        <f>IF(W324=EUconst_NA,"",INDEX(PFCUnits,3))</f>
        <v>(kg CF4/t Al)/(min./vienoje elektrolizės vonioje per parą)</v>
      </c>
      <c r="J324" s="1692"/>
      <c r="K324" s="671" t="str">
        <f t="shared" si="51"/>
        <v/>
      </c>
      <c r="L324" s="674"/>
      <c r="M324" s="702" t="str">
        <f>IF(AND(E315&lt;&gt;"",OR(F324="",COUNT(K324:L324)=0),W324&lt;&gt;EUconst_NA),EUconst_ERR_Incomplete,IF(COUNTIF(AI324:AL324,TRUE)&gt;0,EUconst_ERR_Inconsistent,""))</f>
        <v/>
      </c>
      <c r="N324" s="140"/>
      <c r="O324" s="1305"/>
      <c r="P324" s="33"/>
      <c r="Q324" s="30"/>
      <c r="R324" s="543" t="str">
        <f>EUconst_CNTR_EF&amp;$E315</f>
        <v>EF_</v>
      </c>
      <c r="S324" s="488"/>
      <c r="T324" s="649" t="str">
        <f t="shared" si="55"/>
        <v/>
      </c>
      <c r="U324" s="30"/>
      <c r="V324" s="488">
        <v>1</v>
      </c>
      <c r="W324" s="662" t="str">
        <f>IF(E315="","",IF(U315&lt;&gt;V324,EUconst_NA,INDEX(EUwideConstants!$N:$N,MATCH(R324,EUwideConstants!$Q:$Q,0))))</f>
        <v/>
      </c>
      <c r="X324" s="546" t="str">
        <f>IF(ISBLANK(F324),"",IF(F324=EUconst_NA,"",INDEX(EUwideConstants!$H:$M,MATCH(R324,EUwideConstants!$Q:$Q,0),MATCH(F324,CNTR_TierList,0))))</f>
        <v/>
      </c>
      <c r="Y324" s="580" t="str">
        <f>IF(COUNTIF(EUconst_DefaultValues,X324)&gt;0,MATCH(X324,EUconst_DefaultValues,0),"")</f>
        <v/>
      </c>
      <c r="Z324" s="30"/>
      <c r="AA324" s="548" t="b">
        <f>AND(AA320,W324&lt;&gt;EUconst_NA)</f>
        <v>0</v>
      </c>
      <c r="AB324" s="333"/>
      <c r="AC324" s="651" t="str">
        <f>IF(AA324=TRUE,IF(T324="","",INDEX(MSPara_PFCMethA,MATCH(T324,PFCCellTypes,0),1)),"")</f>
        <v/>
      </c>
      <c r="AD324" s="651" t="str">
        <f>IF(AND(Y324&lt;&gt;"",ISNUMBER(AC324)),AC324,"")</f>
        <v/>
      </c>
      <c r="AE324" s="651">
        <f t="shared" si="52"/>
        <v>0</v>
      </c>
      <c r="AF324" s="651" t="b">
        <f>AND(AA324=TRUE,OR(AND(F324&lt;&gt;"",NOT(ISNUMBER(Y324))),L324&lt;&gt;"",F324="",AD324=""))</f>
        <v>0</v>
      </c>
      <c r="AG324" s="651" t="b">
        <f t="shared" si="53"/>
        <v>0</v>
      </c>
      <c r="AH324" s="30"/>
      <c r="AI324" s="30"/>
      <c r="AJ324" s="30"/>
      <c r="AK324" s="651" t="b">
        <f t="shared" si="54"/>
        <v>0</v>
      </c>
      <c r="AL324" s="30"/>
      <c r="AM324" s="30"/>
      <c r="AN324" s="538" t="s">
        <v>441</v>
      </c>
      <c r="AO324" s="537">
        <f>IF(AND(ISNUMBER(AO323),AO323&gt;0),AO323*AE328,0)</f>
        <v>0</v>
      </c>
      <c r="AP324" s="515">
        <f>IF(AND(ISNUMBER(AP323),AP323&gt;0),AP323*AE328,0)</f>
        <v>0</v>
      </c>
      <c r="AQ324" s="30"/>
      <c r="AR324" s="30"/>
      <c r="AS324" s="30"/>
      <c r="AT324" s="30"/>
      <c r="AU324" s="30"/>
      <c r="AV324" s="30"/>
      <c r="AW324" s="30"/>
      <c r="AX324" s="30"/>
      <c r="AY324" s="30"/>
      <c r="AZ324" s="30"/>
      <c r="BA324" s="30"/>
      <c r="BB324" s="30"/>
      <c r="BC324" s="30"/>
      <c r="BD324" s="30"/>
      <c r="BE324" s="30"/>
      <c r="BF324" s="30"/>
      <c r="BG324" s="30"/>
      <c r="BH324" s="30"/>
      <c r="BI324" s="30"/>
      <c r="BJ324" s="651" t="b">
        <f>OR(BJ320,W324=EUconst_NA)</f>
        <v>1</v>
      </c>
      <c r="BK324" s="23"/>
    </row>
    <row r="325" spans="1:63" s="1063" customFormat="1" ht="12.75" customHeight="1" thickBot="1" x14ac:dyDescent="0.25">
      <c r="A325" s="58"/>
      <c r="B325" s="1248"/>
      <c r="C325" s="783" t="s">
        <v>196</v>
      </c>
      <c r="D325" s="641" t="str">
        <f>Translations!$B$728</f>
        <v>B. AEV</v>
      </c>
      <c r="E325" s="642"/>
      <c r="F325" s="636"/>
      <c r="G325" s="1681" t="str">
        <f t="shared" si="50"/>
        <v/>
      </c>
      <c r="H325" s="1682"/>
      <c r="I325" s="1691" t="str">
        <f>IF(W325=EUconst_NA,"",INDEX(PFCUnits,4))</f>
        <v>mV</v>
      </c>
      <c r="J325" s="1692"/>
      <c r="K325" s="670" t="str">
        <f t="shared" si="51"/>
        <v/>
      </c>
      <c r="L325" s="686"/>
      <c r="M325" s="703" t="str">
        <f>IF(AND(E315&lt;&gt;"",OR(F325="",L325=""),W325&lt;&gt;EUconst_NA),EUconst_ERR_Incomplete,IF(COUNTIF(AI325:AL325,TRUE)&gt;0,EUconst_ERR_Inconsistent,""))</f>
        <v/>
      </c>
      <c r="N325" s="140"/>
      <c r="O325" s="1305"/>
      <c r="P325" s="635"/>
      <c r="Q325" s="30"/>
      <c r="R325" s="543" t="str">
        <f>R320</f>
        <v>ActivityData_</v>
      </c>
      <c r="S325" s="488"/>
      <c r="T325" s="649" t="str">
        <f t="shared" si="55"/>
        <v/>
      </c>
      <c r="U325" s="30"/>
      <c r="V325" s="488">
        <v>2</v>
      </c>
      <c r="W325" s="662" t="str">
        <f>IF(E315="","",IF(U315&lt;&gt;V325,EUconst_NA,INDEX(EUwideConstants!$N:$N,MATCH(R325,EUwideConstants!$Q:$Q,0))))</f>
        <v/>
      </c>
      <c r="X325" s="546" t="str">
        <f>IF(ISBLANK(F325),"",IF(F325=EUconst_NA,"",INDEX(EUwideConstants!$H:$M,MATCH(R325,EUwideConstants!$Q:$Q,0),MATCH(F325,CNTR_TierList,0))))</f>
        <v/>
      </c>
      <c r="Y325" s="30"/>
      <c r="Z325" s="30"/>
      <c r="AA325" s="548" t="b">
        <f>AND(AA320,W325&lt;&gt;EUconst_NA)</f>
        <v>0</v>
      </c>
      <c r="AB325" s="333"/>
      <c r="AC325" s="667"/>
      <c r="AD325" s="667" t="str">
        <f>""</f>
        <v/>
      </c>
      <c r="AE325" s="651">
        <f t="shared" si="52"/>
        <v>0</v>
      </c>
      <c r="AF325" s="651" t="b">
        <f>AND(AA325=TRUE,OR(ISNUMBER(L325),NOT(ISNUMBER(Y325))))</f>
        <v>0</v>
      </c>
      <c r="AG325" s="651" t="b">
        <f t="shared" si="53"/>
        <v>0</v>
      </c>
      <c r="AH325" s="30"/>
      <c r="AI325" s="30"/>
      <c r="AJ325" s="30"/>
      <c r="AK325" s="651" t="b">
        <f t="shared" si="54"/>
        <v>0</v>
      </c>
      <c r="AL325" s="30"/>
      <c r="AM325" s="30"/>
      <c r="AN325" s="538" t="s">
        <v>440</v>
      </c>
      <c r="AO325" s="537" t="str">
        <f>IF(ISNUMBER(AO323),AO323*AE333,"")</f>
        <v/>
      </c>
      <c r="AP325" s="515" t="str">
        <f>IF(ISNUMBER(AP323),AP323*AE333,"")</f>
        <v/>
      </c>
      <c r="AQ325" s="30"/>
      <c r="AR325" s="30"/>
      <c r="AS325" s="30"/>
      <c r="AT325" s="30"/>
      <c r="AU325" s="30"/>
      <c r="AV325" s="30"/>
      <c r="AW325" s="30"/>
      <c r="AX325" s="30"/>
      <c r="AY325" s="30"/>
      <c r="AZ325" s="30"/>
      <c r="BA325" s="30"/>
      <c r="BB325" s="30"/>
      <c r="BC325" s="30"/>
      <c r="BD325" s="30"/>
      <c r="BE325" s="30"/>
      <c r="BF325" s="30"/>
      <c r="BG325" s="30"/>
      <c r="BH325" s="30"/>
      <c r="BI325" s="30"/>
      <c r="BJ325" s="651" t="b">
        <f>OR(BJ320,W325=EUconst_NA)</f>
        <v>1</v>
      </c>
      <c r="BK325" s="23"/>
    </row>
    <row r="326" spans="1:63" s="1063" customFormat="1" ht="12.75" customHeight="1" thickBot="1" x14ac:dyDescent="0.25">
      <c r="A326" s="58"/>
      <c r="B326" s="1248"/>
      <c r="C326" s="753" t="s">
        <v>197</v>
      </c>
      <c r="D326" s="503" t="str">
        <f>Translations!$B$730</f>
        <v>B. EN</v>
      </c>
      <c r="E326" s="504"/>
      <c r="F326" s="539"/>
      <c r="G326" s="1603" t="str">
        <f t="shared" si="50"/>
        <v/>
      </c>
      <c r="H326" s="1604"/>
      <c r="I326" s="1691" t="str">
        <f>IF(W326=EUconst_NA,"","-")</f>
        <v>-</v>
      </c>
      <c r="J326" s="1692"/>
      <c r="K326" s="672" t="str">
        <f t="shared" si="51"/>
        <v/>
      </c>
      <c r="L326" s="562"/>
      <c r="M326" s="700" t="str">
        <f>IF(AND(E315&lt;&gt;"",OR(F326="",L326=""),W326&lt;&gt;EUconst_NA),EUconst_ERR_Incomplete,IF(COUNTIF(AI326:AL326,TRUE)&gt;0,EUconst_ERR_Inconsistent,""))</f>
        <v/>
      </c>
      <c r="N326" s="140"/>
      <c r="O326" s="1305"/>
      <c r="P326" s="635"/>
      <c r="Q326" s="30"/>
      <c r="R326" s="543" t="str">
        <f>R325</f>
        <v>ActivityData_</v>
      </c>
      <c r="S326" s="488"/>
      <c r="T326" s="649" t="str">
        <f t="shared" si="55"/>
        <v/>
      </c>
      <c r="U326" s="30"/>
      <c r="V326" s="488">
        <v>2</v>
      </c>
      <c r="W326" s="662" t="str">
        <f>IF(E315="","",IF(U315&lt;&gt;V326,EUconst_NA,INDEX(EUwideConstants!$N:$N,MATCH(R326,EUwideConstants!$Q:$Q,0))))</f>
        <v/>
      </c>
      <c r="X326" s="546" t="str">
        <f>IF(ISBLANK(F326),"",IF(F326=EUconst_NA,"",INDEX(EUwideConstants!$H:$M,MATCH(R326,EUwideConstants!$Q:$Q,0),MATCH(F326,CNTR_TierList,0))))</f>
        <v/>
      </c>
      <c r="Y326" s="30"/>
      <c r="Z326" s="30"/>
      <c r="AA326" s="548" t="b">
        <f>AND(AA320,W326&lt;&gt;EUconst_NA)</f>
        <v>0</v>
      </c>
      <c r="AB326" s="333"/>
      <c r="AC326" s="667"/>
      <c r="AD326" s="667" t="str">
        <f>""</f>
        <v/>
      </c>
      <c r="AE326" s="651">
        <f t="shared" si="52"/>
        <v>0</v>
      </c>
      <c r="AF326" s="651" t="b">
        <f>AND(AA326=TRUE,OR(ISNUMBER(L326),NOT(ISNUMBER(Y326))))</f>
        <v>0</v>
      </c>
      <c r="AG326" s="651" t="b">
        <f t="shared" si="53"/>
        <v>0</v>
      </c>
      <c r="AH326" s="30"/>
      <c r="AI326" s="30"/>
      <c r="AJ326" s="30"/>
      <c r="AK326" s="699" t="b">
        <f t="shared" si="54"/>
        <v>0</v>
      </c>
      <c r="AL326" s="515" t="b">
        <f>L326&gt;100%</f>
        <v>0</v>
      </c>
      <c r="AM326" s="30"/>
      <c r="AN326" s="538" t="s">
        <v>441</v>
      </c>
      <c r="AO326" s="537">
        <f>IF(ISNUMBER(AO324),AO324*AE334,"")</f>
        <v>0</v>
      </c>
      <c r="AP326" s="515">
        <f>IF(ISNUMBER(AP324),AP324*AE334,"")</f>
        <v>0</v>
      </c>
      <c r="AQ326" s="30"/>
      <c r="AR326" s="30"/>
      <c r="AS326" s="30"/>
      <c r="AT326" s="30"/>
      <c r="AU326" s="30"/>
      <c r="AV326" s="30"/>
      <c r="AW326" s="30"/>
      <c r="AX326" s="30"/>
      <c r="AY326" s="30"/>
      <c r="AZ326" s="30"/>
      <c r="BA326" s="30"/>
      <c r="BB326" s="30"/>
      <c r="BC326" s="30"/>
      <c r="BD326" s="30"/>
      <c r="BE326" s="30"/>
      <c r="BF326" s="30"/>
      <c r="BG326" s="30"/>
      <c r="BH326" s="30"/>
      <c r="BI326" s="30"/>
      <c r="BJ326" s="651" t="b">
        <f>OR(BJ320,W326=EUconst_NA)</f>
        <v>1</v>
      </c>
      <c r="BK326" s="23"/>
    </row>
    <row r="327" spans="1:63" s="1063" customFormat="1" ht="12.75" customHeight="1" thickBot="1" x14ac:dyDescent="0.25">
      <c r="A327" s="58"/>
      <c r="B327" s="1248"/>
      <c r="C327" s="783" t="s">
        <v>198</v>
      </c>
      <c r="D327" s="643" t="str">
        <f>Translations!$B$732</f>
        <v>B. VĮK</v>
      </c>
      <c r="E327" s="644"/>
      <c r="F327" s="539"/>
      <c r="G327" s="1689" t="str">
        <f t="shared" si="50"/>
        <v/>
      </c>
      <c r="H327" s="1690"/>
      <c r="I327" s="1691" t="str">
        <f>IF(W327=EUconst_NA,"",INDEX(PFCUnits,6))</f>
        <v>(kg CF4)/(t Al mV)</v>
      </c>
      <c r="J327" s="1692"/>
      <c r="K327" s="672" t="str">
        <f t="shared" si="51"/>
        <v/>
      </c>
      <c r="L327" s="675"/>
      <c r="M327" s="702" t="str">
        <f>IF(AND(E315&lt;&gt;"",OR(F327="",COUNT(K327:L327)=0),W327&lt;&gt;EUconst_NA),EUconst_ERR_Incomplete,IF(COUNTIF(AI327:AL327,TRUE)&gt;0,EUconst_ERR_Inconsistent,""))</f>
        <v/>
      </c>
      <c r="N327" s="140"/>
      <c r="O327" s="1305"/>
      <c r="P327" s="33"/>
      <c r="Q327" s="30"/>
      <c r="R327" s="543" t="str">
        <f>EUconst_CNTR_EF&amp;E315</f>
        <v>EF_</v>
      </c>
      <c r="S327" s="488"/>
      <c r="T327" s="649" t="str">
        <f t="shared" si="55"/>
        <v/>
      </c>
      <c r="U327" s="30"/>
      <c r="V327" s="488">
        <v>2</v>
      </c>
      <c r="W327" s="662" t="str">
        <f>IF(E315="","",IF(U315&lt;&gt;V327,EUconst_NA,INDEX(EUwideConstants!$N:$N,MATCH(R327,EUwideConstants!$Q:$Q,0))))</f>
        <v/>
      </c>
      <c r="X327" s="546" t="str">
        <f>IF(ISBLANK(F327),"",IF(F327=EUconst_NA,"",INDEX(EUwideConstants!$H:$M,MATCH(R327,EUwideConstants!$Q:$Q,0),MATCH(F327,CNTR_TierList,0))))</f>
        <v/>
      </c>
      <c r="Y327" s="580" t="str">
        <f>IF(COUNTIF(EUconst_DefaultValues,X327)&gt;0,MATCH(X327,EUconst_DefaultValues,0),"")</f>
        <v/>
      </c>
      <c r="Z327" s="30"/>
      <c r="AA327" s="548" t="b">
        <f>AND(AA320,W327&lt;&gt;EUconst_NA)</f>
        <v>0</v>
      </c>
      <c r="AB327" s="333"/>
      <c r="AC327" s="651" t="str">
        <f>IF(AA327=TRUE,IF(T327="","",INDEX(MSPara_PFCMethB,MATCH(T327,PFCCellTypes,0),1)),"")</f>
        <v/>
      </c>
      <c r="AD327" s="651" t="str">
        <f>IF(AND(Y327&lt;&gt;"",ISNUMBER(AC327)),AC327,"")</f>
        <v/>
      </c>
      <c r="AE327" s="651">
        <f t="shared" si="52"/>
        <v>0</v>
      </c>
      <c r="AF327" s="651" t="b">
        <f>AND(AA327=TRUE,OR(AND(F327&lt;&gt;"",NOT(ISNUMBER(Y327))),L327&lt;&gt;"",F327="",AD327=""))</f>
        <v>0</v>
      </c>
      <c r="AG327" s="651" t="b">
        <f t="shared" si="53"/>
        <v>0</v>
      </c>
      <c r="AH327" s="30"/>
      <c r="AI327" s="30"/>
      <c r="AJ327" s="30"/>
      <c r="AK327" s="651" t="b">
        <f t="shared" si="54"/>
        <v>0</v>
      </c>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651" t="b">
        <f>OR(BJ320,W327=EUconst_NA)</f>
        <v>1</v>
      </c>
      <c r="BK327" s="23"/>
    </row>
    <row r="328" spans="1:63" s="1063" customFormat="1" ht="12.75" customHeight="1" thickBot="1" x14ac:dyDescent="0.25">
      <c r="A328" s="58"/>
      <c r="B328" s="1248"/>
      <c r="C328" s="783" t="s">
        <v>324</v>
      </c>
      <c r="D328" s="641" t="str">
        <f>Translations!$B$734</f>
        <v>F(C2F6)</v>
      </c>
      <c r="E328" s="642"/>
      <c r="F328" s="588"/>
      <c r="G328" s="1681" t="str">
        <f t="shared" si="50"/>
        <v/>
      </c>
      <c r="H328" s="1682"/>
      <c r="I328" s="1685" t="str">
        <f>IF(W328=EUconst_NA,"",INDEX(PFCUnits,7))</f>
        <v>t C2F6/t CF4</v>
      </c>
      <c r="J328" s="1686"/>
      <c r="K328" s="673" t="str">
        <f t="shared" si="51"/>
        <v/>
      </c>
      <c r="L328" s="676"/>
      <c r="M328" s="703" t="str">
        <f>IF(AND(E315&lt;&gt;"",OR(F328="",COUNT(K328:L328)=0),W328&lt;&gt;EUconst_NA),EUconst_ERR_Incomplete,IF(COUNTIF(AI328:AL328,TRUE)&gt;0,EUconst_ERR_Inconsistent,""))</f>
        <v/>
      </c>
      <c r="N328" s="140"/>
      <c r="O328" s="1305"/>
      <c r="P328" s="33"/>
      <c r="Q328" s="30"/>
      <c r="R328" s="590" t="str">
        <f>EUconst_CNTR_EF&amp;E315</f>
        <v>EF_</v>
      </c>
      <c r="S328" s="488"/>
      <c r="T328" s="650" t="str">
        <f t="shared" si="55"/>
        <v/>
      </c>
      <c r="U328" s="30"/>
      <c r="V328" s="488" t="str">
        <f>""</f>
        <v/>
      </c>
      <c r="W328" s="664" t="str">
        <f>W320</f>
        <v/>
      </c>
      <c r="X328" s="592" t="str">
        <f>IF(ISBLANK(F328),"",IF(F328=EUconst_NA,"",INDEX(EUwideConstants!$H:$M,MATCH(R328,EUwideConstants!$Q:$Q,0),MATCH(F328,CNTR_TierList,0))))</f>
        <v/>
      </c>
      <c r="Y328" s="580" t="str">
        <f>IF(COUNTIF(EUconst_DefaultValues,X328)&gt;0,MATCH(X328,EUconst_DefaultValues,0),"")</f>
        <v/>
      </c>
      <c r="Z328" s="30"/>
      <c r="AA328" s="665" t="b">
        <f>AND(AA320,W328&lt;&gt;EUconst_NA)</f>
        <v>0</v>
      </c>
      <c r="AB328" s="333"/>
      <c r="AC328" s="573" t="str">
        <f>IF(AA328=TRUE,IF(T328="","",INDEX(MSPara_PFCMethA,MATCH(T328,PFCCellTypes,0),2)),"")</f>
        <v/>
      </c>
      <c r="AD328" s="573" t="str">
        <f>IF(AND(Y328&lt;&gt;"",ISNUMBER(AC328)),AC328,"")</f>
        <v/>
      </c>
      <c r="AE328" s="573">
        <f t="shared" si="52"/>
        <v>0</v>
      </c>
      <c r="AF328" s="573" t="b">
        <f>AND(AA328=TRUE,OR(AND(F328&lt;&gt;"",NOT(ISNUMBER(Y328))),L328&lt;&gt;"",F328="",AD328=""))</f>
        <v>0</v>
      </c>
      <c r="AG328" s="573" t="b">
        <f t="shared" si="53"/>
        <v>0</v>
      </c>
      <c r="AH328" s="30"/>
      <c r="AI328" s="30"/>
      <c r="AJ328" s="30"/>
      <c r="AK328" s="573" t="b">
        <f t="shared" si="54"/>
        <v>0</v>
      </c>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573" t="b">
        <f>OR(BJ320,W328=EUconst_NA)</f>
        <v>1</v>
      </c>
      <c r="BK328" s="23"/>
    </row>
    <row r="329" spans="1:63" s="1063" customFormat="1" ht="5.0999999999999996" customHeight="1" thickBot="1" x14ac:dyDescent="0.25">
      <c r="A329" s="58"/>
      <c r="B329" s="1248"/>
      <c r="C329" s="164"/>
      <c r="D329" s="178"/>
      <c r="E329" s="140"/>
      <c r="F329" s="140"/>
      <c r="G329" s="140"/>
      <c r="H329" s="140"/>
      <c r="I329" s="140"/>
      <c r="J329" s="140"/>
      <c r="K329" s="140"/>
      <c r="L329" s="140"/>
      <c r="M329" s="695"/>
      <c r="N329" s="140"/>
      <c r="O329" s="1305"/>
      <c r="P329" s="33"/>
      <c r="Q329" s="172"/>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23"/>
    </row>
    <row r="330" spans="1:63" s="1063" customFormat="1" ht="12.75" customHeight="1" x14ac:dyDescent="0.2">
      <c r="A330" s="58"/>
      <c r="B330" s="1248"/>
      <c r="C330" s="753" t="s">
        <v>325</v>
      </c>
      <c r="D330" s="637" t="str">
        <f>Translations!$B$748</f>
        <v>Išmestas CF4 kiekis</v>
      </c>
      <c r="E330" s="638"/>
      <c r="F330" s="504"/>
      <c r="G330" s="504"/>
      <c r="H330" s="504"/>
      <c r="I330" s="1683" t="str">
        <f>EUconst_t</f>
        <v>t</v>
      </c>
      <c r="J330" s="1684"/>
      <c r="K330" s="504"/>
      <c r="L330" s="917" t="str">
        <f>IF(ISNUMBER(U315),INDEX(AO323:AP323,U315),"")</f>
        <v/>
      </c>
      <c r="M330" s="695"/>
      <c r="N330" s="140"/>
      <c r="O330" s="1305"/>
      <c r="P330" s="33"/>
      <c r="Q330" s="172"/>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23"/>
    </row>
    <row r="331" spans="1:63" s="1063" customFormat="1" ht="12.75" customHeight="1" thickBot="1" x14ac:dyDescent="0.25">
      <c r="A331" s="58"/>
      <c r="B331" s="1248"/>
      <c r="C331" s="753" t="s">
        <v>448</v>
      </c>
      <c r="D331" s="637" t="str">
        <f>Translations!$B$749</f>
        <v>Išmestas C2F6 kiekis</v>
      </c>
      <c r="E331" s="504"/>
      <c r="F331" s="504"/>
      <c r="G331" s="504"/>
      <c r="H331" s="504"/>
      <c r="I331" s="1685" t="str">
        <f>EUconst_t</f>
        <v>t</v>
      </c>
      <c r="J331" s="1686"/>
      <c r="K331" s="504"/>
      <c r="L331" s="918" t="str">
        <f>IF(ISNUMBER(U315),INDEX(AO324:AP324,U315),"")</f>
        <v/>
      </c>
      <c r="M331" s="695"/>
      <c r="N331" s="140"/>
      <c r="O331" s="1305"/>
      <c r="P331" s="33"/>
      <c r="Q331" s="172"/>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23"/>
    </row>
    <row r="332" spans="1:63" s="1063" customFormat="1" ht="5.0999999999999996" customHeight="1" thickBot="1" x14ac:dyDescent="0.25">
      <c r="A332" s="58"/>
      <c r="B332" s="1248"/>
      <c r="C332" s="755"/>
      <c r="D332" s="178"/>
      <c r="E332" s="140"/>
      <c r="F332" s="140"/>
      <c r="G332" s="140"/>
      <c r="H332" s="140"/>
      <c r="I332" s="140"/>
      <c r="J332" s="140"/>
      <c r="K332" s="140"/>
      <c r="L332" s="140"/>
      <c r="M332" s="695"/>
      <c r="N332" s="140"/>
      <c r="O332" s="1305"/>
      <c r="P332" s="33"/>
      <c r="Q332" s="172"/>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23"/>
    </row>
    <row r="333" spans="1:63" s="1063" customFormat="1" ht="12.75" customHeight="1" x14ac:dyDescent="0.2">
      <c r="A333" s="58"/>
      <c r="B333" s="1248"/>
      <c r="C333" s="753" t="s">
        <v>449</v>
      </c>
      <c r="D333" s="637" t="str">
        <f>Translations!$B$736</f>
        <v>VAP(CF4)</v>
      </c>
      <c r="E333" s="638"/>
      <c r="F333" s="504"/>
      <c r="G333" s="504"/>
      <c r="H333" s="504"/>
      <c r="I333" s="1683" t="s">
        <v>438</v>
      </c>
      <c r="J333" s="1684"/>
      <c r="K333" s="639">
        <f>IF(L333="",7390,"")</f>
        <v>7390</v>
      </c>
      <c r="L333" s="930"/>
      <c r="M333" s="695"/>
      <c r="N333" s="140"/>
      <c r="O333" s="1305"/>
      <c r="P333" s="635"/>
      <c r="Q333" s="172"/>
      <c r="R333" s="30"/>
      <c r="S333" s="30"/>
      <c r="T333" s="30"/>
      <c r="U333" s="30"/>
      <c r="V333" s="30"/>
      <c r="W333" s="30"/>
      <c r="X333" s="30"/>
      <c r="Y333" s="30"/>
      <c r="Z333" s="30"/>
      <c r="AA333" s="30"/>
      <c r="AB333" s="30"/>
      <c r="AC333" s="30"/>
      <c r="AD333" s="30"/>
      <c r="AE333" s="526">
        <f>IF(L333="",K333,L333)</f>
        <v>7390</v>
      </c>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522" t="b">
        <f>BJ320</f>
        <v>1</v>
      </c>
      <c r="BK333" s="23"/>
    </row>
    <row r="334" spans="1:63" s="1063" customFormat="1" ht="12.75" customHeight="1" thickBot="1" x14ac:dyDescent="0.25">
      <c r="A334" s="58"/>
      <c r="B334" s="1248"/>
      <c r="C334" s="753" t="s">
        <v>450</v>
      </c>
      <c r="D334" s="637" t="str">
        <f>Translations!$B$738</f>
        <v>VAP(C2F6)</v>
      </c>
      <c r="E334" s="638"/>
      <c r="F334" s="504"/>
      <c r="G334" s="504"/>
      <c r="H334" s="504"/>
      <c r="I334" s="1685" t="s">
        <v>439</v>
      </c>
      <c r="J334" s="1686"/>
      <c r="K334" s="640">
        <f>IF(L334="",12200,"")</f>
        <v>12200</v>
      </c>
      <c r="L334" s="931"/>
      <c r="M334" s="695"/>
      <c r="N334" s="140"/>
      <c r="O334" s="1305"/>
      <c r="P334" s="33"/>
      <c r="Q334" s="172"/>
      <c r="R334" s="30"/>
      <c r="S334" s="30"/>
      <c r="T334" s="30"/>
      <c r="U334" s="30"/>
      <c r="V334" s="30"/>
      <c r="W334" s="30"/>
      <c r="X334" s="30"/>
      <c r="Y334" s="30"/>
      <c r="Z334" s="30"/>
      <c r="AA334" s="30"/>
      <c r="AB334" s="30"/>
      <c r="AC334" s="30"/>
      <c r="AD334" s="30"/>
      <c r="AE334" s="665">
        <f>IF(L334="",K334,L334)</f>
        <v>12200</v>
      </c>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571" t="b">
        <f>BJ333</f>
        <v>1</v>
      </c>
      <c r="BK334" s="23"/>
    </row>
    <row r="335" spans="1:63" s="1063" customFormat="1" ht="5.0999999999999996" customHeight="1" thickBot="1" x14ac:dyDescent="0.25">
      <c r="A335" s="58"/>
      <c r="B335" s="1248"/>
      <c r="C335" s="755"/>
      <c r="D335" s="298"/>
      <c r="E335" s="486"/>
      <c r="F335" s="140"/>
      <c r="G335" s="140"/>
      <c r="H335" s="140"/>
      <c r="I335" s="140"/>
      <c r="J335" s="140"/>
      <c r="K335" s="140"/>
      <c r="L335" s="695"/>
      <c r="M335" s="695"/>
      <c r="N335" s="140"/>
      <c r="O335" s="1305"/>
      <c r="P335" s="33"/>
      <c r="Q335" s="172"/>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23"/>
    </row>
    <row r="336" spans="1:63" s="1063" customFormat="1" ht="12.75" customHeight="1" x14ac:dyDescent="0.2">
      <c r="A336" s="58"/>
      <c r="B336" s="1248"/>
      <c r="C336" s="753" t="s">
        <v>451</v>
      </c>
      <c r="D336" s="637" t="str">
        <f>Translations!$B$748</f>
        <v>Išmestas CF4 kiekis</v>
      </c>
      <c r="E336" s="638"/>
      <c r="F336" s="504"/>
      <c r="G336" s="504"/>
      <c r="H336" s="504"/>
      <c r="I336" s="1683" t="s">
        <v>257</v>
      </c>
      <c r="J336" s="1684"/>
      <c r="K336" s="504"/>
      <c r="L336" s="696" t="str">
        <f>IF(ISNUMBER(U315),INDEX(AO325:AP325,U315),"")</f>
        <v/>
      </c>
      <c r="M336" s="695"/>
      <c r="N336" s="140"/>
      <c r="O336" s="1305"/>
      <c r="P336" s="635"/>
      <c r="Q336" s="172"/>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23"/>
    </row>
    <row r="337" spans="1:63" s="1063" customFormat="1" ht="12.75" customHeight="1" thickBot="1" x14ac:dyDescent="0.25">
      <c r="A337" s="58"/>
      <c r="B337" s="1248"/>
      <c r="C337" s="753" t="s">
        <v>452</v>
      </c>
      <c r="D337" s="637" t="str">
        <f>Translations!$B$749</f>
        <v>Išmestas C2F6 kiekis</v>
      </c>
      <c r="E337" s="504"/>
      <c r="F337" s="504"/>
      <c r="G337" s="504"/>
      <c r="H337" s="504"/>
      <c r="I337" s="1685" t="s">
        <v>257</v>
      </c>
      <c r="J337" s="1686"/>
      <c r="K337" s="504"/>
      <c r="L337" s="697" t="str">
        <f>IF(ISNUMBER(U315),INDEX(AO326:AP326,U315),"")</f>
        <v/>
      </c>
      <c r="M337" s="695"/>
      <c r="N337" s="140"/>
      <c r="O337" s="1305"/>
      <c r="P337" s="33"/>
      <c r="Q337" s="172"/>
      <c r="R337" s="30"/>
      <c r="S337" s="30"/>
      <c r="T337" s="30"/>
      <c r="U337" s="30"/>
      <c r="V337" s="30"/>
      <c r="W337" s="30"/>
      <c r="X337" s="30"/>
      <c r="Y337" s="30"/>
      <c r="Z337" s="30"/>
      <c r="AA337" s="30"/>
      <c r="AB337" s="30"/>
      <c r="AC337" s="30"/>
      <c r="AD337" s="30"/>
      <c r="AE337" s="483"/>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23"/>
    </row>
    <row r="338" spans="1:63" s="1063" customFormat="1" ht="5.0999999999999996" customHeight="1" thickBot="1" x14ac:dyDescent="0.25">
      <c r="A338" s="58"/>
      <c r="B338" s="1248"/>
      <c r="C338" s="755"/>
      <c r="D338" s="178"/>
      <c r="E338" s="140"/>
      <c r="F338" s="140"/>
      <c r="G338" s="140"/>
      <c r="H338" s="140"/>
      <c r="I338" s="140"/>
      <c r="J338" s="140"/>
      <c r="K338" s="140"/>
      <c r="L338" s="140"/>
      <c r="M338" s="695"/>
      <c r="N338" s="140"/>
      <c r="O338" s="1305"/>
      <c r="P338" s="33"/>
      <c r="Q338" s="172"/>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23"/>
    </row>
    <row r="339" spans="1:63" s="1063" customFormat="1" ht="12.75" customHeight="1" thickBot="1" x14ac:dyDescent="0.25">
      <c r="A339" s="58"/>
      <c r="B339" s="1248"/>
      <c r="C339" s="753" t="s">
        <v>453</v>
      </c>
      <c r="D339" s="637" t="str">
        <f>Translations!$B$167</f>
        <v>Surinkimo efektyvumas</v>
      </c>
      <c r="E339" s="504"/>
      <c r="F339" s="504"/>
      <c r="G339" s="504"/>
      <c r="H339" s="504"/>
      <c r="I339" s="1687" t="s">
        <v>258</v>
      </c>
      <c r="J339" s="1688"/>
      <c r="K339" s="504"/>
      <c r="L339" s="932"/>
      <c r="M339" s="700" t="str">
        <f>IF(AND(E315&lt;&gt;"",L339=""),EUconst_ERR_Incomplete,IF(COUNTIF(AI339:AL339,TRUE)&gt;0,EUconst_ERR_Inconsistent,""))</f>
        <v/>
      </c>
      <c r="N339" s="140"/>
      <c r="O339" s="1305"/>
      <c r="P339" s="635"/>
      <c r="Q339" s="172"/>
      <c r="R339" s="30"/>
      <c r="S339" s="30"/>
      <c r="T339" s="30"/>
      <c r="U339" s="30"/>
      <c r="V339" s="30"/>
      <c r="W339" s="30"/>
      <c r="X339" s="30"/>
      <c r="Y339" s="30"/>
      <c r="Z339" s="30"/>
      <c r="AA339" s="30"/>
      <c r="AB339" s="30"/>
      <c r="AC339" s="30"/>
      <c r="AD339" s="30"/>
      <c r="AE339" s="30"/>
      <c r="AF339" s="30"/>
      <c r="AG339" s="30"/>
      <c r="AH339" s="30"/>
      <c r="AI339" s="30"/>
      <c r="AJ339" s="30"/>
      <c r="AK339" s="30"/>
      <c r="AL339" s="515" t="b">
        <f>L339&gt;100%</f>
        <v>0</v>
      </c>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515" t="b">
        <f>BJ320</f>
        <v>1</v>
      </c>
      <c r="BK339" s="23"/>
    </row>
    <row r="340" spans="1:63" s="1063" customFormat="1" ht="5.0999999999999996" customHeight="1" thickBot="1" x14ac:dyDescent="0.25">
      <c r="A340" s="58"/>
      <c r="B340" s="1248"/>
      <c r="C340" s="164"/>
      <c r="D340" s="178"/>
      <c r="E340" s="140"/>
      <c r="F340" s="140"/>
      <c r="G340" s="140"/>
      <c r="H340" s="140"/>
      <c r="I340" s="140"/>
      <c r="J340" s="140"/>
      <c r="K340" s="140"/>
      <c r="L340" s="140"/>
      <c r="M340" s="140"/>
      <c r="N340" s="140"/>
      <c r="O340" s="1305"/>
      <c r="P340" s="33"/>
      <c r="Q340" s="172"/>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23"/>
    </row>
    <row r="341" spans="1:63" s="1063" customFormat="1" ht="12.75" customHeight="1" thickBot="1" x14ac:dyDescent="0.25">
      <c r="A341" s="58"/>
      <c r="B341" s="1248"/>
      <c r="C341" s="164"/>
      <c r="D341" s="1629" t="str">
        <f>Translations!$B$674</f>
        <v>Pakopos galioja nuo:</v>
      </c>
      <c r="E341" s="1629"/>
      <c r="F341" s="1630"/>
      <c r="G341" s="607"/>
      <c r="H341" s="606" t="str">
        <f>Translations!$B$675</f>
        <v>iki:</v>
      </c>
      <c r="I341" s="607"/>
      <c r="J341" s="140"/>
      <c r="K341" s="140"/>
      <c r="L341" s="140"/>
      <c r="M341" s="140"/>
      <c r="N341" s="140"/>
      <c r="O341" s="1305"/>
      <c r="P341" s="33"/>
      <c r="Q341" s="172"/>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515" t="b">
        <f>BJ320</f>
        <v>1</v>
      </c>
      <c r="BK341" s="23"/>
    </row>
    <row r="342" spans="1:63" s="1063" customFormat="1" ht="5.0999999999999996" customHeight="1" thickBot="1" x14ac:dyDescent="0.25">
      <c r="A342" s="30"/>
      <c r="B342" s="1316"/>
      <c r="C342" s="140"/>
      <c r="D342" s="178"/>
      <c r="E342" s="140"/>
      <c r="F342" s="140"/>
      <c r="G342" s="140"/>
      <c r="H342" s="140"/>
      <c r="I342" s="140"/>
      <c r="J342" s="140"/>
      <c r="K342" s="140"/>
      <c r="L342" s="140"/>
      <c r="M342" s="140"/>
      <c r="N342" s="140"/>
      <c r="O342" s="1317"/>
      <c r="P342" s="488"/>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23"/>
    </row>
    <row r="343" spans="1:63" s="1063" customFormat="1" ht="12.75" customHeight="1" thickBot="1" x14ac:dyDescent="0.25">
      <c r="A343" s="30"/>
      <c r="B343" s="1316"/>
      <c r="C343" s="140"/>
      <c r="D343" s="1618" t="str">
        <f>Translations!$B$160</f>
        <v>Pastabos:</v>
      </c>
      <c r="E343" s="1619"/>
      <c r="F343" s="1680"/>
      <c r="G343" s="1680"/>
      <c r="H343" s="1680"/>
      <c r="I343" s="1680"/>
      <c r="J343" s="1680"/>
      <c r="K343" s="1680"/>
      <c r="L343" s="1680"/>
      <c r="M343" s="1680"/>
      <c r="N343" s="1680"/>
      <c r="O343" s="1317"/>
      <c r="P343" s="488"/>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515" t="b">
        <f>BJ341</f>
        <v>1</v>
      </c>
      <c r="BK343" s="23"/>
    </row>
    <row r="344" spans="1:63" s="1060" customFormat="1" ht="12.75" customHeight="1" thickBot="1" x14ac:dyDescent="0.25">
      <c r="A344" s="58"/>
      <c r="B344" s="1312"/>
      <c r="C344" s="490"/>
      <c r="D344" s="491"/>
      <c r="E344" s="492"/>
      <c r="F344" s="490"/>
      <c r="G344" s="493"/>
      <c r="H344" s="493"/>
      <c r="I344" s="493"/>
      <c r="J344" s="493"/>
      <c r="K344" s="493"/>
      <c r="L344" s="493"/>
      <c r="M344" s="493"/>
      <c r="N344" s="493"/>
      <c r="O344" s="1313"/>
      <c r="P344" s="485"/>
      <c r="Q344" s="58"/>
      <c r="R344" s="58"/>
      <c r="S344" s="489"/>
      <c r="T344" s="58"/>
      <c r="U344" s="58"/>
      <c r="V344" s="489"/>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23"/>
    </row>
    <row r="345" spans="1:63" s="1060" customFormat="1" ht="12.75" customHeight="1" thickBot="1" x14ac:dyDescent="0.25">
      <c r="A345" s="482"/>
      <c r="B345" s="1312"/>
      <c r="C345" s="486"/>
      <c r="D345" s="178"/>
      <c r="E345" s="487"/>
      <c r="F345" s="486"/>
      <c r="G345" s="478"/>
      <c r="H345" s="478"/>
      <c r="I345" s="478"/>
      <c r="J345" s="478"/>
      <c r="K345" s="486"/>
      <c r="L345" s="478"/>
      <c r="M345" s="478"/>
      <c r="N345" s="478"/>
      <c r="O345" s="1313"/>
      <c r="P345" s="485"/>
      <c r="Q345" s="76"/>
      <c r="R345" s="76"/>
      <c r="S345" s="58"/>
      <c r="T345" s="23"/>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23"/>
    </row>
    <row r="346" spans="1:63" s="1063" customFormat="1" ht="15" customHeight="1" thickBot="1" x14ac:dyDescent="0.25">
      <c r="A346" s="58"/>
      <c r="B346" s="1248"/>
      <c r="C346" s="608">
        <f>C314+1</f>
        <v>10</v>
      </c>
      <c r="D346" s="334"/>
      <c r="E346" s="1610"/>
      <c r="F346" s="1611"/>
      <c r="G346" s="1611"/>
      <c r="H346" s="1611"/>
      <c r="I346" s="1611"/>
      <c r="J346" s="1612"/>
      <c r="K346" s="140"/>
      <c r="L346" s="140"/>
      <c r="M346" s="494" t="str">
        <f>Translations!$B$747</f>
        <v>Išmetamųjų teršalų kiekis:</v>
      </c>
      <c r="N346" s="998" t="str">
        <f>IF(COUNT(L368:L369,L371)=3,(L368+L369)/L371,"")</f>
        <v/>
      </c>
      <c r="O346" s="1314" t="s">
        <v>257</v>
      </c>
      <c r="P346" s="485"/>
      <c r="Q346" s="343" t="str">
        <f>EUconst_SumCO2 &amp; "_" &amp; EUconst_ProcessPFC</f>
        <v>SUM_CO2_Išmetamas PFC kiekis</v>
      </c>
      <c r="R346" s="27" t="str">
        <f>IF(ISBLANK(E346),"",MATCH(E346,CNTR_SourceStreamNames,0))</f>
        <v/>
      </c>
      <c r="S346" s="609" t="str">
        <f>IF(ISBLANK(E346),"",INDEX(B_InstallationDescription!$D$71:$D$145,MATCH(E346,CNTR_SourceStreamNames,0)))</f>
        <v/>
      </c>
      <c r="T346" s="500" t="s">
        <v>387</v>
      </c>
      <c r="U346" s="677" t="s">
        <v>67</v>
      </c>
      <c r="V346" s="58"/>
      <c r="W346" s="58"/>
      <c r="X346" s="58"/>
      <c r="Y346" s="58"/>
      <c r="Z346" s="58"/>
      <c r="AA346" s="58"/>
      <c r="AB346" s="333"/>
      <c r="AC346" s="333"/>
      <c r="AD346" s="333"/>
      <c r="AE346" s="333"/>
      <c r="AF346" s="333"/>
      <c r="AG346" s="333"/>
      <c r="AH346" s="333"/>
      <c r="AI346" s="333"/>
      <c r="AJ346" s="333"/>
      <c r="AK346" s="333"/>
      <c r="AL346" s="333"/>
      <c r="AM346" s="333"/>
      <c r="AN346" s="333"/>
      <c r="AO346" s="333"/>
      <c r="AP346" s="333"/>
      <c r="AQ346" s="333"/>
      <c r="AR346" s="333"/>
      <c r="AS346" s="866">
        <f>K352</f>
        <v>0</v>
      </c>
      <c r="AT346" s="833">
        <f>AE354</f>
        <v>0</v>
      </c>
      <c r="AU346" s="833">
        <f>AE355</f>
        <v>0</v>
      </c>
      <c r="AV346" s="833">
        <f>AE356</f>
        <v>0</v>
      </c>
      <c r="AW346" s="833">
        <f>AE357</f>
        <v>0</v>
      </c>
      <c r="AX346" s="833">
        <f>AE358</f>
        <v>0</v>
      </c>
      <c r="AY346" s="833">
        <f>AE359</f>
        <v>0</v>
      </c>
      <c r="AZ346" s="833">
        <f>AE360</f>
        <v>0</v>
      </c>
      <c r="BA346" s="867" t="str">
        <f>L362</f>
        <v/>
      </c>
      <c r="BB346" s="867" t="str">
        <f>L363</f>
        <v/>
      </c>
      <c r="BC346" s="833">
        <f>AE365</f>
        <v>7390</v>
      </c>
      <c r="BD346" s="833">
        <f>AE366</f>
        <v>12200</v>
      </c>
      <c r="BE346" s="866" t="str">
        <f>L368</f>
        <v/>
      </c>
      <c r="BF346" s="866" t="str">
        <f>L369</f>
        <v/>
      </c>
      <c r="BG346" s="868">
        <f>L371</f>
        <v>0</v>
      </c>
      <c r="BH346" s="866" t="str">
        <f>N346</f>
        <v/>
      </c>
      <c r="BI346" s="333"/>
      <c r="BJ346" s="515" t="b">
        <f>CNTR_PFCRelevant=EUconst_NotRelevant</f>
        <v>1</v>
      </c>
      <c r="BK346" s="23"/>
    </row>
    <row r="347" spans="1:63" s="1063" customFormat="1" ht="15" customHeight="1" thickBot="1" x14ac:dyDescent="0.25">
      <c r="A347" s="58"/>
      <c r="B347" s="1248"/>
      <c r="C347" s="164"/>
      <c r="D347" s="164"/>
      <c r="E347" s="1625" t="str">
        <f>IF(E346="","",IF(INDEX(B_InstallationDescription!$E$71:$E$145,MATCH(S346,B_InstallationDescription!$D$71:$D$145,0))&gt;0,INDEX(B_InstallationDescription!$E$71:$E$145,MATCH(S346,B_InstallationDescription!$D$71:$D$145,0)),""))</f>
        <v/>
      </c>
      <c r="F347" s="1626"/>
      <c r="G347" s="1626"/>
      <c r="H347" s="1626"/>
      <c r="I347" s="1626"/>
      <c r="J347" s="1627"/>
      <c r="K347" s="140"/>
      <c r="L347" s="140"/>
      <c r="M347" s="141"/>
      <c r="N347" s="141"/>
      <c r="O347" s="1305"/>
      <c r="P347" s="485"/>
      <c r="Q347" s="30"/>
      <c r="R347" s="27" t="s">
        <v>91</v>
      </c>
      <c r="S347" s="30"/>
      <c r="T347" s="569" t="b">
        <v>1</v>
      </c>
      <c r="U347" s="509" t="str">
        <f>IF(E347="","",INDEX(CNTR_PFCMethod,MATCH(E346,CNTR_PFCSourceStreamNames,0)))</f>
        <v/>
      </c>
      <c r="V347" s="30"/>
      <c r="W347" s="485"/>
      <c r="X347" s="30"/>
      <c r="Y347" s="30"/>
      <c r="Z347" s="30"/>
      <c r="AA347" s="30"/>
      <c r="AB347" s="333"/>
      <c r="AC347" s="27" t="s">
        <v>303</v>
      </c>
      <c r="AD347" s="30"/>
      <c r="AE347" s="30"/>
      <c r="AF347" s="30"/>
      <c r="AG347" s="30"/>
      <c r="AH347" s="30"/>
      <c r="AI347" s="27" t="s">
        <v>310</v>
      </c>
      <c r="AJ347" s="30"/>
      <c r="AK347" s="30"/>
      <c r="AL347" s="30"/>
      <c r="AM347" s="30"/>
      <c r="AN347" s="27" t="s">
        <v>217</v>
      </c>
      <c r="AO347" s="30"/>
      <c r="AP347" s="30"/>
      <c r="AQ347" s="30"/>
      <c r="AR347" s="865" t="s">
        <v>486</v>
      </c>
      <c r="AS347" s="834" t="s">
        <v>218</v>
      </c>
      <c r="AT347" s="834" t="s">
        <v>454</v>
      </c>
      <c r="AU347" s="834" t="s">
        <v>455</v>
      </c>
      <c r="AV347" s="834" t="s">
        <v>447</v>
      </c>
      <c r="AW347" s="834" t="s">
        <v>443</v>
      </c>
      <c r="AX347" s="834" t="s">
        <v>444</v>
      </c>
      <c r="AY347" s="834" t="s">
        <v>445</v>
      </c>
      <c r="AZ347" s="834" t="s">
        <v>446</v>
      </c>
      <c r="BA347" s="834" t="s">
        <v>436</v>
      </c>
      <c r="BB347" s="834" t="s">
        <v>437</v>
      </c>
      <c r="BC347" s="834" t="s">
        <v>434</v>
      </c>
      <c r="BD347" s="834" t="s">
        <v>435</v>
      </c>
      <c r="BE347" s="834" t="s">
        <v>436</v>
      </c>
      <c r="BF347" s="834" t="s">
        <v>437</v>
      </c>
      <c r="BG347" s="834" t="s">
        <v>337</v>
      </c>
      <c r="BH347" s="833" t="s">
        <v>287</v>
      </c>
      <c r="BI347" s="30"/>
      <c r="BJ347" s="30"/>
      <c r="BK347" s="23"/>
    </row>
    <row r="348" spans="1:63" s="1063" customFormat="1" ht="5.0999999999999996" customHeight="1" x14ac:dyDescent="0.2">
      <c r="A348" s="58"/>
      <c r="B348" s="1248"/>
      <c r="C348" s="164"/>
      <c r="D348" s="164"/>
      <c r="E348" s="164"/>
      <c r="F348" s="164"/>
      <c r="G348" s="164"/>
      <c r="H348" s="140"/>
      <c r="I348" s="140"/>
      <c r="J348" s="140"/>
      <c r="K348" s="140"/>
      <c r="L348" s="140"/>
      <c r="M348" s="141"/>
      <c r="N348" s="141"/>
      <c r="O348" s="1305"/>
      <c r="P348" s="33"/>
      <c r="Q348" s="30"/>
      <c r="R348" s="480"/>
      <c r="S348" s="30"/>
      <c r="T348" s="30"/>
      <c r="U348" s="30"/>
      <c r="V348" s="30"/>
      <c r="W348" s="485"/>
      <c r="X348" s="30"/>
      <c r="Y348" s="30"/>
      <c r="Z348" s="30"/>
      <c r="AA348" s="30"/>
      <c r="AB348" s="333"/>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23"/>
    </row>
    <row r="349" spans="1:63" s="1063" customFormat="1" ht="12.75" customHeight="1" x14ac:dyDescent="0.2">
      <c r="A349" s="58"/>
      <c r="B349" s="1248"/>
      <c r="C349" s="164"/>
      <c r="D349" s="164"/>
      <c r="E349" s="1628" t="str">
        <f>IF(E346="","",HYPERLINK("#JUMP_14",EUconst_FurtherGuidancePoint1))</f>
        <v/>
      </c>
      <c r="F349" s="1628"/>
      <c r="G349" s="1628"/>
      <c r="H349" s="1628"/>
      <c r="I349" s="1628"/>
      <c r="J349" s="1628"/>
      <c r="K349" s="1628"/>
      <c r="L349" s="1628"/>
      <c r="M349" s="141"/>
      <c r="N349" s="141"/>
      <c r="O349" s="1305"/>
      <c r="P349" s="33"/>
      <c r="Q349" s="30"/>
      <c r="R349" s="480"/>
      <c r="S349" s="30"/>
      <c r="T349" s="30"/>
      <c r="U349" s="30"/>
      <c r="V349" s="30"/>
      <c r="W349" s="485"/>
      <c r="X349" s="30"/>
      <c r="Y349" s="30"/>
      <c r="Z349" s="30"/>
      <c r="AA349" s="30"/>
      <c r="AB349" s="333"/>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23"/>
    </row>
    <row r="350" spans="1:63" s="1063" customFormat="1" ht="5.0999999999999996" customHeight="1" x14ac:dyDescent="0.2">
      <c r="A350" s="58"/>
      <c r="B350" s="1248"/>
      <c r="C350" s="164"/>
      <c r="D350" s="164"/>
      <c r="E350" s="164"/>
      <c r="F350" s="164"/>
      <c r="G350" s="164"/>
      <c r="H350" s="140"/>
      <c r="I350" s="140"/>
      <c r="J350" s="140"/>
      <c r="K350" s="140"/>
      <c r="L350" s="140"/>
      <c r="M350" s="141"/>
      <c r="N350" s="141"/>
      <c r="O350" s="1305"/>
      <c r="P350" s="33"/>
      <c r="Q350" s="30"/>
      <c r="R350" s="480"/>
      <c r="S350" s="30"/>
      <c r="T350" s="30"/>
      <c r="U350" s="30"/>
      <c r="V350" s="30"/>
      <c r="W350" s="485"/>
      <c r="X350" s="30"/>
      <c r="Y350" s="30"/>
      <c r="Z350" s="30"/>
      <c r="AA350" s="30"/>
      <c r="AB350" s="333"/>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23"/>
    </row>
    <row r="351" spans="1:63" s="1063" customFormat="1" ht="12.75" customHeight="1" thickBot="1" x14ac:dyDescent="0.25">
      <c r="A351" s="58"/>
      <c r="B351" s="1248"/>
      <c r="C351" s="164"/>
      <c r="D351" s="164"/>
      <c r="E351" s="164"/>
      <c r="F351" s="497" t="str">
        <f>Translations!$B$333</f>
        <v>Pakopa</v>
      </c>
      <c r="G351" s="1613" t="str">
        <f>Translations!$B$672</f>
        <v>pakopos aprašas</v>
      </c>
      <c r="H351" s="1613"/>
      <c r="I351" s="1608" t="str">
        <f>Translations!$B$158</f>
        <v>Vienetas</v>
      </c>
      <c r="J351" s="1608"/>
      <c r="K351" s="1608" t="str">
        <f>Translations!$B$673</f>
        <v>Vertė</v>
      </c>
      <c r="L351" s="1608"/>
      <c r="M351" s="498" t="str">
        <f>Translations!$B$610</f>
        <v>klaida</v>
      </c>
      <c r="N351" s="140"/>
      <c r="O351" s="1305"/>
      <c r="P351" s="499"/>
      <c r="Q351" s="30"/>
      <c r="R351" s="480"/>
      <c r="S351" s="30"/>
      <c r="T351" s="500" t="s">
        <v>298</v>
      </c>
      <c r="U351" s="30"/>
      <c r="V351" s="30"/>
      <c r="W351" s="485" t="s">
        <v>560</v>
      </c>
      <c r="X351" s="485" t="s">
        <v>313</v>
      </c>
      <c r="Y351" s="30"/>
      <c r="Z351" s="30"/>
      <c r="AA351" s="496" t="s">
        <v>304</v>
      </c>
      <c r="AB351" s="333"/>
      <c r="AC351" s="483" t="s">
        <v>301</v>
      </c>
      <c r="AD351" s="495" t="s">
        <v>563</v>
      </c>
      <c r="AE351" s="495" t="s">
        <v>562</v>
      </c>
      <c r="AF351" s="501"/>
      <c r="AG351" s="501"/>
      <c r="AH351" s="30"/>
      <c r="AI351" s="483"/>
      <c r="AJ351" s="483"/>
      <c r="AK351" s="483"/>
      <c r="AL351" s="483"/>
      <c r="AM351" s="483"/>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484" t="s">
        <v>259</v>
      </c>
      <c r="BK351" s="23"/>
    </row>
    <row r="352" spans="1:63" s="1063" customFormat="1" ht="12.75" customHeight="1" thickBot="1" x14ac:dyDescent="0.25">
      <c r="A352" s="58"/>
      <c r="B352" s="1248"/>
      <c r="C352" s="783" t="s">
        <v>4</v>
      </c>
      <c r="D352" s="503" t="str">
        <f>Translations!$B$622</f>
        <v>VD:</v>
      </c>
      <c r="E352" s="504"/>
      <c r="F352" s="393"/>
      <c r="G352" s="1603" t="str">
        <f>IF(OR(ISBLANK(F352),F352=EUconst_NoTier),"",IF(X352=0,EUconst_NA,IF(ISERROR(X352),"",X352)))</f>
        <v/>
      </c>
      <c r="H352" s="1604"/>
      <c r="I352" s="1687" t="str">
        <f>EUconst_t</f>
        <v>t</v>
      </c>
      <c r="J352" s="1688"/>
      <c r="K352" s="1693"/>
      <c r="L352" s="1694"/>
      <c r="M352" s="700" t="str">
        <f>IF(AND(E347&lt;&gt;"",OR(F352="",K352=""),W352&lt;&gt;EUconst_NA),EUconst_ERR_Incomplete,IF(COUNTIF(AI352:AL352,TRUE)&gt;0,EUconst_ERR_Inconsistent,""))</f>
        <v/>
      </c>
      <c r="N352" s="140"/>
      <c r="O352" s="1305"/>
      <c r="P352" s="635"/>
      <c r="Q352" s="30"/>
      <c r="R352" s="505" t="str">
        <f>EUconst_CNTR_ActivityData&amp;E347</f>
        <v>ActivityData_</v>
      </c>
      <c r="S352" s="488"/>
      <c r="T352" s="505" t="str">
        <f>IF(E346="","",INDEX(B_InstallationDescription!$I$71:$I$145,MATCH(S346,B_InstallationDescription!$D$71:$D$145,0)))</f>
        <v/>
      </c>
      <c r="U352" s="30"/>
      <c r="V352" s="488"/>
      <c r="W352" s="506" t="str">
        <f>IF(E347="","",INDEX(EUwideConstants!$N:$N,MATCH(R352,EUwideConstants!$Q:$Q,0)))</f>
        <v/>
      </c>
      <c r="X352" s="507" t="str">
        <f>IF(ISBLANK(F352),"",IF(F352=EUconst_NA,"",INDEX(EUwideConstants!$H:$M,MATCH(R352,EUwideConstants!$Q:$Q,0),MATCH(F352,CNTR_TierList,0))))</f>
        <v/>
      </c>
      <c r="Y352" s="508" t="s">
        <v>299</v>
      </c>
      <c r="Z352" s="495"/>
      <c r="AA352" s="509" t="b">
        <f>E346&lt;&gt;""</f>
        <v>0</v>
      </c>
      <c r="AB352" s="333"/>
      <c r="AC352" s="496"/>
      <c r="AD352" s="30"/>
      <c r="AE352" s="509">
        <f>IF(W352=EUconst_NA,1,IF(COUNT(K352:L352)=0,0,IF(L352="",K352,L352)))</f>
        <v>0</v>
      </c>
      <c r="AF352" s="501" t="s">
        <v>306</v>
      </c>
      <c r="AG352" s="501" t="s">
        <v>306</v>
      </c>
      <c r="AH352" s="30"/>
      <c r="AI352" s="30"/>
      <c r="AJ352" s="30"/>
      <c r="AK352" s="30" t="s">
        <v>536</v>
      </c>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515" t="b">
        <f>OR(CNTR_PFCRelevant=EUconst_NotRelevant,AND(COUNTA(CNTR_ListRelevantSections)&gt;0,E346=""))</f>
        <v>1</v>
      </c>
      <c r="BK352" s="23"/>
    </row>
    <row r="353" spans="1:63" s="1063" customFormat="1" ht="5.0999999999999996" customHeight="1" thickBot="1" x14ac:dyDescent="0.25">
      <c r="A353" s="58"/>
      <c r="B353" s="1248"/>
      <c r="C353" s="783"/>
      <c r="D353" s="298"/>
      <c r="E353" s="140"/>
      <c r="F353" s="141"/>
      <c r="G353" s="141"/>
      <c r="H353" s="141" t="s">
        <v>233</v>
      </c>
      <c r="I353" s="516"/>
      <c r="J353" s="516"/>
      <c r="K353" s="141"/>
      <c r="L353" s="141"/>
      <c r="M353" s="701"/>
      <c r="N353" s="140"/>
      <c r="O353" s="1305"/>
      <c r="P353" s="33"/>
      <c r="Q353" s="30"/>
      <c r="R353" s="153"/>
      <c r="S353" s="488"/>
      <c r="T353" s="30"/>
      <c r="U353" s="30"/>
      <c r="V353" s="488"/>
      <c r="W353" s="517"/>
      <c r="X353" s="30"/>
      <c r="Y353" s="30"/>
      <c r="Z353" s="30"/>
      <c r="AA353" s="30"/>
      <c r="AB353" s="333"/>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484"/>
      <c r="BK353" s="23"/>
    </row>
    <row r="354" spans="1:63" s="1063" customFormat="1" ht="12.75" customHeight="1" thickBot="1" x14ac:dyDescent="0.25">
      <c r="A354" s="58"/>
      <c r="B354" s="1248"/>
      <c r="C354" s="783" t="s">
        <v>5</v>
      </c>
      <c r="D354" s="503" t="str">
        <f>Translations!$B$722</f>
        <v>A. Dažnis</v>
      </c>
      <c r="E354" s="504"/>
      <c r="F354" s="518"/>
      <c r="G354" s="1603" t="str">
        <f t="shared" ref="G354:G360" si="56">IF(OR(ISBLANK(F354),F354=EUconst_NoTier),"",IF(X354=0,EUconst_NotApplicable,IF(ISERROR(X354),"",X354)))</f>
        <v/>
      </c>
      <c r="H354" s="1609"/>
      <c r="I354" s="1683" t="str">
        <f>IF(W354=EUconst_NA,"",INDEX(PFCUnits,1))</f>
        <v>1/(vienoje elektrolizės vonioje per parą)</v>
      </c>
      <c r="J354" s="1684"/>
      <c r="K354" s="669" t="str">
        <f t="shared" ref="K354:K360" si="57">IF(L354="",AD354,"")</f>
        <v/>
      </c>
      <c r="L354" s="685"/>
      <c r="M354" s="700" t="str">
        <f>IF(AND(E347&lt;&gt;"",OR(F354="",L354=""),W354&lt;&gt;EUconst_NA),EUconst_ERR_Incomplete,IF(COUNTIF(AI354:AL354,TRUE)&gt;0,EUconst_ERR_Inconsistent,""))</f>
        <v/>
      </c>
      <c r="N354" s="486"/>
      <c r="O354" s="1305"/>
      <c r="P354" s="33"/>
      <c r="Q354" s="30"/>
      <c r="R354" s="521" t="str">
        <f>R352</f>
        <v>ActivityData_</v>
      </c>
      <c r="S354" s="488"/>
      <c r="T354" s="648" t="str">
        <f>T352</f>
        <v/>
      </c>
      <c r="U354" s="30"/>
      <c r="V354" s="488">
        <v>1</v>
      </c>
      <c r="W354" s="663" t="str">
        <f>IF(E347="","",IF(U347&lt;&gt;V354,EUconst_NA,INDEX(EUwideConstants!$N:$N,MATCH(R354,EUwideConstants!$Q:$Q,0))))</f>
        <v/>
      </c>
      <c r="X354" s="524" t="str">
        <f>IF(ISBLANK(F354),"",IF(F354=EUconst_NA,"",INDEX(EUwideConstants!$H:$M,MATCH(R354,EUwideConstants!$Q:$Q,0),MATCH(F354,CNTR_TierList,0))))</f>
        <v/>
      </c>
      <c r="Y354" s="30"/>
      <c r="Z354" s="30"/>
      <c r="AA354" s="526" t="b">
        <f>AND(AA352,W354&lt;&gt;EUconst_NA)</f>
        <v>0</v>
      </c>
      <c r="AB354" s="333"/>
      <c r="AC354" s="666" t="str">
        <f>IF(AA354=TRUE,IF(COUNTIF(MSPara_SourceStreamCategory,T354)=0,"",INDEX(MSPara_CalcFactorsMatrix,MATCH(T354,MSPara_SourceStreamCategory,0),MATCH(#REF!&amp;"_"&amp;1,MSPara_CalcFactors,0))),"")</f>
        <v/>
      </c>
      <c r="AD354" s="666" t="str">
        <f>""</f>
        <v/>
      </c>
      <c r="AE354" s="525">
        <f t="shared" ref="AE354:AE360" si="58">IF(AA354=TRUE,IF(COUNT(K354:L354)=0,0,IF(L354="",K354,L354)),0)</f>
        <v>0</v>
      </c>
      <c r="AF354" s="525" t="b">
        <f>AND(AA354=TRUE,OR(AND(F354&lt;&gt;"",NOT(ISNUMBER(Y354))),L354&lt;&gt;"",F354="",AD354=""))</f>
        <v>0</v>
      </c>
      <c r="AG354" s="525" t="b">
        <f t="shared" ref="AG354:AG360" si="59">AND(AA354=TRUE,NOT(AF354))</f>
        <v>0</v>
      </c>
      <c r="AH354" s="30"/>
      <c r="AI354" s="30"/>
      <c r="AJ354" s="30"/>
      <c r="AK354" s="525" t="b">
        <f t="shared" ref="AK354:AK360" si="60">AND(L354&lt;&gt;"",W354=EUconst_NA)</f>
        <v>0</v>
      </c>
      <c r="AL354" s="30"/>
      <c r="AM354" s="30"/>
      <c r="AN354" s="30"/>
      <c r="AO354" s="484" t="s">
        <v>384</v>
      </c>
      <c r="AP354" s="484" t="s">
        <v>385</v>
      </c>
      <c r="AQ354" s="30"/>
      <c r="AR354" s="30"/>
      <c r="AS354" s="30"/>
      <c r="AT354" s="30"/>
      <c r="AU354" s="30"/>
      <c r="AV354" s="30"/>
      <c r="AW354" s="30"/>
      <c r="AX354" s="30"/>
      <c r="AY354" s="30"/>
      <c r="AZ354" s="30"/>
      <c r="BA354" s="30"/>
      <c r="BB354" s="30"/>
      <c r="BC354" s="30"/>
      <c r="BD354" s="30"/>
      <c r="BE354" s="30"/>
      <c r="BF354" s="30"/>
      <c r="BG354" s="30"/>
      <c r="BH354" s="30"/>
      <c r="BI354" s="30"/>
      <c r="BJ354" s="525" t="b">
        <f>OR(BJ352,W354=EUconst_NA)</f>
        <v>1</v>
      </c>
      <c r="BK354" s="23"/>
    </row>
    <row r="355" spans="1:63" s="1063" customFormat="1" ht="12.75" customHeight="1" thickBot="1" x14ac:dyDescent="0.25">
      <c r="A355" s="58"/>
      <c r="B355" s="1248"/>
      <c r="C355" s="783" t="s">
        <v>194</v>
      </c>
      <c r="D355" s="503" t="str">
        <f>Translations!$B$724</f>
        <v>A. Trukmė</v>
      </c>
      <c r="E355" s="504"/>
      <c r="F355" s="636"/>
      <c r="G355" s="1603" t="str">
        <f t="shared" si="56"/>
        <v/>
      </c>
      <c r="H355" s="1609"/>
      <c r="I355" s="1691" t="str">
        <f>IF(W355=EUconst_NA,"",INDEX(PFCUnits,2))</f>
        <v>min.</v>
      </c>
      <c r="J355" s="1692"/>
      <c r="K355" s="670" t="str">
        <f t="shared" si="57"/>
        <v/>
      </c>
      <c r="L355" s="686"/>
      <c r="M355" s="700" t="str">
        <f>IF(AND(E347&lt;&gt;"",OR(F355="",L355=""),W355&lt;&gt;EUconst_NA),EUconst_ERR_Incomplete,IF(COUNTIF(AI355:AL355,TRUE)&gt;0,EUconst_ERR_Inconsistent,""))</f>
        <v/>
      </c>
      <c r="N355" s="486"/>
      <c r="O355" s="1305"/>
      <c r="P355" s="33"/>
      <c r="Q355" s="30"/>
      <c r="R355" s="543" t="str">
        <f>R354</f>
        <v>ActivityData_</v>
      </c>
      <c r="S355" s="488"/>
      <c r="T355" s="649" t="str">
        <f t="shared" ref="T355:T360" si="61">T354</f>
        <v/>
      </c>
      <c r="U355" s="30"/>
      <c r="V355" s="488">
        <v>1</v>
      </c>
      <c r="W355" s="662" t="str">
        <f>IF(E347="","",IF(U347&lt;&gt;V355,EUconst_NA,INDEX(EUwideConstants!$N:$N,MATCH(R355,EUwideConstants!$Q:$Q,0))))</f>
        <v/>
      </c>
      <c r="X355" s="546" t="str">
        <f>IF(ISBLANK(F355),"",IF(F355=EUconst_NA,"",INDEX(EUwideConstants!$H:$M,MATCH(R355,EUwideConstants!$Q:$Q,0),MATCH(F355,CNTR_TierList,0))))</f>
        <v/>
      </c>
      <c r="Y355" s="30"/>
      <c r="Z355" s="30"/>
      <c r="AA355" s="548" t="b">
        <f>AND(AA352,W355&lt;&gt;EUconst_NA)</f>
        <v>0</v>
      </c>
      <c r="AB355" s="333"/>
      <c r="AC355" s="667" t="str">
        <f>IF(AA355=TRUE,IF(COUNTIF(MSPara_SourceStreamCategory,T355)=0,"",INDEX(MSPara_CalcFactorsMatrix,MATCH(T355,MSPara_SourceStreamCategory,0),MATCH(#REF!&amp;"_"&amp;1,MSPara_CalcFactors,0))),"")</f>
        <v/>
      </c>
      <c r="AD355" s="667" t="str">
        <f>""</f>
        <v/>
      </c>
      <c r="AE355" s="651">
        <f t="shared" si="58"/>
        <v>0</v>
      </c>
      <c r="AF355" s="651" t="b">
        <f>AND(AA355=TRUE,OR(AND(F355&lt;&gt;"",NOT(ISNUMBER(Y355))),L355&lt;&gt;"",F355="",AD355=""))</f>
        <v>0</v>
      </c>
      <c r="AG355" s="651" t="b">
        <f t="shared" si="59"/>
        <v>0</v>
      </c>
      <c r="AH355" s="30"/>
      <c r="AI355" s="30"/>
      <c r="AJ355" s="30"/>
      <c r="AK355" s="651" t="b">
        <f t="shared" si="60"/>
        <v>0</v>
      </c>
      <c r="AL355" s="30"/>
      <c r="AM355" s="30"/>
      <c r="AN355" s="538" t="s">
        <v>440</v>
      </c>
      <c r="AO355" s="537" t="str">
        <f>IF(ISNUMBER(U347),AE352*AE354*AE355*AE356/1000,"")</f>
        <v/>
      </c>
      <c r="AP355" s="515" t="str">
        <f>IF(ISNUMBER(U347),AE352*(AE357/IF(AE358=0,0.01,AE358))*AE359/1000,"")</f>
        <v/>
      </c>
      <c r="AQ355" s="30"/>
      <c r="AR355" s="30"/>
      <c r="AS355" s="30"/>
      <c r="AT355" s="30"/>
      <c r="AU355" s="30"/>
      <c r="AV355" s="30"/>
      <c r="AW355" s="30"/>
      <c r="AX355" s="30"/>
      <c r="AY355" s="30"/>
      <c r="AZ355" s="30"/>
      <c r="BA355" s="30"/>
      <c r="BB355" s="30"/>
      <c r="BC355" s="30"/>
      <c r="BD355" s="30"/>
      <c r="BE355" s="30"/>
      <c r="BF355" s="30"/>
      <c r="BG355" s="30"/>
      <c r="BH355" s="30"/>
      <c r="BI355" s="30"/>
      <c r="BJ355" s="651" t="b">
        <f>OR(BJ352,W355=EUconst_NA)</f>
        <v>1</v>
      </c>
      <c r="BK355" s="23"/>
    </row>
    <row r="356" spans="1:63" s="1063" customFormat="1" ht="12.75" customHeight="1" thickBot="1" x14ac:dyDescent="0.25">
      <c r="A356" s="58"/>
      <c r="B356" s="1248"/>
      <c r="C356" s="783" t="s">
        <v>195</v>
      </c>
      <c r="D356" s="643" t="str">
        <f>Translations!$B$726</f>
        <v>A. NITF(CF4)</v>
      </c>
      <c r="E356" s="644"/>
      <c r="F356" s="539"/>
      <c r="G356" s="1689" t="str">
        <f t="shared" si="56"/>
        <v/>
      </c>
      <c r="H356" s="1690"/>
      <c r="I356" s="1691" t="str">
        <f>IF(W356=EUconst_NA,"",INDEX(PFCUnits,3))</f>
        <v>(kg CF4/t Al)/(min./vienoje elektrolizės vonioje per parą)</v>
      </c>
      <c r="J356" s="1692"/>
      <c r="K356" s="671" t="str">
        <f t="shared" si="57"/>
        <v/>
      </c>
      <c r="L356" s="674"/>
      <c r="M356" s="702" t="str">
        <f>IF(AND(E347&lt;&gt;"",OR(F356="",COUNT(K356:L356)=0),W356&lt;&gt;EUconst_NA),EUconst_ERR_Incomplete,IF(COUNTIF(AI356:AL356,TRUE)&gt;0,EUconst_ERR_Inconsistent,""))</f>
        <v/>
      </c>
      <c r="N356" s="140"/>
      <c r="O356" s="1305"/>
      <c r="P356" s="33"/>
      <c r="Q356" s="30"/>
      <c r="R356" s="543" t="str">
        <f>EUconst_CNTR_EF&amp;$E347</f>
        <v>EF_</v>
      </c>
      <c r="S356" s="488"/>
      <c r="T356" s="649" t="str">
        <f t="shared" si="61"/>
        <v/>
      </c>
      <c r="U356" s="30"/>
      <c r="V356" s="488">
        <v>1</v>
      </c>
      <c r="W356" s="662" t="str">
        <f>IF(E347="","",IF(U347&lt;&gt;V356,EUconst_NA,INDEX(EUwideConstants!$N:$N,MATCH(R356,EUwideConstants!$Q:$Q,0))))</f>
        <v/>
      </c>
      <c r="X356" s="546" t="str">
        <f>IF(ISBLANK(F356),"",IF(F356=EUconst_NA,"",INDEX(EUwideConstants!$H:$M,MATCH(R356,EUwideConstants!$Q:$Q,0),MATCH(F356,CNTR_TierList,0))))</f>
        <v/>
      </c>
      <c r="Y356" s="580" t="str">
        <f>IF(COUNTIF(EUconst_DefaultValues,X356)&gt;0,MATCH(X356,EUconst_DefaultValues,0),"")</f>
        <v/>
      </c>
      <c r="Z356" s="30"/>
      <c r="AA356" s="548" t="b">
        <f>AND(AA352,W356&lt;&gt;EUconst_NA)</f>
        <v>0</v>
      </c>
      <c r="AB356" s="333"/>
      <c r="AC356" s="651" t="str">
        <f>IF(AA356=TRUE,IF(T356="","",INDEX(MSPara_PFCMethA,MATCH(T356,PFCCellTypes,0),1)),"")</f>
        <v/>
      </c>
      <c r="AD356" s="651" t="str">
        <f>IF(AND(Y356&lt;&gt;"",ISNUMBER(AC356)),AC356,"")</f>
        <v/>
      </c>
      <c r="AE356" s="651">
        <f t="shared" si="58"/>
        <v>0</v>
      </c>
      <c r="AF356" s="651" t="b">
        <f>AND(AA356=TRUE,OR(AND(F356&lt;&gt;"",NOT(ISNUMBER(Y356))),L356&lt;&gt;"",F356="",AD356=""))</f>
        <v>0</v>
      </c>
      <c r="AG356" s="651" t="b">
        <f t="shared" si="59"/>
        <v>0</v>
      </c>
      <c r="AH356" s="30"/>
      <c r="AI356" s="30"/>
      <c r="AJ356" s="30"/>
      <c r="AK356" s="651" t="b">
        <f t="shared" si="60"/>
        <v>0</v>
      </c>
      <c r="AL356" s="30"/>
      <c r="AM356" s="30"/>
      <c r="AN356" s="538" t="s">
        <v>441</v>
      </c>
      <c r="AO356" s="537">
        <f>IF(AND(ISNUMBER(AO355),AO355&gt;0),AO355*AE360,0)</f>
        <v>0</v>
      </c>
      <c r="AP356" s="515">
        <f>IF(AND(ISNUMBER(AP355),AP355&gt;0),AP355*AE360,0)</f>
        <v>0</v>
      </c>
      <c r="AQ356" s="30"/>
      <c r="AR356" s="30"/>
      <c r="AS356" s="30"/>
      <c r="AT356" s="30"/>
      <c r="AU356" s="30"/>
      <c r="AV356" s="30"/>
      <c r="AW356" s="30"/>
      <c r="AX356" s="30"/>
      <c r="AY356" s="30"/>
      <c r="AZ356" s="30"/>
      <c r="BA356" s="30"/>
      <c r="BB356" s="30"/>
      <c r="BC356" s="30"/>
      <c r="BD356" s="30"/>
      <c r="BE356" s="30"/>
      <c r="BF356" s="30"/>
      <c r="BG356" s="30"/>
      <c r="BH356" s="30"/>
      <c r="BI356" s="30"/>
      <c r="BJ356" s="651" t="b">
        <f>OR(BJ352,W356=EUconst_NA)</f>
        <v>1</v>
      </c>
      <c r="BK356" s="23"/>
    </row>
    <row r="357" spans="1:63" s="1063" customFormat="1" ht="12.75" customHeight="1" thickBot="1" x14ac:dyDescent="0.25">
      <c r="A357" s="58"/>
      <c r="B357" s="1248"/>
      <c r="C357" s="783" t="s">
        <v>196</v>
      </c>
      <c r="D357" s="641" t="str">
        <f>Translations!$B$728</f>
        <v>B. AEV</v>
      </c>
      <c r="E357" s="642"/>
      <c r="F357" s="636"/>
      <c r="G357" s="1681" t="str">
        <f t="shared" si="56"/>
        <v/>
      </c>
      <c r="H357" s="1682"/>
      <c r="I357" s="1691" t="str">
        <f>IF(W357=EUconst_NA,"",INDEX(PFCUnits,4))</f>
        <v>mV</v>
      </c>
      <c r="J357" s="1692"/>
      <c r="K357" s="670" t="str">
        <f t="shared" si="57"/>
        <v/>
      </c>
      <c r="L357" s="686"/>
      <c r="M357" s="703" t="str">
        <f>IF(AND(E347&lt;&gt;"",OR(F357="",L357=""),W357&lt;&gt;EUconst_NA),EUconst_ERR_Incomplete,IF(COUNTIF(AI357:AL357,TRUE)&gt;0,EUconst_ERR_Inconsistent,""))</f>
        <v/>
      </c>
      <c r="N357" s="140"/>
      <c r="O357" s="1305"/>
      <c r="P357" s="635"/>
      <c r="Q357" s="30"/>
      <c r="R357" s="543" t="str">
        <f>R352</f>
        <v>ActivityData_</v>
      </c>
      <c r="S357" s="488"/>
      <c r="T357" s="649" t="str">
        <f t="shared" si="61"/>
        <v/>
      </c>
      <c r="U357" s="30"/>
      <c r="V357" s="488">
        <v>2</v>
      </c>
      <c r="W357" s="662" t="str">
        <f>IF(E347="","",IF(U347&lt;&gt;V357,EUconst_NA,INDEX(EUwideConstants!$N:$N,MATCH(R357,EUwideConstants!$Q:$Q,0))))</f>
        <v/>
      </c>
      <c r="X357" s="546" t="str">
        <f>IF(ISBLANK(F357),"",IF(F357=EUconst_NA,"",INDEX(EUwideConstants!$H:$M,MATCH(R357,EUwideConstants!$Q:$Q,0),MATCH(F357,CNTR_TierList,0))))</f>
        <v/>
      </c>
      <c r="Y357" s="30"/>
      <c r="Z357" s="30"/>
      <c r="AA357" s="548" t="b">
        <f>AND(AA352,W357&lt;&gt;EUconst_NA)</f>
        <v>0</v>
      </c>
      <c r="AB357" s="333"/>
      <c r="AC357" s="667"/>
      <c r="AD357" s="667" t="str">
        <f>""</f>
        <v/>
      </c>
      <c r="AE357" s="651">
        <f t="shared" si="58"/>
        <v>0</v>
      </c>
      <c r="AF357" s="651" t="b">
        <f>AND(AA357=TRUE,OR(ISNUMBER(L357),NOT(ISNUMBER(Y357))))</f>
        <v>0</v>
      </c>
      <c r="AG357" s="651" t="b">
        <f t="shared" si="59"/>
        <v>0</v>
      </c>
      <c r="AH357" s="30"/>
      <c r="AI357" s="30"/>
      <c r="AJ357" s="30"/>
      <c r="AK357" s="651" t="b">
        <f t="shared" si="60"/>
        <v>0</v>
      </c>
      <c r="AL357" s="30"/>
      <c r="AM357" s="30"/>
      <c r="AN357" s="538" t="s">
        <v>440</v>
      </c>
      <c r="AO357" s="537" t="str">
        <f>IF(ISNUMBER(AO355),AO355*AE365,"")</f>
        <v/>
      </c>
      <c r="AP357" s="515" t="str">
        <f>IF(ISNUMBER(AP355),AP355*AE365,"")</f>
        <v/>
      </c>
      <c r="AQ357" s="30"/>
      <c r="AR357" s="30"/>
      <c r="AS357" s="30"/>
      <c r="AT357" s="30"/>
      <c r="AU357" s="30"/>
      <c r="AV357" s="30"/>
      <c r="AW357" s="30"/>
      <c r="AX357" s="30"/>
      <c r="AY357" s="30"/>
      <c r="AZ357" s="30"/>
      <c r="BA357" s="30"/>
      <c r="BB357" s="30"/>
      <c r="BC357" s="30"/>
      <c r="BD357" s="30"/>
      <c r="BE357" s="30"/>
      <c r="BF357" s="30"/>
      <c r="BG357" s="30"/>
      <c r="BH357" s="30"/>
      <c r="BI357" s="30"/>
      <c r="BJ357" s="651" t="b">
        <f>OR(BJ352,W357=EUconst_NA)</f>
        <v>1</v>
      </c>
      <c r="BK357" s="23"/>
    </row>
    <row r="358" spans="1:63" s="1063" customFormat="1" ht="12.75" customHeight="1" thickBot="1" x14ac:dyDescent="0.25">
      <c r="A358" s="58"/>
      <c r="B358" s="1248"/>
      <c r="C358" s="753" t="s">
        <v>197</v>
      </c>
      <c r="D358" s="503" t="str">
        <f>Translations!$B$730</f>
        <v>B. EN</v>
      </c>
      <c r="E358" s="504"/>
      <c r="F358" s="539"/>
      <c r="G358" s="1603" t="str">
        <f t="shared" si="56"/>
        <v/>
      </c>
      <c r="H358" s="1604"/>
      <c r="I358" s="1691" t="str">
        <f>IF(W358=EUconst_NA,"","-")</f>
        <v>-</v>
      </c>
      <c r="J358" s="1692"/>
      <c r="K358" s="672" t="str">
        <f t="shared" si="57"/>
        <v/>
      </c>
      <c r="L358" s="562"/>
      <c r="M358" s="700" t="str">
        <f>IF(AND(E347&lt;&gt;"",OR(F358="",L358=""),W358&lt;&gt;EUconst_NA),EUconst_ERR_Incomplete,IF(COUNTIF(AI358:AL358,TRUE)&gt;0,EUconst_ERR_Inconsistent,""))</f>
        <v/>
      </c>
      <c r="N358" s="140"/>
      <c r="O358" s="1305"/>
      <c r="P358" s="635"/>
      <c r="Q358" s="30"/>
      <c r="R358" s="543" t="str">
        <f>R357</f>
        <v>ActivityData_</v>
      </c>
      <c r="S358" s="488"/>
      <c r="T358" s="649" t="str">
        <f t="shared" si="61"/>
        <v/>
      </c>
      <c r="U358" s="30"/>
      <c r="V358" s="488">
        <v>2</v>
      </c>
      <c r="W358" s="662" t="str">
        <f>IF(E347="","",IF(U347&lt;&gt;V358,EUconst_NA,INDEX(EUwideConstants!$N:$N,MATCH(R358,EUwideConstants!$Q:$Q,0))))</f>
        <v/>
      </c>
      <c r="X358" s="546" t="str">
        <f>IF(ISBLANK(F358),"",IF(F358=EUconst_NA,"",INDEX(EUwideConstants!$H:$M,MATCH(R358,EUwideConstants!$Q:$Q,0),MATCH(F358,CNTR_TierList,0))))</f>
        <v/>
      </c>
      <c r="Y358" s="30"/>
      <c r="Z358" s="30"/>
      <c r="AA358" s="548" t="b">
        <f>AND(AA352,W358&lt;&gt;EUconst_NA)</f>
        <v>0</v>
      </c>
      <c r="AB358" s="333"/>
      <c r="AC358" s="667"/>
      <c r="AD358" s="667" t="str">
        <f>""</f>
        <v/>
      </c>
      <c r="AE358" s="651">
        <f t="shared" si="58"/>
        <v>0</v>
      </c>
      <c r="AF358" s="651" t="b">
        <f>AND(AA358=TRUE,OR(ISNUMBER(L358),NOT(ISNUMBER(Y358))))</f>
        <v>0</v>
      </c>
      <c r="AG358" s="651" t="b">
        <f t="shared" si="59"/>
        <v>0</v>
      </c>
      <c r="AH358" s="30"/>
      <c r="AI358" s="30"/>
      <c r="AJ358" s="30"/>
      <c r="AK358" s="699" t="b">
        <f t="shared" si="60"/>
        <v>0</v>
      </c>
      <c r="AL358" s="515" t="b">
        <f>L358&gt;100%</f>
        <v>0</v>
      </c>
      <c r="AM358" s="30"/>
      <c r="AN358" s="538" t="s">
        <v>441</v>
      </c>
      <c r="AO358" s="537">
        <f>IF(ISNUMBER(AO356),AO356*AE366,"")</f>
        <v>0</v>
      </c>
      <c r="AP358" s="515">
        <f>IF(ISNUMBER(AP356),AP356*AE366,"")</f>
        <v>0</v>
      </c>
      <c r="AQ358" s="30"/>
      <c r="AR358" s="30"/>
      <c r="AS358" s="30"/>
      <c r="AT358" s="30"/>
      <c r="AU358" s="30"/>
      <c r="AV358" s="30"/>
      <c r="AW358" s="30"/>
      <c r="AX358" s="30"/>
      <c r="AY358" s="30"/>
      <c r="AZ358" s="30"/>
      <c r="BA358" s="30"/>
      <c r="BB358" s="30"/>
      <c r="BC358" s="30"/>
      <c r="BD358" s="30"/>
      <c r="BE358" s="30"/>
      <c r="BF358" s="30"/>
      <c r="BG358" s="30"/>
      <c r="BH358" s="30"/>
      <c r="BI358" s="30"/>
      <c r="BJ358" s="651" t="b">
        <f>OR(BJ352,W358=EUconst_NA)</f>
        <v>1</v>
      </c>
      <c r="BK358" s="23"/>
    </row>
    <row r="359" spans="1:63" s="1063" customFormat="1" ht="12.75" customHeight="1" thickBot="1" x14ac:dyDescent="0.25">
      <c r="A359" s="58"/>
      <c r="B359" s="1248"/>
      <c r="C359" s="783" t="s">
        <v>198</v>
      </c>
      <c r="D359" s="643" t="str">
        <f>Translations!$B$732</f>
        <v>B. VĮK</v>
      </c>
      <c r="E359" s="644"/>
      <c r="F359" s="539"/>
      <c r="G359" s="1689" t="str">
        <f t="shared" si="56"/>
        <v/>
      </c>
      <c r="H359" s="1690"/>
      <c r="I359" s="1691" t="str">
        <f>IF(W359=EUconst_NA,"",INDEX(PFCUnits,6))</f>
        <v>(kg CF4)/(t Al mV)</v>
      </c>
      <c r="J359" s="1692"/>
      <c r="K359" s="672" t="str">
        <f t="shared" si="57"/>
        <v/>
      </c>
      <c r="L359" s="675"/>
      <c r="M359" s="702" t="str">
        <f>IF(AND(E347&lt;&gt;"",OR(F359="",COUNT(K359:L359)=0),W359&lt;&gt;EUconst_NA),EUconst_ERR_Incomplete,IF(COUNTIF(AI359:AL359,TRUE)&gt;0,EUconst_ERR_Inconsistent,""))</f>
        <v/>
      </c>
      <c r="N359" s="140"/>
      <c r="O359" s="1305"/>
      <c r="P359" s="33"/>
      <c r="Q359" s="30"/>
      <c r="R359" s="543" t="str">
        <f>EUconst_CNTR_EF&amp;E347</f>
        <v>EF_</v>
      </c>
      <c r="S359" s="488"/>
      <c r="T359" s="649" t="str">
        <f t="shared" si="61"/>
        <v/>
      </c>
      <c r="U359" s="30"/>
      <c r="V359" s="488">
        <v>2</v>
      </c>
      <c r="W359" s="662" t="str">
        <f>IF(E347="","",IF(U347&lt;&gt;V359,EUconst_NA,INDEX(EUwideConstants!$N:$N,MATCH(R359,EUwideConstants!$Q:$Q,0))))</f>
        <v/>
      </c>
      <c r="X359" s="546" t="str">
        <f>IF(ISBLANK(F359),"",IF(F359=EUconst_NA,"",INDEX(EUwideConstants!$H:$M,MATCH(R359,EUwideConstants!$Q:$Q,0),MATCH(F359,CNTR_TierList,0))))</f>
        <v/>
      </c>
      <c r="Y359" s="580" t="str">
        <f>IF(COUNTIF(EUconst_DefaultValues,X359)&gt;0,MATCH(X359,EUconst_DefaultValues,0),"")</f>
        <v/>
      </c>
      <c r="Z359" s="30"/>
      <c r="AA359" s="548" t="b">
        <f>AND(AA352,W359&lt;&gt;EUconst_NA)</f>
        <v>0</v>
      </c>
      <c r="AB359" s="333"/>
      <c r="AC359" s="651" t="str">
        <f>IF(AA359=TRUE,IF(T359="","",INDEX(MSPara_PFCMethB,MATCH(T359,PFCCellTypes,0),1)),"")</f>
        <v/>
      </c>
      <c r="AD359" s="651" t="str">
        <f>IF(AND(Y359&lt;&gt;"",ISNUMBER(AC359)),AC359,"")</f>
        <v/>
      </c>
      <c r="AE359" s="651">
        <f t="shared" si="58"/>
        <v>0</v>
      </c>
      <c r="AF359" s="651" t="b">
        <f>AND(AA359=TRUE,OR(AND(F359&lt;&gt;"",NOT(ISNUMBER(Y359))),L359&lt;&gt;"",F359="",AD359=""))</f>
        <v>0</v>
      </c>
      <c r="AG359" s="651" t="b">
        <f t="shared" si="59"/>
        <v>0</v>
      </c>
      <c r="AH359" s="30"/>
      <c r="AI359" s="30"/>
      <c r="AJ359" s="30"/>
      <c r="AK359" s="651" t="b">
        <f t="shared" si="60"/>
        <v>0</v>
      </c>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651" t="b">
        <f>OR(BJ352,W359=EUconst_NA)</f>
        <v>1</v>
      </c>
      <c r="BK359" s="23"/>
    </row>
    <row r="360" spans="1:63" s="1063" customFormat="1" ht="12.75" customHeight="1" thickBot="1" x14ac:dyDescent="0.25">
      <c r="A360" s="58"/>
      <c r="B360" s="1248"/>
      <c r="C360" s="783" t="s">
        <v>324</v>
      </c>
      <c r="D360" s="641" t="str">
        <f>Translations!$B$734</f>
        <v>F(C2F6)</v>
      </c>
      <c r="E360" s="642"/>
      <c r="F360" s="588"/>
      <c r="G360" s="1681" t="str">
        <f t="shared" si="56"/>
        <v/>
      </c>
      <c r="H360" s="1682"/>
      <c r="I360" s="1685" t="str">
        <f>IF(W360=EUconst_NA,"",INDEX(PFCUnits,7))</f>
        <v>t C2F6/t CF4</v>
      </c>
      <c r="J360" s="1686"/>
      <c r="K360" s="673" t="str">
        <f t="shared" si="57"/>
        <v/>
      </c>
      <c r="L360" s="676"/>
      <c r="M360" s="703" t="str">
        <f>IF(AND(E347&lt;&gt;"",OR(F360="",COUNT(K360:L360)=0),W360&lt;&gt;EUconst_NA),EUconst_ERR_Incomplete,IF(COUNTIF(AI360:AL360,TRUE)&gt;0,EUconst_ERR_Inconsistent,""))</f>
        <v/>
      </c>
      <c r="N360" s="140"/>
      <c r="O360" s="1305"/>
      <c r="P360" s="33"/>
      <c r="Q360" s="30"/>
      <c r="R360" s="590" t="str">
        <f>EUconst_CNTR_EF&amp;E347</f>
        <v>EF_</v>
      </c>
      <c r="S360" s="488"/>
      <c r="T360" s="650" t="str">
        <f t="shared" si="61"/>
        <v/>
      </c>
      <c r="U360" s="30"/>
      <c r="V360" s="488" t="str">
        <f>""</f>
        <v/>
      </c>
      <c r="W360" s="664" t="str">
        <f>W352</f>
        <v/>
      </c>
      <c r="X360" s="592" t="str">
        <f>IF(ISBLANK(F360),"",IF(F360=EUconst_NA,"",INDEX(EUwideConstants!$H:$M,MATCH(R360,EUwideConstants!$Q:$Q,0),MATCH(F360,CNTR_TierList,0))))</f>
        <v/>
      </c>
      <c r="Y360" s="580" t="str">
        <f>IF(COUNTIF(EUconst_DefaultValues,X360)&gt;0,MATCH(X360,EUconst_DefaultValues,0),"")</f>
        <v/>
      </c>
      <c r="Z360" s="30"/>
      <c r="AA360" s="665" t="b">
        <f>AND(AA352,W360&lt;&gt;EUconst_NA)</f>
        <v>0</v>
      </c>
      <c r="AB360" s="333"/>
      <c r="AC360" s="573" t="str">
        <f>IF(AA360=TRUE,IF(T360="","",INDEX(MSPara_PFCMethA,MATCH(T360,PFCCellTypes,0),2)),"")</f>
        <v/>
      </c>
      <c r="AD360" s="573" t="str">
        <f>IF(AND(Y360&lt;&gt;"",ISNUMBER(AC360)),AC360,"")</f>
        <v/>
      </c>
      <c r="AE360" s="573">
        <f t="shared" si="58"/>
        <v>0</v>
      </c>
      <c r="AF360" s="573" t="b">
        <f>AND(AA360=TRUE,OR(AND(F360&lt;&gt;"",NOT(ISNUMBER(Y360))),L360&lt;&gt;"",F360="",AD360=""))</f>
        <v>0</v>
      </c>
      <c r="AG360" s="573" t="b">
        <f t="shared" si="59"/>
        <v>0</v>
      </c>
      <c r="AH360" s="30"/>
      <c r="AI360" s="30"/>
      <c r="AJ360" s="30"/>
      <c r="AK360" s="573" t="b">
        <f t="shared" si="60"/>
        <v>0</v>
      </c>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573" t="b">
        <f>OR(BJ352,W360=EUconst_NA)</f>
        <v>1</v>
      </c>
      <c r="BK360" s="23"/>
    </row>
    <row r="361" spans="1:63" s="1063" customFormat="1" ht="5.0999999999999996" customHeight="1" thickBot="1" x14ac:dyDescent="0.25">
      <c r="A361" s="58"/>
      <c r="B361" s="1248"/>
      <c r="C361" s="164"/>
      <c r="D361" s="178"/>
      <c r="E361" s="140"/>
      <c r="F361" s="140"/>
      <c r="G361" s="140"/>
      <c r="H361" s="140"/>
      <c r="I361" s="140"/>
      <c r="J361" s="140"/>
      <c r="K361" s="140"/>
      <c r="L361" s="140"/>
      <c r="M361" s="695"/>
      <c r="N361" s="140"/>
      <c r="O361" s="1305"/>
      <c r="P361" s="33"/>
      <c r="Q361" s="172"/>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23"/>
    </row>
    <row r="362" spans="1:63" s="1063" customFormat="1" ht="12.75" customHeight="1" x14ac:dyDescent="0.2">
      <c r="A362" s="58"/>
      <c r="B362" s="1248"/>
      <c r="C362" s="753" t="s">
        <v>325</v>
      </c>
      <c r="D362" s="637" t="str">
        <f>Translations!$B$748</f>
        <v>Išmestas CF4 kiekis</v>
      </c>
      <c r="E362" s="638"/>
      <c r="F362" s="504"/>
      <c r="G362" s="504"/>
      <c r="H362" s="504"/>
      <c r="I362" s="1683" t="str">
        <f>EUconst_t</f>
        <v>t</v>
      </c>
      <c r="J362" s="1684"/>
      <c r="K362" s="504"/>
      <c r="L362" s="917" t="str">
        <f>IF(ISNUMBER(U347),INDEX(AO355:AP355,U347),"")</f>
        <v/>
      </c>
      <c r="M362" s="695"/>
      <c r="N362" s="140"/>
      <c r="O362" s="1305"/>
      <c r="P362" s="33"/>
      <c r="Q362" s="172"/>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23"/>
    </row>
    <row r="363" spans="1:63" s="1063" customFormat="1" ht="12.75" customHeight="1" thickBot="1" x14ac:dyDescent="0.25">
      <c r="A363" s="58"/>
      <c r="B363" s="1248"/>
      <c r="C363" s="753" t="s">
        <v>448</v>
      </c>
      <c r="D363" s="637" t="str">
        <f>Translations!$B$749</f>
        <v>Išmestas C2F6 kiekis</v>
      </c>
      <c r="E363" s="504"/>
      <c r="F363" s="504"/>
      <c r="G363" s="504"/>
      <c r="H363" s="504"/>
      <c r="I363" s="1685" t="str">
        <f>EUconst_t</f>
        <v>t</v>
      </c>
      <c r="J363" s="1686"/>
      <c r="K363" s="504"/>
      <c r="L363" s="918" t="str">
        <f>IF(ISNUMBER(U347),INDEX(AO356:AP356,U347),"")</f>
        <v/>
      </c>
      <c r="M363" s="695"/>
      <c r="N363" s="140"/>
      <c r="O363" s="1305"/>
      <c r="P363" s="33"/>
      <c r="Q363" s="172"/>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23"/>
    </row>
    <row r="364" spans="1:63" s="1063" customFormat="1" ht="5.0999999999999996" customHeight="1" thickBot="1" x14ac:dyDescent="0.25">
      <c r="A364" s="58"/>
      <c r="B364" s="1248"/>
      <c r="C364" s="755"/>
      <c r="D364" s="178"/>
      <c r="E364" s="140"/>
      <c r="F364" s="140"/>
      <c r="G364" s="140"/>
      <c r="H364" s="140"/>
      <c r="I364" s="140"/>
      <c r="J364" s="140"/>
      <c r="K364" s="140"/>
      <c r="L364" s="140"/>
      <c r="M364" s="695"/>
      <c r="N364" s="140"/>
      <c r="O364" s="1305"/>
      <c r="P364" s="33"/>
      <c r="Q364" s="172"/>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23"/>
    </row>
    <row r="365" spans="1:63" s="1063" customFormat="1" ht="12.75" customHeight="1" x14ac:dyDescent="0.2">
      <c r="A365" s="58"/>
      <c r="B365" s="1248"/>
      <c r="C365" s="753" t="s">
        <v>449</v>
      </c>
      <c r="D365" s="637" t="str">
        <f>Translations!$B$736</f>
        <v>VAP(CF4)</v>
      </c>
      <c r="E365" s="638"/>
      <c r="F365" s="504"/>
      <c r="G365" s="504"/>
      <c r="H365" s="504"/>
      <c r="I365" s="1683" t="s">
        <v>438</v>
      </c>
      <c r="J365" s="1684"/>
      <c r="K365" s="639">
        <f>IF(L365="",7390,"")</f>
        <v>7390</v>
      </c>
      <c r="L365" s="930"/>
      <c r="M365" s="695"/>
      <c r="N365" s="140"/>
      <c r="O365" s="1305"/>
      <c r="P365" s="635"/>
      <c r="Q365" s="172"/>
      <c r="R365" s="30"/>
      <c r="S365" s="30"/>
      <c r="T365" s="30"/>
      <c r="U365" s="30"/>
      <c r="V365" s="30"/>
      <c r="W365" s="30"/>
      <c r="X365" s="30"/>
      <c r="Y365" s="30"/>
      <c r="Z365" s="30"/>
      <c r="AA365" s="30"/>
      <c r="AB365" s="30"/>
      <c r="AC365" s="30"/>
      <c r="AD365" s="30"/>
      <c r="AE365" s="526">
        <f>IF(L365="",K365,L365)</f>
        <v>7390</v>
      </c>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522" t="b">
        <f>BJ352</f>
        <v>1</v>
      </c>
      <c r="BK365" s="23"/>
    </row>
    <row r="366" spans="1:63" s="1063" customFormat="1" ht="12.75" customHeight="1" thickBot="1" x14ac:dyDescent="0.25">
      <c r="A366" s="58"/>
      <c r="B366" s="1248"/>
      <c r="C366" s="753" t="s">
        <v>450</v>
      </c>
      <c r="D366" s="637" t="str">
        <f>Translations!$B$738</f>
        <v>VAP(C2F6)</v>
      </c>
      <c r="E366" s="638"/>
      <c r="F366" s="504"/>
      <c r="G366" s="504"/>
      <c r="H366" s="504"/>
      <c r="I366" s="1685" t="s">
        <v>439</v>
      </c>
      <c r="J366" s="1686"/>
      <c r="K366" s="640">
        <f>IF(L366="",12200,"")</f>
        <v>12200</v>
      </c>
      <c r="L366" s="931"/>
      <c r="M366" s="695"/>
      <c r="N366" s="140"/>
      <c r="O366" s="1305"/>
      <c r="P366" s="33"/>
      <c r="Q366" s="172"/>
      <c r="R366" s="30"/>
      <c r="S366" s="30"/>
      <c r="T366" s="30"/>
      <c r="U366" s="30"/>
      <c r="V366" s="30"/>
      <c r="W366" s="30"/>
      <c r="X366" s="30"/>
      <c r="Y366" s="30"/>
      <c r="Z366" s="30"/>
      <c r="AA366" s="30"/>
      <c r="AB366" s="30"/>
      <c r="AC366" s="30"/>
      <c r="AD366" s="30"/>
      <c r="AE366" s="665">
        <f>IF(L366="",K366,L366)</f>
        <v>12200</v>
      </c>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571" t="b">
        <f>BJ365</f>
        <v>1</v>
      </c>
      <c r="BK366" s="23"/>
    </row>
    <row r="367" spans="1:63" s="1063" customFormat="1" ht="5.0999999999999996" customHeight="1" thickBot="1" x14ac:dyDescent="0.25">
      <c r="A367" s="58"/>
      <c r="B367" s="1248"/>
      <c r="C367" s="755"/>
      <c r="D367" s="298"/>
      <c r="E367" s="486"/>
      <c r="F367" s="140"/>
      <c r="G367" s="140"/>
      <c r="H367" s="140"/>
      <c r="I367" s="140"/>
      <c r="J367" s="140"/>
      <c r="K367" s="140"/>
      <c r="L367" s="695"/>
      <c r="M367" s="695"/>
      <c r="N367" s="140"/>
      <c r="O367" s="1305"/>
      <c r="P367" s="33"/>
      <c r="Q367" s="172"/>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23"/>
    </row>
    <row r="368" spans="1:63" s="1063" customFormat="1" ht="12.75" customHeight="1" x14ac:dyDescent="0.2">
      <c r="A368" s="58"/>
      <c r="B368" s="1248"/>
      <c r="C368" s="753" t="s">
        <v>451</v>
      </c>
      <c r="D368" s="637" t="str">
        <f>Translations!$B$748</f>
        <v>Išmestas CF4 kiekis</v>
      </c>
      <c r="E368" s="638"/>
      <c r="F368" s="504"/>
      <c r="G368" s="504"/>
      <c r="H368" s="504"/>
      <c r="I368" s="1683" t="s">
        <v>257</v>
      </c>
      <c r="J368" s="1684"/>
      <c r="K368" s="504"/>
      <c r="L368" s="696" t="str">
        <f>IF(ISNUMBER(U347),INDEX(AO357:AP357,U347),"")</f>
        <v/>
      </c>
      <c r="M368" s="695"/>
      <c r="N368" s="140"/>
      <c r="O368" s="1305"/>
      <c r="P368" s="635"/>
      <c r="Q368" s="172"/>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23"/>
    </row>
    <row r="369" spans="1:63" s="1063" customFormat="1" ht="12.75" customHeight="1" thickBot="1" x14ac:dyDescent="0.25">
      <c r="A369" s="58"/>
      <c r="B369" s="1248"/>
      <c r="C369" s="753" t="s">
        <v>452</v>
      </c>
      <c r="D369" s="637" t="str">
        <f>Translations!$B$749</f>
        <v>Išmestas C2F6 kiekis</v>
      </c>
      <c r="E369" s="504"/>
      <c r="F369" s="504"/>
      <c r="G369" s="504"/>
      <c r="H369" s="504"/>
      <c r="I369" s="1685" t="s">
        <v>257</v>
      </c>
      <c r="J369" s="1686"/>
      <c r="K369" s="504"/>
      <c r="L369" s="697" t="str">
        <f>IF(ISNUMBER(U347),INDEX(AO358:AP358,U347),"")</f>
        <v/>
      </c>
      <c r="M369" s="695"/>
      <c r="N369" s="140"/>
      <c r="O369" s="1305"/>
      <c r="P369" s="33"/>
      <c r="Q369" s="172"/>
      <c r="R369" s="30"/>
      <c r="S369" s="30"/>
      <c r="T369" s="30"/>
      <c r="U369" s="30"/>
      <c r="V369" s="30"/>
      <c r="W369" s="30"/>
      <c r="X369" s="30"/>
      <c r="Y369" s="30"/>
      <c r="Z369" s="30"/>
      <c r="AA369" s="30"/>
      <c r="AB369" s="30"/>
      <c r="AC369" s="30"/>
      <c r="AD369" s="30"/>
      <c r="AE369" s="483"/>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23"/>
    </row>
    <row r="370" spans="1:63" s="1063" customFormat="1" ht="5.0999999999999996" customHeight="1" thickBot="1" x14ac:dyDescent="0.25">
      <c r="A370" s="58"/>
      <c r="B370" s="1248"/>
      <c r="C370" s="755"/>
      <c r="D370" s="178"/>
      <c r="E370" s="140"/>
      <c r="F370" s="140"/>
      <c r="G370" s="140"/>
      <c r="H370" s="140"/>
      <c r="I370" s="140"/>
      <c r="J370" s="140"/>
      <c r="K370" s="140"/>
      <c r="L370" s="140"/>
      <c r="M370" s="695"/>
      <c r="N370" s="140"/>
      <c r="O370" s="1305"/>
      <c r="P370" s="33"/>
      <c r="Q370" s="172"/>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23"/>
    </row>
    <row r="371" spans="1:63" s="1063" customFormat="1" ht="12.75" customHeight="1" thickBot="1" x14ac:dyDescent="0.25">
      <c r="A371" s="58"/>
      <c r="B371" s="1248"/>
      <c r="C371" s="753" t="s">
        <v>453</v>
      </c>
      <c r="D371" s="637" t="str">
        <f>Translations!$B$167</f>
        <v>Surinkimo efektyvumas</v>
      </c>
      <c r="E371" s="504"/>
      <c r="F371" s="504"/>
      <c r="G371" s="504"/>
      <c r="H371" s="504"/>
      <c r="I371" s="1687" t="s">
        <v>258</v>
      </c>
      <c r="J371" s="1688"/>
      <c r="K371" s="504"/>
      <c r="L371" s="932"/>
      <c r="M371" s="700" t="str">
        <f>IF(AND(E347&lt;&gt;"",L371=""),EUconst_ERR_Incomplete,IF(COUNTIF(AI371:AL371,TRUE)&gt;0,EUconst_ERR_Inconsistent,""))</f>
        <v/>
      </c>
      <c r="N371" s="140"/>
      <c r="O371" s="1305"/>
      <c r="P371" s="635"/>
      <c r="Q371" s="172"/>
      <c r="R371" s="30"/>
      <c r="S371" s="30"/>
      <c r="T371" s="30"/>
      <c r="U371" s="30"/>
      <c r="V371" s="30"/>
      <c r="W371" s="30"/>
      <c r="X371" s="30"/>
      <c r="Y371" s="30"/>
      <c r="Z371" s="30"/>
      <c r="AA371" s="30"/>
      <c r="AB371" s="30"/>
      <c r="AC371" s="30"/>
      <c r="AD371" s="30"/>
      <c r="AE371" s="30"/>
      <c r="AF371" s="30"/>
      <c r="AG371" s="30"/>
      <c r="AH371" s="30"/>
      <c r="AI371" s="30"/>
      <c r="AJ371" s="30"/>
      <c r="AK371" s="30"/>
      <c r="AL371" s="515" t="b">
        <f>L371&gt;100%</f>
        <v>0</v>
      </c>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515" t="b">
        <f>BJ352</f>
        <v>1</v>
      </c>
      <c r="BK371" s="23"/>
    </row>
    <row r="372" spans="1:63" s="1063" customFormat="1" ht="5.0999999999999996" customHeight="1" thickBot="1" x14ac:dyDescent="0.25">
      <c r="A372" s="58"/>
      <c r="B372" s="1248"/>
      <c r="C372" s="164"/>
      <c r="D372" s="178"/>
      <c r="E372" s="140"/>
      <c r="F372" s="140"/>
      <c r="G372" s="140"/>
      <c r="H372" s="140"/>
      <c r="I372" s="140"/>
      <c r="J372" s="140"/>
      <c r="K372" s="140"/>
      <c r="L372" s="140"/>
      <c r="M372" s="140"/>
      <c r="N372" s="140"/>
      <c r="O372" s="1305"/>
      <c r="P372" s="33"/>
      <c r="Q372" s="172"/>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23"/>
    </row>
    <row r="373" spans="1:63" s="1063" customFormat="1" ht="12.75" customHeight="1" thickBot="1" x14ac:dyDescent="0.25">
      <c r="A373" s="58"/>
      <c r="B373" s="1248"/>
      <c r="C373" s="164"/>
      <c r="D373" s="1629" t="str">
        <f>Translations!$B$674</f>
        <v>Pakopos galioja nuo:</v>
      </c>
      <c r="E373" s="1629"/>
      <c r="F373" s="1630"/>
      <c r="G373" s="607"/>
      <c r="H373" s="606" t="str">
        <f>Translations!$B$675</f>
        <v>iki:</v>
      </c>
      <c r="I373" s="607"/>
      <c r="J373" s="140"/>
      <c r="K373" s="140"/>
      <c r="L373" s="140"/>
      <c r="M373" s="140"/>
      <c r="N373" s="140"/>
      <c r="O373" s="1305"/>
      <c r="P373" s="33"/>
      <c r="Q373" s="172"/>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515" t="b">
        <f>BJ352</f>
        <v>1</v>
      </c>
      <c r="BK373" s="23"/>
    </row>
    <row r="374" spans="1:63" s="1063" customFormat="1" ht="5.0999999999999996" customHeight="1" thickBot="1" x14ac:dyDescent="0.25">
      <c r="A374" s="30"/>
      <c r="B374" s="1316"/>
      <c r="C374" s="140"/>
      <c r="D374" s="178"/>
      <c r="E374" s="140"/>
      <c r="F374" s="140"/>
      <c r="G374" s="140"/>
      <c r="H374" s="140"/>
      <c r="I374" s="140"/>
      <c r="J374" s="140"/>
      <c r="K374" s="140"/>
      <c r="L374" s="140"/>
      <c r="M374" s="140"/>
      <c r="N374" s="140"/>
      <c r="O374" s="1317"/>
      <c r="P374" s="488"/>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23"/>
    </row>
    <row r="375" spans="1:63" s="1063" customFormat="1" ht="12.75" customHeight="1" thickBot="1" x14ac:dyDescent="0.25">
      <c r="A375" s="30"/>
      <c r="B375" s="1316"/>
      <c r="C375" s="140"/>
      <c r="D375" s="1618" t="str">
        <f>Translations!$B$160</f>
        <v>Pastabos:</v>
      </c>
      <c r="E375" s="1619"/>
      <c r="F375" s="1680"/>
      <c r="G375" s="1680"/>
      <c r="H375" s="1680"/>
      <c r="I375" s="1680"/>
      <c r="J375" s="1680"/>
      <c r="K375" s="1680"/>
      <c r="L375" s="1680"/>
      <c r="M375" s="1680"/>
      <c r="N375" s="1680"/>
      <c r="O375" s="1317"/>
      <c r="P375" s="488"/>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515" t="b">
        <f>BJ373</f>
        <v>1</v>
      </c>
      <c r="BK375" s="23"/>
    </row>
    <row r="376" spans="1:63" s="1060" customFormat="1" ht="12.75" customHeight="1" thickBot="1" x14ac:dyDescent="0.25">
      <c r="A376" s="58"/>
      <c r="B376" s="1312"/>
      <c r="C376" s="490"/>
      <c r="D376" s="491"/>
      <c r="E376" s="492"/>
      <c r="F376" s="490"/>
      <c r="G376" s="493"/>
      <c r="H376" s="493"/>
      <c r="I376" s="493"/>
      <c r="J376" s="493"/>
      <c r="K376" s="493"/>
      <c r="L376" s="493"/>
      <c r="M376" s="493"/>
      <c r="N376" s="493"/>
      <c r="O376" s="1313"/>
      <c r="P376" s="485"/>
      <c r="Q376" s="58"/>
      <c r="R376" s="58"/>
      <c r="S376" s="489"/>
      <c r="T376" s="58"/>
      <c r="U376" s="58"/>
      <c r="V376" s="489"/>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23"/>
    </row>
    <row r="377" spans="1:63" s="1060" customFormat="1" ht="12.75" customHeight="1" x14ac:dyDescent="0.2">
      <c r="A377" s="58"/>
      <c r="B377" s="1312"/>
      <c r="C377" s="486"/>
      <c r="D377" s="178"/>
      <c r="E377" s="487"/>
      <c r="F377" s="486"/>
      <c r="G377" s="478"/>
      <c r="H377" s="478"/>
      <c r="I377" s="478"/>
      <c r="J377" s="478"/>
      <c r="K377" s="478"/>
      <c r="L377" s="478"/>
      <c r="M377" s="478"/>
      <c r="N377" s="478"/>
      <c r="O377" s="1313"/>
      <c r="P377" s="485"/>
      <c r="Q377" s="58"/>
      <c r="R377" s="58"/>
      <c r="S377" s="489"/>
      <c r="T377" s="58"/>
      <c r="U377" s="58"/>
      <c r="V377" s="489"/>
      <c r="W377" s="58"/>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row>
    <row r="378" spans="1:63" s="1064" customFormat="1" ht="15" customHeight="1" x14ac:dyDescent="0.2">
      <c r="A378" s="2"/>
      <c r="B378" s="1254"/>
      <c r="C378" s="7"/>
      <c r="D378" s="7"/>
      <c r="E378" s="148"/>
      <c r="F378" s="1425" t="str">
        <f>EUconst_MsgNextSheet</f>
        <v xml:space="preserve">&lt;&lt;&lt; Į kitą lapą pereisite paspaudę čia &gt;&gt;&gt; </v>
      </c>
      <c r="G378" s="1425"/>
      <c r="H378" s="1425"/>
      <c r="I378" s="1425"/>
      <c r="J378" s="1425"/>
      <c r="K378" s="1425"/>
      <c r="L378" s="1425"/>
      <c r="M378" s="148"/>
      <c r="N378" s="148"/>
      <c r="O378" s="1255"/>
      <c r="P378" s="2"/>
      <c r="Q378" s="56"/>
      <c r="R378" s="56"/>
      <c r="S378" s="56"/>
      <c r="T378" s="56"/>
      <c r="U378" s="56"/>
      <c r="V378" s="56"/>
      <c r="W378" s="56"/>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row>
    <row r="379" spans="1:63" x14ac:dyDescent="0.2">
      <c r="A379" s="56"/>
      <c r="B379" s="1330"/>
      <c r="C379" s="1331"/>
      <c r="D379" s="1337"/>
      <c r="E379" s="1337"/>
      <c r="F379" s="1337"/>
      <c r="G379" s="1337"/>
      <c r="H379" s="1337"/>
      <c r="I379" s="1337"/>
      <c r="J379" s="1337"/>
      <c r="K379" s="1331"/>
      <c r="L379" s="1331"/>
      <c r="M379" s="1331"/>
      <c r="N379" s="1331"/>
      <c r="O379" s="1338"/>
      <c r="P379" s="56"/>
      <c r="Q379" s="56"/>
      <c r="R379" s="56"/>
      <c r="S379" s="56"/>
      <c r="T379" s="56"/>
      <c r="U379" s="56"/>
      <c r="V379" s="56"/>
      <c r="W379" s="56"/>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row>
    <row r="380" spans="1:63" x14ac:dyDescent="0.2">
      <c r="A380" s="56"/>
      <c r="B380" s="243"/>
      <c r="C380" s="243"/>
      <c r="D380" s="259"/>
      <c r="E380" s="259"/>
      <c r="F380" s="259"/>
      <c r="G380" s="259"/>
      <c r="H380" s="259"/>
      <c r="I380" s="259"/>
      <c r="J380" s="259"/>
      <c r="K380" s="243"/>
      <c r="L380" s="243"/>
      <c r="M380" s="243"/>
      <c r="N380" s="243"/>
      <c r="O380" s="259"/>
      <c r="P380" s="56"/>
      <c r="Q380" s="56"/>
      <c r="R380" s="56"/>
      <c r="S380" s="56"/>
      <c r="T380" s="56"/>
      <c r="U380" s="56"/>
      <c r="V380" s="56"/>
      <c r="W380" s="56"/>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row>
    <row r="381" spans="1:63" ht="12.75" hidden="1" customHeight="1" x14ac:dyDescent="0.2">
      <c r="A381" s="55" t="s">
        <v>85</v>
      </c>
      <c r="B381" s="55" t="s">
        <v>72</v>
      </c>
      <c r="C381" s="55" t="s">
        <v>72</v>
      </c>
      <c r="D381" s="55" t="s">
        <v>72</v>
      </c>
      <c r="E381" s="55" t="s">
        <v>72</v>
      </c>
      <c r="F381" s="55" t="s">
        <v>72</v>
      </c>
      <c r="G381" s="55" t="s">
        <v>72</v>
      </c>
      <c r="H381" s="55" t="s">
        <v>72</v>
      </c>
      <c r="I381" s="55" t="s">
        <v>72</v>
      </c>
      <c r="J381" s="55" t="s">
        <v>72</v>
      </c>
      <c r="K381" s="55" t="s">
        <v>72</v>
      </c>
      <c r="L381" s="55" t="s">
        <v>72</v>
      </c>
      <c r="M381" s="55" t="s">
        <v>72</v>
      </c>
      <c r="N381" s="55" t="s">
        <v>72</v>
      </c>
      <c r="O381" s="71" t="s">
        <v>72</v>
      </c>
      <c r="P381" s="71"/>
      <c r="Q381" s="55" t="s">
        <v>72</v>
      </c>
      <c r="R381" s="55" t="s">
        <v>72</v>
      </c>
      <c r="S381" s="55" t="s">
        <v>72</v>
      </c>
      <c r="T381" s="55"/>
      <c r="U381" s="55"/>
      <c r="V381" s="55"/>
      <c r="W381" s="55" t="s">
        <v>72</v>
      </c>
      <c r="X381" s="55" t="s">
        <v>72</v>
      </c>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t="s">
        <v>72</v>
      </c>
      <c r="BK381" s="23"/>
    </row>
    <row r="382" spans="1:63" ht="13.5" hidden="1" thickBot="1" x14ac:dyDescent="0.25">
      <c r="A382" s="47" t="s">
        <v>85</v>
      </c>
      <c r="B382" s="7"/>
      <c r="C382" s="7"/>
      <c r="D382" s="139"/>
      <c r="E382" s="7"/>
      <c r="F382" s="7"/>
      <c r="G382" s="7"/>
      <c r="H382" s="7"/>
      <c r="I382" s="7"/>
      <c r="J382" s="7"/>
      <c r="K382" s="7"/>
      <c r="L382" s="7"/>
      <c r="M382" s="7"/>
      <c r="N382" s="7"/>
      <c r="O382" s="7"/>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23"/>
    </row>
    <row r="383" spans="1:63" ht="12.75" hidden="1" customHeight="1" x14ac:dyDescent="0.2">
      <c r="A383" s="47" t="s">
        <v>85</v>
      </c>
      <c r="B383" s="243"/>
      <c r="C383" s="243"/>
      <c r="D383" s="243"/>
      <c r="E383" s="243"/>
      <c r="F383" s="613"/>
      <c r="G383" s="614"/>
      <c r="H383" s="614"/>
      <c r="I383" s="614" t="s">
        <v>74</v>
      </c>
      <c r="J383" s="614"/>
      <c r="K383" s="614"/>
      <c r="L383" s="614"/>
      <c r="M383" s="624" t="s">
        <v>431</v>
      </c>
      <c r="N383" s="243"/>
      <c r="O383" s="260"/>
      <c r="P383" s="45"/>
      <c r="Q383" s="45"/>
      <c r="R383" s="45"/>
      <c r="S383" s="45"/>
      <c r="T383" s="45"/>
      <c r="U383" s="45"/>
      <c r="V383" s="45"/>
      <c r="W383" s="45"/>
      <c r="X383" s="45"/>
      <c r="Y383" s="45"/>
      <c r="Z383" s="45"/>
      <c r="AA383" s="45"/>
    </row>
    <row r="384" spans="1:63" s="1065" customFormat="1" hidden="1" x14ac:dyDescent="0.2">
      <c r="A384" s="2" t="s">
        <v>85</v>
      </c>
      <c r="B384" s="196"/>
      <c r="C384" s="196"/>
      <c r="D384" s="196"/>
      <c r="E384" s="196"/>
      <c r="F384" s="615">
        <v>1</v>
      </c>
      <c r="G384" s="612" t="str">
        <f t="shared" ref="G384:G393" si="62">INDEX(CNTR_PFCSourceStreamNames,F384)</f>
        <v>netaik.</v>
      </c>
      <c r="H384" s="612" t="str">
        <f>IF(G384=EUconst_NA,"",MAX($H$383:H383)+1)</f>
        <v/>
      </c>
      <c r="I384" s="621" t="str">
        <f>IF(COUNTIF($H$384:$H$393,F384)=0,"",INDEX($G$384:$G$393,MATCH(F384,$H$384:$H$393,0)))</f>
        <v/>
      </c>
      <c r="J384" s="612"/>
      <c r="K384" s="612"/>
      <c r="L384" s="612"/>
      <c r="M384" s="625" t="str">
        <f>IF(COUNT($H$384:$H$393)=0,"","$I$"&amp;ROW(I384)&amp;":$I$"&amp; ROW($I$384)-1+MAX(1,$H$384:$H$393))</f>
        <v/>
      </c>
      <c r="N384" s="196"/>
      <c r="O384" s="196"/>
      <c r="P384" s="197"/>
      <c r="Q384" s="197"/>
      <c r="R384" s="197"/>
      <c r="S384" s="197"/>
      <c r="T384" s="197"/>
      <c r="U384" s="197"/>
      <c r="V384" s="197"/>
      <c r="W384" s="197"/>
      <c r="X384" s="197"/>
      <c r="Y384" s="197"/>
      <c r="Z384" s="197"/>
      <c r="AA384" s="197"/>
      <c r="AB384" s="196"/>
      <c r="AC384" s="196"/>
      <c r="AD384" s="196"/>
      <c r="AE384" s="196"/>
      <c r="AF384" s="196"/>
      <c r="AG384" s="196"/>
      <c r="AH384" s="196"/>
      <c r="AI384" s="196"/>
      <c r="AJ384" s="196"/>
      <c r="AK384" s="196"/>
      <c r="AL384" s="196"/>
      <c r="AM384" s="196"/>
      <c r="AN384" s="196"/>
      <c r="AO384" s="196"/>
      <c r="AP384" s="196"/>
      <c r="AQ384" s="196"/>
      <c r="AR384" s="196"/>
      <c r="AS384" s="196"/>
      <c r="AT384" s="196"/>
      <c r="AU384" s="196"/>
      <c r="AV384" s="196"/>
      <c r="AW384" s="196"/>
      <c r="AX384" s="196"/>
      <c r="AY384" s="196"/>
      <c r="AZ384" s="196"/>
      <c r="BA384" s="196"/>
      <c r="BB384" s="196"/>
      <c r="BC384" s="196"/>
      <c r="BD384" s="196"/>
      <c r="BE384" s="196"/>
      <c r="BF384" s="196"/>
      <c r="BG384" s="196"/>
      <c r="BH384" s="196"/>
      <c r="BI384" s="196"/>
      <c r="BJ384" s="196"/>
      <c r="BK384" s="196"/>
    </row>
    <row r="385" spans="1:63" s="1065" customFormat="1" hidden="1" x14ac:dyDescent="0.2">
      <c r="A385" s="2" t="s">
        <v>85</v>
      </c>
      <c r="B385" s="196"/>
      <c r="C385" s="196"/>
      <c r="D385" s="196"/>
      <c r="E385" s="196"/>
      <c r="F385" s="616">
        <v>2</v>
      </c>
      <c r="G385" s="612" t="str">
        <f t="shared" si="62"/>
        <v>netaik.</v>
      </c>
      <c r="H385" s="611" t="str">
        <f>IF(G385=EUconst_NA,"",MAX($H$56:H384)+1)</f>
        <v/>
      </c>
      <c r="I385" s="622" t="str">
        <f t="shared" ref="I385:I393" si="63">IF(COUNTIF($H$384:$H$393,F385)=0,"",INDEX($G$384:$G$393,MATCH(F385,$H$384:$H$393,0)))</f>
        <v/>
      </c>
      <c r="J385" s="611"/>
      <c r="K385" s="611"/>
      <c r="L385" s="611"/>
      <c r="M385" s="617"/>
      <c r="N385" s="196"/>
      <c r="O385" s="196"/>
      <c r="P385" s="197"/>
      <c r="Q385" s="197"/>
      <c r="R385" s="197"/>
      <c r="S385" s="197"/>
      <c r="T385" s="197"/>
      <c r="U385" s="197"/>
      <c r="V385" s="197"/>
      <c r="W385" s="197"/>
      <c r="X385" s="197"/>
      <c r="Y385" s="197"/>
      <c r="Z385" s="197"/>
      <c r="AA385" s="197"/>
      <c r="AB385" s="196"/>
      <c r="AC385" s="196"/>
      <c r="AD385" s="196"/>
      <c r="AE385" s="196"/>
      <c r="AF385" s="196"/>
      <c r="AG385" s="196"/>
      <c r="AH385" s="196"/>
      <c r="AI385" s="196"/>
      <c r="AJ385" s="196"/>
      <c r="AK385" s="196"/>
      <c r="AL385" s="196"/>
      <c r="AM385" s="196"/>
      <c r="AN385" s="196"/>
      <c r="AO385" s="196"/>
      <c r="AP385" s="196"/>
      <c r="AQ385" s="196"/>
      <c r="AR385" s="196"/>
      <c r="AS385" s="196"/>
      <c r="AT385" s="196"/>
      <c r="AU385" s="196"/>
      <c r="AV385" s="196"/>
      <c r="AW385" s="196"/>
      <c r="AX385" s="196"/>
      <c r="AY385" s="196"/>
      <c r="AZ385" s="196"/>
      <c r="BA385" s="196"/>
      <c r="BB385" s="196"/>
      <c r="BC385" s="196"/>
      <c r="BD385" s="196"/>
      <c r="BE385" s="196"/>
      <c r="BF385" s="196"/>
      <c r="BG385" s="196"/>
      <c r="BH385" s="196"/>
      <c r="BI385" s="196"/>
      <c r="BJ385" s="196"/>
      <c r="BK385" s="196"/>
    </row>
    <row r="386" spans="1:63" s="1065" customFormat="1" hidden="1" x14ac:dyDescent="0.2">
      <c r="A386" s="2" t="s">
        <v>85</v>
      </c>
      <c r="B386" s="196"/>
      <c r="C386" s="196"/>
      <c r="D386" s="196"/>
      <c r="E386" s="196"/>
      <c r="F386" s="616">
        <v>3</v>
      </c>
      <c r="G386" s="612" t="str">
        <f t="shared" si="62"/>
        <v>netaik.</v>
      </c>
      <c r="H386" s="611" t="str">
        <f>IF(G386=EUconst_NA,"",MAX($H$56:H385)+1)</f>
        <v/>
      </c>
      <c r="I386" s="622" t="str">
        <f t="shared" si="63"/>
        <v/>
      </c>
      <c r="J386" s="611"/>
      <c r="K386" s="611"/>
      <c r="L386" s="611"/>
      <c r="M386" s="617"/>
      <c r="N386" s="7"/>
      <c r="O386" s="196"/>
      <c r="P386" s="197"/>
      <c r="Q386" s="197"/>
      <c r="R386" s="197"/>
      <c r="S386" s="197"/>
      <c r="T386" s="197"/>
      <c r="U386" s="197"/>
      <c r="V386" s="197"/>
      <c r="W386" s="197"/>
      <c r="X386" s="197"/>
      <c r="Y386" s="197"/>
      <c r="Z386" s="197"/>
      <c r="AA386" s="197"/>
      <c r="AB386" s="196"/>
      <c r="AC386" s="196"/>
      <c r="AD386" s="196"/>
      <c r="AE386" s="196"/>
      <c r="AF386" s="196"/>
      <c r="AG386" s="196"/>
      <c r="AH386" s="196"/>
      <c r="AI386" s="196"/>
      <c r="AJ386" s="196"/>
      <c r="AK386" s="196"/>
      <c r="AL386" s="196"/>
      <c r="AM386" s="196"/>
      <c r="AN386" s="196"/>
      <c r="AO386" s="196"/>
      <c r="AP386" s="196"/>
      <c r="AQ386" s="196"/>
      <c r="AR386" s="196"/>
      <c r="AS386" s="196"/>
      <c r="AT386" s="196"/>
      <c r="AU386" s="196"/>
      <c r="AV386" s="196"/>
      <c r="AW386" s="196"/>
      <c r="AX386" s="196"/>
      <c r="AY386" s="196"/>
      <c r="AZ386" s="196"/>
      <c r="BA386" s="196"/>
      <c r="BB386" s="196"/>
      <c r="BC386" s="196"/>
      <c r="BD386" s="196"/>
      <c r="BE386" s="196"/>
      <c r="BF386" s="196"/>
      <c r="BG386" s="196"/>
      <c r="BH386" s="196"/>
      <c r="BI386" s="196"/>
      <c r="BJ386" s="196"/>
      <c r="BK386" s="196"/>
    </row>
    <row r="387" spans="1:63" s="1065" customFormat="1" hidden="1" x14ac:dyDescent="0.2">
      <c r="A387" s="2" t="s">
        <v>85</v>
      </c>
      <c r="B387" s="196"/>
      <c r="C387" s="196"/>
      <c r="D387" s="196"/>
      <c r="E387" s="196"/>
      <c r="F387" s="616">
        <v>4</v>
      </c>
      <c r="G387" s="612" t="str">
        <f t="shared" si="62"/>
        <v>netaik.</v>
      </c>
      <c r="H387" s="611" t="str">
        <f>IF(G387=EUconst_NA,"",MAX($H$56:H386)+1)</f>
        <v/>
      </c>
      <c r="I387" s="622" t="str">
        <f t="shared" si="63"/>
        <v/>
      </c>
      <c r="J387" s="611"/>
      <c r="K387" s="611"/>
      <c r="L387" s="611"/>
      <c r="M387" s="617"/>
      <c r="N387" s="196"/>
      <c r="O387" s="196"/>
      <c r="P387" s="197"/>
      <c r="Q387" s="197"/>
      <c r="R387" s="197"/>
      <c r="S387" s="197"/>
      <c r="T387" s="197"/>
      <c r="U387" s="197"/>
      <c r="V387" s="197"/>
      <c r="W387" s="197"/>
      <c r="X387" s="197"/>
      <c r="Y387" s="197"/>
      <c r="Z387" s="197"/>
      <c r="AA387" s="197"/>
      <c r="AB387" s="196"/>
      <c r="AC387" s="196"/>
      <c r="AD387" s="196"/>
      <c r="AE387" s="196"/>
      <c r="AF387" s="196"/>
      <c r="AG387" s="196"/>
      <c r="AH387" s="196"/>
      <c r="AI387" s="196"/>
      <c r="AJ387" s="196"/>
      <c r="AK387" s="196"/>
      <c r="AL387" s="196"/>
      <c r="AM387" s="196"/>
      <c r="AN387" s="196"/>
      <c r="AO387" s="196"/>
      <c r="AP387" s="196"/>
      <c r="AQ387" s="196"/>
      <c r="AR387" s="196"/>
      <c r="AS387" s="196"/>
      <c r="AT387" s="196"/>
      <c r="AU387" s="196"/>
      <c r="AV387" s="196"/>
      <c r="AW387" s="196"/>
      <c r="AX387" s="196"/>
      <c r="AY387" s="196"/>
      <c r="AZ387" s="196"/>
      <c r="BA387" s="196"/>
      <c r="BB387" s="196"/>
      <c r="BC387" s="196"/>
      <c r="BD387" s="196"/>
      <c r="BE387" s="196"/>
      <c r="BF387" s="196"/>
      <c r="BG387" s="196"/>
      <c r="BH387" s="196"/>
      <c r="BI387" s="196"/>
      <c r="BJ387" s="196"/>
      <c r="BK387" s="196"/>
    </row>
    <row r="388" spans="1:63" s="1065" customFormat="1" hidden="1" x14ac:dyDescent="0.2">
      <c r="A388" s="2" t="s">
        <v>85</v>
      </c>
      <c r="B388" s="196"/>
      <c r="C388" s="196"/>
      <c r="D388" s="196"/>
      <c r="E388" s="196"/>
      <c r="F388" s="616">
        <v>5</v>
      </c>
      <c r="G388" s="612" t="str">
        <f t="shared" si="62"/>
        <v>netaik.</v>
      </c>
      <c r="H388" s="611" t="str">
        <f>IF(G388=EUconst_NA,"",MAX($H$56:H387)+1)</f>
        <v/>
      </c>
      <c r="I388" s="622" t="str">
        <f t="shared" si="63"/>
        <v/>
      </c>
      <c r="J388" s="611"/>
      <c r="K388" s="611"/>
      <c r="L388" s="611"/>
      <c r="M388" s="617"/>
      <c r="N388" s="196"/>
      <c r="O388" s="196"/>
      <c r="P388" s="197"/>
      <c r="Q388" s="197"/>
      <c r="R388" s="197"/>
      <c r="S388" s="197"/>
      <c r="T388" s="197"/>
      <c r="U388" s="197"/>
      <c r="V388" s="197"/>
      <c r="W388" s="197"/>
      <c r="X388" s="197"/>
      <c r="Y388" s="197"/>
      <c r="Z388" s="197"/>
      <c r="AA388" s="197"/>
      <c r="AB388" s="196"/>
      <c r="AC388" s="196"/>
      <c r="AD388" s="196"/>
      <c r="AE388" s="196"/>
      <c r="AF388" s="196"/>
      <c r="AG388" s="196"/>
      <c r="AH388" s="196"/>
      <c r="AI388" s="196"/>
      <c r="AJ388" s="196"/>
      <c r="AK388" s="196"/>
      <c r="AL388" s="196"/>
      <c r="AM388" s="196"/>
      <c r="AN388" s="196"/>
      <c r="AO388" s="196"/>
      <c r="AP388" s="196"/>
      <c r="AQ388" s="196"/>
      <c r="AR388" s="196"/>
      <c r="AS388" s="196"/>
      <c r="AT388" s="196"/>
      <c r="AU388" s="196"/>
      <c r="AV388" s="196"/>
      <c r="AW388" s="196"/>
      <c r="AX388" s="196"/>
      <c r="AY388" s="196"/>
      <c r="AZ388" s="196"/>
      <c r="BA388" s="196"/>
      <c r="BB388" s="196"/>
      <c r="BC388" s="196"/>
      <c r="BD388" s="196"/>
      <c r="BE388" s="196"/>
      <c r="BF388" s="196"/>
      <c r="BG388" s="196"/>
      <c r="BH388" s="196"/>
      <c r="BI388" s="196"/>
      <c r="BJ388" s="196"/>
      <c r="BK388" s="196"/>
    </row>
    <row r="389" spans="1:63" s="1065" customFormat="1" hidden="1" x14ac:dyDescent="0.2">
      <c r="A389" s="2" t="s">
        <v>85</v>
      </c>
      <c r="B389" s="196"/>
      <c r="C389" s="196"/>
      <c r="D389" s="196"/>
      <c r="E389" s="196"/>
      <c r="F389" s="616">
        <v>6</v>
      </c>
      <c r="G389" s="612" t="str">
        <f t="shared" si="62"/>
        <v>netaik.</v>
      </c>
      <c r="H389" s="611" t="str">
        <f>IF(G389=EUconst_NA,"",MAX($H$56:H388)+1)</f>
        <v/>
      </c>
      <c r="I389" s="622" t="str">
        <f t="shared" si="63"/>
        <v/>
      </c>
      <c r="J389" s="611"/>
      <c r="K389" s="611"/>
      <c r="L389" s="611"/>
      <c r="M389" s="617"/>
      <c r="N389" s="196"/>
      <c r="O389" s="196"/>
      <c r="P389" s="197"/>
      <c r="Q389" s="197"/>
      <c r="R389" s="197"/>
      <c r="S389" s="197"/>
      <c r="T389" s="197"/>
      <c r="U389" s="197"/>
      <c r="V389" s="197"/>
      <c r="W389" s="197"/>
      <c r="X389" s="197"/>
      <c r="Y389" s="197"/>
      <c r="Z389" s="197"/>
      <c r="AA389" s="197"/>
      <c r="AB389" s="196"/>
      <c r="AC389" s="196"/>
      <c r="AD389" s="196"/>
      <c r="AE389" s="196"/>
      <c r="AF389" s="196"/>
      <c r="AG389" s="196"/>
      <c r="AH389" s="196"/>
      <c r="AI389" s="196"/>
      <c r="AJ389" s="196"/>
      <c r="AK389" s="196"/>
      <c r="AL389" s="196"/>
      <c r="AM389" s="196"/>
      <c r="AN389" s="196"/>
      <c r="AO389" s="196"/>
      <c r="AP389" s="196"/>
      <c r="AQ389" s="196"/>
      <c r="AR389" s="196"/>
      <c r="AS389" s="196"/>
      <c r="AT389" s="196"/>
      <c r="AU389" s="196"/>
      <c r="AV389" s="196"/>
      <c r="AW389" s="196"/>
      <c r="AX389" s="196"/>
      <c r="AY389" s="196"/>
      <c r="AZ389" s="196"/>
      <c r="BA389" s="196"/>
      <c r="BB389" s="196"/>
      <c r="BC389" s="196"/>
      <c r="BD389" s="196"/>
      <c r="BE389" s="196"/>
      <c r="BF389" s="196"/>
      <c r="BG389" s="196"/>
      <c r="BH389" s="196"/>
      <c r="BI389" s="196"/>
      <c r="BJ389" s="196"/>
      <c r="BK389" s="196"/>
    </row>
    <row r="390" spans="1:63" s="1065" customFormat="1" hidden="1" x14ac:dyDescent="0.2">
      <c r="A390" s="2" t="s">
        <v>85</v>
      </c>
      <c r="B390" s="196"/>
      <c r="C390" s="196"/>
      <c r="D390" s="196"/>
      <c r="E390" s="196"/>
      <c r="F390" s="616">
        <v>7</v>
      </c>
      <c r="G390" s="612" t="str">
        <f t="shared" si="62"/>
        <v>netaik.</v>
      </c>
      <c r="H390" s="611" t="str">
        <f>IF(G390=EUconst_NA,"",MAX($H$56:H389)+1)</f>
        <v/>
      </c>
      <c r="I390" s="622" t="str">
        <f t="shared" si="63"/>
        <v/>
      </c>
      <c r="J390" s="611"/>
      <c r="K390" s="611"/>
      <c r="L390" s="611"/>
      <c r="M390" s="617"/>
      <c r="N390" s="196"/>
      <c r="O390" s="196"/>
      <c r="P390" s="197"/>
      <c r="Q390" s="197"/>
      <c r="R390" s="197"/>
      <c r="S390" s="197"/>
      <c r="T390" s="197"/>
      <c r="U390" s="197"/>
      <c r="V390" s="197"/>
      <c r="W390" s="197"/>
      <c r="X390" s="197"/>
      <c r="Y390" s="197"/>
      <c r="Z390" s="197"/>
      <c r="AA390" s="197"/>
      <c r="AB390" s="196"/>
      <c r="AC390" s="196"/>
      <c r="AD390" s="196"/>
      <c r="AE390" s="196"/>
      <c r="AF390" s="196"/>
      <c r="AG390" s="196"/>
      <c r="AH390" s="196"/>
      <c r="AI390" s="196"/>
      <c r="AJ390" s="196"/>
      <c r="AK390" s="196"/>
      <c r="AL390" s="196"/>
      <c r="AM390" s="196"/>
      <c r="AN390" s="196"/>
      <c r="AO390" s="196"/>
      <c r="AP390" s="196"/>
      <c r="AQ390" s="196"/>
      <c r="AR390" s="196"/>
      <c r="AS390" s="196"/>
      <c r="AT390" s="196"/>
      <c r="AU390" s="196"/>
      <c r="AV390" s="196"/>
      <c r="AW390" s="196"/>
      <c r="AX390" s="196"/>
      <c r="AY390" s="196"/>
      <c r="AZ390" s="196"/>
      <c r="BA390" s="196"/>
      <c r="BB390" s="196"/>
      <c r="BC390" s="196"/>
      <c r="BD390" s="196"/>
      <c r="BE390" s="196"/>
      <c r="BF390" s="196"/>
      <c r="BG390" s="196"/>
      <c r="BH390" s="196"/>
      <c r="BI390" s="196"/>
      <c r="BJ390" s="196"/>
      <c r="BK390" s="196"/>
    </row>
    <row r="391" spans="1:63" s="1065" customFormat="1" hidden="1" x14ac:dyDescent="0.2">
      <c r="A391" s="2" t="s">
        <v>85</v>
      </c>
      <c r="B391" s="196"/>
      <c r="C391" s="196"/>
      <c r="D391" s="196"/>
      <c r="E391" s="196"/>
      <c r="F391" s="616">
        <v>8</v>
      </c>
      <c r="G391" s="612" t="str">
        <f t="shared" si="62"/>
        <v>netaik.</v>
      </c>
      <c r="H391" s="611" t="str">
        <f>IF(G391=EUconst_NA,"",MAX($H$56:H390)+1)</f>
        <v/>
      </c>
      <c r="I391" s="622" t="str">
        <f t="shared" si="63"/>
        <v/>
      </c>
      <c r="J391" s="611"/>
      <c r="K391" s="611"/>
      <c r="L391" s="611"/>
      <c r="M391" s="617"/>
      <c r="N391" s="196"/>
      <c r="O391" s="196"/>
      <c r="P391" s="197"/>
      <c r="Q391" s="197"/>
      <c r="R391" s="197"/>
      <c r="S391" s="197"/>
      <c r="T391" s="197"/>
      <c r="U391" s="197"/>
      <c r="V391" s="197"/>
      <c r="W391" s="197"/>
      <c r="X391" s="197"/>
      <c r="Y391" s="197"/>
      <c r="Z391" s="197"/>
      <c r="AA391" s="197"/>
      <c r="AB391" s="196"/>
      <c r="AC391" s="196"/>
      <c r="AD391" s="196"/>
      <c r="AE391" s="196"/>
      <c r="AF391" s="196"/>
      <c r="AG391" s="196"/>
      <c r="AH391" s="196"/>
      <c r="AI391" s="196"/>
      <c r="AJ391" s="196"/>
      <c r="AK391" s="196"/>
      <c r="AL391" s="196"/>
      <c r="AM391" s="196"/>
      <c r="AN391" s="196"/>
      <c r="AO391" s="196"/>
      <c r="AP391" s="196"/>
      <c r="AQ391" s="196"/>
      <c r="AR391" s="196"/>
      <c r="AS391" s="196"/>
      <c r="AT391" s="196"/>
      <c r="AU391" s="196"/>
      <c r="AV391" s="196"/>
      <c r="AW391" s="196"/>
      <c r="AX391" s="196"/>
      <c r="AY391" s="196"/>
      <c r="AZ391" s="196"/>
      <c r="BA391" s="196"/>
      <c r="BB391" s="196"/>
      <c r="BC391" s="196"/>
      <c r="BD391" s="196"/>
      <c r="BE391" s="196"/>
      <c r="BF391" s="196"/>
      <c r="BG391" s="196"/>
      <c r="BH391" s="196"/>
      <c r="BI391" s="196"/>
      <c r="BJ391" s="196"/>
      <c r="BK391" s="196"/>
    </row>
    <row r="392" spans="1:63" s="1065" customFormat="1" hidden="1" x14ac:dyDescent="0.2">
      <c r="A392" s="2" t="s">
        <v>85</v>
      </c>
      <c r="B392" s="196"/>
      <c r="C392" s="196"/>
      <c r="D392" s="196"/>
      <c r="E392" s="196"/>
      <c r="F392" s="616">
        <v>9</v>
      </c>
      <c r="G392" s="612" t="str">
        <f t="shared" si="62"/>
        <v>netaik.</v>
      </c>
      <c r="H392" s="611" t="str">
        <f>IF(G392=EUconst_NA,"",MAX($H$56:H391)+1)</f>
        <v/>
      </c>
      <c r="I392" s="622" t="str">
        <f t="shared" si="63"/>
        <v/>
      </c>
      <c r="J392" s="611"/>
      <c r="K392" s="611"/>
      <c r="L392" s="611"/>
      <c r="M392" s="617"/>
      <c r="N392" s="196"/>
      <c r="O392" s="196"/>
      <c r="P392" s="197"/>
      <c r="Q392" s="197"/>
      <c r="R392" s="197"/>
      <c r="S392" s="197"/>
      <c r="T392" s="197"/>
      <c r="U392" s="197"/>
      <c r="V392" s="197"/>
      <c r="W392" s="197"/>
      <c r="X392" s="197"/>
      <c r="Y392" s="197"/>
      <c r="Z392" s="197"/>
      <c r="AA392" s="197"/>
      <c r="AB392" s="196"/>
      <c r="AC392" s="196"/>
      <c r="AD392" s="196"/>
      <c r="AE392" s="196"/>
      <c r="AF392" s="196"/>
      <c r="AG392" s="196"/>
      <c r="AH392" s="196"/>
      <c r="AI392" s="196"/>
      <c r="AJ392" s="196"/>
      <c r="AK392" s="196"/>
      <c r="AL392" s="196"/>
      <c r="AM392" s="196"/>
      <c r="AN392" s="196"/>
      <c r="AO392" s="196"/>
      <c r="AP392" s="196"/>
      <c r="AQ392" s="196"/>
      <c r="AR392" s="196"/>
      <c r="AS392" s="196"/>
      <c r="AT392" s="196"/>
      <c r="AU392" s="196"/>
      <c r="AV392" s="196"/>
      <c r="AW392" s="196"/>
      <c r="AX392" s="196"/>
      <c r="AY392" s="196"/>
      <c r="AZ392" s="196"/>
      <c r="BA392" s="196"/>
      <c r="BB392" s="196"/>
      <c r="BC392" s="196"/>
      <c r="BD392" s="196"/>
      <c r="BE392" s="196"/>
      <c r="BF392" s="196"/>
      <c r="BG392" s="196"/>
      <c r="BH392" s="196"/>
      <c r="BI392" s="196"/>
      <c r="BJ392" s="196"/>
      <c r="BK392" s="196"/>
    </row>
    <row r="393" spans="1:63" s="1065" customFormat="1" ht="13.5" hidden="1" thickBot="1" x14ac:dyDescent="0.25">
      <c r="A393" s="2" t="s">
        <v>85</v>
      </c>
      <c r="B393" s="196"/>
      <c r="C393" s="196"/>
      <c r="D393" s="196"/>
      <c r="E393" s="196"/>
      <c r="F393" s="618">
        <v>10</v>
      </c>
      <c r="G393" s="634" t="str">
        <f t="shared" si="62"/>
        <v>netaik.</v>
      </c>
      <c r="H393" s="619" t="str">
        <f>IF(G393=EUconst_NA,"",MAX($H$56:H392)+1)</f>
        <v/>
      </c>
      <c r="I393" s="623" t="str">
        <f t="shared" si="63"/>
        <v/>
      </c>
      <c r="J393" s="619"/>
      <c r="K393" s="619"/>
      <c r="L393" s="619"/>
      <c r="M393" s="620"/>
      <c r="N393" s="196"/>
      <c r="O393" s="196"/>
      <c r="P393" s="197"/>
      <c r="Q393" s="197"/>
      <c r="R393" s="197"/>
      <c r="S393" s="197"/>
      <c r="T393" s="197"/>
      <c r="U393" s="197"/>
      <c r="V393" s="197"/>
      <c r="W393" s="197"/>
      <c r="X393" s="197"/>
      <c r="Y393" s="197"/>
      <c r="Z393" s="197"/>
      <c r="AA393" s="197"/>
      <c r="AB393" s="196"/>
      <c r="AC393" s="196"/>
      <c r="AD393" s="196"/>
      <c r="AE393" s="196"/>
      <c r="AF393" s="196"/>
      <c r="AG393" s="196"/>
      <c r="AH393" s="196"/>
      <c r="AI393" s="196"/>
      <c r="AJ393" s="196"/>
      <c r="AK393" s="196"/>
      <c r="AL393" s="196"/>
      <c r="AM393" s="196"/>
      <c r="AN393" s="196"/>
      <c r="AO393" s="196"/>
      <c r="AP393" s="196"/>
      <c r="AQ393" s="196"/>
      <c r="AR393" s="196"/>
      <c r="AS393" s="196"/>
      <c r="AT393" s="196"/>
      <c r="AU393" s="196"/>
      <c r="AV393" s="196"/>
      <c r="AW393" s="196"/>
      <c r="AX393" s="196"/>
      <c r="AY393" s="196"/>
      <c r="AZ393" s="196"/>
      <c r="BA393" s="196"/>
      <c r="BB393" s="196"/>
      <c r="BC393" s="196"/>
      <c r="BD393" s="196"/>
      <c r="BE393" s="196"/>
      <c r="BF393" s="196"/>
      <c r="BG393" s="196"/>
      <c r="BH393" s="196"/>
      <c r="BI393" s="196"/>
      <c r="BJ393" s="196"/>
      <c r="BK393" s="196"/>
    </row>
    <row r="394" spans="1:63" hidden="1" x14ac:dyDescent="0.2">
      <c r="A394" s="47" t="s">
        <v>85</v>
      </c>
      <c r="B394" s="7"/>
      <c r="C394" s="7"/>
      <c r="D394" s="139"/>
      <c r="E394" s="7"/>
      <c r="F394" s="7"/>
      <c r="G394" s="7"/>
      <c r="H394" s="7"/>
      <c r="I394" s="7"/>
      <c r="J394" s="7"/>
      <c r="K394" s="7"/>
      <c r="L394" s="7"/>
      <c r="M394" s="7"/>
      <c r="N394" s="7"/>
      <c r="O394" s="7"/>
      <c r="P394" s="7"/>
    </row>
    <row r="395" spans="1:63" x14ac:dyDescent="0.2">
      <c r="D395" s="5"/>
      <c r="E395" s="5"/>
      <c r="F395" s="5"/>
      <c r="G395" s="5"/>
      <c r="H395" s="5"/>
      <c r="I395" s="5"/>
      <c r="J395" s="5"/>
      <c r="O395" s="5"/>
      <c r="Y395" s="243"/>
      <c r="Z395" s="243"/>
      <c r="AA395" s="243"/>
    </row>
  </sheetData>
  <sheetProtection formatCells="0" formatColumns="0" formatRows="0"/>
  <mergeCells count="410">
    <mergeCell ref="G159:H159"/>
    <mergeCell ref="I159:J159"/>
    <mergeCell ref="I145:J145"/>
    <mergeCell ref="I135:J135"/>
    <mergeCell ref="G136:H136"/>
    <mergeCell ref="I131:J131"/>
    <mergeCell ref="I132:J132"/>
    <mergeCell ref="E157:L157"/>
    <mergeCell ref="E31:N31"/>
    <mergeCell ref="K159:L159"/>
    <mergeCell ref="D151:E151"/>
    <mergeCell ref="F151:N151"/>
    <mergeCell ref="I139:J139"/>
    <mergeCell ref="I141:J141"/>
    <mergeCell ref="I144:J144"/>
    <mergeCell ref="I147:J147"/>
    <mergeCell ref="I142:J142"/>
    <mergeCell ref="G135:H135"/>
    <mergeCell ref="G127:H127"/>
    <mergeCell ref="I127:J127"/>
    <mergeCell ref="G133:H133"/>
    <mergeCell ref="D149:F149"/>
    <mergeCell ref="G134:H134"/>
    <mergeCell ref="I134:J134"/>
    <mergeCell ref="I136:J136"/>
    <mergeCell ref="I138:J138"/>
    <mergeCell ref="G104:H104"/>
    <mergeCell ref="I104:J104"/>
    <mergeCell ref="I106:J106"/>
    <mergeCell ref="I107:J107"/>
    <mergeCell ref="I133:J133"/>
    <mergeCell ref="I112:J112"/>
    <mergeCell ref="I113:J113"/>
    <mergeCell ref="E125:L125"/>
    <mergeCell ref="E122:J122"/>
    <mergeCell ref="I115:J115"/>
    <mergeCell ref="D117:F117"/>
    <mergeCell ref="G132:H132"/>
    <mergeCell ref="D119:E119"/>
    <mergeCell ref="F119:N119"/>
    <mergeCell ref="K128:L128"/>
    <mergeCell ref="G128:H128"/>
    <mergeCell ref="I128:J128"/>
    <mergeCell ref="K127:L127"/>
    <mergeCell ref="I99:J99"/>
    <mergeCell ref="G102:H102"/>
    <mergeCell ref="I102:J102"/>
    <mergeCell ref="G100:H100"/>
    <mergeCell ref="I100:J100"/>
    <mergeCell ref="G101:H101"/>
    <mergeCell ref="I101:J101"/>
    <mergeCell ref="G103:H103"/>
    <mergeCell ref="I103:J103"/>
    <mergeCell ref="H20:K20"/>
    <mergeCell ref="H21:K21"/>
    <mergeCell ref="I98:J98"/>
    <mergeCell ref="G96:H96"/>
    <mergeCell ref="I96:J96"/>
    <mergeCell ref="E25:G25"/>
    <mergeCell ref="F37:N37"/>
    <mergeCell ref="F38:N38"/>
    <mergeCell ref="F34:N34"/>
    <mergeCell ref="F36:N36"/>
    <mergeCell ref="F54:N54"/>
    <mergeCell ref="F35:N35"/>
    <mergeCell ref="F378:L378"/>
    <mergeCell ref="D14:N14"/>
    <mergeCell ref="F51:N51"/>
    <mergeCell ref="E24:G24"/>
    <mergeCell ref="H24:K24"/>
    <mergeCell ref="L24:N24"/>
    <mergeCell ref="E58:J58"/>
    <mergeCell ref="E59:J59"/>
    <mergeCell ref="F39:N39"/>
    <mergeCell ref="L25:N25"/>
    <mergeCell ref="L21:N21"/>
    <mergeCell ref="E20:G20"/>
    <mergeCell ref="L19:N19"/>
    <mergeCell ref="E18:G18"/>
    <mergeCell ref="H19:K19"/>
    <mergeCell ref="E19:G19"/>
    <mergeCell ref="E17:G17"/>
    <mergeCell ref="H17:K17"/>
    <mergeCell ref="H18:K18"/>
    <mergeCell ref="H22:K22"/>
    <mergeCell ref="E22:G22"/>
    <mergeCell ref="E21:G21"/>
    <mergeCell ref="D15:N15"/>
    <mergeCell ref="L20:N20"/>
    <mergeCell ref="D13:N13"/>
    <mergeCell ref="L17:N17"/>
    <mergeCell ref="L18:N18"/>
    <mergeCell ref="B2:D4"/>
    <mergeCell ref="K3:L3"/>
    <mergeCell ref="I2:J2"/>
    <mergeCell ref="M2:N2"/>
    <mergeCell ref="G2:H2"/>
    <mergeCell ref="C6:K6"/>
    <mergeCell ref="M3:N3"/>
    <mergeCell ref="L6:N6"/>
    <mergeCell ref="E2:F2"/>
    <mergeCell ref="E3:F3"/>
    <mergeCell ref="K2:L2"/>
    <mergeCell ref="G3:H3"/>
    <mergeCell ref="I3:J3"/>
    <mergeCell ref="G4:H4"/>
    <mergeCell ref="I4:J4"/>
    <mergeCell ref="K4:L4"/>
    <mergeCell ref="E4:F4"/>
    <mergeCell ref="D10:N10"/>
    <mergeCell ref="M4:N4"/>
    <mergeCell ref="D12:N12"/>
    <mergeCell ref="K8:N8"/>
    <mergeCell ref="G64:H64"/>
    <mergeCell ref="K64:L64"/>
    <mergeCell ref="L22:N22"/>
    <mergeCell ref="L23:N23"/>
    <mergeCell ref="H27:K27"/>
    <mergeCell ref="L27:N27"/>
    <mergeCell ref="H23:K23"/>
    <mergeCell ref="E26:G26"/>
    <mergeCell ref="H25:K25"/>
    <mergeCell ref="E27:G27"/>
    <mergeCell ref="E23:G23"/>
    <mergeCell ref="L26:N26"/>
    <mergeCell ref="F43:N43"/>
    <mergeCell ref="H26:K26"/>
    <mergeCell ref="E33:N33"/>
    <mergeCell ref="F50:N50"/>
    <mergeCell ref="D29:N29"/>
    <mergeCell ref="F41:N41"/>
    <mergeCell ref="F42:N42"/>
    <mergeCell ref="F40:N40"/>
    <mergeCell ref="F49:N49"/>
    <mergeCell ref="E45:N45"/>
    <mergeCell ref="E61:L61"/>
    <mergeCell ref="E47:N47"/>
    <mergeCell ref="E48:N48"/>
    <mergeCell ref="F55:N55"/>
    <mergeCell ref="E53:N53"/>
    <mergeCell ref="D87:E87"/>
    <mergeCell ref="F87:N87"/>
    <mergeCell ref="I63:J63"/>
    <mergeCell ref="G68:H68"/>
    <mergeCell ref="I66:J66"/>
    <mergeCell ref="I81:J81"/>
    <mergeCell ref="I67:J67"/>
    <mergeCell ref="I68:J68"/>
    <mergeCell ref="I69:J69"/>
    <mergeCell ref="I70:J70"/>
    <mergeCell ref="G71:H71"/>
    <mergeCell ref="G67:H67"/>
    <mergeCell ref="G69:H69"/>
    <mergeCell ref="G70:H70"/>
    <mergeCell ref="I78:J78"/>
    <mergeCell ref="G66:H66"/>
    <mergeCell ref="I64:J64"/>
    <mergeCell ref="G63:H63"/>
    <mergeCell ref="K63:L63"/>
    <mergeCell ref="I80:J80"/>
    <mergeCell ref="I71:J71"/>
    <mergeCell ref="G72:H72"/>
    <mergeCell ref="K95:L95"/>
    <mergeCell ref="I72:J72"/>
    <mergeCell ref="I74:J74"/>
    <mergeCell ref="I75:J75"/>
    <mergeCell ref="I77:J77"/>
    <mergeCell ref="G95:H95"/>
    <mergeCell ref="K96:L96"/>
    <mergeCell ref="G98:H98"/>
    <mergeCell ref="I83:J83"/>
    <mergeCell ref="I95:J95"/>
    <mergeCell ref="G163:H163"/>
    <mergeCell ref="I163:J163"/>
    <mergeCell ref="E123:J123"/>
    <mergeCell ref="E154:J154"/>
    <mergeCell ref="E155:J155"/>
    <mergeCell ref="G160:H160"/>
    <mergeCell ref="E90:J90"/>
    <mergeCell ref="E91:J91"/>
    <mergeCell ref="E93:L93"/>
    <mergeCell ref="G162:H162"/>
    <mergeCell ref="I162:J162"/>
    <mergeCell ref="G131:H131"/>
    <mergeCell ref="K160:L160"/>
    <mergeCell ref="G130:H130"/>
    <mergeCell ref="I130:J130"/>
    <mergeCell ref="I160:J160"/>
    <mergeCell ref="D85:F85"/>
    <mergeCell ref="I109:J109"/>
    <mergeCell ref="I110:J110"/>
    <mergeCell ref="G99:H99"/>
    <mergeCell ref="G167:H167"/>
    <mergeCell ref="I167:J167"/>
    <mergeCell ref="G168:H168"/>
    <mergeCell ref="I168:J168"/>
    <mergeCell ref="I170:J170"/>
    <mergeCell ref="I171:J171"/>
    <mergeCell ref="G164:H164"/>
    <mergeCell ref="I164:J164"/>
    <mergeCell ref="G165:H165"/>
    <mergeCell ref="I165:J165"/>
    <mergeCell ref="G166:H166"/>
    <mergeCell ref="I166:J166"/>
    <mergeCell ref="D183:E183"/>
    <mergeCell ref="F183:N183"/>
    <mergeCell ref="E186:J186"/>
    <mergeCell ref="E187:J187"/>
    <mergeCell ref="E189:L189"/>
    <mergeCell ref="G191:H191"/>
    <mergeCell ref="I191:J191"/>
    <mergeCell ref="K191:L191"/>
    <mergeCell ref="I173:J173"/>
    <mergeCell ref="I174:J174"/>
    <mergeCell ref="I176:J176"/>
    <mergeCell ref="I177:J177"/>
    <mergeCell ref="I179:J179"/>
    <mergeCell ref="D181:F181"/>
    <mergeCell ref="G196:H196"/>
    <mergeCell ref="I196:J196"/>
    <mergeCell ref="G197:H197"/>
    <mergeCell ref="I197:J197"/>
    <mergeCell ref="G198:H198"/>
    <mergeCell ref="I198:J198"/>
    <mergeCell ref="G192:H192"/>
    <mergeCell ref="I192:J192"/>
    <mergeCell ref="K192:L192"/>
    <mergeCell ref="G194:H194"/>
    <mergeCell ref="I194:J194"/>
    <mergeCell ref="G195:H195"/>
    <mergeCell ref="I195:J195"/>
    <mergeCell ref="E221:L221"/>
    <mergeCell ref="G223:H223"/>
    <mergeCell ref="I223:J223"/>
    <mergeCell ref="K223:L223"/>
    <mergeCell ref="G224:H224"/>
    <mergeCell ref="I224:J224"/>
    <mergeCell ref="K224:L224"/>
    <mergeCell ref="G199:H199"/>
    <mergeCell ref="I199:J199"/>
    <mergeCell ref="G200:H200"/>
    <mergeCell ref="I200:J200"/>
    <mergeCell ref="I202:J202"/>
    <mergeCell ref="I203:J203"/>
    <mergeCell ref="G229:H229"/>
    <mergeCell ref="I229:J229"/>
    <mergeCell ref="G230:H230"/>
    <mergeCell ref="I230:J230"/>
    <mergeCell ref="I235:J235"/>
    <mergeCell ref="I237:J237"/>
    <mergeCell ref="G226:H226"/>
    <mergeCell ref="I226:J226"/>
    <mergeCell ref="G227:H227"/>
    <mergeCell ref="I227:J227"/>
    <mergeCell ref="G228:H228"/>
    <mergeCell ref="I228:J228"/>
    <mergeCell ref="G255:H255"/>
    <mergeCell ref="I255:J255"/>
    <mergeCell ref="K255:L255"/>
    <mergeCell ref="G256:H256"/>
    <mergeCell ref="I256:J256"/>
    <mergeCell ref="K256:L256"/>
    <mergeCell ref="I238:J238"/>
    <mergeCell ref="G231:H231"/>
    <mergeCell ref="I231:J231"/>
    <mergeCell ref="G232:H232"/>
    <mergeCell ref="I232:J232"/>
    <mergeCell ref="E253:L253"/>
    <mergeCell ref="F247:N247"/>
    <mergeCell ref="E250:J250"/>
    <mergeCell ref="D247:E247"/>
    <mergeCell ref="I240:J240"/>
    <mergeCell ref="G261:H261"/>
    <mergeCell ref="I261:J261"/>
    <mergeCell ref="G262:H262"/>
    <mergeCell ref="I262:J262"/>
    <mergeCell ref="G263:H263"/>
    <mergeCell ref="I263:J263"/>
    <mergeCell ref="G258:H258"/>
    <mergeCell ref="I258:J258"/>
    <mergeCell ref="G259:H259"/>
    <mergeCell ref="I259:J259"/>
    <mergeCell ref="G260:H260"/>
    <mergeCell ref="I260:J260"/>
    <mergeCell ref="D279:E279"/>
    <mergeCell ref="F279:N279"/>
    <mergeCell ref="I272:J272"/>
    <mergeCell ref="I273:J273"/>
    <mergeCell ref="I275:J275"/>
    <mergeCell ref="D277:F277"/>
    <mergeCell ref="G264:H264"/>
    <mergeCell ref="I264:J264"/>
    <mergeCell ref="I266:J266"/>
    <mergeCell ref="I267:J267"/>
    <mergeCell ref="I269:J269"/>
    <mergeCell ref="I270:J270"/>
    <mergeCell ref="G290:H290"/>
    <mergeCell ref="I290:J290"/>
    <mergeCell ref="G291:H291"/>
    <mergeCell ref="I291:J291"/>
    <mergeCell ref="G292:H292"/>
    <mergeCell ref="I292:J292"/>
    <mergeCell ref="E285:L285"/>
    <mergeCell ref="G287:H287"/>
    <mergeCell ref="I287:J287"/>
    <mergeCell ref="K287:L287"/>
    <mergeCell ref="G288:H288"/>
    <mergeCell ref="I288:J288"/>
    <mergeCell ref="K288:L288"/>
    <mergeCell ref="I299:J299"/>
    <mergeCell ref="I301:J301"/>
    <mergeCell ref="I302:J302"/>
    <mergeCell ref="G293:H293"/>
    <mergeCell ref="I293:J293"/>
    <mergeCell ref="G294:H294"/>
    <mergeCell ref="I294:J294"/>
    <mergeCell ref="G295:H295"/>
    <mergeCell ref="I295:J295"/>
    <mergeCell ref="E349:L349"/>
    <mergeCell ref="G351:H351"/>
    <mergeCell ref="I351:J351"/>
    <mergeCell ref="K351:L351"/>
    <mergeCell ref="G352:H352"/>
    <mergeCell ref="I352:J352"/>
    <mergeCell ref="K352:L352"/>
    <mergeCell ref="I333:J333"/>
    <mergeCell ref="I334:J334"/>
    <mergeCell ref="I336:J336"/>
    <mergeCell ref="D375:E375"/>
    <mergeCell ref="F375:N375"/>
    <mergeCell ref="I365:J365"/>
    <mergeCell ref="I366:J366"/>
    <mergeCell ref="I368:J368"/>
    <mergeCell ref="I369:J369"/>
    <mergeCell ref="G354:H354"/>
    <mergeCell ref="I354:J354"/>
    <mergeCell ref="G355:H355"/>
    <mergeCell ref="I355:J355"/>
    <mergeCell ref="G356:H356"/>
    <mergeCell ref="I356:J356"/>
    <mergeCell ref="I371:J371"/>
    <mergeCell ref="D373:F373"/>
    <mergeCell ref="I362:J362"/>
    <mergeCell ref="I363:J363"/>
    <mergeCell ref="G359:H359"/>
    <mergeCell ref="I359:J359"/>
    <mergeCell ref="G360:H360"/>
    <mergeCell ref="I360:J360"/>
    <mergeCell ref="G357:H357"/>
    <mergeCell ref="I357:J357"/>
    <mergeCell ref="G358:H358"/>
    <mergeCell ref="I358:J358"/>
    <mergeCell ref="E218:J218"/>
    <mergeCell ref="E219:J219"/>
    <mergeCell ref="I205:J205"/>
    <mergeCell ref="I206:J206"/>
    <mergeCell ref="D215:E215"/>
    <mergeCell ref="F215:N215"/>
    <mergeCell ref="I208:J208"/>
    <mergeCell ref="I209:J209"/>
    <mergeCell ref="I211:J211"/>
    <mergeCell ref="D213:F213"/>
    <mergeCell ref="I241:J241"/>
    <mergeCell ref="I243:J243"/>
    <mergeCell ref="D245:F245"/>
    <mergeCell ref="I234:J234"/>
    <mergeCell ref="E315:J315"/>
    <mergeCell ref="E346:J346"/>
    <mergeCell ref="I328:J328"/>
    <mergeCell ref="I337:J337"/>
    <mergeCell ref="I339:J339"/>
    <mergeCell ref="D341:F341"/>
    <mergeCell ref="G325:H325"/>
    <mergeCell ref="I325:J325"/>
    <mergeCell ref="G326:H326"/>
    <mergeCell ref="I326:J326"/>
    <mergeCell ref="G327:H327"/>
    <mergeCell ref="I327:J327"/>
    <mergeCell ref="G322:H322"/>
    <mergeCell ref="I322:J322"/>
    <mergeCell ref="G323:H323"/>
    <mergeCell ref="I323:J323"/>
    <mergeCell ref="G324:H324"/>
    <mergeCell ref="I324:J324"/>
    <mergeCell ref="E317:L317"/>
    <mergeCell ref="G319:H319"/>
    <mergeCell ref="E347:J347"/>
    <mergeCell ref="E251:J251"/>
    <mergeCell ref="E282:J282"/>
    <mergeCell ref="E283:J283"/>
    <mergeCell ref="E314:J314"/>
    <mergeCell ref="D343:E343"/>
    <mergeCell ref="F343:N343"/>
    <mergeCell ref="G328:H328"/>
    <mergeCell ref="I330:J330"/>
    <mergeCell ref="I331:J331"/>
    <mergeCell ref="I319:J319"/>
    <mergeCell ref="K319:L319"/>
    <mergeCell ref="G320:H320"/>
    <mergeCell ref="I320:J320"/>
    <mergeCell ref="K320:L320"/>
    <mergeCell ref="D311:E311"/>
    <mergeCell ref="F311:N311"/>
    <mergeCell ref="I304:J304"/>
    <mergeCell ref="I305:J305"/>
    <mergeCell ref="I307:J307"/>
    <mergeCell ref="D309:F309"/>
    <mergeCell ref="G296:H296"/>
    <mergeCell ref="I296:J296"/>
    <mergeCell ref="I298:J298"/>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0"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35" activePane="bottomLeft" state="frozen"/>
      <selection activeCell="B2" sqref="B2"/>
      <selection pane="bottomLeft" activeCell="F65" sqref="F65:L65"/>
    </sheetView>
  </sheetViews>
  <sheetFormatPr defaultColWidth="11.42578125" defaultRowHeight="12.75" x14ac:dyDescent="0.2"/>
  <cols>
    <col min="1" max="1" width="2.7109375" style="1" hidden="1" customWidth="1"/>
    <col min="2" max="2" width="5.7109375" style="7" customWidth="1"/>
    <col min="3" max="3" width="5.7109375" style="486" customWidth="1"/>
    <col min="4" max="4" width="5.7109375" style="139" customWidth="1"/>
    <col min="5" max="5" width="13.7109375" style="486" customWidth="1"/>
    <col min="6" max="14" width="12.7109375" style="7" customWidth="1"/>
    <col min="15" max="15" width="7.7109375" style="7" customWidth="1"/>
    <col min="16" max="16" width="22.85546875" style="7" hidden="1" customWidth="1"/>
    <col min="17" max="18" width="12.7109375" style="7" hidden="1" customWidth="1"/>
    <col min="19" max="78" width="11.42578125" style="1" hidden="1" customWidth="1"/>
    <col min="79" max="79" width="4.7109375" style="1" customWidth="1"/>
    <col min="80" max="16384" width="11.42578125" style="1"/>
  </cols>
  <sheetData>
    <row r="1" spans="1:78" ht="13.5" hidden="1" thickBot="1" x14ac:dyDescent="0.25">
      <c r="A1" s="771" t="s">
        <v>85</v>
      </c>
      <c r="B1" s="772"/>
      <c r="C1" s="773"/>
      <c r="D1" s="774"/>
      <c r="E1" s="773"/>
      <c r="F1" s="772"/>
      <c r="G1" s="772"/>
      <c r="H1" s="772"/>
      <c r="I1" s="772"/>
      <c r="J1" s="772"/>
      <c r="K1" s="772"/>
      <c r="L1" s="772"/>
      <c r="M1" s="772"/>
      <c r="N1" s="772"/>
      <c r="O1" s="775"/>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c r="BL1" s="55" t="s">
        <v>85</v>
      </c>
      <c r="BM1" s="55" t="s">
        <v>85</v>
      </c>
      <c r="BN1" s="55" t="s">
        <v>85</v>
      </c>
      <c r="BO1" s="55" t="s">
        <v>85</v>
      </c>
      <c r="BP1" s="55" t="s">
        <v>85</v>
      </c>
      <c r="BQ1" s="55" t="s">
        <v>85</v>
      </c>
      <c r="BR1" s="55" t="s">
        <v>85</v>
      </c>
      <c r="BS1" s="55" t="s">
        <v>85</v>
      </c>
      <c r="BT1" s="55" t="s">
        <v>85</v>
      </c>
      <c r="BU1" s="55" t="s">
        <v>85</v>
      </c>
      <c r="BV1" s="55" t="s">
        <v>85</v>
      </c>
      <c r="BW1" s="55" t="s">
        <v>85</v>
      </c>
      <c r="BX1" s="55" t="s">
        <v>85</v>
      </c>
      <c r="BY1" s="55" t="s">
        <v>85</v>
      </c>
      <c r="BZ1" s="55" t="s">
        <v>85</v>
      </c>
    </row>
    <row r="2" spans="1:78" ht="24.95" customHeight="1" thickBot="1" x14ac:dyDescent="0.25">
      <c r="A2" s="776"/>
      <c r="B2" s="1476" t="str">
        <f>Translations!$B$750</f>
        <v>G. Data Gaps (Duomenų spragos)</v>
      </c>
      <c r="C2" s="1637"/>
      <c r="D2" s="1638"/>
      <c r="E2" s="1488" t="str">
        <f>Translations!$B$23</f>
        <v>Naršymo laukas</v>
      </c>
      <c r="F2" s="1444"/>
      <c r="G2" s="1426" t="str">
        <f>Translations!$B$24</f>
        <v>Turinys</v>
      </c>
      <c r="H2" s="1427"/>
      <c r="I2" s="1426" t="str">
        <f>Translations!$B$25</f>
        <v>Ankstesnis lapas</v>
      </c>
      <c r="J2" s="1427"/>
      <c r="K2" s="1426" t="str">
        <f>Translations!$B$26</f>
        <v>Kitas lapas</v>
      </c>
      <c r="L2" s="1427"/>
      <c r="M2" s="1426"/>
      <c r="N2" s="1427"/>
      <c r="O2" s="827"/>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ht="24.95" customHeight="1" x14ac:dyDescent="0.2">
      <c r="A3" s="776"/>
      <c r="B3" s="1639"/>
      <c r="C3" s="1640"/>
      <c r="D3" s="1641"/>
      <c r="E3" s="1431" t="str">
        <f>Translations!$B$27</f>
        <v>Lapo viršus</v>
      </c>
      <c r="F3" s="1431"/>
      <c r="G3" s="1431"/>
      <c r="H3" s="1431"/>
      <c r="I3" s="1431"/>
      <c r="J3" s="1431"/>
      <c r="K3" s="1431"/>
      <c r="L3" s="1431"/>
      <c r="M3" s="1431"/>
      <c r="N3" s="1431"/>
      <c r="O3" s="721"/>
      <c r="P3" s="15"/>
      <c r="Q3" s="15"/>
      <c r="R3" s="15"/>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24.95" customHeight="1" thickBot="1" x14ac:dyDescent="0.25">
      <c r="A4" s="776"/>
      <c r="B4" s="1721"/>
      <c r="C4" s="1722"/>
      <c r="D4" s="1723"/>
      <c r="E4" s="1431" t="str">
        <f>Translations!$B$28</f>
        <v>Lapo galas</v>
      </c>
      <c r="F4" s="1431"/>
      <c r="G4" s="1720"/>
      <c r="H4" s="1430"/>
      <c r="I4" s="1431"/>
      <c r="J4" s="1431"/>
      <c r="K4" s="1431"/>
      <c r="L4" s="1431"/>
      <c r="M4" s="1431"/>
      <c r="N4" s="1431"/>
      <c r="O4" s="721"/>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x14ac:dyDescent="0.2">
      <c r="A5" s="757"/>
      <c r="B5" s="761"/>
      <c r="C5" s="717"/>
      <c r="D5" s="6"/>
      <c r="E5" s="164"/>
      <c r="F5" s="6"/>
      <c r="G5" s="6"/>
      <c r="H5" s="6"/>
      <c r="I5" s="5"/>
      <c r="J5" s="5"/>
      <c r="K5" s="5"/>
      <c r="L5" s="5"/>
      <c r="M5" s="335"/>
      <c r="N5" s="335"/>
      <c r="O5" s="721"/>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38" customFormat="1" ht="25.5" customHeight="1" x14ac:dyDescent="0.2">
      <c r="A6" s="777"/>
      <c r="B6" s="762"/>
      <c r="C6" s="1492" t="str">
        <f>Translations!$B$750</f>
        <v>G. Data Gaps (Duomenų spragos)</v>
      </c>
      <c r="D6" s="1492"/>
      <c r="E6" s="1492"/>
      <c r="F6" s="1492"/>
      <c r="G6" s="1492"/>
      <c r="H6" s="1492"/>
      <c r="I6" s="1492"/>
      <c r="J6" s="1492"/>
      <c r="K6" s="1492"/>
      <c r="L6" s="200"/>
      <c r="M6" s="200"/>
      <c r="N6" s="200"/>
      <c r="O6" s="722"/>
      <c r="P6" s="15"/>
      <c r="Q6" s="383"/>
      <c r="R6" s="383"/>
      <c r="S6" s="383"/>
      <c r="T6" s="383"/>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x14ac:dyDescent="0.2">
      <c r="A7" s="757"/>
      <c r="B7" s="763"/>
      <c r="C7" s="164"/>
      <c r="D7" s="200"/>
      <c r="E7" s="164"/>
      <c r="F7" s="200"/>
      <c r="G7" s="200"/>
      <c r="H7" s="200"/>
      <c r="I7" s="200"/>
      <c r="J7" s="200"/>
      <c r="K7" s="200"/>
      <c r="L7" s="200"/>
      <c r="M7" s="200"/>
      <c r="N7" s="200"/>
      <c r="O7" s="723"/>
      <c r="P7" s="56"/>
      <c r="Q7" s="383"/>
      <c r="R7" s="383"/>
      <c r="S7" s="383"/>
      <c r="T7" s="383"/>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s="28" customFormat="1" ht="18.75" customHeight="1" x14ac:dyDescent="0.2">
      <c r="A8" s="777"/>
      <c r="B8" s="805"/>
      <c r="C8" s="708">
        <v>13</v>
      </c>
      <c r="D8" s="1592" t="str">
        <f>Translations!$B$751</f>
        <v>Ataskaitiniais metais nustatytos duomenų spragos</v>
      </c>
      <c r="E8" s="1592"/>
      <c r="F8" s="1592"/>
      <c r="G8" s="1592"/>
      <c r="H8" s="1592"/>
      <c r="I8" s="1592"/>
      <c r="J8" s="1592"/>
      <c r="K8" s="1592"/>
      <c r="L8" s="1592"/>
      <c r="M8" s="1592"/>
      <c r="N8" s="1592"/>
      <c r="O8" s="724"/>
      <c r="P8" s="383"/>
      <c r="Q8" s="383"/>
      <c r="R8" s="383"/>
      <c r="S8" s="383"/>
      <c r="T8" s="383"/>
      <c r="U8" s="58"/>
      <c r="V8" s="58"/>
      <c r="W8" s="58"/>
      <c r="X8" s="58"/>
      <c r="Y8" s="58"/>
      <c r="Z8" s="58"/>
      <c r="AA8" s="58"/>
      <c r="AB8" s="58"/>
      <c r="AC8" s="58"/>
      <c r="AD8" s="58"/>
      <c r="AE8" s="58"/>
      <c r="AF8" s="58"/>
      <c r="AG8" s="58"/>
      <c r="AH8" s="58"/>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12.75" customHeight="1" x14ac:dyDescent="0.2">
      <c r="A9" s="757"/>
      <c r="B9" s="765"/>
      <c r="D9" s="9"/>
      <c r="E9" s="487"/>
      <c r="G9" s="11"/>
      <c r="H9" s="11"/>
      <c r="I9" s="11"/>
      <c r="J9" s="11"/>
      <c r="L9" s="11"/>
      <c r="M9" s="11"/>
      <c r="N9" s="11"/>
      <c r="O9" s="725"/>
      <c r="P9" s="383"/>
      <c r="Q9" s="383"/>
      <c r="R9" s="383"/>
      <c r="S9" s="383"/>
      <c r="T9" s="383"/>
      <c r="U9" s="58"/>
      <c r="V9" s="58"/>
      <c r="W9" s="58"/>
      <c r="X9" s="58"/>
      <c r="Y9" s="58"/>
      <c r="Z9" s="58"/>
      <c r="AA9" s="58"/>
      <c r="AB9" s="58"/>
      <c r="AC9" s="58"/>
      <c r="AD9" s="58"/>
      <c r="AE9" s="58"/>
      <c r="AF9" s="58"/>
      <c r="AG9" s="58"/>
      <c r="AH9" s="58"/>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382" customFormat="1" ht="15" customHeight="1" x14ac:dyDescent="0.2">
      <c r="A10" s="778"/>
      <c r="B10" s="802"/>
      <c r="C10" s="140"/>
      <c r="D10" s="779"/>
      <c r="E10" s="1633" t="str">
        <f>Translations!$B$621</f>
        <v>Santrumpos:</v>
      </c>
      <c r="F10" s="1633"/>
      <c r="G10" s="1633"/>
      <c r="H10" s="1633"/>
      <c r="I10" s="1633"/>
      <c r="J10" s="1633"/>
      <c r="K10" s="1633"/>
      <c r="L10" s="1633"/>
      <c r="M10" s="1633"/>
      <c r="N10" s="1633"/>
      <c r="O10" s="726"/>
      <c r="P10" s="25"/>
      <c r="Q10" s="25"/>
      <c r="R10" s="25"/>
      <c r="S10" s="25"/>
      <c r="T10" s="25"/>
      <c r="U10" s="25"/>
      <c r="V10" s="23"/>
      <c r="W10" s="23"/>
      <c r="X10" s="25"/>
      <c r="Y10" s="2"/>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row>
    <row r="11" spans="1:78" ht="45.75" customHeight="1" x14ac:dyDescent="0.2">
      <c r="A11" s="757"/>
      <c r="B11" s="763"/>
      <c r="C11" s="164"/>
      <c r="D11" s="200"/>
      <c r="E11" s="231" t="str">
        <f>Translations!$B$752</f>
        <v>Sukėliklio pavadinimas arba kitoks identifikatorius</v>
      </c>
      <c r="F11" s="1632"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32"/>
      <c r="H11" s="1632"/>
      <c r="I11" s="1632"/>
      <c r="J11" s="1632"/>
      <c r="K11" s="1632"/>
      <c r="L11" s="1632"/>
      <c r="M11" s="1632"/>
      <c r="N11" s="1632"/>
      <c r="O11" s="727"/>
      <c r="P11" s="25"/>
      <c r="Q11" s="25"/>
      <c r="R11" s="25"/>
      <c r="S11" s="7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55.5" customHeight="1" x14ac:dyDescent="0.2">
      <c r="A12" s="757"/>
      <c r="B12" s="763"/>
      <c r="C12" s="164"/>
      <c r="D12" s="200"/>
      <c r="E12" s="231" t="str">
        <f>Translations!$B$754</f>
        <v>Taršos šaltinio pavadinimas arba kitoks identifikatorius</v>
      </c>
      <c r="F12" s="1632"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32"/>
      <c r="H12" s="1632"/>
      <c r="I12" s="1632"/>
      <c r="J12" s="1632"/>
      <c r="K12" s="1632"/>
      <c r="L12" s="1632"/>
      <c r="M12" s="1632"/>
      <c r="N12" s="1632"/>
      <c r="O12" s="727"/>
      <c r="P12" s="25"/>
      <c r="Q12" s="25"/>
      <c r="R12" s="25"/>
      <c r="S12" s="7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12.75" customHeight="1" x14ac:dyDescent="0.2">
      <c r="A13" s="757"/>
      <c r="B13" s="763"/>
      <c r="C13" s="164"/>
      <c r="D13" s="200"/>
      <c r="E13" s="231" t="str">
        <f>Translations!$B$756</f>
        <v>nuo/iki</v>
      </c>
      <c r="F13" s="1632" t="str">
        <f>Translations!$B$757</f>
        <v>Įveskite kiekvienos duomenų spragos pradžios ir pabaigos datą.</v>
      </c>
      <c r="G13" s="1632"/>
      <c r="H13" s="1632"/>
      <c r="I13" s="1632"/>
      <c r="J13" s="1632"/>
      <c r="K13" s="1632"/>
      <c r="L13" s="1632"/>
      <c r="M13" s="1632"/>
      <c r="N13" s="1632"/>
      <c r="O13" s="727"/>
      <c r="P13" s="25"/>
      <c r="Q13" s="25"/>
      <c r="R13" s="25"/>
      <c r="S13" s="7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4" customFormat="1" ht="25.5" customHeight="1" x14ac:dyDescent="0.2">
      <c r="A14" s="780"/>
      <c r="B14" s="761"/>
      <c r="C14" s="164"/>
      <c r="D14" s="5"/>
      <c r="E14" s="1660" t="str">
        <f>Translations!$B$758</f>
        <v>Aprašas, priežastys ir metodai</v>
      </c>
      <c r="F14" s="1617"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17"/>
      <c r="H14" s="1617"/>
      <c r="I14" s="1617"/>
      <c r="J14" s="1617"/>
      <c r="K14" s="1617"/>
      <c r="L14" s="1617"/>
      <c r="M14" s="1617"/>
      <c r="N14" s="1617"/>
      <c r="O14" s="728"/>
      <c r="P14" s="25"/>
      <c r="Q14" s="25"/>
      <c r="R14" s="25"/>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4" customFormat="1" ht="25.5" customHeight="1" x14ac:dyDescent="0.2">
      <c r="A15" s="780"/>
      <c r="B15" s="761"/>
      <c r="C15" s="164"/>
      <c r="D15" s="5"/>
      <c r="E15" s="1661"/>
      <c r="F15" s="1615"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615"/>
      <c r="H15" s="1615"/>
      <c r="I15" s="1615"/>
      <c r="J15" s="1615"/>
      <c r="K15" s="1615"/>
      <c r="L15" s="1615"/>
      <c r="M15" s="1615"/>
      <c r="N15" s="1615"/>
      <c r="O15" s="728"/>
      <c r="P15" s="25"/>
      <c r="Q15" s="25"/>
      <c r="R15" s="25"/>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
      <c r="A16" s="757"/>
      <c r="B16" s="763"/>
      <c r="C16" s="164"/>
      <c r="D16" s="200"/>
      <c r="E16" s="232" t="str">
        <f>Translations!$B$761</f>
        <v>Apytiksliai nustatytas išmetamųjų ŠESD kiekis</v>
      </c>
      <c r="F16" s="1617"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17"/>
      <c r="H16" s="1617"/>
      <c r="I16" s="1617"/>
      <c r="J16" s="1617"/>
      <c r="K16" s="1617"/>
      <c r="L16" s="1617"/>
      <c r="M16" s="1617"/>
      <c r="N16" s="1617"/>
      <c r="O16" s="727"/>
      <c r="P16" s="25"/>
      <c r="Q16" s="25"/>
      <c r="R16" s="25"/>
      <c r="S16" s="7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78" ht="62.25" customHeight="1" x14ac:dyDescent="0.2">
      <c r="A17" s="757"/>
      <c r="B17" s="763"/>
      <c r="C17" s="164"/>
      <c r="D17" s="200"/>
      <c r="E17" s="230"/>
      <c r="F17" s="1615"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615"/>
      <c r="H17" s="1615"/>
      <c r="I17" s="1615"/>
      <c r="J17" s="1615"/>
      <c r="K17" s="1615"/>
      <c r="L17" s="1615"/>
      <c r="M17" s="1615"/>
      <c r="N17" s="1615"/>
      <c r="O17" s="727"/>
      <c r="P17" s="25"/>
      <c r="Q17" s="25"/>
      <c r="R17" s="25"/>
      <c r="S17" s="7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78" ht="12.75" customHeight="1" thickBot="1" x14ac:dyDescent="0.25">
      <c r="A18" s="757"/>
      <c r="B18" s="765"/>
      <c r="C18" s="490"/>
      <c r="D18" s="37"/>
      <c r="E18" s="492"/>
      <c r="F18" s="36"/>
      <c r="G18" s="39"/>
      <c r="H18" s="39"/>
      <c r="I18" s="39"/>
      <c r="J18" s="39"/>
      <c r="K18" s="39"/>
      <c r="L18" s="39"/>
      <c r="M18" s="39"/>
      <c r="N18" s="39"/>
      <c r="O18" s="725"/>
      <c r="P18" s="383"/>
      <c r="Q18" s="383"/>
      <c r="R18" s="383"/>
      <c r="S18" s="23"/>
      <c r="T18" s="23"/>
      <c r="U18" s="23"/>
      <c r="V18" s="23"/>
      <c r="W18" s="23"/>
      <c r="X18" s="23"/>
      <c r="Y18" s="23"/>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78" s="28" customFormat="1" ht="12.75" customHeight="1" x14ac:dyDescent="0.2">
      <c r="A19" s="782"/>
      <c r="B19" s="803"/>
      <c r="C19" s="486"/>
      <c r="D19" s="178"/>
      <c r="E19" s="487"/>
      <c r="F19" s="486"/>
      <c r="G19" s="478"/>
      <c r="H19" s="478"/>
      <c r="I19" s="478"/>
      <c r="J19" s="478"/>
      <c r="K19" s="486"/>
      <c r="L19" s="478"/>
      <c r="M19" s="478"/>
      <c r="N19" s="478"/>
      <c r="O19" s="729"/>
      <c r="P19" s="485"/>
      <c r="Q19" s="485"/>
      <c r="R19" s="485"/>
      <c r="S19" s="23"/>
      <c r="T19" s="23"/>
      <c r="U19" s="23"/>
      <c r="V19" s="23"/>
      <c r="W19" s="56"/>
      <c r="X19" s="56"/>
      <c r="Y19" s="56"/>
      <c r="Z19" s="58"/>
      <c r="AA19" s="58"/>
      <c r="AB19" s="58"/>
      <c r="AC19" s="58"/>
      <c r="AD19" s="58"/>
      <c r="AE19" s="58"/>
      <c r="AF19" s="58"/>
      <c r="AG19" s="58"/>
      <c r="AH19" s="58"/>
      <c r="AI19" s="58"/>
      <c r="AJ19" s="58"/>
      <c r="AK19" s="482"/>
      <c r="AL19" s="58"/>
      <c r="AM19" s="58"/>
      <c r="AN19" s="58"/>
      <c r="AO19" s="58"/>
      <c r="AP19" s="58"/>
      <c r="AQ19" s="58"/>
      <c r="AR19" s="58"/>
      <c r="AS19" s="58"/>
      <c r="AT19" s="58"/>
      <c r="AU19" s="58"/>
      <c r="AV19" s="58"/>
      <c r="AW19" s="58"/>
      <c r="AX19" s="58"/>
      <c r="AY19" s="58"/>
      <c r="AZ19" s="58"/>
      <c r="BA19" s="58"/>
      <c r="BB19" s="58"/>
      <c r="BC19" s="58"/>
      <c r="BD19" s="58"/>
      <c r="BE19" s="58"/>
      <c r="BF19" s="58"/>
      <c r="BG19" s="58"/>
      <c r="BH19" s="56"/>
      <c r="BI19" s="56"/>
      <c r="BJ19" s="56"/>
      <c r="BK19" s="56"/>
      <c r="BL19" s="56"/>
      <c r="BM19" s="56"/>
      <c r="BN19" s="56"/>
      <c r="BO19" s="56"/>
      <c r="BP19" s="56"/>
      <c r="BQ19" s="56"/>
      <c r="BR19" s="56"/>
      <c r="BS19" s="56"/>
      <c r="BT19" s="56"/>
      <c r="BU19" s="56"/>
      <c r="BV19" s="56"/>
      <c r="BW19" s="56"/>
      <c r="BX19" s="56"/>
      <c r="BY19" s="56"/>
      <c r="BZ19" s="484"/>
    </row>
    <row r="20" spans="1:78" s="28" customFormat="1" ht="38.85" customHeight="1" x14ac:dyDescent="0.2">
      <c r="A20" s="782"/>
      <c r="B20" s="803"/>
      <c r="C20" s="486"/>
      <c r="D20" s="1718" t="str">
        <f>Translations!$B$752</f>
        <v>Sukėliklio pavadinimas arba kitoks identifikatorius</v>
      </c>
      <c r="E20" s="1718"/>
      <c r="F20" s="1718"/>
      <c r="G20" s="1718"/>
      <c r="H20" s="851" t="str">
        <f>Translations!$B$764</f>
        <v>nuo</v>
      </c>
      <c r="I20" s="851" t="str">
        <f>Translations!$B$765</f>
        <v>iki</v>
      </c>
      <c r="J20" s="1719" t="str">
        <f>Translations!$B$758</f>
        <v>Aprašas, priežastys ir metodai</v>
      </c>
      <c r="K20" s="1719"/>
      <c r="L20" s="1719"/>
      <c r="M20" s="1719"/>
      <c r="N20" s="989" t="str">
        <f>Translations!$B$766</f>
        <v>Apytiksliai nustatytas išmetamųjų ŠESD kiekis 
(CO2(e) tonos)</v>
      </c>
      <c r="O20" s="729"/>
      <c r="P20" s="485"/>
      <c r="Q20" s="485"/>
      <c r="R20" s="485"/>
      <c r="S20" s="23"/>
      <c r="T20" s="496"/>
      <c r="U20" s="990"/>
      <c r="V20" s="76"/>
      <c r="W20" s="56"/>
      <c r="X20" s="56"/>
      <c r="Y20" s="56"/>
      <c r="Z20" s="58"/>
      <c r="AA20" s="58"/>
      <c r="AB20" s="58"/>
      <c r="AC20" s="58"/>
      <c r="AD20" s="58"/>
      <c r="AE20" s="58"/>
      <c r="AF20" s="58"/>
      <c r="AG20" s="58"/>
      <c r="AH20" s="58"/>
      <c r="AI20" s="58"/>
      <c r="AJ20" s="58"/>
      <c r="AK20" s="482"/>
      <c r="AL20" s="58"/>
      <c r="AM20" s="58"/>
      <c r="AN20" s="58"/>
      <c r="AO20" s="58"/>
      <c r="AP20" s="58"/>
      <c r="AQ20" s="58"/>
      <c r="AR20" s="58"/>
      <c r="AS20" s="58"/>
      <c r="AT20" s="58"/>
      <c r="AU20" s="58"/>
      <c r="AV20" s="58"/>
      <c r="AW20" s="58"/>
      <c r="AX20" s="58"/>
      <c r="AY20" s="58"/>
      <c r="AZ20" s="58"/>
      <c r="BA20" s="58"/>
      <c r="BB20" s="58"/>
      <c r="BC20" s="58"/>
      <c r="BD20" s="58"/>
      <c r="BE20" s="58"/>
      <c r="BF20" s="58"/>
      <c r="BG20" s="58"/>
      <c r="BH20" s="56"/>
      <c r="BI20" s="56"/>
      <c r="BJ20" s="56"/>
      <c r="BK20" s="56"/>
      <c r="BL20" s="56"/>
      <c r="BM20" s="56"/>
      <c r="BN20" s="56"/>
      <c r="BO20" s="56"/>
      <c r="BP20" s="56"/>
      <c r="BQ20" s="56"/>
      <c r="BR20" s="56"/>
      <c r="BS20" s="56"/>
      <c r="BT20" s="56"/>
      <c r="BU20" s="56"/>
      <c r="BV20" s="56"/>
      <c r="BW20" s="56"/>
      <c r="BX20" s="56"/>
      <c r="BY20" s="56"/>
      <c r="BZ20" s="484"/>
    </row>
    <row r="21" spans="1:78" s="28" customFormat="1" ht="12.75" customHeight="1" x14ac:dyDescent="0.2">
      <c r="A21" s="782"/>
      <c r="B21" s="803"/>
      <c r="C21" s="486">
        <v>1</v>
      </c>
      <c r="D21" s="1717"/>
      <c r="E21" s="1717"/>
      <c r="F21" s="1717"/>
      <c r="G21" s="1717"/>
      <c r="H21" s="1018"/>
      <c r="I21" s="1018"/>
      <c r="J21" s="1715"/>
      <c r="K21" s="1715"/>
      <c r="L21" s="1715"/>
      <c r="M21" s="1716"/>
      <c r="N21" s="1019"/>
      <c r="O21" s="729"/>
      <c r="P21" s="485"/>
      <c r="Q21" s="485"/>
      <c r="R21" s="485"/>
      <c r="S21" s="23"/>
      <c r="T21" s="496"/>
      <c r="U21" s="990"/>
      <c r="V21" s="76"/>
      <c r="W21" s="56"/>
      <c r="X21" s="56"/>
      <c r="Y21" s="56"/>
      <c r="Z21" s="58"/>
      <c r="AA21" s="58"/>
      <c r="AB21" s="58"/>
      <c r="AC21" s="58"/>
      <c r="AD21" s="58"/>
      <c r="AE21" s="58"/>
      <c r="AF21" s="58"/>
      <c r="AG21" s="58"/>
      <c r="AH21" s="58"/>
      <c r="AI21" s="58"/>
      <c r="AJ21" s="58"/>
      <c r="AK21" s="482"/>
      <c r="AL21" s="58"/>
      <c r="AM21" s="58"/>
      <c r="AN21" s="58"/>
      <c r="AO21" s="58"/>
      <c r="AP21" s="58"/>
      <c r="AQ21" s="58"/>
      <c r="AR21" s="58"/>
      <c r="AS21" s="58"/>
      <c r="AT21" s="58"/>
      <c r="AU21" s="58"/>
      <c r="AV21" s="58"/>
      <c r="AW21" s="58"/>
      <c r="AX21" s="58"/>
      <c r="AY21" s="58"/>
      <c r="AZ21" s="58"/>
      <c r="BA21" s="58"/>
      <c r="BB21" s="58"/>
      <c r="BC21" s="58"/>
      <c r="BD21" s="58"/>
      <c r="BE21" s="58"/>
      <c r="BF21" s="58"/>
      <c r="BG21" s="58"/>
      <c r="BH21" s="56"/>
      <c r="BI21" s="56"/>
      <c r="BJ21" s="56"/>
      <c r="BK21" s="56"/>
      <c r="BL21" s="56"/>
      <c r="BM21" s="56"/>
      <c r="BN21" s="56"/>
      <c r="BO21" s="56"/>
      <c r="BP21" s="56"/>
      <c r="BQ21" s="56"/>
      <c r="BR21" s="56"/>
      <c r="BS21" s="56"/>
      <c r="BT21" s="56"/>
      <c r="BU21" s="56"/>
      <c r="BV21" s="56"/>
      <c r="BW21" s="56"/>
      <c r="BX21" s="56"/>
      <c r="BY21" s="56"/>
      <c r="BZ21" s="484"/>
    </row>
    <row r="22" spans="1:78" s="28" customFormat="1" ht="12.75" customHeight="1" x14ac:dyDescent="0.2">
      <c r="A22" s="782"/>
      <c r="B22" s="803"/>
      <c r="C22" s="486">
        <v>2</v>
      </c>
      <c r="D22" s="1717"/>
      <c r="E22" s="1717"/>
      <c r="F22" s="1717"/>
      <c r="G22" s="1717"/>
      <c r="H22" s="1018"/>
      <c r="I22" s="1018"/>
      <c r="J22" s="1715"/>
      <c r="K22" s="1715"/>
      <c r="L22" s="1715"/>
      <c r="M22" s="1715"/>
      <c r="N22" s="1019"/>
      <c r="O22" s="729"/>
      <c r="P22" s="485"/>
      <c r="Q22" s="485"/>
      <c r="R22" s="485"/>
      <c r="S22" s="23"/>
      <c r="T22" s="496"/>
      <c r="U22" s="990"/>
      <c r="V22" s="76"/>
      <c r="W22" s="56"/>
      <c r="X22" s="56"/>
      <c r="Y22" s="56"/>
      <c r="Z22" s="58"/>
      <c r="AA22" s="58"/>
      <c r="AB22" s="58"/>
      <c r="AC22" s="58"/>
      <c r="AD22" s="58"/>
      <c r="AE22" s="58"/>
      <c r="AF22" s="58"/>
      <c r="AG22" s="58"/>
      <c r="AH22" s="58"/>
      <c r="AI22" s="58"/>
      <c r="AJ22" s="58"/>
      <c r="AK22" s="482"/>
      <c r="AL22" s="58"/>
      <c r="AM22" s="58"/>
      <c r="AN22" s="58"/>
      <c r="AO22" s="58"/>
      <c r="AP22" s="58"/>
      <c r="AQ22" s="58"/>
      <c r="AR22" s="58"/>
      <c r="AS22" s="58"/>
      <c r="AT22" s="58"/>
      <c r="AU22" s="58"/>
      <c r="AV22" s="58"/>
      <c r="AW22" s="58"/>
      <c r="AX22" s="58"/>
      <c r="AY22" s="58"/>
      <c r="AZ22" s="58"/>
      <c r="BA22" s="58"/>
      <c r="BB22" s="58"/>
      <c r="BC22" s="58"/>
      <c r="BD22" s="58"/>
      <c r="BE22" s="58"/>
      <c r="BF22" s="58"/>
      <c r="BG22" s="58"/>
      <c r="BH22" s="56"/>
      <c r="BI22" s="56"/>
      <c r="BJ22" s="56"/>
      <c r="BK22" s="56"/>
      <c r="BL22" s="56"/>
      <c r="BM22" s="56"/>
      <c r="BN22" s="56"/>
      <c r="BO22" s="56"/>
      <c r="BP22" s="56"/>
      <c r="BQ22" s="56"/>
      <c r="BR22" s="56"/>
      <c r="BS22" s="56"/>
      <c r="BT22" s="56"/>
      <c r="BU22" s="56"/>
      <c r="BV22" s="56"/>
      <c r="BW22" s="56"/>
      <c r="BX22" s="56"/>
      <c r="BY22" s="56"/>
      <c r="BZ22" s="484"/>
    </row>
    <row r="23" spans="1:78" s="28" customFormat="1" ht="12.75" customHeight="1" x14ac:dyDescent="0.2">
      <c r="A23" s="782"/>
      <c r="B23" s="803"/>
      <c r="C23" s="486">
        <v>3</v>
      </c>
      <c r="D23" s="1717"/>
      <c r="E23" s="1717"/>
      <c r="F23" s="1717"/>
      <c r="G23" s="1717"/>
      <c r="H23" s="1018"/>
      <c r="I23" s="1018"/>
      <c r="J23" s="1715"/>
      <c r="K23" s="1715"/>
      <c r="L23" s="1715"/>
      <c r="M23" s="1715"/>
      <c r="N23" s="1019"/>
      <c r="O23" s="729"/>
      <c r="P23" s="485"/>
      <c r="Q23" s="485"/>
      <c r="R23" s="485"/>
      <c r="S23" s="23"/>
      <c r="T23" s="496"/>
      <c r="U23" s="990"/>
      <c r="V23" s="76"/>
      <c r="W23" s="56"/>
      <c r="X23" s="56"/>
      <c r="Y23" s="56"/>
      <c r="Z23" s="58"/>
      <c r="AA23" s="58"/>
      <c r="AB23" s="58"/>
      <c r="AC23" s="58"/>
      <c r="AD23" s="58"/>
      <c r="AE23" s="58"/>
      <c r="AF23" s="58"/>
      <c r="AG23" s="58"/>
      <c r="AH23" s="58"/>
      <c r="AI23" s="58"/>
      <c r="AJ23" s="58"/>
      <c r="AK23" s="482"/>
      <c r="AL23" s="58"/>
      <c r="AM23" s="58"/>
      <c r="AN23" s="58"/>
      <c r="AO23" s="58"/>
      <c r="AP23" s="58"/>
      <c r="AQ23" s="58"/>
      <c r="AR23" s="58"/>
      <c r="AS23" s="58"/>
      <c r="AT23" s="58"/>
      <c r="AU23" s="58"/>
      <c r="AV23" s="58"/>
      <c r="AW23" s="58"/>
      <c r="AX23" s="58"/>
      <c r="AY23" s="58"/>
      <c r="AZ23" s="58"/>
      <c r="BA23" s="58"/>
      <c r="BB23" s="58"/>
      <c r="BC23" s="58"/>
      <c r="BD23" s="58"/>
      <c r="BE23" s="58"/>
      <c r="BF23" s="58"/>
      <c r="BG23" s="58"/>
      <c r="BH23" s="56"/>
      <c r="BI23" s="56"/>
      <c r="BJ23" s="56"/>
      <c r="BK23" s="56"/>
      <c r="BL23" s="56"/>
      <c r="BM23" s="56"/>
      <c r="BN23" s="56"/>
      <c r="BO23" s="56"/>
      <c r="BP23" s="56"/>
      <c r="BQ23" s="56"/>
      <c r="BR23" s="56"/>
      <c r="BS23" s="56"/>
      <c r="BT23" s="56"/>
      <c r="BU23" s="56"/>
      <c r="BV23" s="56"/>
      <c r="BW23" s="56"/>
      <c r="BX23" s="56"/>
      <c r="BY23" s="56"/>
      <c r="BZ23" s="484"/>
    </row>
    <row r="24" spans="1:78" s="28" customFormat="1" ht="12.75" customHeight="1" x14ac:dyDescent="0.2">
      <c r="A24" s="782"/>
      <c r="B24" s="803"/>
      <c r="C24" s="486">
        <v>4</v>
      </c>
      <c r="D24" s="1717"/>
      <c r="E24" s="1717"/>
      <c r="F24" s="1717"/>
      <c r="G24" s="1717"/>
      <c r="H24" s="1018"/>
      <c r="I24" s="1018"/>
      <c r="J24" s="1715"/>
      <c r="K24" s="1715"/>
      <c r="L24" s="1715"/>
      <c r="M24" s="1715"/>
      <c r="N24" s="1019"/>
      <c r="O24" s="729"/>
      <c r="P24" s="485"/>
      <c r="Q24" s="485"/>
      <c r="R24" s="485"/>
      <c r="S24" s="23"/>
      <c r="T24" s="496"/>
      <c r="U24" s="990"/>
      <c r="V24" s="76"/>
      <c r="W24" s="56"/>
      <c r="X24" s="56"/>
      <c r="Y24" s="56"/>
      <c r="Z24" s="58"/>
      <c r="AA24" s="58"/>
      <c r="AB24" s="58"/>
      <c r="AC24" s="58"/>
      <c r="AD24" s="58"/>
      <c r="AE24" s="58"/>
      <c r="AF24" s="58"/>
      <c r="AG24" s="58"/>
      <c r="AH24" s="58"/>
      <c r="AI24" s="58"/>
      <c r="AJ24" s="58"/>
      <c r="AK24" s="482"/>
      <c r="AL24" s="58"/>
      <c r="AM24" s="58"/>
      <c r="AN24" s="58"/>
      <c r="AO24" s="58"/>
      <c r="AP24" s="58"/>
      <c r="AQ24" s="58"/>
      <c r="AR24" s="58"/>
      <c r="AS24" s="58"/>
      <c r="AT24" s="58"/>
      <c r="AU24" s="58"/>
      <c r="AV24" s="58"/>
      <c r="AW24" s="58"/>
      <c r="AX24" s="58"/>
      <c r="AY24" s="58"/>
      <c r="AZ24" s="58"/>
      <c r="BA24" s="58"/>
      <c r="BB24" s="58"/>
      <c r="BC24" s="58"/>
      <c r="BD24" s="58"/>
      <c r="BE24" s="58"/>
      <c r="BF24" s="58"/>
      <c r="BG24" s="58"/>
      <c r="BH24" s="56"/>
      <c r="BI24" s="56"/>
      <c r="BJ24" s="56"/>
      <c r="BK24" s="56"/>
      <c r="BL24" s="56"/>
      <c r="BM24" s="56"/>
      <c r="BN24" s="56"/>
      <c r="BO24" s="56"/>
      <c r="BP24" s="56"/>
      <c r="BQ24" s="56"/>
      <c r="BR24" s="56"/>
      <c r="BS24" s="56"/>
      <c r="BT24" s="56"/>
      <c r="BU24" s="56"/>
      <c r="BV24" s="56"/>
      <c r="BW24" s="56"/>
      <c r="BX24" s="56"/>
      <c r="BY24" s="56"/>
      <c r="BZ24" s="484"/>
    </row>
    <row r="25" spans="1:78" s="28" customFormat="1" ht="12.75" customHeight="1" x14ac:dyDescent="0.2">
      <c r="A25" s="782"/>
      <c r="B25" s="803"/>
      <c r="C25" s="486">
        <v>5</v>
      </c>
      <c r="D25" s="1717"/>
      <c r="E25" s="1717"/>
      <c r="F25" s="1717"/>
      <c r="G25" s="1717"/>
      <c r="H25" s="1018"/>
      <c r="I25" s="1018"/>
      <c r="J25" s="1715"/>
      <c r="K25" s="1715"/>
      <c r="L25" s="1715"/>
      <c r="M25" s="1715"/>
      <c r="N25" s="1019"/>
      <c r="O25" s="729"/>
      <c r="P25" s="485"/>
      <c r="Q25" s="485"/>
      <c r="R25" s="485"/>
      <c r="S25" s="23"/>
      <c r="T25" s="496"/>
      <c r="U25" s="990"/>
      <c r="V25" s="76"/>
      <c r="W25" s="56"/>
      <c r="X25" s="56"/>
      <c r="Y25" s="56"/>
      <c r="Z25" s="58"/>
      <c r="AA25" s="58"/>
      <c r="AB25" s="58"/>
      <c r="AC25" s="58"/>
      <c r="AD25" s="58"/>
      <c r="AE25" s="58"/>
      <c r="AF25" s="58"/>
      <c r="AG25" s="58"/>
      <c r="AH25" s="58"/>
      <c r="AI25" s="58"/>
      <c r="AJ25" s="58"/>
      <c r="AK25" s="482"/>
      <c r="AL25" s="58"/>
      <c r="AM25" s="58"/>
      <c r="AN25" s="58"/>
      <c r="AO25" s="58"/>
      <c r="AP25" s="58"/>
      <c r="AQ25" s="58"/>
      <c r="AR25" s="58"/>
      <c r="AS25" s="58"/>
      <c r="AT25" s="58"/>
      <c r="AU25" s="58"/>
      <c r="AV25" s="58"/>
      <c r="AW25" s="58"/>
      <c r="AX25" s="58"/>
      <c r="AY25" s="58"/>
      <c r="AZ25" s="58"/>
      <c r="BA25" s="58"/>
      <c r="BB25" s="58"/>
      <c r="BC25" s="58"/>
      <c r="BD25" s="58"/>
      <c r="BE25" s="58"/>
      <c r="BF25" s="58"/>
      <c r="BG25" s="58"/>
      <c r="BH25" s="56"/>
      <c r="BI25" s="56"/>
      <c r="BJ25" s="56"/>
      <c r="BK25" s="56"/>
      <c r="BL25" s="56"/>
      <c r="BM25" s="56"/>
      <c r="BN25" s="56"/>
      <c r="BO25" s="56"/>
      <c r="BP25" s="56"/>
      <c r="BQ25" s="56"/>
      <c r="BR25" s="56"/>
      <c r="BS25" s="56"/>
      <c r="BT25" s="56"/>
      <c r="BU25" s="56"/>
      <c r="BV25" s="56"/>
      <c r="BW25" s="56"/>
      <c r="BX25" s="56"/>
      <c r="BY25" s="56"/>
      <c r="BZ25" s="484"/>
    </row>
    <row r="26" spans="1:78" s="28" customFormat="1" ht="12.75" customHeight="1" x14ac:dyDescent="0.2">
      <c r="A26" s="782"/>
      <c r="B26" s="803"/>
      <c r="C26" s="486">
        <v>6</v>
      </c>
      <c r="D26" s="1717"/>
      <c r="E26" s="1717"/>
      <c r="F26" s="1717"/>
      <c r="G26" s="1717"/>
      <c r="H26" s="1018"/>
      <c r="I26" s="1018"/>
      <c r="J26" s="1715"/>
      <c r="K26" s="1715"/>
      <c r="L26" s="1715"/>
      <c r="M26" s="1715"/>
      <c r="N26" s="1019"/>
      <c r="O26" s="729"/>
      <c r="P26" s="485"/>
      <c r="Q26" s="485"/>
      <c r="R26" s="485"/>
      <c r="S26" s="23"/>
      <c r="T26" s="496"/>
      <c r="U26" s="990"/>
      <c r="V26" s="76"/>
      <c r="W26" s="56"/>
      <c r="X26" s="56"/>
      <c r="Y26" s="56"/>
      <c r="Z26" s="58"/>
      <c r="AA26" s="58"/>
      <c r="AB26" s="58"/>
      <c r="AC26" s="58"/>
      <c r="AD26" s="58"/>
      <c r="AE26" s="58"/>
      <c r="AF26" s="58"/>
      <c r="AG26" s="58"/>
      <c r="AH26" s="58"/>
      <c r="AI26" s="58"/>
      <c r="AJ26" s="58"/>
      <c r="AK26" s="482"/>
      <c r="AL26" s="58"/>
      <c r="AM26" s="58"/>
      <c r="AN26" s="58"/>
      <c r="AO26" s="58"/>
      <c r="AP26" s="58"/>
      <c r="AQ26" s="58"/>
      <c r="AR26" s="58"/>
      <c r="AS26" s="58"/>
      <c r="AT26" s="58"/>
      <c r="AU26" s="58"/>
      <c r="AV26" s="58"/>
      <c r="AW26" s="58"/>
      <c r="AX26" s="58"/>
      <c r="AY26" s="58"/>
      <c r="AZ26" s="58"/>
      <c r="BA26" s="58"/>
      <c r="BB26" s="58"/>
      <c r="BC26" s="58"/>
      <c r="BD26" s="58"/>
      <c r="BE26" s="58"/>
      <c r="BF26" s="58"/>
      <c r="BG26" s="58"/>
      <c r="BH26" s="56"/>
      <c r="BI26" s="56"/>
      <c r="BJ26" s="56"/>
      <c r="BK26" s="56"/>
      <c r="BL26" s="56"/>
      <c r="BM26" s="56"/>
      <c r="BN26" s="56"/>
      <c r="BO26" s="56"/>
      <c r="BP26" s="56"/>
      <c r="BQ26" s="56"/>
      <c r="BR26" s="56"/>
      <c r="BS26" s="56"/>
      <c r="BT26" s="56"/>
      <c r="BU26" s="56"/>
      <c r="BV26" s="56"/>
      <c r="BW26" s="56"/>
      <c r="BX26" s="56"/>
      <c r="BY26" s="56"/>
      <c r="BZ26" s="484"/>
    </row>
    <row r="27" spans="1:78" s="28" customFormat="1" ht="12.75" customHeight="1" x14ac:dyDescent="0.2">
      <c r="A27" s="782"/>
      <c r="B27" s="803"/>
      <c r="C27" s="486">
        <v>7</v>
      </c>
      <c r="D27" s="1717"/>
      <c r="E27" s="1717"/>
      <c r="F27" s="1717"/>
      <c r="G27" s="1717"/>
      <c r="H27" s="1018"/>
      <c r="I27" s="1018"/>
      <c r="J27" s="1715"/>
      <c r="K27" s="1715"/>
      <c r="L27" s="1715"/>
      <c r="M27" s="1715"/>
      <c r="N27" s="1019"/>
      <c r="O27" s="729"/>
      <c r="P27" s="485"/>
      <c r="Q27" s="485"/>
      <c r="R27" s="485"/>
      <c r="S27" s="23"/>
      <c r="T27" s="496"/>
      <c r="U27" s="990"/>
      <c r="V27" s="76"/>
      <c r="W27" s="56"/>
      <c r="X27" s="56"/>
      <c r="Y27" s="56"/>
      <c r="Z27" s="58"/>
      <c r="AA27" s="58"/>
      <c r="AB27" s="58"/>
      <c r="AC27" s="58"/>
      <c r="AD27" s="58"/>
      <c r="AE27" s="58"/>
      <c r="AF27" s="58"/>
      <c r="AG27" s="58"/>
      <c r="AH27" s="58"/>
      <c r="AI27" s="58"/>
      <c r="AJ27" s="58"/>
      <c r="AK27" s="482"/>
      <c r="AL27" s="58"/>
      <c r="AM27" s="58"/>
      <c r="AN27" s="58"/>
      <c r="AO27" s="58"/>
      <c r="AP27" s="58"/>
      <c r="AQ27" s="58"/>
      <c r="AR27" s="58"/>
      <c r="AS27" s="58"/>
      <c r="AT27" s="58"/>
      <c r="AU27" s="58"/>
      <c r="AV27" s="58"/>
      <c r="AW27" s="58"/>
      <c r="AX27" s="58"/>
      <c r="AY27" s="58"/>
      <c r="AZ27" s="58"/>
      <c r="BA27" s="58"/>
      <c r="BB27" s="58"/>
      <c r="BC27" s="58"/>
      <c r="BD27" s="58"/>
      <c r="BE27" s="58"/>
      <c r="BF27" s="58"/>
      <c r="BG27" s="58"/>
      <c r="BH27" s="56"/>
      <c r="BI27" s="56"/>
      <c r="BJ27" s="56"/>
      <c r="BK27" s="56"/>
      <c r="BL27" s="56"/>
      <c r="BM27" s="56"/>
      <c r="BN27" s="56"/>
      <c r="BO27" s="56"/>
      <c r="BP27" s="56"/>
      <c r="BQ27" s="56"/>
      <c r="BR27" s="56"/>
      <c r="BS27" s="56"/>
      <c r="BT27" s="56"/>
      <c r="BU27" s="56"/>
      <c r="BV27" s="56"/>
      <c r="BW27" s="56"/>
      <c r="BX27" s="56"/>
      <c r="BY27" s="56"/>
      <c r="BZ27" s="484"/>
    </row>
    <row r="28" spans="1:78" s="28" customFormat="1" ht="12.75" customHeight="1" x14ac:dyDescent="0.2">
      <c r="A28" s="782"/>
      <c r="B28" s="803"/>
      <c r="C28" s="486">
        <v>8</v>
      </c>
      <c r="D28" s="1717"/>
      <c r="E28" s="1717"/>
      <c r="F28" s="1717"/>
      <c r="G28" s="1717"/>
      <c r="H28" s="1018"/>
      <c r="I28" s="1018"/>
      <c r="J28" s="1715"/>
      <c r="K28" s="1715"/>
      <c r="L28" s="1715"/>
      <c r="M28" s="1715"/>
      <c r="N28" s="1019"/>
      <c r="O28" s="729"/>
      <c r="P28" s="485"/>
      <c r="Q28" s="485"/>
      <c r="R28" s="485"/>
      <c r="S28" s="23"/>
      <c r="T28" s="496"/>
      <c r="U28" s="990"/>
      <c r="V28" s="76"/>
      <c r="W28" s="56"/>
      <c r="X28" s="56"/>
      <c r="Y28" s="56"/>
      <c r="Z28" s="58"/>
      <c r="AA28" s="58"/>
      <c r="AB28" s="58"/>
      <c r="AC28" s="58"/>
      <c r="AD28" s="58"/>
      <c r="AE28" s="58"/>
      <c r="AF28" s="58"/>
      <c r="AG28" s="58"/>
      <c r="AH28" s="58"/>
      <c r="AI28" s="58"/>
      <c r="AJ28" s="58"/>
      <c r="AK28" s="482"/>
      <c r="AL28" s="58"/>
      <c r="AM28" s="58"/>
      <c r="AN28" s="58"/>
      <c r="AO28" s="58"/>
      <c r="AP28" s="58"/>
      <c r="AQ28" s="58"/>
      <c r="AR28" s="58"/>
      <c r="AS28" s="58"/>
      <c r="AT28" s="58"/>
      <c r="AU28" s="58"/>
      <c r="AV28" s="58"/>
      <c r="AW28" s="58"/>
      <c r="AX28" s="58"/>
      <c r="AY28" s="58"/>
      <c r="AZ28" s="58"/>
      <c r="BA28" s="58"/>
      <c r="BB28" s="58"/>
      <c r="BC28" s="58"/>
      <c r="BD28" s="58"/>
      <c r="BE28" s="58"/>
      <c r="BF28" s="58"/>
      <c r="BG28" s="58"/>
      <c r="BH28" s="56"/>
      <c r="BI28" s="56"/>
      <c r="BJ28" s="56"/>
      <c r="BK28" s="56"/>
      <c r="BL28" s="56"/>
      <c r="BM28" s="56"/>
      <c r="BN28" s="56"/>
      <c r="BO28" s="56"/>
      <c r="BP28" s="56"/>
      <c r="BQ28" s="56"/>
      <c r="BR28" s="56"/>
      <c r="BS28" s="56"/>
      <c r="BT28" s="56"/>
      <c r="BU28" s="56"/>
      <c r="BV28" s="56"/>
      <c r="BW28" s="56"/>
      <c r="BX28" s="56"/>
      <c r="BY28" s="56"/>
      <c r="BZ28" s="484"/>
    </row>
    <row r="29" spans="1:78" s="28" customFormat="1" ht="12.75" customHeight="1" x14ac:dyDescent="0.2">
      <c r="A29" s="782"/>
      <c r="B29" s="803"/>
      <c r="C29" s="486">
        <v>9</v>
      </c>
      <c r="D29" s="1717"/>
      <c r="E29" s="1717"/>
      <c r="F29" s="1717"/>
      <c r="G29" s="1717"/>
      <c r="H29" s="1018"/>
      <c r="I29" s="1018"/>
      <c r="J29" s="1715"/>
      <c r="K29" s="1715"/>
      <c r="L29" s="1715"/>
      <c r="M29" s="1715"/>
      <c r="N29" s="1019"/>
      <c r="O29" s="729"/>
      <c r="P29" s="485"/>
      <c r="Q29" s="485"/>
      <c r="R29" s="485"/>
      <c r="S29" s="23"/>
      <c r="T29" s="496"/>
      <c r="U29" s="990"/>
      <c r="V29" s="76"/>
      <c r="W29" s="56"/>
      <c r="X29" s="56"/>
      <c r="Y29" s="56"/>
      <c r="Z29" s="58"/>
      <c r="AA29" s="58"/>
      <c r="AB29" s="58"/>
      <c r="AC29" s="58"/>
      <c r="AD29" s="58"/>
      <c r="AE29" s="58"/>
      <c r="AF29" s="58"/>
      <c r="AG29" s="58"/>
      <c r="AH29" s="58"/>
      <c r="AI29" s="58"/>
      <c r="AJ29" s="58"/>
      <c r="AK29" s="482"/>
      <c r="AL29" s="58"/>
      <c r="AM29" s="58"/>
      <c r="AN29" s="58"/>
      <c r="AO29" s="58"/>
      <c r="AP29" s="58"/>
      <c r="AQ29" s="58"/>
      <c r="AR29" s="58"/>
      <c r="AS29" s="58"/>
      <c r="AT29" s="58"/>
      <c r="AU29" s="58"/>
      <c r="AV29" s="58"/>
      <c r="AW29" s="58"/>
      <c r="AX29" s="58"/>
      <c r="AY29" s="58"/>
      <c r="AZ29" s="58"/>
      <c r="BA29" s="58"/>
      <c r="BB29" s="58"/>
      <c r="BC29" s="58"/>
      <c r="BD29" s="58"/>
      <c r="BE29" s="58"/>
      <c r="BF29" s="58"/>
      <c r="BG29" s="58"/>
      <c r="BH29" s="56"/>
      <c r="BI29" s="56"/>
      <c r="BJ29" s="56"/>
      <c r="BK29" s="56"/>
      <c r="BL29" s="56"/>
      <c r="BM29" s="56"/>
      <c r="BN29" s="56"/>
      <c r="BO29" s="56"/>
      <c r="BP29" s="56"/>
      <c r="BQ29" s="56"/>
      <c r="BR29" s="56"/>
      <c r="BS29" s="56"/>
      <c r="BT29" s="56"/>
      <c r="BU29" s="56"/>
      <c r="BV29" s="56"/>
      <c r="BW29" s="56"/>
      <c r="BX29" s="56"/>
      <c r="BY29" s="56"/>
      <c r="BZ29" s="484"/>
    </row>
    <row r="30" spans="1:78" s="28" customFormat="1" ht="12.75" customHeight="1" x14ac:dyDescent="0.2">
      <c r="A30" s="782"/>
      <c r="B30" s="803"/>
      <c r="C30" s="486">
        <v>10</v>
      </c>
      <c r="D30" s="1717"/>
      <c r="E30" s="1717"/>
      <c r="F30" s="1717"/>
      <c r="G30" s="1717"/>
      <c r="H30" s="1018"/>
      <c r="I30" s="1018"/>
      <c r="J30" s="1715"/>
      <c r="K30" s="1715"/>
      <c r="L30" s="1715"/>
      <c r="M30" s="1715"/>
      <c r="N30" s="1019"/>
      <c r="O30" s="729"/>
      <c r="P30" s="485"/>
      <c r="Q30" s="485"/>
      <c r="R30" s="485"/>
      <c r="S30" s="23"/>
      <c r="T30" s="496"/>
      <c r="U30" s="990"/>
      <c r="V30" s="76"/>
      <c r="W30" s="56"/>
      <c r="X30" s="56"/>
      <c r="Y30" s="56"/>
      <c r="Z30" s="58"/>
      <c r="AA30" s="58"/>
      <c r="AB30" s="58"/>
      <c r="AC30" s="58"/>
      <c r="AD30" s="58"/>
      <c r="AE30" s="58"/>
      <c r="AF30" s="58"/>
      <c r="AG30" s="58"/>
      <c r="AH30" s="58"/>
      <c r="AI30" s="58"/>
      <c r="AJ30" s="58"/>
      <c r="AK30" s="482"/>
      <c r="AL30" s="58"/>
      <c r="AM30" s="58"/>
      <c r="AN30" s="58"/>
      <c r="AO30" s="58"/>
      <c r="AP30" s="58"/>
      <c r="AQ30" s="58"/>
      <c r="AR30" s="58"/>
      <c r="AS30" s="58"/>
      <c r="AT30" s="58"/>
      <c r="AU30" s="58"/>
      <c r="AV30" s="58"/>
      <c r="AW30" s="58"/>
      <c r="AX30" s="58"/>
      <c r="AY30" s="58"/>
      <c r="AZ30" s="58"/>
      <c r="BA30" s="58"/>
      <c r="BB30" s="58"/>
      <c r="BC30" s="58"/>
      <c r="BD30" s="58"/>
      <c r="BE30" s="58"/>
      <c r="BF30" s="58"/>
      <c r="BG30" s="58"/>
      <c r="BH30" s="56"/>
      <c r="BI30" s="56"/>
      <c r="BJ30" s="56"/>
      <c r="BK30" s="56"/>
      <c r="BL30" s="56"/>
      <c r="BM30" s="56"/>
      <c r="BN30" s="56"/>
      <c r="BO30" s="56"/>
      <c r="BP30" s="56"/>
      <c r="BQ30" s="56"/>
      <c r="BR30" s="56"/>
      <c r="BS30" s="56"/>
      <c r="BT30" s="56"/>
      <c r="BU30" s="56"/>
      <c r="BV30" s="56"/>
      <c r="BW30" s="56"/>
      <c r="BX30" s="56"/>
      <c r="BY30" s="56"/>
      <c r="BZ30" s="484"/>
    </row>
    <row r="31" spans="1:78" s="28" customFormat="1" ht="12.75" customHeight="1" x14ac:dyDescent="0.2">
      <c r="A31" s="782"/>
      <c r="B31" s="803"/>
      <c r="C31" s="486">
        <v>11</v>
      </c>
      <c r="D31" s="1717"/>
      <c r="E31" s="1717"/>
      <c r="F31" s="1717"/>
      <c r="G31" s="1717"/>
      <c r="H31" s="1018"/>
      <c r="I31" s="1018"/>
      <c r="J31" s="1715"/>
      <c r="K31" s="1715"/>
      <c r="L31" s="1715"/>
      <c r="M31" s="1715"/>
      <c r="N31" s="1019"/>
      <c r="O31" s="729"/>
      <c r="P31" s="485"/>
      <c r="Q31" s="485"/>
      <c r="R31" s="485"/>
      <c r="S31" s="23"/>
      <c r="T31" s="496"/>
      <c r="U31" s="990"/>
      <c r="V31" s="76"/>
      <c r="W31" s="56"/>
      <c r="X31" s="56"/>
      <c r="Y31" s="56"/>
      <c r="Z31" s="58"/>
      <c r="AA31" s="58"/>
      <c r="AB31" s="58"/>
      <c r="AC31" s="58"/>
      <c r="AD31" s="58"/>
      <c r="AE31" s="58"/>
      <c r="AF31" s="58"/>
      <c r="AG31" s="58"/>
      <c r="AH31" s="58"/>
      <c r="AI31" s="58"/>
      <c r="AJ31" s="58"/>
      <c r="AK31" s="482"/>
      <c r="AL31" s="58"/>
      <c r="AM31" s="58"/>
      <c r="AN31" s="58"/>
      <c r="AO31" s="58"/>
      <c r="AP31" s="58"/>
      <c r="AQ31" s="58"/>
      <c r="AR31" s="58"/>
      <c r="AS31" s="58"/>
      <c r="AT31" s="58"/>
      <c r="AU31" s="58"/>
      <c r="AV31" s="58"/>
      <c r="AW31" s="58"/>
      <c r="AX31" s="58"/>
      <c r="AY31" s="58"/>
      <c r="AZ31" s="58"/>
      <c r="BA31" s="58"/>
      <c r="BB31" s="58"/>
      <c r="BC31" s="58"/>
      <c r="BD31" s="58"/>
      <c r="BE31" s="58"/>
      <c r="BF31" s="58"/>
      <c r="BG31" s="58"/>
      <c r="BH31" s="56"/>
      <c r="BI31" s="56"/>
      <c r="BJ31" s="56"/>
      <c r="BK31" s="56"/>
      <c r="BL31" s="56"/>
      <c r="BM31" s="56"/>
      <c r="BN31" s="56"/>
      <c r="BO31" s="56"/>
      <c r="BP31" s="56"/>
      <c r="BQ31" s="56"/>
      <c r="BR31" s="56"/>
      <c r="BS31" s="56"/>
      <c r="BT31" s="56"/>
      <c r="BU31" s="56"/>
      <c r="BV31" s="56"/>
      <c r="BW31" s="56"/>
      <c r="BX31" s="56"/>
      <c r="BY31" s="56"/>
      <c r="BZ31" s="484"/>
    </row>
    <row r="32" spans="1:78" s="28" customFormat="1" ht="12.75" customHeight="1" x14ac:dyDescent="0.2">
      <c r="A32" s="782"/>
      <c r="B32" s="803"/>
      <c r="C32" s="486">
        <v>12</v>
      </c>
      <c r="D32" s="1717"/>
      <c r="E32" s="1717"/>
      <c r="F32" s="1717"/>
      <c r="G32" s="1717"/>
      <c r="H32" s="1018"/>
      <c r="I32" s="1018"/>
      <c r="J32" s="1715"/>
      <c r="K32" s="1715"/>
      <c r="L32" s="1715"/>
      <c r="M32" s="1715"/>
      <c r="N32" s="1019"/>
      <c r="O32" s="729"/>
      <c r="P32" s="485"/>
      <c r="Q32" s="485"/>
      <c r="R32" s="485"/>
      <c r="S32" s="23"/>
      <c r="T32" s="496"/>
      <c r="U32" s="990"/>
      <c r="V32" s="76"/>
      <c r="W32" s="56"/>
      <c r="X32" s="56"/>
      <c r="Y32" s="56"/>
      <c r="Z32" s="58"/>
      <c r="AA32" s="58"/>
      <c r="AB32" s="58"/>
      <c r="AC32" s="58"/>
      <c r="AD32" s="58"/>
      <c r="AE32" s="58"/>
      <c r="AF32" s="58"/>
      <c r="AG32" s="58"/>
      <c r="AH32" s="58"/>
      <c r="AI32" s="58"/>
      <c r="AJ32" s="58"/>
      <c r="AK32" s="482"/>
      <c r="AL32" s="58"/>
      <c r="AM32" s="58"/>
      <c r="AN32" s="58"/>
      <c r="AO32" s="58"/>
      <c r="AP32" s="58"/>
      <c r="AQ32" s="58"/>
      <c r="AR32" s="58"/>
      <c r="AS32" s="58"/>
      <c r="AT32" s="58"/>
      <c r="AU32" s="58"/>
      <c r="AV32" s="58"/>
      <c r="AW32" s="58"/>
      <c r="AX32" s="58"/>
      <c r="AY32" s="58"/>
      <c r="AZ32" s="58"/>
      <c r="BA32" s="58"/>
      <c r="BB32" s="58"/>
      <c r="BC32" s="58"/>
      <c r="BD32" s="58"/>
      <c r="BE32" s="58"/>
      <c r="BF32" s="58"/>
      <c r="BG32" s="58"/>
      <c r="BH32" s="56"/>
      <c r="BI32" s="56"/>
      <c r="BJ32" s="56"/>
      <c r="BK32" s="56"/>
      <c r="BL32" s="56"/>
      <c r="BM32" s="56"/>
      <c r="BN32" s="56"/>
      <c r="BO32" s="56"/>
      <c r="BP32" s="56"/>
      <c r="BQ32" s="56"/>
      <c r="BR32" s="56"/>
      <c r="BS32" s="56"/>
      <c r="BT32" s="56"/>
      <c r="BU32" s="56"/>
      <c r="BV32" s="56"/>
      <c r="BW32" s="56"/>
      <c r="BX32" s="56"/>
      <c r="BY32" s="56"/>
      <c r="BZ32" s="484"/>
    </row>
    <row r="33" spans="1:78" s="28" customFormat="1" ht="12.75" customHeight="1" x14ac:dyDescent="0.2">
      <c r="A33" s="782"/>
      <c r="B33" s="803"/>
      <c r="C33" s="486">
        <v>13</v>
      </c>
      <c r="D33" s="1717"/>
      <c r="E33" s="1717"/>
      <c r="F33" s="1717"/>
      <c r="G33" s="1717"/>
      <c r="H33" s="1018"/>
      <c r="I33" s="1018"/>
      <c r="J33" s="1715"/>
      <c r="K33" s="1715"/>
      <c r="L33" s="1715"/>
      <c r="M33" s="1715"/>
      <c r="N33" s="1019"/>
      <c r="O33" s="729"/>
      <c r="P33" s="485"/>
      <c r="Q33" s="485"/>
      <c r="R33" s="485"/>
      <c r="S33" s="23"/>
      <c r="T33" s="496"/>
      <c r="U33" s="990"/>
      <c r="V33" s="76"/>
      <c r="W33" s="56"/>
      <c r="X33" s="56"/>
      <c r="Y33" s="56"/>
      <c r="Z33" s="58"/>
      <c r="AA33" s="58"/>
      <c r="AB33" s="58"/>
      <c r="AC33" s="58"/>
      <c r="AD33" s="58"/>
      <c r="AE33" s="58"/>
      <c r="AF33" s="58"/>
      <c r="AG33" s="58"/>
      <c r="AH33" s="58"/>
      <c r="AI33" s="58"/>
      <c r="AJ33" s="58"/>
      <c r="AK33" s="482"/>
      <c r="AL33" s="58"/>
      <c r="AM33" s="58"/>
      <c r="AN33" s="58"/>
      <c r="AO33" s="58"/>
      <c r="AP33" s="58"/>
      <c r="AQ33" s="58"/>
      <c r="AR33" s="58"/>
      <c r="AS33" s="58"/>
      <c r="AT33" s="58"/>
      <c r="AU33" s="58"/>
      <c r="AV33" s="58"/>
      <c r="AW33" s="58"/>
      <c r="AX33" s="58"/>
      <c r="AY33" s="58"/>
      <c r="AZ33" s="58"/>
      <c r="BA33" s="58"/>
      <c r="BB33" s="58"/>
      <c r="BC33" s="58"/>
      <c r="BD33" s="58"/>
      <c r="BE33" s="58"/>
      <c r="BF33" s="58"/>
      <c r="BG33" s="58"/>
      <c r="BH33" s="56"/>
      <c r="BI33" s="56"/>
      <c r="BJ33" s="56"/>
      <c r="BK33" s="56"/>
      <c r="BL33" s="56"/>
      <c r="BM33" s="56"/>
      <c r="BN33" s="56"/>
      <c r="BO33" s="56"/>
      <c r="BP33" s="56"/>
      <c r="BQ33" s="56"/>
      <c r="BR33" s="56"/>
      <c r="BS33" s="56"/>
      <c r="BT33" s="56"/>
      <c r="BU33" s="56"/>
      <c r="BV33" s="56"/>
      <c r="BW33" s="56"/>
      <c r="BX33" s="56"/>
      <c r="BY33" s="56"/>
      <c r="BZ33" s="484"/>
    </row>
    <row r="34" spans="1:78" s="28" customFormat="1" ht="12.75" customHeight="1" x14ac:dyDescent="0.2">
      <c r="A34" s="782"/>
      <c r="B34" s="803"/>
      <c r="C34" s="486">
        <v>14</v>
      </c>
      <c r="D34" s="1717"/>
      <c r="E34" s="1717"/>
      <c r="F34" s="1717"/>
      <c r="G34" s="1717"/>
      <c r="H34" s="1018"/>
      <c r="I34" s="1018"/>
      <c r="J34" s="1715"/>
      <c r="K34" s="1715"/>
      <c r="L34" s="1715"/>
      <c r="M34" s="1715"/>
      <c r="N34" s="1019"/>
      <c r="O34" s="729"/>
      <c r="P34" s="485"/>
      <c r="Q34" s="485"/>
      <c r="R34" s="485"/>
      <c r="S34" s="23"/>
      <c r="T34" s="496"/>
      <c r="U34" s="990"/>
      <c r="V34" s="76"/>
      <c r="W34" s="56"/>
      <c r="X34" s="56"/>
      <c r="Y34" s="56"/>
      <c r="Z34" s="58"/>
      <c r="AA34" s="58"/>
      <c r="AB34" s="58"/>
      <c r="AC34" s="58"/>
      <c r="AD34" s="58"/>
      <c r="AE34" s="58"/>
      <c r="AF34" s="58"/>
      <c r="AG34" s="58"/>
      <c r="AH34" s="58"/>
      <c r="AI34" s="58"/>
      <c r="AJ34" s="58"/>
      <c r="AK34" s="482"/>
      <c r="AL34" s="58"/>
      <c r="AM34" s="58"/>
      <c r="AN34" s="58"/>
      <c r="AO34" s="58"/>
      <c r="AP34" s="58"/>
      <c r="AQ34" s="58"/>
      <c r="AR34" s="58"/>
      <c r="AS34" s="58"/>
      <c r="AT34" s="58"/>
      <c r="AU34" s="58"/>
      <c r="AV34" s="58"/>
      <c r="AW34" s="58"/>
      <c r="AX34" s="58"/>
      <c r="AY34" s="58"/>
      <c r="AZ34" s="58"/>
      <c r="BA34" s="58"/>
      <c r="BB34" s="58"/>
      <c r="BC34" s="58"/>
      <c r="BD34" s="58"/>
      <c r="BE34" s="58"/>
      <c r="BF34" s="58"/>
      <c r="BG34" s="58"/>
      <c r="BH34" s="56"/>
      <c r="BI34" s="56"/>
      <c r="BJ34" s="56"/>
      <c r="BK34" s="56"/>
      <c r="BL34" s="56"/>
      <c r="BM34" s="56"/>
      <c r="BN34" s="56"/>
      <c r="BO34" s="56"/>
      <c r="BP34" s="56"/>
      <c r="BQ34" s="56"/>
      <c r="BR34" s="56"/>
      <c r="BS34" s="56"/>
      <c r="BT34" s="56"/>
      <c r="BU34" s="56"/>
      <c r="BV34" s="56"/>
      <c r="BW34" s="56"/>
      <c r="BX34" s="56"/>
      <c r="BY34" s="56"/>
      <c r="BZ34" s="484"/>
    </row>
    <row r="35" spans="1:78" s="28" customFormat="1" ht="12.75" customHeight="1" x14ac:dyDescent="0.2">
      <c r="A35" s="782"/>
      <c r="B35" s="803"/>
      <c r="C35" s="486">
        <v>15</v>
      </c>
      <c r="D35" s="1717"/>
      <c r="E35" s="1717"/>
      <c r="F35" s="1717"/>
      <c r="G35" s="1717"/>
      <c r="H35" s="1018"/>
      <c r="I35" s="1018"/>
      <c r="J35" s="1715"/>
      <c r="K35" s="1715"/>
      <c r="L35" s="1715"/>
      <c r="M35" s="1715"/>
      <c r="N35" s="1019"/>
      <c r="O35" s="729"/>
      <c r="P35" s="485"/>
      <c r="Q35" s="485"/>
      <c r="R35" s="485"/>
      <c r="S35" s="23"/>
      <c r="T35" s="496"/>
      <c r="U35" s="990"/>
      <c r="V35" s="76"/>
      <c r="W35" s="56"/>
      <c r="X35" s="56"/>
      <c r="Y35" s="56"/>
      <c r="Z35" s="58"/>
      <c r="AA35" s="58"/>
      <c r="AB35" s="58"/>
      <c r="AC35" s="58"/>
      <c r="AD35" s="58"/>
      <c r="AE35" s="58"/>
      <c r="AF35" s="58"/>
      <c r="AG35" s="58"/>
      <c r="AH35" s="58"/>
      <c r="AI35" s="58"/>
      <c r="AJ35" s="58"/>
      <c r="AK35" s="482"/>
      <c r="AL35" s="58"/>
      <c r="AM35" s="58"/>
      <c r="AN35" s="58"/>
      <c r="AO35" s="58"/>
      <c r="AP35" s="58"/>
      <c r="AQ35" s="58"/>
      <c r="AR35" s="58"/>
      <c r="AS35" s="58"/>
      <c r="AT35" s="58"/>
      <c r="AU35" s="58"/>
      <c r="AV35" s="58"/>
      <c r="AW35" s="58"/>
      <c r="AX35" s="58"/>
      <c r="AY35" s="58"/>
      <c r="AZ35" s="58"/>
      <c r="BA35" s="58"/>
      <c r="BB35" s="58"/>
      <c r="BC35" s="58"/>
      <c r="BD35" s="58"/>
      <c r="BE35" s="58"/>
      <c r="BF35" s="58"/>
      <c r="BG35" s="58"/>
      <c r="BH35" s="56"/>
      <c r="BI35" s="56"/>
      <c r="BJ35" s="56"/>
      <c r="BK35" s="56"/>
      <c r="BL35" s="56"/>
      <c r="BM35" s="56"/>
      <c r="BN35" s="56"/>
      <c r="BO35" s="56"/>
      <c r="BP35" s="56"/>
      <c r="BQ35" s="56"/>
      <c r="BR35" s="56"/>
      <c r="BS35" s="56"/>
      <c r="BT35" s="56"/>
      <c r="BU35" s="56"/>
      <c r="BV35" s="56"/>
      <c r="BW35" s="56"/>
      <c r="BX35" s="56"/>
      <c r="BY35" s="56"/>
      <c r="BZ35" s="484"/>
    </row>
    <row r="36" spans="1:78" s="28" customFormat="1" ht="12.75" customHeight="1" x14ac:dyDescent="0.2">
      <c r="A36" s="782"/>
      <c r="B36" s="803"/>
      <c r="C36" s="486">
        <v>16</v>
      </c>
      <c r="D36" s="1717"/>
      <c r="E36" s="1717"/>
      <c r="F36" s="1717"/>
      <c r="G36" s="1717"/>
      <c r="H36" s="1018"/>
      <c r="I36" s="1018"/>
      <c r="J36" s="1715"/>
      <c r="K36" s="1715"/>
      <c r="L36" s="1715"/>
      <c r="M36" s="1715"/>
      <c r="N36" s="1019"/>
      <c r="O36" s="729"/>
      <c r="P36" s="485"/>
      <c r="Q36" s="485"/>
      <c r="R36" s="485"/>
      <c r="S36" s="23"/>
      <c r="T36" s="496"/>
      <c r="U36" s="990"/>
      <c r="V36" s="76"/>
      <c r="W36" s="56"/>
      <c r="X36" s="56"/>
      <c r="Y36" s="56"/>
      <c r="Z36" s="58"/>
      <c r="AA36" s="58"/>
      <c r="AB36" s="58"/>
      <c r="AC36" s="58"/>
      <c r="AD36" s="58"/>
      <c r="AE36" s="58"/>
      <c r="AF36" s="58"/>
      <c r="AG36" s="58"/>
      <c r="AH36" s="58"/>
      <c r="AI36" s="58"/>
      <c r="AJ36" s="58"/>
      <c r="AK36" s="482"/>
      <c r="AL36" s="58"/>
      <c r="AM36" s="58"/>
      <c r="AN36" s="58"/>
      <c r="AO36" s="58"/>
      <c r="AP36" s="58"/>
      <c r="AQ36" s="58"/>
      <c r="AR36" s="58"/>
      <c r="AS36" s="58"/>
      <c r="AT36" s="58"/>
      <c r="AU36" s="58"/>
      <c r="AV36" s="58"/>
      <c r="AW36" s="58"/>
      <c r="AX36" s="58"/>
      <c r="AY36" s="58"/>
      <c r="AZ36" s="58"/>
      <c r="BA36" s="58"/>
      <c r="BB36" s="58"/>
      <c r="BC36" s="58"/>
      <c r="BD36" s="58"/>
      <c r="BE36" s="58"/>
      <c r="BF36" s="58"/>
      <c r="BG36" s="58"/>
      <c r="BH36" s="56"/>
      <c r="BI36" s="56"/>
      <c r="BJ36" s="56"/>
      <c r="BK36" s="56"/>
      <c r="BL36" s="56"/>
      <c r="BM36" s="56"/>
      <c r="BN36" s="56"/>
      <c r="BO36" s="56"/>
      <c r="BP36" s="56"/>
      <c r="BQ36" s="56"/>
      <c r="BR36" s="56"/>
      <c r="BS36" s="56"/>
      <c r="BT36" s="56"/>
      <c r="BU36" s="56"/>
      <c r="BV36" s="56"/>
      <c r="BW36" s="56"/>
      <c r="BX36" s="56"/>
      <c r="BY36" s="56"/>
      <c r="BZ36" s="484"/>
    </row>
    <row r="37" spans="1:78" s="28" customFormat="1" ht="12.75" customHeight="1" x14ac:dyDescent="0.2">
      <c r="A37" s="782"/>
      <c r="B37" s="803"/>
      <c r="C37" s="486">
        <v>17</v>
      </c>
      <c r="D37" s="1717"/>
      <c r="E37" s="1717"/>
      <c r="F37" s="1717"/>
      <c r="G37" s="1717"/>
      <c r="H37" s="1018"/>
      <c r="I37" s="1018"/>
      <c r="J37" s="1715"/>
      <c r="K37" s="1715"/>
      <c r="L37" s="1715"/>
      <c r="M37" s="1715"/>
      <c r="N37" s="1019"/>
      <c r="O37" s="729"/>
      <c r="P37" s="485"/>
      <c r="Q37" s="485"/>
      <c r="R37" s="485"/>
      <c r="S37" s="23"/>
      <c r="T37" s="496"/>
      <c r="U37" s="990"/>
      <c r="V37" s="76"/>
      <c r="W37" s="56"/>
      <c r="X37" s="56"/>
      <c r="Y37" s="56"/>
      <c r="Z37" s="58"/>
      <c r="AA37" s="58"/>
      <c r="AB37" s="58"/>
      <c r="AC37" s="58"/>
      <c r="AD37" s="58"/>
      <c r="AE37" s="58"/>
      <c r="AF37" s="58"/>
      <c r="AG37" s="58"/>
      <c r="AH37" s="58"/>
      <c r="AI37" s="58"/>
      <c r="AJ37" s="58"/>
      <c r="AK37" s="482"/>
      <c r="AL37" s="58"/>
      <c r="AM37" s="58"/>
      <c r="AN37" s="58"/>
      <c r="AO37" s="58"/>
      <c r="AP37" s="58"/>
      <c r="AQ37" s="58"/>
      <c r="AR37" s="58"/>
      <c r="AS37" s="58"/>
      <c r="AT37" s="58"/>
      <c r="AU37" s="58"/>
      <c r="AV37" s="58"/>
      <c r="AW37" s="58"/>
      <c r="AX37" s="58"/>
      <c r="AY37" s="58"/>
      <c r="AZ37" s="58"/>
      <c r="BA37" s="58"/>
      <c r="BB37" s="58"/>
      <c r="BC37" s="58"/>
      <c r="BD37" s="58"/>
      <c r="BE37" s="58"/>
      <c r="BF37" s="58"/>
      <c r="BG37" s="58"/>
      <c r="BH37" s="56"/>
      <c r="BI37" s="56"/>
      <c r="BJ37" s="56"/>
      <c r="BK37" s="56"/>
      <c r="BL37" s="56"/>
      <c r="BM37" s="56"/>
      <c r="BN37" s="56"/>
      <c r="BO37" s="56"/>
      <c r="BP37" s="56"/>
      <c r="BQ37" s="56"/>
      <c r="BR37" s="56"/>
      <c r="BS37" s="56"/>
      <c r="BT37" s="56"/>
      <c r="BU37" s="56"/>
      <c r="BV37" s="56"/>
      <c r="BW37" s="56"/>
      <c r="BX37" s="56"/>
      <c r="BY37" s="56"/>
      <c r="BZ37" s="484"/>
    </row>
    <row r="38" spans="1:78" s="28" customFormat="1" ht="12.75" customHeight="1" x14ac:dyDescent="0.2">
      <c r="A38" s="782"/>
      <c r="B38" s="803"/>
      <c r="C38" s="486">
        <v>18</v>
      </c>
      <c r="D38" s="1717"/>
      <c r="E38" s="1717"/>
      <c r="F38" s="1717"/>
      <c r="G38" s="1717"/>
      <c r="H38" s="1018"/>
      <c r="I38" s="1018"/>
      <c r="J38" s="1715"/>
      <c r="K38" s="1715"/>
      <c r="L38" s="1715"/>
      <c r="M38" s="1715"/>
      <c r="N38" s="1019"/>
      <c r="O38" s="729"/>
      <c r="P38" s="485"/>
      <c r="Q38" s="485"/>
      <c r="R38" s="485"/>
      <c r="S38" s="23"/>
      <c r="T38" s="496"/>
      <c r="U38" s="990"/>
      <c r="V38" s="76"/>
      <c r="W38" s="56"/>
      <c r="X38" s="56"/>
      <c r="Y38" s="56"/>
      <c r="Z38" s="58"/>
      <c r="AA38" s="58"/>
      <c r="AB38" s="58"/>
      <c r="AC38" s="58"/>
      <c r="AD38" s="58"/>
      <c r="AE38" s="58"/>
      <c r="AF38" s="58"/>
      <c r="AG38" s="58"/>
      <c r="AH38" s="58"/>
      <c r="AI38" s="58"/>
      <c r="AJ38" s="58"/>
      <c r="AK38" s="482"/>
      <c r="AL38" s="58"/>
      <c r="AM38" s="58"/>
      <c r="AN38" s="58"/>
      <c r="AO38" s="58"/>
      <c r="AP38" s="58"/>
      <c r="AQ38" s="58"/>
      <c r="AR38" s="58"/>
      <c r="AS38" s="58"/>
      <c r="AT38" s="58"/>
      <c r="AU38" s="58"/>
      <c r="AV38" s="58"/>
      <c r="AW38" s="58"/>
      <c r="AX38" s="58"/>
      <c r="AY38" s="58"/>
      <c r="AZ38" s="58"/>
      <c r="BA38" s="58"/>
      <c r="BB38" s="58"/>
      <c r="BC38" s="58"/>
      <c r="BD38" s="58"/>
      <c r="BE38" s="58"/>
      <c r="BF38" s="58"/>
      <c r="BG38" s="58"/>
      <c r="BH38" s="56"/>
      <c r="BI38" s="56"/>
      <c r="BJ38" s="56"/>
      <c r="BK38" s="56"/>
      <c r="BL38" s="56"/>
      <c r="BM38" s="56"/>
      <c r="BN38" s="56"/>
      <c r="BO38" s="56"/>
      <c r="BP38" s="56"/>
      <c r="BQ38" s="56"/>
      <c r="BR38" s="56"/>
      <c r="BS38" s="56"/>
      <c r="BT38" s="56"/>
      <c r="BU38" s="56"/>
      <c r="BV38" s="56"/>
      <c r="BW38" s="56"/>
      <c r="BX38" s="56"/>
      <c r="BY38" s="56"/>
      <c r="BZ38" s="484"/>
    </row>
    <row r="39" spans="1:78" s="28" customFormat="1" ht="12.75" customHeight="1" x14ac:dyDescent="0.2">
      <c r="A39" s="782"/>
      <c r="B39" s="803"/>
      <c r="C39" s="486">
        <v>19</v>
      </c>
      <c r="D39" s="1717"/>
      <c r="E39" s="1717"/>
      <c r="F39" s="1717"/>
      <c r="G39" s="1717"/>
      <c r="H39" s="1018"/>
      <c r="I39" s="1018"/>
      <c r="J39" s="1715"/>
      <c r="K39" s="1715"/>
      <c r="L39" s="1715"/>
      <c r="M39" s="1715"/>
      <c r="N39" s="1019"/>
      <c r="O39" s="729"/>
      <c r="P39" s="485"/>
      <c r="Q39" s="485"/>
      <c r="R39" s="485"/>
      <c r="S39" s="23"/>
      <c r="T39" s="496"/>
      <c r="U39" s="990"/>
      <c r="V39" s="76"/>
      <c r="W39" s="56"/>
      <c r="X39" s="56"/>
      <c r="Y39" s="56"/>
      <c r="Z39" s="58"/>
      <c r="AA39" s="58"/>
      <c r="AB39" s="58"/>
      <c r="AC39" s="58"/>
      <c r="AD39" s="58"/>
      <c r="AE39" s="58"/>
      <c r="AF39" s="58"/>
      <c r="AG39" s="58"/>
      <c r="AH39" s="58"/>
      <c r="AI39" s="58"/>
      <c r="AJ39" s="58"/>
      <c r="AK39" s="482"/>
      <c r="AL39" s="58"/>
      <c r="AM39" s="58"/>
      <c r="AN39" s="58"/>
      <c r="AO39" s="58"/>
      <c r="AP39" s="58"/>
      <c r="AQ39" s="58"/>
      <c r="AR39" s="58"/>
      <c r="AS39" s="58"/>
      <c r="AT39" s="58"/>
      <c r="AU39" s="58"/>
      <c r="AV39" s="58"/>
      <c r="AW39" s="58"/>
      <c r="AX39" s="58"/>
      <c r="AY39" s="58"/>
      <c r="AZ39" s="58"/>
      <c r="BA39" s="58"/>
      <c r="BB39" s="58"/>
      <c r="BC39" s="58"/>
      <c r="BD39" s="58"/>
      <c r="BE39" s="58"/>
      <c r="BF39" s="58"/>
      <c r="BG39" s="58"/>
      <c r="BH39" s="56"/>
      <c r="BI39" s="56"/>
      <c r="BJ39" s="56"/>
      <c r="BK39" s="56"/>
      <c r="BL39" s="56"/>
      <c r="BM39" s="56"/>
      <c r="BN39" s="56"/>
      <c r="BO39" s="56"/>
      <c r="BP39" s="56"/>
      <c r="BQ39" s="56"/>
      <c r="BR39" s="56"/>
      <c r="BS39" s="56"/>
      <c r="BT39" s="56"/>
      <c r="BU39" s="56"/>
      <c r="BV39" s="56"/>
      <c r="BW39" s="56"/>
      <c r="BX39" s="56"/>
      <c r="BY39" s="56"/>
      <c r="BZ39" s="484"/>
    </row>
    <row r="40" spans="1:78" s="28" customFormat="1" ht="12.75" customHeight="1" x14ac:dyDescent="0.2">
      <c r="A40" s="782"/>
      <c r="B40" s="803"/>
      <c r="C40" s="486">
        <v>20</v>
      </c>
      <c r="D40" s="1717"/>
      <c r="E40" s="1717"/>
      <c r="F40" s="1717"/>
      <c r="G40" s="1717"/>
      <c r="H40" s="1018"/>
      <c r="I40" s="1018"/>
      <c r="J40" s="1715"/>
      <c r="K40" s="1715"/>
      <c r="L40" s="1715"/>
      <c r="M40" s="1715"/>
      <c r="N40" s="1019"/>
      <c r="O40" s="729"/>
      <c r="P40" s="485"/>
      <c r="Q40" s="485"/>
      <c r="R40" s="485"/>
      <c r="S40" s="23"/>
      <c r="T40" s="496"/>
      <c r="U40" s="990"/>
      <c r="V40" s="76"/>
      <c r="W40" s="56"/>
      <c r="X40" s="56"/>
      <c r="Y40" s="56"/>
      <c r="Z40" s="58"/>
      <c r="AA40" s="58"/>
      <c r="AB40" s="58"/>
      <c r="AC40" s="58"/>
      <c r="AD40" s="58"/>
      <c r="AE40" s="58"/>
      <c r="AF40" s="58"/>
      <c r="AG40" s="58"/>
      <c r="AH40" s="58"/>
      <c r="AI40" s="58"/>
      <c r="AJ40" s="58"/>
      <c r="AK40" s="482"/>
      <c r="AL40" s="58"/>
      <c r="AM40" s="58"/>
      <c r="AN40" s="58"/>
      <c r="AO40" s="58"/>
      <c r="AP40" s="58"/>
      <c r="AQ40" s="58"/>
      <c r="AR40" s="58"/>
      <c r="AS40" s="58"/>
      <c r="AT40" s="58"/>
      <c r="AU40" s="58"/>
      <c r="AV40" s="58"/>
      <c r="AW40" s="58"/>
      <c r="AX40" s="58"/>
      <c r="AY40" s="58"/>
      <c r="AZ40" s="58"/>
      <c r="BA40" s="58"/>
      <c r="BB40" s="58"/>
      <c r="BC40" s="58"/>
      <c r="BD40" s="58"/>
      <c r="BE40" s="58"/>
      <c r="BF40" s="58"/>
      <c r="BG40" s="58"/>
      <c r="BH40" s="56"/>
      <c r="BI40" s="56"/>
      <c r="BJ40" s="56"/>
      <c r="BK40" s="56"/>
      <c r="BL40" s="56"/>
      <c r="BM40" s="56"/>
      <c r="BN40" s="56"/>
      <c r="BO40" s="56"/>
      <c r="BP40" s="56"/>
      <c r="BQ40" s="56"/>
      <c r="BR40" s="56"/>
      <c r="BS40" s="56"/>
      <c r="BT40" s="56"/>
      <c r="BU40" s="56"/>
      <c r="BV40" s="56"/>
      <c r="BW40" s="56"/>
      <c r="BX40" s="56"/>
      <c r="BY40" s="56"/>
      <c r="BZ40" s="484"/>
    </row>
    <row r="41" spans="1:78" s="28" customFormat="1" ht="12.75" customHeight="1" x14ac:dyDescent="0.2">
      <c r="A41" s="782"/>
      <c r="B41" s="803"/>
      <c r="C41" s="486">
        <v>21</v>
      </c>
      <c r="D41" s="1717"/>
      <c r="E41" s="1717"/>
      <c r="F41" s="1717"/>
      <c r="G41" s="1717"/>
      <c r="H41" s="1018"/>
      <c r="I41" s="1018"/>
      <c r="J41" s="1715"/>
      <c r="K41" s="1715"/>
      <c r="L41" s="1715"/>
      <c r="M41" s="1715"/>
      <c r="N41" s="1019"/>
      <c r="O41" s="729"/>
      <c r="P41" s="485"/>
      <c r="Q41" s="485"/>
      <c r="R41" s="485"/>
      <c r="S41" s="23"/>
      <c r="T41" s="496"/>
      <c r="U41" s="990"/>
      <c r="V41" s="76"/>
      <c r="W41" s="56"/>
      <c r="X41" s="56"/>
      <c r="Y41" s="56"/>
      <c r="Z41" s="58"/>
      <c r="AA41" s="58"/>
      <c r="AB41" s="58"/>
      <c r="AC41" s="58"/>
      <c r="AD41" s="58"/>
      <c r="AE41" s="58"/>
      <c r="AF41" s="58"/>
      <c r="AG41" s="58"/>
      <c r="AH41" s="58"/>
      <c r="AI41" s="58"/>
      <c r="AJ41" s="58"/>
      <c r="AK41" s="482"/>
      <c r="AL41" s="58"/>
      <c r="AM41" s="58"/>
      <c r="AN41" s="58"/>
      <c r="AO41" s="58"/>
      <c r="AP41" s="58"/>
      <c r="AQ41" s="58"/>
      <c r="AR41" s="58"/>
      <c r="AS41" s="58"/>
      <c r="AT41" s="58"/>
      <c r="AU41" s="58"/>
      <c r="AV41" s="58"/>
      <c r="AW41" s="58"/>
      <c r="AX41" s="58"/>
      <c r="AY41" s="58"/>
      <c r="AZ41" s="58"/>
      <c r="BA41" s="58"/>
      <c r="BB41" s="58"/>
      <c r="BC41" s="58"/>
      <c r="BD41" s="58"/>
      <c r="BE41" s="58"/>
      <c r="BF41" s="58"/>
      <c r="BG41" s="58"/>
      <c r="BH41" s="56"/>
      <c r="BI41" s="56"/>
      <c r="BJ41" s="56"/>
      <c r="BK41" s="56"/>
      <c r="BL41" s="56"/>
      <c r="BM41" s="56"/>
      <c r="BN41" s="56"/>
      <c r="BO41" s="56"/>
      <c r="BP41" s="56"/>
      <c r="BQ41" s="56"/>
      <c r="BR41" s="56"/>
      <c r="BS41" s="56"/>
      <c r="BT41" s="56"/>
      <c r="BU41" s="56"/>
      <c r="BV41" s="56"/>
      <c r="BW41" s="56"/>
      <c r="BX41" s="56"/>
      <c r="BY41" s="56"/>
      <c r="BZ41" s="484"/>
    </row>
    <row r="42" spans="1:78" s="28" customFormat="1" ht="12.75" customHeight="1" x14ac:dyDescent="0.2">
      <c r="A42" s="782"/>
      <c r="B42" s="803"/>
      <c r="C42" s="486">
        <v>22</v>
      </c>
      <c r="D42" s="1717"/>
      <c r="E42" s="1717"/>
      <c r="F42" s="1717"/>
      <c r="G42" s="1717"/>
      <c r="H42" s="1018"/>
      <c r="I42" s="1018"/>
      <c r="J42" s="1715"/>
      <c r="K42" s="1715"/>
      <c r="L42" s="1715"/>
      <c r="M42" s="1715"/>
      <c r="N42" s="1019"/>
      <c r="O42" s="729"/>
      <c r="P42" s="485"/>
      <c r="Q42" s="485"/>
      <c r="R42" s="485"/>
      <c r="S42" s="23"/>
      <c r="T42" s="496"/>
      <c r="U42" s="990"/>
      <c r="V42" s="76"/>
      <c r="W42" s="56"/>
      <c r="X42" s="56"/>
      <c r="Y42" s="56"/>
      <c r="Z42" s="58"/>
      <c r="AA42" s="58"/>
      <c r="AB42" s="58"/>
      <c r="AC42" s="58"/>
      <c r="AD42" s="58"/>
      <c r="AE42" s="58"/>
      <c r="AF42" s="58"/>
      <c r="AG42" s="58"/>
      <c r="AH42" s="58"/>
      <c r="AI42" s="58"/>
      <c r="AJ42" s="58"/>
      <c r="AK42" s="482"/>
      <c r="AL42" s="58"/>
      <c r="AM42" s="58"/>
      <c r="AN42" s="58"/>
      <c r="AO42" s="58"/>
      <c r="AP42" s="58"/>
      <c r="AQ42" s="58"/>
      <c r="AR42" s="58"/>
      <c r="AS42" s="58"/>
      <c r="AT42" s="58"/>
      <c r="AU42" s="58"/>
      <c r="AV42" s="58"/>
      <c r="AW42" s="58"/>
      <c r="AX42" s="58"/>
      <c r="AY42" s="58"/>
      <c r="AZ42" s="58"/>
      <c r="BA42" s="58"/>
      <c r="BB42" s="58"/>
      <c r="BC42" s="58"/>
      <c r="BD42" s="58"/>
      <c r="BE42" s="58"/>
      <c r="BF42" s="58"/>
      <c r="BG42" s="58"/>
      <c r="BH42" s="56"/>
      <c r="BI42" s="56"/>
      <c r="BJ42" s="56"/>
      <c r="BK42" s="56"/>
      <c r="BL42" s="56"/>
      <c r="BM42" s="56"/>
      <c r="BN42" s="56"/>
      <c r="BO42" s="56"/>
      <c r="BP42" s="56"/>
      <c r="BQ42" s="56"/>
      <c r="BR42" s="56"/>
      <c r="BS42" s="56"/>
      <c r="BT42" s="56"/>
      <c r="BU42" s="56"/>
      <c r="BV42" s="56"/>
      <c r="BW42" s="56"/>
      <c r="BX42" s="56"/>
      <c r="BY42" s="56"/>
      <c r="BZ42" s="484"/>
    </row>
    <row r="43" spans="1:78" s="28" customFormat="1" ht="12.75" customHeight="1" x14ac:dyDescent="0.2">
      <c r="A43" s="782"/>
      <c r="B43" s="803"/>
      <c r="C43" s="486">
        <v>23</v>
      </c>
      <c r="D43" s="1717"/>
      <c r="E43" s="1717"/>
      <c r="F43" s="1717"/>
      <c r="G43" s="1717"/>
      <c r="H43" s="1018"/>
      <c r="I43" s="1018"/>
      <c r="J43" s="1715"/>
      <c r="K43" s="1715"/>
      <c r="L43" s="1715"/>
      <c r="M43" s="1715"/>
      <c r="N43" s="1019"/>
      <c r="O43" s="729"/>
      <c r="P43" s="485"/>
      <c r="Q43" s="485"/>
      <c r="R43" s="485"/>
      <c r="S43" s="23"/>
      <c r="T43" s="496"/>
      <c r="U43" s="990"/>
      <c r="V43" s="76"/>
      <c r="W43" s="56"/>
      <c r="X43" s="56"/>
      <c r="Y43" s="56"/>
      <c r="Z43" s="58"/>
      <c r="AA43" s="58"/>
      <c r="AB43" s="58"/>
      <c r="AC43" s="58"/>
      <c r="AD43" s="58"/>
      <c r="AE43" s="58"/>
      <c r="AF43" s="58"/>
      <c r="AG43" s="58"/>
      <c r="AH43" s="58"/>
      <c r="AI43" s="58"/>
      <c r="AJ43" s="58"/>
      <c r="AK43" s="482"/>
      <c r="AL43" s="58"/>
      <c r="AM43" s="58"/>
      <c r="AN43" s="58"/>
      <c r="AO43" s="58"/>
      <c r="AP43" s="58"/>
      <c r="AQ43" s="58"/>
      <c r="AR43" s="58"/>
      <c r="AS43" s="58"/>
      <c r="AT43" s="58"/>
      <c r="AU43" s="58"/>
      <c r="AV43" s="58"/>
      <c r="AW43" s="58"/>
      <c r="AX43" s="58"/>
      <c r="AY43" s="58"/>
      <c r="AZ43" s="58"/>
      <c r="BA43" s="58"/>
      <c r="BB43" s="58"/>
      <c r="BC43" s="58"/>
      <c r="BD43" s="58"/>
      <c r="BE43" s="58"/>
      <c r="BF43" s="58"/>
      <c r="BG43" s="58"/>
      <c r="BH43" s="56"/>
      <c r="BI43" s="56"/>
      <c r="BJ43" s="56"/>
      <c r="BK43" s="56"/>
      <c r="BL43" s="56"/>
      <c r="BM43" s="56"/>
      <c r="BN43" s="56"/>
      <c r="BO43" s="56"/>
      <c r="BP43" s="56"/>
      <c r="BQ43" s="56"/>
      <c r="BR43" s="56"/>
      <c r="BS43" s="56"/>
      <c r="BT43" s="56"/>
      <c r="BU43" s="56"/>
      <c r="BV43" s="56"/>
      <c r="BW43" s="56"/>
      <c r="BX43" s="56"/>
      <c r="BY43" s="56"/>
      <c r="BZ43" s="484"/>
    </row>
    <row r="44" spans="1:78" s="28" customFormat="1" ht="12.75" customHeight="1" x14ac:dyDescent="0.2">
      <c r="A44" s="782"/>
      <c r="B44" s="803"/>
      <c r="C44" s="486">
        <v>24</v>
      </c>
      <c r="D44" s="1717"/>
      <c r="E44" s="1717"/>
      <c r="F44" s="1717"/>
      <c r="G44" s="1717"/>
      <c r="H44" s="1018"/>
      <c r="I44" s="1018"/>
      <c r="J44" s="1715"/>
      <c r="K44" s="1715"/>
      <c r="L44" s="1715"/>
      <c r="M44" s="1715"/>
      <c r="N44" s="1019"/>
      <c r="O44" s="729"/>
      <c r="P44" s="485"/>
      <c r="Q44" s="485"/>
      <c r="R44" s="485"/>
      <c r="S44" s="23"/>
      <c r="T44" s="496"/>
      <c r="U44" s="990"/>
      <c r="V44" s="76"/>
      <c r="W44" s="56"/>
      <c r="X44" s="56"/>
      <c r="Y44" s="56"/>
      <c r="Z44" s="58"/>
      <c r="AA44" s="58"/>
      <c r="AB44" s="58"/>
      <c r="AC44" s="58"/>
      <c r="AD44" s="58"/>
      <c r="AE44" s="58"/>
      <c r="AF44" s="58"/>
      <c r="AG44" s="58"/>
      <c r="AH44" s="58"/>
      <c r="AI44" s="58"/>
      <c r="AJ44" s="58"/>
      <c r="AK44" s="482"/>
      <c r="AL44" s="58"/>
      <c r="AM44" s="58"/>
      <c r="AN44" s="58"/>
      <c r="AO44" s="58"/>
      <c r="AP44" s="58"/>
      <c r="AQ44" s="58"/>
      <c r="AR44" s="58"/>
      <c r="AS44" s="58"/>
      <c r="AT44" s="58"/>
      <c r="AU44" s="58"/>
      <c r="AV44" s="58"/>
      <c r="AW44" s="58"/>
      <c r="AX44" s="58"/>
      <c r="AY44" s="58"/>
      <c r="AZ44" s="58"/>
      <c r="BA44" s="58"/>
      <c r="BB44" s="58"/>
      <c r="BC44" s="58"/>
      <c r="BD44" s="58"/>
      <c r="BE44" s="58"/>
      <c r="BF44" s="58"/>
      <c r="BG44" s="58"/>
      <c r="BH44" s="56"/>
      <c r="BI44" s="56"/>
      <c r="BJ44" s="56"/>
      <c r="BK44" s="56"/>
      <c r="BL44" s="56"/>
      <c r="BM44" s="56"/>
      <c r="BN44" s="56"/>
      <c r="BO44" s="56"/>
      <c r="BP44" s="56"/>
      <c r="BQ44" s="56"/>
      <c r="BR44" s="56"/>
      <c r="BS44" s="56"/>
      <c r="BT44" s="56"/>
      <c r="BU44" s="56"/>
      <c r="BV44" s="56"/>
      <c r="BW44" s="56"/>
      <c r="BX44" s="56"/>
      <c r="BY44" s="56"/>
      <c r="BZ44" s="484"/>
    </row>
    <row r="45" spans="1:78" s="28" customFormat="1" ht="12.75" customHeight="1" x14ac:dyDescent="0.2">
      <c r="A45" s="782"/>
      <c r="B45" s="803"/>
      <c r="C45" s="486">
        <v>25</v>
      </c>
      <c r="D45" s="1717"/>
      <c r="E45" s="1717"/>
      <c r="F45" s="1717"/>
      <c r="G45" s="1717"/>
      <c r="H45" s="1018"/>
      <c r="I45" s="1018"/>
      <c r="J45" s="1715"/>
      <c r="K45" s="1715"/>
      <c r="L45" s="1715"/>
      <c r="M45" s="1715"/>
      <c r="N45" s="1019"/>
      <c r="O45" s="729"/>
      <c r="P45" s="485"/>
      <c r="Q45" s="485"/>
      <c r="R45" s="485"/>
      <c r="S45" s="23"/>
      <c r="T45" s="496"/>
      <c r="U45" s="990"/>
      <c r="V45" s="76"/>
      <c r="W45" s="56"/>
      <c r="X45" s="56"/>
      <c r="Y45" s="56"/>
      <c r="Z45" s="58"/>
      <c r="AA45" s="58"/>
      <c r="AB45" s="58"/>
      <c r="AC45" s="58"/>
      <c r="AD45" s="58"/>
      <c r="AE45" s="58"/>
      <c r="AF45" s="58"/>
      <c r="AG45" s="58"/>
      <c r="AH45" s="58"/>
      <c r="AI45" s="58"/>
      <c r="AJ45" s="58"/>
      <c r="AK45" s="482"/>
      <c r="AL45" s="58"/>
      <c r="AM45" s="58"/>
      <c r="AN45" s="58"/>
      <c r="AO45" s="58"/>
      <c r="AP45" s="58"/>
      <c r="AQ45" s="58"/>
      <c r="AR45" s="58"/>
      <c r="AS45" s="58"/>
      <c r="AT45" s="58"/>
      <c r="AU45" s="58"/>
      <c r="AV45" s="58"/>
      <c r="AW45" s="58"/>
      <c r="AX45" s="58"/>
      <c r="AY45" s="58"/>
      <c r="AZ45" s="58"/>
      <c r="BA45" s="58"/>
      <c r="BB45" s="58"/>
      <c r="BC45" s="58"/>
      <c r="BD45" s="58"/>
      <c r="BE45" s="58"/>
      <c r="BF45" s="58"/>
      <c r="BG45" s="58"/>
      <c r="BH45" s="56"/>
      <c r="BI45" s="56"/>
      <c r="BJ45" s="56"/>
      <c r="BK45" s="56"/>
      <c r="BL45" s="56"/>
      <c r="BM45" s="56"/>
      <c r="BN45" s="56"/>
      <c r="BO45" s="56"/>
      <c r="BP45" s="56"/>
      <c r="BQ45" s="56"/>
      <c r="BR45" s="56"/>
      <c r="BS45" s="56"/>
      <c r="BT45" s="56"/>
      <c r="BU45" s="56"/>
      <c r="BV45" s="56"/>
      <c r="BW45" s="56"/>
      <c r="BX45" s="56"/>
      <c r="BY45" s="56"/>
      <c r="BZ45" s="484"/>
    </row>
    <row r="46" spans="1:78" s="28" customFormat="1" ht="12.75" customHeight="1" x14ac:dyDescent="0.2">
      <c r="A46" s="782"/>
      <c r="B46" s="803"/>
      <c r="C46" s="486">
        <v>26</v>
      </c>
      <c r="D46" s="1717"/>
      <c r="E46" s="1717"/>
      <c r="F46" s="1717"/>
      <c r="G46" s="1717"/>
      <c r="H46" s="1018"/>
      <c r="I46" s="1018"/>
      <c r="J46" s="1715"/>
      <c r="K46" s="1715"/>
      <c r="L46" s="1715"/>
      <c r="M46" s="1715"/>
      <c r="N46" s="1019"/>
      <c r="O46" s="729"/>
      <c r="P46" s="485"/>
      <c r="Q46" s="485"/>
      <c r="R46" s="485"/>
      <c r="S46" s="23"/>
      <c r="T46" s="496"/>
      <c r="U46" s="990"/>
      <c r="V46" s="76"/>
      <c r="W46" s="56"/>
      <c r="X46" s="56"/>
      <c r="Y46" s="56"/>
      <c r="Z46" s="58"/>
      <c r="AA46" s="58"/>
      <c r="AB46" s="58"/>
      <c r="AC46" s="58"/>
      <c r="AD46" s="58"/>
      <c r="AE46" s="58"/>
      <c r="AF46" s="58"/>
      <c r="AG46" s="58"/>
      <c r="AH46" s="58"/>
      <c r="AI46" s="58"/>
      <c r="AJ46" s="58"/>
      <c r="AK46" s="482"/>
      <c r="AL46" s="58"/>
      <c r="AM46" s="58"/>
      <c r="AN46" s="58"/>
      <c r="AO46" s="58"/>
      <c r="AP46" s="58"/>
      <c r="AQ46" s="58"/>
      <c r="AR46" s="58"/>
      <c r="AS46" s="58"/>
      <c r="AT46" s="58"/>
      <c r="AU46" s="58"/>
      <c r="AV46" s="58"/>
      <c r="AW46" s="58"/>
      <c r="AX46" s="58"/>
      <c r="AY46" s="58"/>
      <c r="AZ46" s="58"/>
      <c r="BA46" s="58"/>
      <c r="BB46" s="58"/>
      <c r="BC46" s="58"/>
      <c r="BD46" s="58"/>
      <c r="BE46" s="58"/>
      <c r="BF46" s="58"/>
      <c r="BG46" s="58"/>
      <c r="BH46" s="56"/>
      <c r="BI46" s="56"/>
      <c r="BJ46" s="56"/>
      <c r="BK46" s="56"/>
      <c r="BL46" s="56"/>
      <c r="BM46" s="56"/>
      <c r="BN46" s="56"/>
      <c r="BO46" s="56"/>
      <c r="BP46" s="56"/>
      <c r="BQ46" s="56"/>
      <c r="BR46" s="56"/>
      <c r="BS46" s="56"/>
      <c r="BT46" s="56"/>
      <c r="BU46" s="56"/>
      <c r="BV46" s="56"/>
      <c r="BW46" s="56"/>
      <c r="BX46" s="56"/>
      <c r="BY46" s="56"/>
      <c r="BZ46" s="484"/>
    </row>
    <row r="47" spans="1:78" s="28" customFormat="1" ht="12.75" customHeight="1" x14ac:dyDescent="0.2">
      <c r="A47" s="782"/>
      <c r="B47" s="803"/>
      <c r="C47" s="486">
        <v>27</v>
      </c>
      <c r="D47" s="1717"/>
      <c r="E47" s="1717"/>
      <c r="F47" s="1717"/>
      <c r="G47" s="1717"/>
      <c r="H47" s="1018"/>
      <c r="I47" s="1018"/>
      <c r="J47" s="1715"/>
      <c r="K47" s="1715"/>
      <c r="L47" s="1715"/>
      <c r="M47" s="1715"/>
      <c r="N47" s="1019"/>
      <c r="O47" s="729"/>
      <c r="P47" s="485"/>
      <c r="Q47" s="485"/>
      <c r="R47" s="485"/>
      <c r="S47" s="23"/>
      <c r="T47" s="496"/>
      <c r="U47" s="990"/>
      <c r="V47" s="76"/>
      <c r="W47" s="56"/>
      <c r="X47" s="56"/>
      <c r="Y47" s="56"/>
      <c r="Z47" s="58"/>
      <c r="AA47" s="58"/>
      <c r="AB47" s="58"/>
      <c r="AC47" s="58"/>
      <c r="AD47" s="58"/>
      <c r="AE47" s="58"/>
      <c r="AF47" s="58"/>
      <c r="AG47" s="58"/>
      <c r="AH47" s="58"/>
      <c r="AI47" s="58"/>
      <c r="AJ47" s="58"/>
      <c r="AK47" s="482"/>
      <c r="AL47" s="58"/>
      <c r="AM47" s="58"/>
      <c r="AN47" s="58"/>
      <c r="AO47" s="58"/>
      <c r="AP47" s="58"/>
      <c r="AQ47" s="58"/>
      <c r="AR47" s="58"/>
      <c r="AS47" s="58"/>
      <c r="AT47" s="58"/>
      <c r="AU47" s="58"/>
      <c r="AV47" s="58"/>
      <c r="AW47" s="58"/>
      <c r="AX47" s="58"/>
      <c r="AY47" s="58"/>
      <c r="AZ47" s="58"/>
      <c r="BA47" s="58"/>
      <c r="BB47" s="58"/>
      <c r="BC47" s="58"/>
      <c r="BD47" s="58"/>
      <c r="BE47" s="58"/>
      <c r="BF47" s="58"/>
      <c r="BG47" s="58"/>
      <c r="BH47" s="56"/>
      <c r="BI47" s="56"/>
      <c r="BJ47" s="56"/>
      <c r="BK47" s="56"/>
      <c r="BL47" s="56"/>
      <c r="BM47" s="56"/>
      <c r="BN47" s="56"/>
      <c r="BO47" s="56"/>
      <c r="BP47" s="56"/>
      <c r="BQ47" s="56"/>
      <c r="BR47" s="56"/>
      <c r="BS47" s="56"/>
      <c r="BT47" s="56"/>
      <c r="BU47" s="56"/>
      <c r="BV47" s="56"/>
      <c r="BW47" s="56"/>
      <c r="BX47" s="56"/>
      <c r="BY47" s="56"/>
      <c r="BZ47" s="484"/>
    </row>
    <row r="48" spans="1:78" s="28" customFormat="1" ht="12.75" customHeight="1" x14ac:dyDescent="0.2">
      <c r="A48" s="782"/>
      <c r="B48" s="803"/>
      <c r="C48" s="486">
        <v>28</v>
      </c>
      <c r="D48" s="1717"/>
      <c r="E48" s="1717"/>
      <c r="F48" s="1717"/>
      <c r="G48" s="1717"/>
      <c r="H48" s="1018"/>
      <c r="I48" s="1018"/>
      <c r="J48" s="1715"/>
      <c r="K48" s="1715"/>
      <c r="L48" s="1715"/>
      <c r="M48" s="1715"/>
      <c r="N48" s="1019"/>
      <c r="O48" s="729"/>
      <c r="P48" s="485"/>
      <c r="Q48" s="485"/>
      <c r="R48" s="485"/>
      <c r="S48" s="23"/>
      <c r="T48" s="496"/>
      <c r="U48" s="990"/>
      <c r="V48" s="76"/>
      <c r="W48" s="56"/>
      <c r="X48" s="56"/>
      <c r="Y48" s="56"/>
      <c r="Z48" s="58"/>
      <c r="AA48" s="58"/>
      <c r="AB48" s="58"/>
      <c r="AC48" s="58"/>
      <c r="AD48" s="58"/>
      <c r="AE48" s="58"/>
      <c r="AF48" s="58"/>
      <c r="AG48" s="58"/>
      <c r="AH48" s="58"/>
      <c r="AI48" s="58"/>
      <c r="AJ48" s="58"/>
      <c r="AK48" s="482"/>
      <c r="AL48" s="58"/>
      <c r="AM48" s="58"/>
      <c r="AN48" s="58"/>
      <c r="AO48" s="58"/>
      <c r="AP48" s="58"/>
      <c r="AQ48" s="58"/>
      <c r="AR48" s="58"/>
      <c r="AS48" s="58"/>
      <c r="AT48" s="58"/>
      <c r="AU48" s="58"/>
      <c r="AV48" s="58"/>
      <c r="AW48" s="58"/>
      <c r="AX48" s="58"/>
      <c r="AY48" s="58"/>
      <c r="AZ48" s="58"/>
      <c r="BA48" s="58"/>
      <c r="BB48" s="58"/>
      <c r="BC48" s="58"/>
      <c r="BD48" s="58"/>
      <c r="BE48" s="58"/>
      <c r="BF48" s="58"/>
      <c r="BG48" s="58"/>
      <c r="BH48" s="56"/>
      <c r="BI48" s="56"/>
      <c r="BJ48" s="56"/>
      <c r="BK48" s="56"/>
      <c r="BL48" s="56"/>
      <c r="BM48" s="56"/>
      <c r="BN48" s="56"/>
      <c r="BO48" s="56"/>
      <c r="BP48" s="56"/>
      <c r="BQ48" s="56"/>
      <c r="BR48" s="56"/>
      <c r="BS48" s="56"/>
      <c r="BT48" s="56"/>
      <c r="BU48" s="56"/>
      <c r="BV48" s="56"/>
      <c r="BW48" s="56"/>
      <c r="BX48" s="56"/>
      <c r="BY48" s="56"/>
      <c r="BZ48" s="484"/>
    </row>
    <row r="49" spans="1:78" s="28" customFormat="1" ht="12.75" customHeight="1" x14ac:dyDescent="0.2">
      <c r="A49" s="782"/>
      <c r="B49" s="803"/>
      <c r="C49" s="486">
        <v>29</v>
      </c>
      <c r="D49" s="1717"/>
      <c r="E49" s="1717"/>
      <c r="F49" s="1717"/>
      <c r="G49" s="1717"/>
      <c r="H49" s="1018"/>
      <c r="I49" s="1018"/>
      <c r="J49" s="1715"/>
      <c r="K49" s="1715"/>
      <c r="L49" s="1715"/>
      <c r="M49" s="1715"/>
      <c r="N49" s="1019"/>
      <c r="O49" s="729"/>
      <c r="P49" s="485"/>
      <c r="Q49" s="485"/>
      <c r="R49" s="485"/>
      <c r="S49" s="23"/>
      <c r="T49" s="496"/>
      <c r="U49" s="990"/>
      <c r="V49" s="76"/>
      <c r="W49" s="56"/>
      <c r="X49" s="56"/>
      <c r="Y49" s="56"/>
      <c r="Z49" s="58"/>
      <c r="AA49" s="58"/>
      <c r="AB49" s="58"/>
      <c r="AC49" s="58"/>
      <c r="AD49" s="58"/>
      <c r="AE49" s="58"/>
      <c r="AF49" s="58"/>
      <c r="AG49" s="58"/>
      <c r="AH49" s="58"/>
      <c r="AI49" s="58"/>
      <c r="AJ49" s="58"/>
      <c r="AK49" s="482"/>
      <c r="AL49" s="58"/>
      <c r="AM49" s="58"/>
      <c r="AN49" s="58"/>
      <c r="AO49" s="58"/>
      <c r="AP49" s="58"/>
      <c r="AQ49" s="58"/>
      <c r="AR49" s="58"/>
      <c r="AS49" s="58"/>
      <c r="AT49" s="58"/>
      <c r="AU49" s="58"/>
      <c r="AV49" s="58"/>
      <c r="AW49" s="58"/>
      <c r="AX49" s="58"/>
      <c r="AY49" s="58"/>
      <c r="AZ49" s="58"/>
      <c r="BA49" s="58"/>
      <c r="BB49" s="58"/>
      <c r="BC49" s="58"/>
      <c r="BD49" s="58"/>
      <c r="BE49" s="58"/>
      <c r="BF49" s="58"/>
      <c r="BG49" s="58"/>
      <c r="BH49" s="56"/>
      <c r="BI49" s="56"/>
      <c r="BJ49" s="56"/>
      <c r="BK49" s="56"/>
      <c r="BL49" s="56"/>
      <c r="BM49" s="56"/>
      <c r="BN49" s="56"/>
      <c r="BO49" s="56"/>
      <c r="BP49" s="56"/>
      <c r="BQ49" s="56"/>
      <c r="BR49" s="56"/>
      <c r="BS49" s="56"/>
      <c r="BT49" s="56"/>
      <c r="BU49" s="56"/>
      <c r="BV49" s="56"/>
      <c r="BW49" s="56"/>
      <c r="BX49" s="56"/>
      <c r="BY49" s="56"/>
      <c r="BZ49" s="484"/>
    </row>
    <row r="50" spans="1:78" s="28" customFormat="1" ht="12.75" customHeight="1" x14ac:dyDescent="0.2">
      <c r="A50" s="782"/>
      <c r="B50" s="803"/>
      <c r="C50" s="486">
        <v>30</v>
      </c>
      <c r="D50" s="1717"/>
      <c r="E50" s="1717"/>
      <c r="F50" s="1717"/>
      <c r="G50" s="1717"/>
      <c r="H50" s="1018"/>
      <c r="I50" s="1018"/>
      <c r="J50" s="1715"/>
      <c r="K50" s="1715"/>
      <c r="L50" s="1715"/>
      <c r="M50" s="1715"/>
      <c r="N50" s="1019"/>
      <c r="O50" s="729"/>
      <c r="P50" s="485"/>
      <c r="Q50" s="485"/>
      <c r="R50" s="485"/>
      <c r="S50" s="23"/>
      <c r="T50" s="496"/>
      <c r="U50" s="990"/>
      <c r="V50" s="76"/>
      <c r="W50" s="56"/>
      <c r="X50" s="56"/>
      <c r="Y50" s="56"/>
      <c r="Z50" s="58"/>
      <c r="AA50" s="58"/>
      <c r="AB50" s="58"/>
      <c r="AC50" s="58"/>
      <c r="AD50" s="58"/>
      <c r="AE50" s="58"/>
      <c r="AF50" s="58"/>
      <c r="AG50" s="58"/>
      <c r="AH50" s="58"/>
      <c r="AI50" s="58"/>
      <c r="AJ50" s="58"/>
      <c r="AK50" s="482"/>
      <c r="AL50" s="58"/>
      <c r="AM50" s="58"/>
      <c r="AN50" s="58"/>
      <c r="AO50" s="58"/>
      <c r="AP50" s="58"/>
      <c r="AQ50" s="58"/>
      <c r="AR50" s="58"/>
      <c r="AS50" s="58"/>
      <c r="AT50" s="58"/>
      <c r="AU50" s="58"/>
      <c r="AV50" s="58"/>
      <c r="AW50" s="58"/>
      <c r="AX50" s="58"/>
      <c r="AY50" s="58"/>
      <c r="AZ50" s="58"/>
      <c r="BA50" s="58"/>
      <c r="BB50" s="58"/>
      <c r="BC50" s="58"/>
      <c r="BD50" s="58"/>
      <c r="BE50" s="58"/>
      <c r="BF50" s="58"/>
      <c r="BG50" s="58"/>
      <c r="BH50" s="56"/>
      <c r="BI50" s="56"/>
      <c r="BJ50" s="56"/>
      <c r="BK50" s="56"/>
      <c r="BL50" s="56"/>
      <c r="BM50" s="56"/>
      <c r="BN50" s="56"/>
      <c r="BO50" s="56"/>
      <c r="BP50" s="56"/>
      <c r="BQ50" s="56"/>
      <c r="BR50" s="56"/>
      <c r="BS50" s="56"/>
      <c r="BT50" s="56"/>
      <c r="BU50" s="56"/>
      <c r="BV50" s="56"/>
      <c r="BW50" s="56"/>
      <c r="BX50" s="56"/>
      <c r="BY50" s="56"/>
      <c r="BZ50" s="484"/>
    </row>
    <row r="51" spans="1:78" s="28" customFormat="1" ht="5.0999999999999996" customHeight="1" x14ac:dyDescent="0.2">
      <c r="A51" s="782"/>
      <c r="B51" s="803"/>
      <c r="C51" s="486"/>
      <c r="D51" s="178"/>
      <c r="E51" s="487"/>
      <c r="F51" s="486"/>
      <c r="G51" s="991"/>
      <c r="H51" s="991"/>
      <c r="I51" s="991"/>
      <c r="J51" s="991"/>
      <c r="K51" s="486"/>
      <c r="L51" s="991"/>
      <c r="M51" s="991"/>
      <c r="N51" s="991"/>
      <c r="O51" s="729"/>
      <c r="P51" s="485"/>
      <c r="Q51" s="485"/>
      <c r="R51" s="485"/>
      <c r="S51" s="23"/>
      <c r="T51" s="496"/>
      <c r="U51" s="990"/>
      <c r="V51" s="76"/>
      <c r="W51" s="56"/>
      <c r="X51" s="56"/>
      <c r="Y51" s="56"/>
      <c r="Z51" s="58"/>
      <c r="AA51" s="58"/>
      <c r="AB51" s="58"/>
      <c r="AC51" s="58"/>
      <c r="AD51" s="58"/>
      <c r="AE51" s="58"/>
      <c r="AF51" s="58"/>
      <c r="AG51" s="58"/>
      <c r="AH51" s="58"/>
      <c r="AI51" s="58"/>
      <c r="AJ51" s="58"/>
      <c r="AK51" s="482"/>
      <c r="AL51" s="58"/>
      <c r="AM51" s="58"/>
      <c r="AN51" s="58"/>
      <c r="AO51" s="58"/>
      <c r="AP51" s="58"/>
      <c r="AQ51" s="58"/>
      <c r="AR51" s="58"/>
      <c r="AS51" s="58"/>
      <c r="AT51" s="58"/>
      <c r="AU51" s="58"/>
      <c r="AV51" s="58"/>
      <c r="AW51" s="58"/>
      <c r="AX51" s="58"/>
      <c r="AY51" s="58"/>
      <c r="AZ51" s="58"/>
      <c r="BA51" s="58"/>
      <c r="BB51" s="58"/>
      <c r="BC51" s="58"/>
      <c r="BD51" s="58"/>
      <c r="BE51" s="58"/>
      <c r="BF51" s="58"/>
      <c r="BG51" s="58"/>
      <c r="BH51" s="56"/>
      <c r="BI51" s="56"/>
      <c r="BJ51" s="56"/>
      <c r="BK51" s="56"/>
      <c r="BL51" s="56"/>
      <c r="BM51" s="56"/>
      <c r="BN51" s="56"/>
      <c r="BO51" s="56"/>
      <c r="BP51" s="56"/>
      <c r="BQ51" s="56"/>
      <c r="BR51" s="56"/>
      <c r="BS51" s="56"/>
      <c r="BT51" s="56"/>
      <c r="BU51" s="56"/>
      <c r="BV51" s="56"/>
      <c r="BW51" s="56"/>
      <c r="BX51" s="56"/>
      <c r="BY51" s="56"/>
      <c r="BZ51" s="484"/>
    </row>
    <row r="52" spans="1:78" s="28" customFormat="1" ht="38.85" customHeight="1" x14ac:dyDescent="0.2">
      <c r="A52" s="782"/>
      <c r="B52" s="803"/>
      <c r="C52" s="486"/>
      <c r="D52" s="1718" t="str">
        <f>Translations!$B$754</f>
        <v>Taršos šaltinio pavadinimas arba kitoks identifikatorius</v>
      </c>
      <c r="E52" s="1718"/>
      <c r="F52" s="1718"/>
      <c r="G52" s="1718"/>
      <c r="H52" s="851" t="str">
        <f>Translations!$B$764</f>
        <v>nuo</v>
      </c>
      <c r="I52" s="851" t="str">
        <f>Translations!$B$765</f>
        <v>iki</v>
      </c>
      <c r="J52" s="1719" t="str">
        <f>Translations!$B$758</f>
        <v>Aprašas, priežastys ir metodai</v>
      </c>
      <c r="K52" s="1719"/>
      <c r="L52" s="1719"/>
      <c r="M52" s="1719"/>
      <c r="N52" s="989" t="str">
        <f>Translations!$B$766</f>
        <v>Apytiksliai nustatytas išmetamųjų ŠESD kiekis 
(CO2(e) tonos)</v>
      </c>
      <c r="O52" s="729"/>
      <c r="P52" s="485"/>
      <c r="Q52" s="485"/>
      <c r="R52" s="485"/>
      <c r="S52" s="23"/>
      <c r="T52" s="496"/>
      <c r="U52" s="990"/>
      <c r="V52" s="76"/>
      <c r="W52" s="56"/>
      <c r="X52" s="56"/>
      <c r="Y52" s="56"/>
      <c r="Z52" s="58"/>
      <c r="AA52" s="58"/>
      <c r="AB52" s="58"/>
      <c r="AC52" s="58"/>
      <c r="AD52" s="58"/>
      <c r="AE52" s="58"/>
      <c r="AF52" s="58"/>
      <c r="AG52" s="58"/>
      <c r="AH52" s="58"/>
      <c r="AI52" s="58"/>
      <c r="AJ52" s="58"/>
      <c r="AK52" s="482"/>
      <c r="AL52" s="58"/>
      <c r="AM52" s="58"/>
      <c r="AN52" s="58"/>
      <c r="AO52" s="58"/>
      <c r="AP52" s="58"/>
      <c r="AQ52" s="58"/>
      <c r="AR52" s="58"/>
      <c r="AS52" s="58"/>
      <c r="AT52" s="58"/>
      <c r="AU52" s="58"/>
      <c r="AV52" s="58"/>
      <c r="AW52" s="58"/>
      <c r="AX52" s="58"/>
      <c r="AY52" s="58"/>
      <c r="AZ52" s="58"/>
      <c r="BA52" s="58"/>
      <c r="BB52" s="58"/>
      <c r="BC52" s="58"/>
      <c r="BD52" s="58"/>
      <c r="BE52" s="58"/>
      <c r="BF52" s="58"/>
      <c r="BG52" s="58"/>
      <c r="BH52" s="56"/>
      <c r="BI52" s="56"/>
      <c r="BJ52" s="56"/>
      <c r="BK52" s="56"/>
      <c r="BL52" s="56"/>
      <c r="BM52" s="56"/>
      <c r="BN52" s="56"/>
      <c r="BO52" s="56"/>
      <c r="BP52" s="56"/>
      <c r="BQ52" s="56"/>
      <c r="BR52" s="56"/>
      <c r="BS52" s="56"/>
      <c r="BT52" s="56"/>
      <c r="BU52" s="56"/>
      <c r="BV52" s="56"/>
      <c r="BW52" s="56"/>
      <c r="BX52" s="56"/>
      <c r="BY52" s="56"/>
      <c r="BZ52" s="484"/>
    </row>
    <row r="53" spans="1:78" s="28" customFormat="1" ht="12.75" customHeight="1" x14ac:dyDescent="0.2">
      <c r="A53" s="782"/>
      <c r="B53" s="803"/>
      <c r="C53" s="486">
        <v>1</v>
      </c>
      <c r="D53" s="1717"/>
      <c r="E53" s="1717"/>
      <c r="F53" s="1717"/>
      <c r="G53" s="1717"/>
      <c r="H53" s="1018"/>
      <c r="I53" s="1018"/>
      <c r="J53" s="1715"/>
      <c r="K53" s="1715"/>
      <c r="L53" s="1715"/>
      <c r="M53" s="1716"/>
      <c r="N53" s="1019"/>
      <c r="O53" s="729"/>
      <c r="P53" s="485"/>
      <c r="Q53" s="485"/>
      <c r="R53" s="485"/>
      <c r="S53" s="23"/>
      <c r="T53" s="496"/>
      <c r="U53" s="990"/>
      <c r="V53" s="76"/>
      <c r="W53" s="56"/>
      <c r="X53" s="56"/>
      <c r="Y53" s="56"/>
      <c r="Z53" s="58"/>
      <c r="AA53" s="58"/>
      <c r="AB53" s="58"/>
      <c r="AC53" s="58"/>
      <c r="AD53" s="58"/>
      <c r="AE53" s="58"/>
      <c r="AF53" s="58"/>
      <c r="AG53" s="58"/>
      <c r="AH53" s="58"/>
      <c r="AI53" s="58"/>
      <c r="AJ53" s="58"/>
      <c r="AK53" s="482"/>
      <c r="AL53" s="58"/>
      <c r="AM53" s="58"/>
      <c r="AN53" s="58"/>
      <c r="AO53" s="58"/>
      <c r="AP53" s="58"/>
      <c r="AQ53" s="58"/>
      <c r="AR53" s="58"/>
      <c r="AS53" s="58"/>
      <c r="AT53" s="58"/>
      <c r="AU53" s="58"/>
      <c r="AV53" s="58"/>
      <c r="AW53" s="58"/>
      <c r="AX53" s="58"/>
      <c r="AY53" s="58"/>
      <c r="AZ53" s="58"/>
      <c r="BA53" s="58"/>
      <c r="BB53" s="58"/>
      <c r="BC53" s="58"/>
      <c r="BD53" s="58"/>
      <c r="BE53" s="58"/>
      <c r="BF53" s="58"/>
      <c r="BG53" s="58"/>
      <c r="BH53" s="56"/>
      <c r="BI53" s="56"/>
      <c r="BJ53" s="56"/>
      <c r="BK53" s="56"/>
      <c r="BL53" s="56"/>
      <c r="BM53" s="56"/>
      <c r="BN53" s="56"/>
      <c r="BO53" s="56"/>
      <c r="BP53" s="56"/>
      <c r="BQ53" s="56"/>
      <c r="BR53" s="56"/>
      <c r="BS53" s="56"/>
      <c r="BT53" s="56"/>
      <c r="BU53" s="56"/>
      <c r="BV53" s="56"/>
      <c r="BW53" s="56"/>
      <c r="BX53" s="56"/>
      <c r="BY53" s="56"/>
      <c r="BZ53" s="484"/>
    </row>
    <row r="54" spans="1:78" s="28" customFormat="1" ht="12.75" customHeight="1" x14ac:dyDescent="0.2">
      <c r="A54" s="782"/>
      <c r="B54" s="803"/>
      <c r="C54" s="486">
        <v>2</v>
      </c>
      <c r="D54" s="1717"/>
      <c r="E54" s="1717"/>
      <c r="F54" s="1717"/>
      <c r="G54" s="1717"/>
      <c r="H54" s="1018"/>
      <c r="I54" s="1018"/>
      <c r="J54" s="1715"/>
      <c r="K54" s="1715"/>
      <c r="L54" s="1715"/>
      <c r="M54" s="1715"/>
      <c r="N54" s="1019"/>
      <c r="O54" s="729"/>
      <c r="P54" s="485"/>
      <c r="Q54" s="485"/>
      <c r="R54" s="485"/>
      <c r="S54" s="23"/>
      <c r="T54" s="496"/>
      <c r="U54" s="990"/>
      <c r="V54" s="76"/>
      <c r="W54" s="56"/>
      <c r="X54" s="56"/>
      <c r="Y54" s="56"/>
      <c r="Z54" s="58"/>
      <c r="AA54" s="58"/>
      <c r="AB54" s="58"/>
      <c r="AC54" s="58"/>
      <c r="AD54" s="58"/>
      <c r="AE54" s="58"/>
      <c r="AF54" s="58"/>
      <c r="AG54" s="58"/>
      <c r="AH54" s="58"/>
      <c r="AI54" s="58"/>
      <c r="AJ54" s="58"/>
      <c r="AK54" s="482"/>
      <c r="AL54" s="58"/>
      <c r="AM54" s="58"/>
      <c r="AN54" s="58"/>
      <c r="AO54" s="58"/>
      <c r="AP54" s="58"/>
      <c r="AQ54" s="58"/>
      <c r="AR54" s="58"/>
      <c r="AS54" s="58"/>
      <c r="AT54" s="58"/>
      <c r="AU54" s="58"/>
      <c r="AV54" s="58"/>
      <c r="AW54" s="58"/>
      <c r="AX54" s="58"/>
      <c r="AY54" s="58"/>
      <c r="AZ54" s="58"/>
      <c r="BA54" s="58"/>
      <c r="BB54" s="58"/>
      <c r="BC54" s="58"/>
      <c r="BD54" s="58"/>
      <c r="BE54" s="58"/>
      <c r="BF54" s="58"/>
      <c r="BG54" s="58"/>
      <c r="BH54" s="56"/>
      <c r="BI54" s="56"/>
      <c r="BJ54" s="56"/>
      <c r="BK54" s="56"/>
      <c r="BL54" s="56"/>
      <c r="BM54" s="56"/>
      <c r="BN54" s="56"/>
      <c r="BO54" s="56"/>
      <c r="BP54" s="56"/>
      <c r="BQ54" s="56"/>
      <c r="BR54" s="56"/>
      <c r="BS54" s="56"/>
      <c r="BT54" s="56"/>
      <c r="BU54" s="56"/>
      <c r="BV54" s="56"/>
      <c r="BW54" s="56"/>
      <c r="BX54" s="56"/>
      <c r="BY54" s="56"/>
      <c r="BZ54" s="484"/>
    </row>
    <row r="55" spans="1:78" s="28" customFormat="1" ht="12.75" customHeight="1" x14ac:dyDescent="0.2">
      <c r="A55" s="782"/>
      <c r="B55" s="803"/>
      <c r="C55" s="486">
        <v>3</v>
      </c>
      <c r="D55" s="1717"/>
      <c r="E55" s="1717"/>
      <c r="F55" s="1717"/>
      <c r="G55" s="1717"/>
      <c r="H55" s="1018"/>
      <c r="I55" s="1018"/>
      <c r="J55" s="1715"/>
      <c r="K55" s="1715"/>
      <c r="L55" s="1715"/>
      <c r="M55" s="1715"/>
      <c r="N55" s="1019"/>
      <c r="O55" s="729"/>
      <c r="P55" s="485"/>
      <c r="Q55" s="485"/>
      <c r="R55" s="485"/>
      <c r="S55" s="23"/>
      <c r="T55" s="496"/>
      <c r="U55" s="990"/>
      <c r="V55" s="76"/>
      <c r="W55" s="56"/>
      <c r="X55" s="56"/>
      <c r="Y55" s="56"/>
      <c r="Z55" s="58"/>
      <c r="AA55" s="58"/>
      <c r="AB55" s="58"/>
      <c r="AC55" s="58"/>
      <c r="AD55" s="58"/>
      <c r="AE55" s="58"/>
      <c r="AF55" s="58"/>
      <c r="AG55" s="58"/>
      <c r="AH55" s="58"/>
      <c r="AI55" s="58"/>
      <c r="AJ55" s="58"/>
      <c r="AK55" s="482"/>
      <c r="AL55" s="58"/>
      <c r="AM55" s="58"/>
      <c r="AN55" s="58"/>
      <c r="AO55" s="58"/>
      <c r="AP55" s="58"/>
      <c r="AQ55" s="58"/>
      <c r="AR55" s="58"/>
      <c r="AS55" s="58"/>
      <c r="AT55" s="58"/>
      <c r="AU55" s="58"/>
      <c r="AV55" s="58"/>
      <c r="AW55" s="58"/>
      <c r="AX55" s="58"/>
      <c r="AY55" s="58"/>
      <c r="AZ55" s="58"/>
      <c r="BA55" s="58"/>
      <c r="BB55" s="58"/>
      <c r="BC55" s="58"/>
      <c r="BD55" s="58"/>
      <c r="BE55" s="58"/>
      <c r="BF55" s="58"/>
      <c r="BG55" s="58"/>
      <c r="BH55" s="56"/>
      <c r="BI55" s="56"/>
      <c r="BJ55" s="56"/>
      <c r="BK55" s="56"/>
      <c r="BL55" s="56"/>
      <c r="BM55" s="56"/>
      <c r="BN55" s="56"/>
      <c r="BO55" s="56"/>
      <c r="BP55" s="56"/>
      <c r="BQ55" s="56"/>
      <c r="BR55" s="56"/>
      <c r="BS55" s="56"/>
      <c r="BT55" s="56"/>
      <c r="BU55" s="56"/>
      <c r="BV55" s="56"/>
      <c r="BW55" s="56"/>
      <c r="BX55" s="56"/>
      <c r="BY55" s="56"/>
      <c r="BZ55" s="484"/>
    </row>
    <row r="56" spans="1:78" s="28" customFormat="1" ht="12.75" customHeight="1" x14ac:dyDescent="0.2">
      <c r="A56" s="782"/>
      <c r="B56" s="803"/>
      <c r="C56" s="486">
        <v>4</v>
      </c>
      <c r="D56" s="1717"/>
      <c r="E56" s="1717"/>
      <c r="F56" s="1717"/>
      <c r="G56" s="1717"/>
      <c r="H56" s="1018"/>
      <c r="I56" s="1018"/>
      <c r="J56" s="1715"/>
      <c r="K56" s="1715"/>
      <c r="L56" s="1715"/>
      <c r="M56" s="1715"/>
      <c r="N56" s="1019"/>
      <c r="O56" s="729"/>
      <c r="P56" s="485"/>
      <c r="Q56" s="485"/>
      <c r="R56" s="485"/>
      <c r="S56" s="23"/>
      <c r="T56" s="496"/>
      <c r="U56" s="990"/>
      <c r="V56" s="76"/>
      <c r="W56" s="56"/>
      <c r="X56" s="56"/>
      <c r="Y56" s="56"/>
      <c r="Z56" s="58"/>
      <c r="AA56" s="58"/>
      <c r="AB56" s="58"/>
      <c r="AC56" s="58"/>
      <c r="AD56" s="58"/>
      <c r="AE56" s="58"/>
      <c r="AF56" s="58"/>
      <c r="AG56" s="58"/>
      <c r="AH56" s="58"/>
      <c r="AI56" s="58"/>
      <c r="AJ56" s="58"/>
      <c r="AK56" s="482"/>
      <c r="AL56" s="58"/>
      <c r="AM56" s="58"/>
      <c r="AN56" s="58"/>
      <c r="AO56" s="58"/>
      <c r="AP56" s="58"/>
      <c r="AQ56" s="58"/>
      <c r="AR56" s="58"/>
      <c r="AS56" s="58"/>
      <c r="AT56" s="58"/>
      <c r="AU56" s="58"/>
      <c r="AV56" s="58"/>
      <c r="AW56" s="58"/>
      <c r="AX56" s="58"/>
      <c r="AY56" s="58"/>
      <c r="AZ56" s="58"/>
      <c r="BA56" s="58"/>
      <c r="BB56" s="58"/>
      <c r="BC56" s="58"/>
      <c r="BD56" s="58"/>
      <c r="BE56" s="58"/>
      <c r="BF56" s="58"/>
      <c r="BG56" s="58"/>
      <c r="BH56" s="56"/>
      <c r="BI56" s="56"/>
      <c r="BJ56" s="56"/>
      <c r="BK56" s="56"/>
      <c r="BL56" s="56"/>
      <c r="BM56" s="56"/>
      <c r="BN56" s="56"/>
      <c r="BO56" s="56"/>
      <c r="BP56" s="56"/>
      <c r="BQ56" s="56"/>
      <c r="BR56" s="56"/>
      <c r="BS56" s="56"/>
      <c r="BT56" s="56"/>
      <c r="BU56" s="56"/>
      <c r="BV56" s="56"/>
      <c r="BW56" s="56"/>
      <c r="BX56" s="56"/>
      <c r="BY56" s="56"/>
      <c r="BZ56" s="484"/>
    </row>
    <row r="57" spans="1:78" s="28" customFormat="1" ht="12.75" customHeight="1" x14ac:dyDescent="0.2">
      <c r="A57" s="782"/>
      <c r="B57" s="803"/>
      <c r="C57" s="486">
        <v>5</v>
      </c>
      <c r="D57" s="1717"/>
      <c r="E57" s="1717"/>
      <c r="F57" s="1717"/>
      <c r="G57" s="1717"/>
      <c r="H57" s="1018"/>
      <c r="I57" s="1018"/>
      <c r="J57" s="1715"/>
      <c r="K57" s="1715"/>
      <c r="L57" s="1715"/>
      <c r="M57" s="1715"/>
      <c r="N57" s="1019"/>
      <c r="O57" s="729"/>
      <c r="P57" s="485"/>
      <c r="Q57" s="485"/>
      <c r="R57" s="485"/>
      <c r="S57" s="23"/>
      <c r="T57" s="496"/>
      <c r="U57" s="990"/>
      <c r="V57" s="76"/>
      <c r="W57" s="56"/>
      <c r="X57" s="56"/>
      <c r="Y57" s="56"/>
      <c r="Z57" s="58"/>
      <c r="AA57" s="58"/>
      <c r="AB57" s="58"/>
      <c r="AC57" s="58"/>
      <c r="AD57" s="58"/>
      <c r="AE57" s="58"/>
      <c r="AF57" s="58"/>
      <c r="AG57" s="58"/>
      <c r="AH57" s="58"/>
      <c r="AI57" s="58"/>
      <c r="AJ57" s="58"/>
      <c r="AK57" s="482"/>
      <c r="AL57" s="58"/>
      <c r="AM57" s="58"/>
      <c r="AN57" s="58"/>
      <c r="AO57" s="58"/>
      <c r="AP57" s="58"/>
      <c r="AQ57" s="58"/>
      <c r="AR57" s="58"/>
      <c r="AS57" s="58"/>
      <c r="AT57" s="58"/>
      <c r="AU57" s="58"/>
      <c r="AV57" s="58"/>
      <c r="AW57" s="58"/>
      <c r="AX57" s="58"/>
      <c r="AY57" s="58"/>
      <c r="AZ57" s="58"/>
      <c r="BA57" s="58"/>
      <c r="BB57" s="58"/>
      <c r="BC57" s="58"/>
      <c r="BD57" s="58"/>
      <c r="BE57" s="58"/>
      <c r="BF57" s="58"/>
      <c r="BG57" s="58"/>
      <c r="BH57" s="56"/>
      <c r="BI57" s="56"/>
      <c r="BJ57" s="56"/>
      <c r="BK57" s="56"/>
      <c r="BL57" s="56"/>
      <c r="BM57" s="56"/>
      <c r="BN57" s="56"/>
      <c r="BO57" s="56"/>
      <c r="BP57" s="56"/>
      <c r="BQ57" s="56"/>
      <c r="BR57" s="56"/>
      <c r="BS57" s="56"/>
      <c r="BT57" s="56"/>
      <c r="BU57" s="56"/>
      <c r="BV57" s="56"/>
      <c r="BW57" s="56"/>
      <c r="BX57" s="56"/>
      <c r="BY57" s="56"/>
      <c r="BZ57" s="484"/>
    </row>
    <row r="58" spans="1:78" s="28" customFormat="1" ht="12.75" customHeight="1" x14ac:dyDescent="0.2">
      <c r="A58" s="782"/>
      <c r="B58" s="803"/>
      <c r="C58" s="486">
        <v>6</v>
      </c>
      <c r="D58" s="1717"/>
      <c r="E58" s="1717"/>
      <c r="F58" s="1717"/>
      <c r="G58" s="1717"/>
      <c r="H58" s="1018"/>
      <c r="I58" s="1018"/>
      <c r="J58" s="1715"/>
      <c r="K58" s="1715"/>
      <c r="L58" s="1715"/>
      <c r="M58" s="1715"/>
      <c r="N58" s="1019"/>
      <c r="O58" s="729"/>
      <c r="P58" s="485"/>
      <c r="Q58" s="485"/>
      <c r="R58" s="485"/>
      <c r="S58" s="23"/>
      <c r="T58" s="496"/>
      <c r="U58" s="990"/>
      <c r="V58" s="76"/>
      <c r="W58" s="56"/>
      <c r="X58" s="56"/>
      <c r="Y58" s="56"/>
      <c r="Z58" s="58"/>
      <c r="AA58" s="58"/>
      <c r="AB58" s="58"/>
      <c r="AC58" s="58"/>
      <c r="AD58" s="58"/>
      <c r="AE58" s="58"/>
      <c r="AF58" s="58"/>
      <c r="AG58" s="58"/>
      <c r="AH58" s="58"/>
      <c r="AI58" s="58"/>
      <c r="AJ58" s="58"/>
      <c r="AK58" s="482"/>
      <c r="AL58" s="58"/>
      <c r="AM58" s="58"/>
      <c r="AN58" s="58"/>
      <c r="AO58" s="58"/>
      <c r="AP58" s="58"/>
      <c r="AQ58" s="58"/>
      <c r="AR58" s="58"/>
      <c r="AS58" s="58"/>
      <c r="AT58" s="58"/>
      <c r="AU58" s="58"/>
      <c r="AV58" s="58"/>
      <c r="AW58" s="58"/>
      <c r="AX58" s="58"/>
      <c r="AY58" s="58"/>
      <c r="AZ58" s="58"/>
      <c r="BA58" s="58"/>
      <c r="BB58" s="58"/>
      <c r="BC58" s="58"/>
      <c r="BD58" s="58"/>
      <c r="BE58" s="58"/>
      <c r="BF58" s="58"/>
      <c r="BG58" s="58"/>
      <c r="BH58" s="56"/>
      <c r="BI58" s="56"/>
      <c r="BJ58" s="56"/>
      <c r="BK58" s="56"/>
      <c r="BL58" s="56"/>
      <c r="BM58" s="56"/>
      <c r="BN58" s="56"/>
      <c r="BO58" s="56"/>
      <c r="BP58" s="56"/>
      <c r="BQ58" s="56"/>
      <c r="BR58" s="56"/>
      <c r="BS58" s="56"/>
      <c r="BT58" s="56"/>
      <c r="BU58" s="56"/>
      <c r="BV58" s="56"/>
      <c r="BW58" s="56"/>
      <c r="BX58" s="56"/>
      <c r="BY58" s="56"/>
      <c r="BZ58" s="484"/>
    </row>
    <row r="59" spans="1:78" s="28" customFormat="1" ht="12.75" customHeight="1" x14ac:dyDescent="0.2">
      <c r="A59" s="782"/>
      <c r="B59" s="803"/>
      <c r="C59" s="486">
        <v>7</v>
      </c>
      <c r="D59" s="1717"/>
      <c r="E59" s="1717"/>
      <c r="F59" s="1717"/>
      <c r="G59" s="1717"/>
      <c r="H59" s="1018"/>
      <c r="I59" s="1018"/>
      <c r="J59" s="1715"/>
      <c r="K59" s="1715"/>
      <c r="L59" s="1715"/>
      <c r="M59" s="1715"/>
      <c r="N59" s="1019"/>
      <c r="O59" s="729"/>
      <c r="P59" s="485"/>
      <c r="Q59" s="485"/>
      <c r="R59" s="485"/>
      <c r="S59" s="23"/>
      <c r="T59" s="496"/>
      <c r="U59" s="990"/>
      <c r="V59" s="76"/>
      <c r="W59" s="56"/>
      <c r="X59" s="56"/>
      <c r="Y59" s="56"/>
      <c r="Z59" s="58"/>
      <c r="AA59" s="58"/>
      <c r="AB59" s="58"/>
      <c r="AC59" s="58"/>
      <c r="AD59" s="58"/>
      <c r="AE59" s="58"/>
      <c r="AF59" s="58"/>
      <c r="AG59" s="58"/>
      <c r="AH59" s="58"/>
      <c r="AI59" s="58"/>
      <c r="AJ59" s="58"/>
      <c r="AK59" s="482"/>
      <c r="AL59" s="58"/>
      <c r="AM59" s="58"/>
      <c r="AN59" s="58"/>
      <c r="AO59" s="58"/>
      <c r="AP59" s="58"/>
      <c r="AQ59" s="58"/>
      <c r="AR59" s="58"/>
      <c r="AS59" s="58"/>
      <c r="AT59" s="58"/>
      <c r="AU59" s="58"/>
      <c r="AV59" s="58"/>
      <c r="AW59" s="58"/>
      <c r="AX59" s="58"/>
      <c r="AY59" s="58"/>
      <c r="AZ59" s="58"/>
      <c r="BA59" s="58"/>
      <c r="BB59" s="58"/>
      <c r="BC59" s="58"/>
      <c r="BD59" s="58"/>
      <c r="BE59" s="58"/>
      <c r="BF59" s="58"/>
      <c r="BG59" s="58"/>
      <c r="BH59" s="56"/>
      <c r="BI59" s="56"/>
      <c r="BJ59" s="56"/>
      <c r="BK59" s="56"/>
      <c r="BL59" s="56"/>
      <c r="BM59" s="56"/>
      <c r="BN59" s="56"/>
      <c r="BO59" s="56"/>
      <c r="BP59" s="56"/>
      <c r="BQ59" s="56"/>
      <c r="BR59" s="56"/>
      <c r="BS59" s="56"/>
      <c r="BT59" s="56"/>
      <c r="BU59" s="56"/>
      <c r="BV59" s="56"/>
      <c r="BW59" s="56"/>
      <c r="BX59" s="56"/>
      <c r="BY59" s="56"/>
      <c r="BZ59" s="484"/>
    </row>
    <row r="60" spans="1:78" s="28" customFormat="1" ht="12.75" customHeight="1" x14ac:dyDescent="0.2">
      <c r="A60" s="782"/>
      <c r="B60" s="803"/>
      <c r="C60" s="486">
        <v>8</v>
      </c>
      <c r="D60" s="1717"/>
      <c r="E60" s="1717"/>
      <c r="F60" s="1717"/>
      <c r="G60" s="1717"/>
      <c r="H60" s="1018"/>
      <c r="I60" s="1018"/>
      <c r="J60" s="1715"/>
      <c r="K60" s="1715"/>
      <c r="L60" s="1715"/>
      <c r="M60" s="1715"/>
      <c r="N60" s="1019"/>
      <c r="O60" s="729"/>
      <c r="P60" s="485"/>
      <c r="Q60" s="485"/>
      <c r="R60" s="485"/>
      <c r="S60" s="23"/>
      <c r="T60" s="496"/>
      <c r="U60" s="990"/>
      <c r="V60" s="76"/>
      <c r="W60" s="56"/>
      <c r="X60" s="56"/>
      <c r="Y60" s="56"/>
      <c r="Z60" s="58"/>
      <c r="AA60" s="58"/>
      <c r="AB60" s="58"/>
      <c r="AC60" s="58"/>
      <c r="AD60" s="58"/>
      <c r="AE60" s="58"/>
      <c r="AF60" s="58"/>
      <c r="AG60" s="58"/>
      <c r="AH60" s="58"/>
      <c r="AI60" s="58"/>
      <c r="AJ60" s="58"/>
      <c r="AK60" s="482"/>
      <c r="AL60" s="58"/>
      <c r="AM60" s="58"/>
      <c r="AN60" s="58"/>
      <c r="AO60" s="58"/>
      <c r="AP60" s="58"/>
      <c r="AQ60" s="58"/>
      <c r="AR60" s="58"/>
      <c r="AS60" s="58"/>
      <c r="AT60" s="58"/>
      <c r="AU60" s="58"/>
      <c r="AV60" s="58"/>
      <c r="AW60" s="58"/>
      <c r="AX60" s="58"/>
      <c r="AY60" s="58"/>
      <c r="AZ60" s="58"/>
      <c r="BA60" s="58"/>
      <c r="BB60" s="58"/>
      <c r="BC60" s="58"/>
      <c r="BD60" s="58"/>
      <c r="BE60" s="58"/>
      <c r="BF60" s="58"/>
      <c r="BG60" s="58"/>
      <c r="BH60" s="56"/>
      <c r="BI60" s="56"/>
      <c r="BJ60" s="56"/>
      <c r="BK60" s="56"/>
      <c r="BL60" s="56"/>
      <c r="BM60" s="56"/>
      <c r="BN60" s="56"/>
      <c r="BO60" s="56"/>
      <c r="BP60" s="56"/>
      <c r="BQ60" s="56"/>
      <c r="BR60" s="56"/>
      <c r="BS60" s="56"/>
      <c r="BT60" s="56"/>
      <c r="BU60" s="56"/>
      <c r="BV60" s="56"/>
      <c r="BW60" s="56"/>
      <c r="BX60" s="56"/>
      <c r="BY60" s="56"/>
      <c r="BZ60" s="484"/>
    </row>
    <row r="61" spans="1:78" s="28" customFormat="1" ht="12.75" customHeight="1" x14ac:dyDescent="0.2">
      <c r="A61" s="782"/>
      <c r="B61" s="803"/>
      <c r="C61" s="486">
        <v>9</v>
      </c>
      <c r="D61" s="1717"/>
      <c r="E61" s="1717"/>
      <c r="F61" s="1717"/>
      <c r="G61" s="1717"/>
      <c r="H61" s="1018"/>
      <c r="I61" s="1018"/>
      <c r="J61" s="1715"/>
      <c r="K61" s="1715"/>
      <c r="L61" s="1715"/>
      <c r="M61" s="1715"/>
      <c r="N61" s="1019"/>
      <c r="O61" s="729"/>
      <c r="P61" s="485"/>
      <c r="Q61" s="485"/>
      <c r="R61" s="485"/>
      <c r="S61" s="23"/>
      <c r="T61" s="496"/>
      <c r="U61" s="990"/>
      <c r="V61" s="76"/>
      <c r="W61" s="56"/>
      <c r="X61" s="56"/>
      <c r="Y61" s="56"/>
      <c r="Z61" s="58"/>
      <c r="AA61" s="58"/>
      <c r="AB61" s="58"/>
      <c r="AC61" s="58"/>
      <c r="AD61" s="58"/>
      <c r="AE61" s="58"/>
      <c r="AF61" s="58"/>
      <c r="AG61" s="58"/>
      <c r="AH61" s="58"/>
      <c r="AI61" s="58"/>
      <c r="AJ61" s="58"/>
      <c r="AK61" s="482"/>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84"/>
    </row>
    <row r="62" spans="1:78" s="28" customFormat="1" ht="12.75" customHeight="1" x14ac:dyDescent="0.2">
      <c r="A62" s="782"/>
      <c r="B62" s="803"/>
      <c r="C62" s="486">
        <v>10</v>
      </c>
      <c r="D62" s="1717"/>
      <c r="E62" s="1717"/>
      <c r="F62" s="1717"/>
      <c r="G62" s="1717"/>
      <c r="H62" s="1018"/>
      <c r="I62" s="1018"/>
      <c r="J62" s="1715"/>
      <c r="K62" s="1715"/>
      <c r="L62" s="1715"/>
      <c r="M62" s="1715"/>
      <c r="N62" s="1019"/>
      <c r="O62" s="729"/>
      <c r="P62" s="485"/>
      <c r="Q62" s="485"/>
      <c r="R62" s="485"/>
      <c r="S62" s="23"/>
      <c r="T62" s="496"/>
      <c r="U62" s="990"/>
      <c r="V62" s="76"/>
      <c r="W62" s="56"/>
      <c r="X62" s="56"/>
      <c r="Y62" s="56"/>
      <c r="Z62" s="58"/>
      <c r="AA62" s="58"/>
      <c r="AB62" s="58"/>
      <c r="AC62" s="58"/>
      <c r="AD62" s="58"/>
      <c r="AE62" s="58"/>
      <c r="AF62" s="58"/>
      <c r="AG62" s="58"/>
      <c r="AH62" s="58"/>
      <c r="AI62" s="58"/>
      <c r="AJ62" s="58"/>
      <c r="AK62" s="482"/>
      <c r="AL62" s="58"/>
      <c r="AM62" s="58"/>
      <c r="AN62" s="58"/>
      <c r="AO62" s="58"/>
      <c r="AP62" s="58"/>
      <c r="AQ62" s="58"/>
      <c r="AR62" s="58"/>
      <c r="AS62" s="58"/>
      <c r="AT62" s="58"/>
      <c r="AU62" s="58"/>
      <c r="AV62" s="58"/>
      <c r="AW62" s="58"/>
      <c r="AX62" s="58"/>
      <c r="AY62" s="58"/>
      <c r="AZ62" s="58"/>
      <c r="BA62" s="58"/>
      <c r="BB62" s="58"/>
      <c r="BC62" s="58"/>
      <c r="BD62" s="58"/>
      <c r="BE62" s="58"/>
      <c r="BF62" s="58"/>
      <c r="BG62" s="58"/>
      <c r="BH62" s="56"/>
      <c r="BI62" s="56"/>
      <c r="BJ62" s="56"/>
      <c r="BK62" s="56"/>
      <c r="BL62" s="56"/>
      <c r="BM62" s="56"/>
      <c r="BN62" s="56"/>
      <c r="BO62" s="56"/>
      <c r="BP62" s="56"/>
      <c r="BQ62" s="56"/>
      <c r="BR62" s="56"/>
      <c r="BS62" s="56"/>
      <c r="BT62" s="56"/>
      <c r="BU62" s="56"/>
      <c r="BV62" s="56"/>
      <c r="BW62" s="56"/>
      <c r="BX62" s="56"/>
      <c r="BY62" s="56"/>
      <c r="BZ62" s="484"/>
    </row>
    <row r="63" spans="1:78" ht="12.75" customHeight="1" thickBot="1" x14ac:dyDescent="0.25">
      <c r="A63" s="56"/>
      <c r="B63" s="765"/>
      <c r="C63" s="709"/>
      <c r="D63" s="491"/>
      <c r="E63" s="38"/>
      <c r="F63" s="36"/>
      <c r="G63" s="39"/>
      <c r="H63" s="39"/>
      <c r="I63" s="39"/>
      <c r="J63" s="39"/>
      <c r="K63" s="39"/>
      <c r="L63" s="39"/>
      <c r="M63" s="39"/>
      <c r="N63" s="39"/>
      <c r="O63" s="725"/>
      <c r="P63" s="383"/>
      <c r="Q63" s="56"/>
      <c r="R63" s="56"/>
      <c r="S63" s="73"/>
      <c r="T63" s="56"/>
      <c r="U63" s="56"/>
      <c r="V63" s="56"/>
      <c r="W63" s="45"/>
      <c r="X63" s="56"/>
      <c r="Y63" s="56"/>
      <c r="Z63" s="56"/>
      <c r="AA63" s="56"/>
      <c r="AB63" s="56"/>
    </row>
    <row r="64" spans="1:78" x14ac:dyDescent="0.2">
      <c r="A64" s="776"/>
      <c r="B64" s="765"/>
      <c r="D64" s="9"/>
      <c r="E64" s="487"/>
      <c r="F64" s="10"/>
      <c r="G64" s="11"/>
      <c r="H64" s="11"/>
      <c r="I64" s="11"/>
      <c r="J64" s="11"/>
      <c r="K64" s="11"/>
      <c r="L64" s="11"/>
      <c r="M64" s="11"/>
      <c r="N64" s="11"/>
      <c r="O64" s="725"/>
      <c r="P64" s="383"/>
      <c r="Q64" s="383"/>
      <c r="R64" s="383"/>
      <c r="S64" s="56"/>
      <c r="T64" s="56"/>
      <c r="U64" s="73"/>
      <c r="V64" s="56"/>
      <c r="W64" s="56"/>
      <c r="X64" s="73"/>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row>
    <row r="65" spans="1:78" s="7" customFormat="1" ht="15" customHeight="1" x14ac:dyDescent="0.2">
      <c r="A65" s="746"/>
      <c r="B65" s="765"/>
      <c r="C65" s="486"/>
      <c r="E65" s="148"/>
      <c r="F65" s="1634" t="str">
        <f>EUconst_MsgNextSheet</f>
        <v xml:space="preserve">&lt;&lt;&lt; Į kitą lapą pereisite paspaudę čia &gt;&gt;&gt; </v>
      </c>
      <c r="G65" s="1635"/>
      <c r="H65" s="1635"/>
      <c r="I65" s="1635"/>
      <c r="J65" s="1635"/>
      <c r="K65" s="1635"/>
      <c r="L65" s="1636"/>
      <c r="M65" s="148"/>
      <c r="N65" s="148"/>
      <c r="O65" s="725"/>
      <c r="P65" s="2"/>
      <c r="Q65" s="2"/>
      <c r="R65" s="2"/>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row>
    <row r="66" spans="1:78" ht="13.5" thickBot="1" x14ac:dyDescent="0.25">
      <c r="A66" s="785"/>
      <c r="B66" s="992"/>
      <c r="C66" s="786"/>
      <c r="D66" s="787"/>
      <c r="E66" s="769"/>
      <c r="F66" s="788"/>
      <c r="G66" s="789"/>
      <c r="H66" s="789"/>
      <c r="I66" s="789"/>
      <c r="J66" s="789"/>
      <c r="K66" s="789"/>
      <c r="L66" s="789"/>
      <c r="M66" s="789"/>
      <c r="N66" s="789"/>
      <c r="O66" s="790"/>
      <c r="P66" s="383"/>
      <c r="Q66" s="383"/>
      <c r="R66" s="383"/>
      <c r="S66" s="56"/>
      <c r="T66" s="56"/>
      <c r="U66" s="73"/>
      <c r="V66" s="56"/>
      <c r="W66" s="56"/>
      <c r="X66" s="73"/>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row>
    <row r="67" spans="1:78" ht="12.75" hidden="1" customHeight="1" x14ac:dyDescent="0.2">
      <c r="A67" s="55" t="s">
        <v>85</v>
      </c>
      <c r="B67" s="55" t="s">
        <v>72</v>
      </c>
      <c r="C67" s="482" t="s">
        <v>72</v>
      </c>
      <c r="D67" s="55" t="s">
        <v>72</v>
      </c>
      <c r="E67" s="482" t="s">
        <v>72</v>
      </c>
      <c r="F67" s="55" t="s">
        <v>72</v>
      </c>
      <c r="G67" s="55" t="s">
        <v>72</v>
      </c>
      <c r="H67" s="55" t="s">
        <v>72</v>
      </c>
      <c r="I67" s="55" t="s">
        <v>72</v>
      </c>
      <c r="J67" s="55" t="s">
        <v>72</v>
      </c>
      <c r="K67" s="55" t="s">
        <v>72</v>
      </c>
      <c r="L67" s="55" t="s">
        <v>72</v>
      </c>
      <c r="M67" s="55" t="s">
        <v>72</v>
      </c>
      <c r="N67" s="55" t="s">
        <v>72</v>
      </c>
      <c r="O67" s="71" t="s">
        <v>72</v>
      </c>
      <c r="P67" s="71"/>
      <c r="Q67" s="71"/>
      <c r="R67" s="71"/>
      <c r="S67" s="55" t="s">
        <v>72</v>
      </c>
      <c r="T67" s="55" t="s">
        <v>72</v>
      </c>
      <c r="U67" s="55" t="s">
        <v>72</v>
      </c>
      <c r="V67" s="55"/>
      <c r="W67" s="55"/>
      <c r="X67" s="55"/>
      <c r="Y67" s="55" t="s">
        <v>72</v>
      </c>
      <c r="Z67" s="55" t="s">
        <v>72</v>
      </c>
      <c r="AA67" s="55"/>
      <c r="AB67" s="55"/>
      <c r="AC67" s="55"/>
      <c r="AD67" s="55"/>
      <c r="AE67" s="55"/>
      <c r="AF67" s="55"/>
      <c r="AG67" s="55"/>
      <c r="AH67" s="55"/>
      <c r="AI67" s="55" t="s">
        <v>72</v>
      </c>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t="s">
        <v>72</v>
      </c>
    </row>
    <row r="68" spans="1:78" ht="13.5" hidden="1" thickBot="1" x14ac:dyDescent="0.25">
      <c r="A68" s="47" t="s">
        <v>85</v>
      </c>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row>
    <row r="69" spans="1:78" ht="12.75" hidden="1" customHeight="1" thickBot="1" x14ac:dyDescent="0.25">
      <c r="A69" s="47" t="s">
        <v>85</v>
      </c>
      <c r="B69" s="243"/>
      <c r="C69" s="244"/>
      <c r="D69" s="243"/>
      <c r="E69" s="244"/>
      <c r="F69" s="911"/>
      <c r="G69" s="912"/>
      <c r="H69" s="912"/>
      <c r="I69" s="912" t="str">
        <f>C_SourceStreams!I2091</f>
        <v>source stream</v>
      </c>
      <c r="J69" s="912"/>
      <c r="K69" s="912"/>
      <c r="L69" s="912"/>
      <c r="M69" s="913" t="str">
        <f>C_SourceStreams!M2091</f>
        <v>Range</v>
      </c>
      <c r="N69" s="243"/>
      <c r="O69" s="260"/>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row>
    <row r="70" spans="1:78" s="196" customFormat="1" hidden="1" x14ac:dyDescent="0.2">
      <c r="A70" s="2" t="s">
        <v>85</v>
      </c>
      <c r="C70" s="715"/>
      <c r="E70" s="715"/>
      <c r="F70" s="914">
        <f>C_SourceStreams!F2092</f>
        <v>1</v>
      </c>
      <c r="G70" s="915" t="str">
        <f>C_SourceStreams!G2092</f>
        <v>F1. Dujinis – Gamtinės dujos; CO2</v>
      </c>
      <c r="H70" s="915">
        <f>C_SourceStreams!H2092</f>
        <v>1</v>
      </c>
      <c r="I70" s="916" t="str">
        <f>C_SourceStreams!I2092</f>
        <v>F1. Dujinis – Gamtinės dujos; CO2</v>
      </c>
      <c r="J70" s="915"/>
      <c r="K70" s="915"/>
      <c r="L70" s="915"/>
      <c r="M70" s="627" t="str">
        <f>IF(COUNT(H70:H144)=0,"","$I$"&amp;ROW(I70)&amp;":$I$"&amp; ROW(I70)-1+MAX(1,H70:H144))</f>
        <v>$I$70:$I$72</v>
      </c>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row>
    <row r="71" spans="1:78" s="196" customFormat="1" hidden="1" x14ac:dyDescent="0.2">
      <c r="A71" s="2" t="s">
        <v>85</v>
      </c>
      <c r="C71" s="715"/>
      <c r="E71" s="715"/>
      <c r="F71" s="616">
        <f>C_SourceStreams!F2093</f>
        <v>2</v>
      </c>
      <c r="G71" s="611" t="str">
        <f>C_SourceStreams!G2093</f>
        <v>F2. Dujinis – Gamtinės dujos; CO2</v>
      </c>
      <c r="H71" s="611">
        <f>C_SourceStreams!H2093</f>
        <v>2</v>
      </c>
      <c r="I71" s="622" t="str">
        <f>C_SourceStreams!I2093</f>
        <v>F2. Dujinis – Gamtinės dujos; CO2</v>
      </c>
      <c r="J71" s="611"/>
      <c r="K71" s="611"/>
      <c r="L71" s="611"/>
      <c r="M71" s="617"/>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row>
    <row r="72" spans="1:78" s="196" customFormat="1" hidden="1" x14ac:dyDescent="0.2">
      <c r="A72" s="2" t="s">
        <v>85</v>
      </c>
      <c r="C72" s="715"/>
      <c r="E72" s="715"/>
      <c r="F72" s="616">
        <f>C_SourceStreams!F2094</f>
        <v>3</v>
      </c>
      <c r="G72" s="611" t="str">
        <f>C_SourceStreams!G2094</f>
        <v>F3. Dujinis – Gamtinės dujos; CO2</v>
      </c>
      <c r="H72" s="611">
        <f>C_SourceStreams!H2094</f>
        <v>3</v>
      </c>
      <c r="I72" s="622" t="str">
        <f>C_SourceStreams!I2094</f>
        <v>F3. Dujinis – Gamtinės dujos; CO2</v>
      </c>
      <c r="J72" s="611"/>
      <c r="K72" s="611"/>
      <c r="L72" s="611"/>
      <c r="M72" s="617"/>
      <c r="N72" s="7"/>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row>
    <row r="73" spans="1:78" s="196" customFormat="1" hidden="1" x14ac:dyDescent="0.2">
      <c r="A73" s="2" t="s">
        <v>85</v>
      </c>
      <c r="C73" s="715"/>
      <c r="E73" s="715"/>
      <c r="F73" s="616">
        <f>C_SourceStreams!F2095</f>
        <v>4</v>
      </c>
      <c r="G73" s="611" t="str">
        <f>C_SourceStreams!G2095</f>
        <v>netaik.</v>
      </c>
      <c r="H73" s="611" t="str">
        <f>C_SourceStreams!H2095</f>
        <v/>
      </c>
      <c r="I73" s="622" t="str">
        <f>C_SourceStreams!I2095</f>
        <v/>
      </c>
      <c r="J73" s="611"/>
      <c r="K73" s="611"/>
      <c r="L73" s="611"/>
      <c r="M73" s="617"/>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row>
    <row r="74" spans="1:78" s="196" customFormat="1" hidden="1" x14ac:dyDescent="0.2">
      <c r="A74" s="2" t="s">
        <v>85</v>
      </c>
      <c r="C74" s="715"/>
      <c r="E74" s="715"/>
      <c r="F74" s="616">
        <f>C_SourceStreams!F2096</f>
        <v>5</v>
      </c>
      <c r="G74" s="611" t="str">
        <f>C_SourceStreams!G2096</f>
        <v>netaik.</v>
      </c>
      <c r="H74" s="611" t="str">
        <f>C_SourceStreams!H2096</f>
        <v/>
      </c>
      <c r="I74" s="622" t="str">
        <f>C_SourceStreams!I2096</f>
        <v/>
      </c>
      <c r="J74" s="611"/>
      <c r="K74" s="611"/>
      <c r="L74" s="611"/>
      <c r="M74" s="617"/>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row>
    <row r="75" spans="1:78" s="196" customFormat="1" hidden="1" x14ac:dyDescent="0.2">
      <c r="A75" s="2" t="s">
        <v>85</v>
      </c>
      <c r="C75" s="715"/>
      <c r="E75" s="715"/>
      <c r="F75" s="616">
        <f>C_SourceStreams!F2097</f>
        <v>6</v>
      </c>
      <c r="G75" s="611" t="str">
        <f>C_SourceStreams!G2097</f>
        <v>netaik.</v>
      </c>
      <c r="H75" s="611" t="str">
        <f>C_SourceStreams!H2097</f>
        <v/>
      </c>
      <c r="I75" s="622" t="str">
        <f>C_SourceStreams!I2097</f>
        <v/>
      </c>
      <c r="J75" s="611"/>
      <c r="K75" s="611"/>
      <c r="L75" s="611"/>
      <c r="M75" s="617"/>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row>
    <row r="76" spans="1:78" s="196" customFormat="1" hidden="1" x14ac:dyDescent="0.2">
      <c r="A76" s="2" t="s">
        <v>85</v>
      </c>
      <c r="C76" s="715"/>
      <c r="E76" s="715"/>
      <c r="F76" s="616">
        <f>C_SourceStreams!F2098</f>
        <v>7</v>
      </c>
      <c r="G76" s="611" t="str">
        <f>C_SourceStreams!G2098</f>
        <v>netaik.</v>
      </c>
      <c r="H76" s="611" t="str">
        <f>C_SourceStreams!H2098</f>
        <v/>
      </c>
      <c r="I76" s="622" t="str">
        <f>C_SourceStreams!I2098</f>
        <v/>
      </c>
      <c r="J76" s="611"/>
      <c r="K76" s="611"/>
      <c r="L76" s="611"/>
      <c r="M76" s="617"/>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row>
    <row r="77" spans="1:78" s="196" customFormat="1" hidden="1" x14ac:dyDescent="0.2">
      <c r="A77" s="2" t="s">
        <v>85</v>
      </c>
      <c r="C77" s="715"/>
      <c r="E77" s="715"/>
      <c r="F77" s="616">
        <f>C_SourceStreams!F2099</f>
        <v>8</v>
      </c>
      <c r="G77" s="611" t="str">
        <f>C_SourceStreams!G2099</f>
        <v>netaik.</v>
      </c>
      <c r="H77" s="611" t="str">
        <f>C_SourceStreams!H2099</f>
        <v/>
      </c>
      <c r="I77" s="622" t="str">
        <f>C_SourceStreams!I2099</f>
        <v/>
      </c>
      <c r="J77" s="611"/>
      <c r="K77" s="611"/>
      <c r="L77" s="611"/>
      <c r="M77" s="617"/>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row>
    <row r="78" spans="1:78" s="196" customFormat="1" hidden="1" x14ac:dyDescent="0.2">
      <c r="A78" s="2" t="s">
        <v>85</v>
      </c>
      <c r="C78" s="715"/>
      <c r="E78" s="715"/>
      <c r="F78" s="616">
        <f>C_SourceStreams!F2100</f>
        <v>9</v>
      </c>
      <c r="G78" s="611" t="str">
        <f>C_SourceStreams!G2100</f>
        <v>netaik.</v>
      </c>
      <c r="H78" s="611" t="str">
        <f>C_SourceStreams!H2100</f>
        <v/>
      </c>
      <c r="I78" s="622" t="str">
        <f>C_SourceStreams!I2100</f>
        <v/>
      </c>
      <c r="J78" s="611"/>
      <c r="K78" s="611"/>
      <c r="L78" s="611"/>
      <c r="M78" s="617"/>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row>
    <row r="79" spans="1:78" s="196" customFormat="1" hidden="1" x14ac:dyDescent="0.2">
      <c r="A79" s="2" t="s">
        <v>85</v>
      </c>
      <c r="C79" s="715"/>
      <c r="E79" s="715"/>
      <c r="F79" s="616">
        <f>C_SourceStreams!F2101</f>
        <v>10</v>
      </c>
      <c r="G79" s="611" t="str">
        <f>C_SourceStreams!G2101</f>
        <v>netaik.</v>
      </c>
      <c r="H79" s="611" t="str">
        <f>C_SourceStreams!H2101</f>
        <v/>
      </c>
      <c r="I79" s="622" t="str">
        <f>C_SourceStreams!I2101</f>
        <v/>
      </c>
      <c r="J79" s="611"/>
      <c r="K79" s="611"/>
      <c r="L79" s="611"/>
      <c r="M79" s="617"/>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row>
    <row r="80" spans="1:78" s="196" customFormat="1" hidden="1" x14ac:dyDescent="0.2">
      <c r="A80" s="2" t="s">
        <v>85</v>
      </c>
      <c r="C80" s="715"/>
      <c r="E80" s="715"/>
      <c r="F80" s="616">
        <f>C_SourceStreams!F2102</f>
        <v>11</v>
      </c>
      <c r="G80" s="611" t="str">
        <f>C_SourceStreams!G2102</f>
        <v>netaik.</v>
      </c>
      <c r="H80" s="611" t="str">
        <f>C_SourceStreams!H2102</f>
        <v/>
      </c>
      <c r="I80" s="622" t="str">
        <f>C_SourceStreams!I2102</f>
        <v/>
      </c>
      <c r="J80" s="611"/>
      <c r="K80" s="611"/>
      <c r="L80" s="611"/>
      <c r="M80" s="617"/>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row>
    <row r="81" spans="1:78" s="196" customFormat="1" hidden="1" x14ac:dyDescent="0.2">
      <c r="A81" s="2" t="s">
        <v>85</v>
      </c>
      <c r="C81" s="715"/>
      <c r="E81" s="715"/>
      <c r="F81" s="616">
        <f>C_SourceStreams!F2103</f>
        <v>12</v>
      </c>
      <c r="G81" s="611" t="str">
        <f>C_SourceStreams!G2103</f>
        <v>netaik.</v>
      </c>
      <c r="H81" s="611" t="str">
        <f>C_SourceStreams!H2103</f>
        <v/>
      </c>
      <c r="I81" s="622" t="str">
        <f>C_SourceStreams!I2103</f>
        <v/>
      </c>
      <c r="J81" s="611"/>
      <c r="K81" s="611"/>
      <c r="L81" s="611"/>
      <c r="M81" s="617"/>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row>
    <row r="82" spans="1:78" s="196" customFormat="1" hidden="1" x14ac:dyDescent="0.2">
      <c r="A82" s="2" t="s">
        <v>85</v>
      </c>
      <c r="C82" s="715"/>
      <c r="E82" s="715"/>
      <c r="F82" s="616">
        <f>C_SourceStreams!F2104</f>
        <v>13</v>
      </c>
      <c r="G82" s="611" t="str">
        <f>C_SourceStreams!G2104</f>
        <v>netaik.</v>
      </c>
      <c r="H82" s="611" t="str">
        <f>C_SourceStreams!H2104</f>
        <v/>
      </c>
      <c r="I82" s="622" t="str">
        <f>C_SourceStreams!I2104</f>
        <v/>
      </c>
      <c r="J82" s="611"/>
      <c r="K82" s="611"/>
      <c r="L82" s="611"/>
      <c r="M82" s="617"/>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row>
    <row r="83" spans="1:78" s="196" customFormat="1" hidden="1" x14ac:dyDescent="0.2">
      <c r="A83" s="2" t="s">
        <v>85</v>
      </c>
      <c r="C83" s="715"/>
      <c r="E83" s="715"/>
      <c r="F83" s="616">
        <f>C_SourceStreams!F2105</f>
        <v>14</v>
      </c>
      <c r="G83" s="611" t="str">
        <f>C_SourceStreams!G2105</f>
        <v>netaik.</v>
      </c>
      <c r="H83" s="611" t="str">
        <f>C_SourceStreams!H2105</f>
        <v/>
      </c>
      <c r="I83" s="622" t="str">
        <f>C_SourceStreams!I2105</f>
        <v/>
      </c>
      <c r="J83" s="611"/>
      <c r="K83" s="611"/>
      <c r="L83" s="611"/>
      <c r="M83" s="617"/>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row>
    <row r="84" spans="1:78" s="196" customFormat="1" hidden="1" x14ac:dyDescent="0.2">
      <c r="A84" s="2" t="s">
        <v>85</v>
      </c>
      <c r="C84" s="715"/>
      <c r="E84" s="715"/>
      <c r="F84" s="616">
        <f>C_SourceStreams!F2106</f>
        <v>15</v>
      </c>
      <c r="G84" s="611" t="str">
        <f>C_SourceStreams!G2106</f>
        <v>netaik.</v>
      </c>
      <c r="H84" s="611" t="str">
        <f>C_SourceStreams!H2106</f>
        <v/>
      </c>
      <c r="I84" s="622" t="str">
        <f>C_SourceStreams!I2106</f>
        <v/>
      </c>
      <c r="J84" s="611"/>
      <c r="K84" s="611"/>
      <c r="L84" s="611"/>
      <c r="M84" s="617"/>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row>
    <row r="85" spans="1:78" s="196" customFormat="1" hidden="1" x14ac:dyDescent="0.2">
      <c r="A85" s="2" t="s">
        <v>85</v>
      </c>
      <c r="C85" s="715"/>
      <c r="E85" s="715"/>
      <c r="F85" s="616">
        <f>C_SourceStreams!F2107</f>
        <v>16</v>
      </c>
      <c r="G85" s="611" t="str">
        <f>C_SourceStreams!G2107</f>
        <v>netaik.</v>
      </c>
      <c r="H85" s="611" t="str">
        <f>C_SourceStreams!H2107</f>
        <v/>
      </c>
      <c r="I85" s="622" t="str">
        <f>C_SourceStreams!I2107</f>
        <v/>
      </c>
      <c r="J85" s="611"/>
      <c r="K85" s="611"/>
      <c r="L85" s="611"/>
      <c r="M85" s="617"/>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row>
    <row r="86" spans="1:78" s="196" customFormat="1" hidden="1" x14ac:dyDescent="0.2">
      <c r="A86" s="2" t="s">
        <v>85</v>
      </c>
      <c r="C86" s="715"/>
      <c r="E86" s="715"/>
      <c r="F86" s="616">
        <f>C_SourceStreams!F2108</f>
        <v>17</v>
      </c>
      <c r="G86" s="611" t="str">
        <f>C_SourceStreams!G2108</f>
        <v>netaik.</v>
      </c>
      <c r="H86" s="611" t="str">
        <f>C_SourceStreams!H2108</f>
        <v/>
      </c>
      <c r="I86" s="622" t="str">
        <f>C_SourceStreams!I2108</f>
        <v/>
      </c>
      <c r="J86" s="611"/>
      <c r="K86" s="611"/>
      <c r="L86" s="611"/>
      <c r="M86" s="617"/>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row>
    <row r="87" spans="1:78" s="196" customFormat="1" hidden="1" x14ac:dyDescent="0.2">
      <c r="A87" s="2" t="s">
        <v>85</v>
      </c>
      <c r="C87" s="715"/>
      <c r="E87" s="715"/>
      <c r="F87" s="616">
        <f>C_SourceStreams!F2109</f>
        <v>18</v>
      </c>
      <c r="G87" s="611" t="str">
        <f>C_SourceStreams!G2109</f>
        <v>netaik.</v>
      </c>
      <c r="H87" s="611" t="str">
        <f>C_SourceStreams!H2109</f>
        <v/>
      </c>
      <c r="I87" s="622" t="str">
        <f>C_SourceStreams!I2109</f>
        <v/>
      </c>
      <c r="J87" s="611"/>
      <c r="K87" s="611"/>
      <c r="L87" s="611"/>
      <c r="M87" s="617"/>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row>
    <row r="88" spans="1:78" s="196" customFormat="1" hidden="1" x14ac:dyDescent="0.2">
      <c r="A88" s="2" t="s">
        <v>85</v>
      </c>
      <c r="C88" s="715"/>
      <c r="E88" s="715"/>
      <c r="F88" s="616">
        <f>C_SourceStreams!F2110</f>
        <v>19</v>
      </c>
      <c r="G88" s="611" t="str">
        <f>C_SourceStreams!G2110</f>
        <v>netaik.</v>
      </c>
      <c r="H88" s="611" t="str">
        <f>C_SourceStreams!H2110</f>
        <v/>
      </c>
      <c r="I88" s="622" t="str">
        <f>C_SourceStreams!I2110</f>
        <v/>
      </c>
      <c r="J88" s="611"/>
      <c r="K88" s="611"/>
      <c r="L88" s="611"/>
      <c r="M88" s="617"/>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row>
    <row r="89" spans="1:78" s="196" customFormat="1" hidden="1" x14ac:dyDescent="0.2">
      <c r="A89" s="2" t="s">
        <v>85</v>
      </c>
      <c r="C89" s="715"/>
      <c r="E89" s="715"/>
      <c r="F89" s="616">
        <f>C_SourceStreams!F2111</f>
        <v>20</v>
      </c>
      <c r="G89" s="611" t="str">
        <f>C_SourceStreams!G2111</f>
        <v>netaik.</v>
      </c>
      <c r="H89" s="611" t="str">
        <f>C_SourceStreams!H2111</f>
        <v/>
      </c>
      <c r="I89" s="622" t="str">
        <f>C_SourceStreams!I2111</f>
        <v/>
      </c>
      <c r="J89" s="611"/>
      <c r="K89" s="611"/>
      <c r="L89" s="611"/>
      <c r="M89" s="617"/>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row>
    <row r="90" spans="1:78" s="196" customFormat="1" hidden="1" x14ac:dyDescent="0.2">
      <c r="A90" s="2" t="s">
        <v>85</v>
      </c>
      <c r="C90" s="715"/>
      <c r="E90" s="715"/>
      <c r="F90" s="616">
        <f>C_SourceStreams!F2112</f>
        <v>21</v>
      </c>
      <c r="G90" s="611" t="str">
        <f>C_SourceStreams!G2112</f>
        <v>netaik.</v>
      </c>
      <c r="H90" s="611" t="str">
        <f>C_SourceStreams!H2112</f>
        <v/>
      </c>
      <c r="I90" s="622" t="str">
        <f>C_SourceStreams!I2112</f>
        <v/>
      </c>
      <c r="J90" s="611"/>
      <c r="K90" s="611"/>
      <c r="L90" s="611"/>
      <c r="M90" s="617"/>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row>
    <row r="91" spans="1:78" s="196" customFormat="1" hidden="1" x14ac:dyDescent="0.2">
      <c r="A91" s="2" t="s">
        <v>85</v>
      </c>
      <c r="C91" s="715"/>
      <c r="E91" s="715"/>
      <c r="F91" s="616">
        <f>C_SourceStreams!F2113</f>
        <v>22</v>
      </c>
      <c r="G91" s="611" t="str">
        <f>C_SourceStreams!G2113</f>
        <v>netaik.</v>
      </c>
      <c r="H91" s="611" t="str">
        <f>C_SourceStreams!H2113</f>
        <v/>
      </c>
      <c r="I91" s="622" t="str">
        <f>C_SourceStreams!I2113</f>
        <v/>
      </c>
      <c r="J91" s="611"/>
      <c r="K91" s="611"/>
      <c r="L91" s="611"/>
      <c r="M91" s="617"/>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row>
    <row r="92" spans="1:78" s="196" customFormat="1" hidden="1" x14ac:dyDescent="0.2">
      <c r="A92" s="2" t="s">
        <v>85</v>
      </c>
      <c r="C92" s="715"/>
      <c r="E92" s="715"/>
      <c r="F92" s="616">
        <f>C_SourceStreams!F2114</f>
        <v>23</v>
      </c>
      <c r="G92" s="611" t="str">
        <f>C_SourceStreams!G2114</f>
        <v>netaik.</v>
      </c>
      <c r="H92" s="611" t="str">
        <f>C_SourceStreams!H2114</f>
        <v/>
      </c>
      <c r="I92" s="622" t="str">
        <f>C_SourceStreams!I2114</f>
        <v/>
      </c>
      <c r="J92" s="611"/>
      <c r="K92" s="611"/>
      <c r="L92" s="611"/>
      <c r="M92" s="617"/>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row>
    <row r="93" spans="1:78" s="196" customFormat="1" hidden="1" x14ac:dyDescent="0.2">
      <c r="A93" s="2" t="s">
        <v>85</v>
      </c>
      <c r="C93" s="715"/>
      <c r="E93" s="715"/>
      <c r="F93" s="616">
        <f>C_SourceStreams!F2115</f>
        <v>24</v>
      </c>
      <c r="G93" s="611" t="str">
        <f>C_SourceStreams!G2115</f>
        <v>netaik.</v>
      </c>
      <c r="H93" s="611" t="str">
        <f>C_SourceStreams!H2115</f>
        <v/>
      </c>
      <c r="I93" s="622" t="str">
        <f>C_SourceStreams!I2115</f>
        <v/>
      </c>
      <c r="J93" s="611"/>
      <c r="K93" s="611"/>
      <c r="L93" s="611"/>
      <c r="M93" s="617"/>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row>
    <row r="94" spans="1:78" s="196" customFormat="1" hidden="1" x14ac:dyDescent="0.2">
      <c r="A94" s="2" t="s">
        <v>85</v>
      </c>
      <c r="C94" s="715"/>
      <c r="E94" s="715"/>
      <c r="F94" s="616">
        <f>C_SourceStreams!F2116</f>
        <v>25</v>
      </c>
      <c r="G94" s="611" t="str">
        <f>C_SourceStreams!G2116</f>
        <v>netaik.</v>
      </c>
      <c r="H94" s="611" t="str">
        <f>C_SourceStreams!H2116</f>
        <v/>
      </c>
      <c r="I94" s="622" t="str">
        <f>C_SourceStreams!I2116</f>
        <v/>
      </c>
      <c r="J94" s="611"/>
      <c r="K94" s="611"/>
      <c r="L94" s="611"/>
      <c r="M94" s="617"/>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row>
    <row r="95" spans="1:78" s="196" customFormat="1" hidden="1" x14ac:dyDescent="0.2">
      <c r="A95" s="2" t="s">
        <v>85</v>
      </c>
      <c r="C95" s="715"/>
      <c r="E95" s="715"/>
      <c r="F95" s="616">
        <f>C_SourceStreams!F2117</f>
        <v>26</v>
      </c>
      <c r="G95" s="611" t="str">
        <f>C_SourceStreams!G2117</f>
        <v>netaik.</v>
      </c>
      <c r="H95" s="611" t="str">
        <f>C_SourceStreams!H2117</f>
        <v/>
      </c>
      <c r="I95" s="622" t="str">
        <f>C_SourceStreams!I2117</f>
        <v/>
      </c>
      <c r="J95" s="611"/>
      <c r="K95" s="611"/>
      <c r="L95" s="611"/>
      <c r="M95" s="617"/>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row>
    <row r="96" spans="1:78" s="196" customFormat="1" hidden="1" x14ac:dyDescent="0.2">
      <c r="A96" s="2" t="s">
        <v>85</v>
      </c>
      <c r="C96" s="715"/>
      <c r="E96" s="715"/>
      <c r="F96" s="616">
        <f>C_SourceStreams!F2118</f>
        <v>27</v>
      </c>
      <c r="G96" s="611" t="str">
        <f>C_SourceStreams!G2118</f>
        <v>netaik.</v>
      </c>
      <c r="H96" s="611" t="str">
        <f>C_SourceStreams!H2118</f>
        <v/>
      </c>
      <c r="I96" s="622" t="str">
        <f>C_SourceStreams!I2118</f>
        <v/>
      </c>
      <c r="J96" s="611"/>
      <c r="K96" s="611"/>
      <c r="L96" s="611"/>
      <c r="M96" s="617"/>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row>
    <row r="97" spans="1:78" s="196" customFormat="1" hidden="1" x14ac:dyDescent="0.2">
      <c r="A97" s="2" t="s">
        <v>85</v>
      </c>
      <c r="C97" s="715"/>
      <c r="E97" s="715"/>
      <c r="F97" s="616">
        <f>C_SourceStreams!F2119</f>
        <v>28</v>
      </c>
      <c r="G97" s="611" t="str">
        <f>C_SourceStreams!G2119</f>
        <v>netaik.</v>
      </c>
      <c r="H97" s="611" t="str">
        <f>C_SourceStreams!H2119</f>
        <v/>
      </c>
      <c r="I97" s="622" t="str">
        <f>C_SourceStreams!I2119</f>
        <v/>
      </c>
      <c r="J97" s="611"/>
      <c r="K97" s="611"/>
      <c r="L97" s="611"/>
      <c r="M97" s="617"/>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row>
    <row r="98" spans="1:78" s="196" customFormat="1" hidden="1" x14ac:dyDescent="0.2">
      <c r="A98" s="2" t="s">
        <v>85</v>
      </c>
      <c r="C98" s="715"/>
      <c r="E98" s="715"/>
      <c r="F98" s="616">
        <f>C_SourceStreams!F2120</f>
        <v>29</v>
      </c>
      <c r="G98" s="611" t="str">
        <f>C_SourceStreams!G2120</f>
        <v>netaik.</v>
      </c>
      <c r="H98" s="611" t="str">
        <f>C_SourceStreams!H2120</f>
        <v/>
      </c>
      <c r="I98" s="622" t="str">
        <f>C_SourceStreams!I2120</f>
        <v/>
      </c>
      <c r="J98" s="611"/>
      <c r="K98" s="611"/>
      <c r="L98" s="611"/>
      <c r="M98" s="617"/>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row>
    <row r="99" spans="1:78" s="196" customFormat="1" hidden="1" x14ac:dyDescent="0.2">
      <c r="A99" s="2" t="s">
        <v>85</v>
      </c>
      <c r="C99" s="715"/>
      <c r="E99" s="715"/>
      <c r="F99" s="616">
        <f>C_SourceStreams!F2121</f>
        <v>30</v>
      </c>
      <c r="G99" s="611" t="str">
        <f>C_SourceStreams!G2121</f>
        <v>netaik.</v>
      </c>
      <c r="H99" s="611" t="str">
        <f>C_SourceStreams!H2121</f>
        <v/>
      </c>
      <c r="I99" s="622" t="str">
        <f>C_SourceStreams!I2121</f>
        <v/>
      </c>
      <c r="J99" s="611"/>
      <c r="K99" s="611"/>
      <c r="L99" s="611"/>
      <c r="M99" s="617"/>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row>
    <row r="100" spans="1:78" s="196" customFormat="1" hidden="1" x14ac:dyDescent="0.2">
      <c r="A100" s="2" t="s">
        <v>85</v>
      </c>
      <c r="C100" s="715"/>
      <c r="E100" s="715"/>
      <c r="F100" s="616">
        <f>C_SourceStreams!F2122</f>
        <v>31</v>
      </c>
      <c r="G100" s="611" t="str">
        <f>C_SourceStreams!G2122</f>
        <v>netaik.</v>
      </c>
      <c r="H100" s="611" t="str">
        <f>C_SourceStreams!H2122</f>
        <v/>
      </c>
      <c r="I100" s="622" t="str">
        <f>C_SourceStreams!I2122</f>
        <v/>
      </c>
      <c r="J100" s="611"/>
      <c r="K100" s="611"/>
      <c r="L100" s="611"/>
      <c r="M100" s="617"/>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row>
    <row r="101" spans="1:78" s="196" customFormat="1" hidden="1" x14ac:dyDescent="0.2">
      <c r="A101" s="2" t="s">
        <v>85</v>
      </c>
      <c r="C101" s="715"/>
      <c r="E101" s="715"/>
      <c r="F101" s="616">
        <f>C_SourceStreams!F2123</f>
        <v>32</v>
      </c>
      <c r="G101" s="611" t="str">
        <f>C_SourceStreams!G2123</f>
        <v>netaik.</v>
      </c>
      <c r="H101" s="611" t="str">
        <f>C_SourceStreams!H2123</f>
        <v/>
      </c>
      <c r="I101" s="622" t="str">
        <f>C_SourceStreams!I2123</f>
        <v/>
      </c>
      <c r="J101" s="611"/>
      <c r="K101" s="611"/>
      <c r="L101" s="611"/>
      <c r="M101" s="617"/>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row>
    <row r="102" spans="1:78" s="196" customFormat="1" hidden="1" x14ac:dyDescent="0.2">
      <c r="A102" s="2" t="s">
        <v>85</v>
      </c>
      <c r="C102" s="715"/>
      <c r="E102" s="715"/>
      <c r="F102" s="616">
        <f>C_SourceStreams!F2124</f>
        <v>33</v>
      </c>
      <c r="G102" s="611" t="str">
        <f>C_SourceStreams!G2124</f>
        <v>netaik.</v>
      </c>
      <c r="H102" s="611" t="str">
        <f>C_SourceStreams!H2124</f>
        <v/>
      </c>
      <c r="I102" s="622" t="str">
        <f>C_SourceStreams!I2124</f>
        <v/>
      </c>
      <c r="J102" s="611"/>
      <c r="K102" s="611"/>
      <c r="L102" s="611"/>
      <c r="M102" s="617"/>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row>
    <row r="103" spans="1:78" s="196" customFormat="1" hidden="1" x14ac:dyDescent="0.2">
      <c r="A103" s="2" t="s">
        <v>85</v>
      </c>
      <c r="C103" s="715"/>
      <c r="E103" s="715"/>
      <c r="F103" s="616">
        <f>C_SourceStreams!F2125</f>
        <v>34</v>
      </c>
      <c r="G103" s="611" t="str">
        <f>C_SourceStreams!G2125</f>
        <v>netaik.</v>
      </c>
      <c r="H103" s="611" t="str">
        <f>C_SourceStreams!H2125</f>
        <v/>
      </c>
      <c r="I103" s="622" t="str">
        <f>C_SourceStreams!I2125</f>
        <v/>
      </c>
      <c r="J103" s="611"/>
      <c r="K103" s="611"/>
      <c r="L103" s="611"/>
      <c r="M103" s="617"/>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row>
    <row r="104" spans="1:78" s="196" customFormat="1" hidden="1" x14ac:dyDescent="0.2">
      <c r="A104" s="2" t="s">
        <v>85</v>
      </c>
      <c r="C104" s="715"/>
      <c r="E104" s="715"/>
      <c r="F104" s="616">
        <f>C_SourceStreams!F2126</f>
        <v>35</v>
      </c>
      <c r="G104" s="611" t="str">
        <f>C_SourceStreams!G2126</f>
        <v>netaik.</v>
      </c>
      <c r="H104" s="611" t="str">
        <f>C_SourceStreams!H2126</f>
        <v/>
      </c>
      <c r="I104" s="622" t="str">
        <f>C_SourceStreams!I2126</f>
        <v/>
      </c>
      <c r="J104" s="611"/>
      <c r="K104" s="611"/>
      <c r="L104" s="611"/>
      <c r="M104" s="617"/>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row>
    <row r="105" spans="1:78" s="196" customFormat="1" hidden="1" x14ac:dyDescent="0.2">
      <c r="A105" s="2" t="s">
        <v>85</v>
      </c>
      <c r="C105" s="715"/>
      <c r="E105" s="715"/>
      <c r="F105" s="616">
        <f>C_SourceStreams!F2127</f>
        <v>36</v>
      </c>
      <c r="G105" s="611" t="str">
        <f>C_SourceStreams!G2127</f>
        <v>netaik.</v>
      </c>
      <c r="H105" s="611" t="str">
        <f>C_SourceStreams!H2127</f>
        <v/>
      </c>
      <c r="I105" s="622" t="str">
        <f>C_SourceStreams!I2127</f>
        <v/>
      </c>
      <c r="J105" s="611"/>
      <c r="K105" s="611"/>
      <c r="L105" s="611"/>
      <c r="M105" s="617"/>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row>
    <row r="106" spans="1:78" s="196" customFormat="1" hidden="1" x14ac:dyDescent="0.2">
      <c r="A106" s="2" t="s">
        <v>85</v>
      </c>
      <c r="C106" s="715"/>
      <c r="E106" s="715"/>
      <c r="F106" s="616">
        <f>C_SourceStreams!F2128</f>
        <v>37</v>
      </c>
      <c r="G106" s="611" t="str">
        <f>C_SourceStreams!G2128</f>
        <v>netaik.</v>
      </c>
      <c r="H106" s="611" t="str">
        <f>C_SourceStreams!H2128</f>
        <v/>
      </c>
      <c r="I106" s="622" t="str">
        <f>C_SourceStreams!I2128</f>
        <v/>
      </c>
      <c r="J106" s="611"/>
      <c r="K106" s="611"/>
      <c r="L106" s="611"/>
      <c r="M106" s="617"/>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row>
    <row r="107" spans="1:78" s="196" customFormat="1" hidden="1" x14ac:dyDescent="0.2">
      <c r="A107" s="2" t="s">
        <v>85</v>
      </c>
      <c r="C107" s="715"/>
      <c r="E107" s="715"/>
      <c r="F107" s="616">
        <f>C_SourceStreams!F2129</f>
        <v>38</v>
      </c>
      <c r="G107" s="611" t="str">
        <f>C_SourceStreams!G2129</f>
        <v>netaik.</v>
      </c>
      <c r="H107" s="611" t="str">
        <f>C_SourceStreams!H2129</f>
        <v/>
      </c>
      <c r="I107" s="622" t="str">
        <f>C_SourceStreams!I2129</f>
        <v/>
      </c>
      <c r="J107" s="611"/>
      <c r="K107" s="611"/>
      <c r="L107" s="611"/>
      <c r="M107" s="617"/>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row>
    <row r="108" spans="1:78" s="196" customFormat="1" hidden="1" x14ac:dyDescent="0.2">
      <c r="A108" s="2" t="s">
        <v>85</v>
      </c>
      <c r="C108" s="715"/>
      <c r="E108" s="715"/>
      <c r="F108" s="616">
        <f>C_SourceStreams!F2130</f>
        <v>39</v>
      </c>
      <c r="G108" s="611" t="str">
        <f>C_SourceStreams!G2130</f>
        <v>netaik.</v>
      </c>
      <c r="H108" s="611" t="str">
        <f>C_SourceStreams!H2130</f>
        <v/>
      </c>
      <c r="I108" s="622" t="str">
        <f>C_SourceStreams!I2130</f>
        <v/>
      </c>
      <c r="J108" s="611"/>
      <c r="K108" s="611"/>
      <c r="L108" s="611"/>
      <c r="M108" s="617"/>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row>
    <row r="109" spans="1:78" s="196" customFormat="1" hidden="1" x14ac:dyDescent="0.2">
      <c r="A109" s="2" t="s">
        <v>85</v>
      </c>
      <c r="C109" s="715"/>
      <c r="E109" s="715"/>
      <c r="F109" s="616">
        <f>C_SourceStreams!F2131</f>
        <v>40</v>
      </c>
      <c r="G109" s="611" t="str">
        <f>C_SourceStreams!G2131</f>
        <v>netaik.</v>
      </c>
      <c r="H109" s="611" t="str">
        <f>C_SourceStreams!H2131</f>
        <v/>
      </c>
      <c r="I109" s="622" t="str">
        <f>C_SourceStreams!I2131</f>
        <v/>
      </c>
      <c r="J109" s="611"/>
      <c r="K109" s="611"/>
      <c r="L109" s="611"/>
      <c r="M109" s="617"/>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row>
    <row r="110" spans="1:78" s="196" customFormat="1" hidden="1" x14ac:dyDescent="0.2">
      <c r="A110" s="2" t="s">
        <v>85</v>
      </c>
      <c r="C110" s="715"/>
      <c r="E110" s="715"/>
      <c r="F110" s="616">
        <f>C_SourceStreams!F2132</f>
        <v>41</v>
      </c>
      <c r="G110" s="611" t="str">
        <f>C_SourceStreams!G2132</f>
        <v>netaik.</v>
      </c>
      <c r="H110" s="611" t="str">
        <f>C_SourceStreams!H2132</f>
        <v/>
      </c>
      <c r="I110" s="622" t="str">
        <f>C_SourceStreams!I2132</f>
        <v/>
      </c>
      <c r="J110" s="611"/>
      <c r="K110" s="611"/>
      <c r="L110" s="611"/>
      <c r="M110" s="617"/>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row>
    <row r="111" spans="1:78" s="196" customFormat="1" hidden="1" x14ac:dyDescent="0.2">
      <c r="A111" s="2" t="s">
        <v>85</v>
      </c>
      <c r="C111" s="715"/>
      <c r="E111" s="715"/>
      <c r="F111" s="616">
        <f>C_SourceStreams!F2133</f>
        <v>42</v>
      </c>
      <c r="G111" s="611" t="str">
        <f>C_SourceStreams!G2133</f>
        <v>netaik.</v>
      </c>
      <c r="H111" s="611" t="str">
        <f>C_SourceStreams!H2133</f>
        <v/>
      </c>
      <c r="I111" s="622" t="str">
        <f>C_SourceStreams!I2133</f>
        <v/>
      </c>
      <c r="J111" s="611"/>
      <c r="K111" s="611"/>
      <c r="L111" s="611"/>
      <c r="M111" s="617"/>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row>
    <row r="112" spans="1:78" s="196" customFormat="1" hidden="1" x14ac:dyDescent="0.2">
      <c r="A112" s="2" t="s">
        <v>85</v>
      </c>
      <c r="C112" s="715"/>
      <c r="E112" s="715"/>
      <c r="F112" s="616">
        <f>C_SourceStreams!F2134</f>
        <v>43</v>
      </c>
      <c r="G112" s="611" t="str">
        <f>C_SourceStreams!G2134</f>
        <v>netaik.</v>
      </c>
      <c r="H112" s="611" t="str">
        <f>C_SourceStreams!H2134</f>
        <v/>
      </c>
      <c r="I112" s="622" t="str">
        <f>C_SourceStreams!I2134</f>
        <v/>
      </c>
      <c r="J112" s="611"/>
      <c r="K112" s="611"/>
      <c r="L112" s="611"/>
      <c r="M112" s="617"/>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row>
    <row r="113" spans="1:78" s="196" customFormat="1" hidden="1" x14ac:dyDescent="0.2">
      <c r="A113" s="2" t="s">
        <v>85</v>
      </c>
      <c r="C113" s="715"/>
      <c r="E113" s="715"/>
      <c r="F113" s="616">
        <f>C_SourceStreams!F2135</f>
        <v>44</v>
      </c>
      <c r="G113" s="611" t="str">
        <f>C_SourceStreams!G2135</f>
        <v>netaik.</v>
      </c>
      <c r="H113" s="611" t="str">
        <f>C_SourceStreams!H2135</f>
        <v/>
      </c>
      <c r="I113" s="622" t="str">
        <f>C_SourceStreams!I2135</f>
        <v/>
      </c>
      <c r="J113" s="611"/>
      <c r="K113" s="611"/>
      <c r="L113" s="611"/>
      <c r="M113" s="617"/>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row>
    <row r="114" spans="1:78" s="196" customFormat="1" hidden="1" x14ac:dyDescent="0.2">
      <c r="A114" s="2" t="s">
        <v>85</v>
      </c>
      <c r="C114" s="715"/>
      <c r="E114" s="715"/>
      <c r="F114" s="616">
        <f>C_SourceStreams!F2136</f>
        <v>45</v>
      </c>
      <c r="G114" s="611" t="str">
        <f>C_SourceStreams!G2136</f>
        <v>netaik.</v>
      </c>
      <c r="H114" s="611" t="str">
        <f>C_SourceStreams!H2136</f>
        <v/>
      </c>
      <c r="I114" s="622" t="str">
        <f>C_SourceStreams!I2136</f>
        <v/>
      </c>
      <c r="J114" s="611"/>
      <c r="K114" s="611"/>
      <c r="L114" s="611"/>
      <c r="M114" s="617"/>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row>
    <row r="115" spans="1:78" s="196" customFormat="1" hidden="1" x14ac:dyDescent="0.2">
      <c r="A115" s="2" t="s">
        <v>85</v>
      </c>
      <c r="C115" s="715"/>
      <c r="E115" s="715"/>
      <c r="F115" s="616">
        <f>C_SourceStreams!F2137</f>
        <v>46</v>
      </c>
      <c r="G115" s="611" t="str">
        <f>C_SourceStreams!G2137</f>
        <v>netaik.</v>
      </c>
      <c r="H115" s="611" t="str">
        <f>C_SourceStreams!H2137</f>
        <v/>
      </c>
      <c r="I115" s="622" t="str">
        <f>C_SourceStreams!I2137</f>
        <v/>
      </c>
      <c r="J115" s="611"/>
      <c r="K115" s="611"/>
      <c r="L115" s="611"/>
      <c r="M115" s="617"/>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row>
    <row r="116" spans="1:78" s="196" customFormat="1" hidden="1" x14ac:dyDescent="0.2">
      <c r="A116" s="2" t="s">
        <v>85</v>
      </c>
      <c r="C116" s="715"/>
      <c r="E116" s="715"/>
      <c r="F116" s="616">
        <f>C_SourceStreams!F2138</f>
        <v>47</v>
      </c>
      <c r="G116" s="611" t="str">
        <f>C_SourceStreams!G2138</f>
        <v>netaik.</v>
      </c>
      <c r="H116" s="611" t="str">
        <f>C_SourceStreams!H2138</f>
        <v/>
      </c>
      <c r="I116" s="622" t="str">
        <f>C_SourceStreams!I2138</f>
        <v/>
      </c>
      <c r="J116" s="611"/>
      <c r="K116" s="611"/>
      <c r="L116" s="611"/>
      <c r="M116" s="617"/>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row>
    <row r="117" spans="1:78" s="196" customFormat="1" hidden="1" x14ac:dyDescent="0.2">
      <c r="A117" s="2" t="s">
        <v>85</v>
      </c>
      <c r="C117" s="715"/>
      <c r="E117" s="715"/>
      <c r="F117" s="616">
        <f>C_SourceStreams!F2139</f>
        <v>48</v>
      </c>
      <c r="G117" s="611" t="str">
        <f>C_SourceStreams!G2139</f>
        <v>netaik.</v>
      </c>
      <c r="H117" s="611" t="str">
        <f>C_SourceStreams!H2139</f>
        <v/>
      </c>
      <c r="I117" s="622" t="str">
        <f>C_SourceStreams!I2139</f>
        <v/>
      </c>
      <c r="J117" s="611"/>
      <c r="K117" s="611"/>
      <c r="L117" s="611"/>
      <c r="M117" s="617"/>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row>
    <row r="118" spans="1:78" s="196" customFormat="1" hidden="1" x14ac:dyDescent="0.2">
      <c r="A118" s="2" t="s">
        <v>85</v>
      </c>
      <c r="C118" s="715"/>
      <c r="E118" s="715"/>
      <c r="F118" s="616">
        <f>C_SourceStreams!F2140</f>
        <v>49</v>
      </c>
      <c r="G118" s="611" t="str">
        <f>C_SourceStreams!G2140</f>
        <v>netaik.</v>
      </c>
      <c r="H118" s="611" t="str">
        <f>C_SourceStreams!H2140</f>
        <v/>
      </c>
      <c r="I118" s="622" t="str">
        <f>C_SourceStreams!I2140</f>
        <v/>
      </c>
      <c r="J118" s="611"/>
      <c r="K118" s="611"/>
      <c r="L118" s="611"/>
      <c r="M118" s="617"/>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row>
    <row r="119" spans="1:78" s="196" customFormat="1" hidden="1" x14ac:dyDescent="0.2">
      <c r="A119" s="2" t="s">
        <v>85</v>
      </c>
      <c r="C119" s="715"/>
      <c r="E119" s="715"/>
      <c r="F119" s="616">
        <f>C_SourceStreams!F2141</f>
        <v>50</v>
      </c>
      <c r="G119" s="611" t="str">
        <f>C_SourceStreams!G2141</f>
        <v>netaik.</v>
      </c>
      <c r="H119" s="611" t="str">
        <f>C_SourceStreams!H2141</f>
        <v/>
      </c>
      <c r="I119" s="622" t="str">
        <f>C_SourceStreams!I2141</f>
        <v/>
      </c>
      <c r="J119" s="611"/>
      <c r="K119" s="611"/>
      <c r="L119" s="611"/>
      <c r="M119" s="617"/>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row>
    <row r="120" spans="1:78" s="196" customFormat="1" hidden="1" x14ac:dyDescent="0.2">
      <c r="A120" s="2" t="s">
        <v>85</v>
      </c>
      <c r="C120" s="715"/>
      <c r="E120" s="715"/>
      <c r="F120" s="616">
        <f>C_SourceStreams!F2142</f>
        <v>51</v>
      </c>
      <c r="G120" s="611" t="str">
        <f>C_SourceStreams!G2142</f>
        <v>netaik.</v>
      </c>
      <c r="H120" s="611" t="str">
        <f>C_SourceStreams!H2142</f>
        <v/>
      </c>
      <c r="I120" s="622" t="str">
        <f>C_SourceStreams!I2142</f>
        <v/>
      </c>
      <c r="J120" s="611"/>
      <c r="K120" s="611"/>
      <c r="L120" s="611"/>
      <c r="M120" s="617"/>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row>
    <row r="121" spans="1:78" s="196" customFormat="1" hidden="1" x14ac:dyDescent="0.2">
      <c r="A121" s="2" t="s">
        <v>85</v>
      </c>
      <c r="C121" s="715"/>
      <c r="E121" s="715"/>
      <c r="F121" s="616">
        <f>C_SourceStreams!F2143</f>
        <v>52</v>
      </c>
      <c r="G121" s="611" t="str">
        <f>C_SourceStreams!G2143</f>
        <v>netaik.</v>
      </c>
      <c r="H121" s="611" t="str">
        <f>C_SourceStreams!H2143</f>
        <v/>
      </c>
      <c r="I121" s="622" t="str">
        <f>C_SourceStreams!I2143</f>
        <v/>
      </c>
      <c r="J121" s="611"/>
      <c r="K121" s="611"/>
      <c r="L121" s="611"/>
      <c r="M121" s="617"/>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row>
    <row r="122" spans="1:78" s="196" customFormat="1" hidden="1" x14ac:dyDescent="0.2">
      <c r="A122" s="2" t="s">
        <v>85</v>
      </c>
      <c r="C122" s="715"/>
      <c r="E122" s="715"/>
      <c r="F122" s="616">
        <f>C_SourceStreams!F2144</f>
        <v>53</v>
      </c>
      <c r="G122" s="611" t="str">
        <f>C_SourceStreams!G2144</f>
        <v>netaik.</v>
      </c>
      <c r="H122" s="611" t="str">
        <f>C_SourceStreams!H2144</f>
        <v/>
      </c>
      <c r="I122" s="622" t="str">
        <f>C_SourceStreams!I2144</f>
        <v/>
      </c>
      <c r="J122" s="611"/>
      <c r="K122" s="611"/>
      <c r="L122" s="611"/>
      <c r="M122" s="617"/>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row>
    <row r="123" spans="1:78" s="196" customFormat="1" hidden="1" x14ac:dyDescent="0.2">
      <c r="A123" s="2" t="s">
        <v>85</v>
      </c>
      <c r="C123" s="715"/>
      <c r="E123" s="715"/>
      <c r="F123" s="616">
        <f>C_SourceStreams!F2145</f>
        <v>54</v>
      </c>
      <c r="G123" s="611" t="str">
        <f>C_SourceStreams!G2145</f>
        <v>netaik.</v>
      </c>
      <c r="H123" s="611" t="str">
        <f>C_SourceStreams!H2145</f>
        <v/>
      </c>
      <c r="I123" s="622" t="str">
        <f>C_SourceStreams!I2145</f>
        <v/>
      </c>
      <c r="J123" s="611"/>
      <c r="K123" s="611"/>
      <c r="L123" s="611"/>
      <c r="M123" s="617"/>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row>
    <row r="124" spans="1:78" s="196" customFormat="1" hidden="1" x14ac:dyDescent="0.2">
      <c r="A124" s="2" t="s">
        <v>85</v>
      </c>
      <c r="C124" s="715"/>
      <c r="E124" s="715"/>
      <c r="F124" s="616">
        <f>C_SourceStreams!F2146</f>
        <v>55</v>
      </c>
      <c r="G124" s="611" t="str">
        <f>C_SourceStreams!G2146</f>
        <v>netaik.</v>
      </c>
      <c r="H124" s="611" t="str">
        <f>C_SourceStreams!H2146</f>
        <v/>
      </c>
      <c r="I124" s="622" t="str">
        <f>C_SourceStreams!I2146</f>
        <v/>
      </c>
      <c r="J124" s="611"/>
      <c r="K124" s="611"/>
      <c r="L124" s="611"/>
      <c r="M124" s="617"/>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row>
    <row r="125" spans="1:78" s="196" customFormat="1" hidden="1" x14ac:dyDescent="0.2">
      <c r="A125" s="2" t="s">
        <v>85</v>
      </c>
      <c r="C125" s="715"/>
      <c r="E125" s="715"/>
      <c r="F125" s="616">
        <f>C_SourceStreams!F2147</f>
        <v>56</v>
      </c>
      <c r="G125" s="611" t="str">
        <f>C_SourceStreams!G2147</f>
        <v>netaik.</v>
      </c>
      <c r="H125" s="611" t="str">
        <f>C_SourceStreams!H2147</f>
        <v/>
      </c>
      <c r="I125" s="622" t="str">
        <f>C_SourceStreams!I2147</f>
        <v/>
      </c>
      <c r="J125" s="611"/>
      <c r="K125" s="611"/>
      <c r="L125" s="611"/>
      <c r="M125" s="617"/>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row>
    <row r="126" spans="1:78" s="196" customFormat="1" hidden="1" x14ac:dyDescent="0.2">
      <c r="A126" s="2" t="s">
        <v>85</v>
      </c>
      <c r="C126" s="715"/>
      <c r="E126" s="715"/>
      <c r="F126" s="616">
        <f>C_SourceStreams!F2148</f>
        <v>57</v>
      </c>
      <c r="G126" s="611" t="str">
        <f>C_SourceStreams!G2148</f>
        <v>netaik.</v>
      </c>
      <c r="H126" s="611" t="str">
        <f>C_SourceStreams!H2148</f>
        <v/>
      </c>
      <c r="I126" s="622" t="str">
        <f>C_SourceStreams!I2148</f>
        <v/>
      </c>
      <c r="J126" s="611"/>
      <c r="K126" s="611"/>
      <c r="L126" s="611"/>
      <c r="M126" s="617"/>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row>
    <row r="127" spans="1:78" s="196" customFormat="1" hidden="1" x14ac:dyDescent="0.2">
      <c r="A127" s="2" t="s">
        <v>85</v>
      </c>
      <c r="C127" s="715"/>
      <c r="E127" s="715"/>
      <c r="F127" s="616">
        <f>C_SourceStreams!F2149</f>
        <v>58</v>
      </c>
      <c r="G127" s="611" t="str">
        <f>C_SourceStreams!G2149</f>
        <v>netaik.</v>
      </c>
      <c r="H127" s="611" t="str">
        <f>C_SourceStreams!H2149</f>
        <v/>
      </c>
      <c r="I127" s="622" t="str">
        <f>C_SourceStreams!I2149</f>
        <v/>
      </c>
      <c r="J127" s="611"/>
      <c r="K127" s="611"/>
      <c r="L127" s="611"/>
      <c r="M127" s="617"/>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row>
    <row r="128" spans="1:78" s="196" customFormat="1" hidden="1" x14ac:dyDescent="0.2">
      <c r="A128" s="2" t="s">
        <v>85</v>
      </c>
      <c r="C128" s="715"/>
      <c r="E128" s="715"/>
      <c r="F128" s="616">
        <f>C_SourceStreams!F2150</f>
        <v>59</v>
      </c>
      <c r="G128" s="611" t="str">
        <f>C_SourceStreams!G2150</f>
        <v>netaik.</v>
      </c>
      <c r="H128" s="611" t="str">
        <f>C_SourceStreams!H2150</f>
        <v/>
      </c>
      <c r="I128" s="622" t="str">
        <f>C_SourceStreams!I2150</f>
        <v/>
      </c>
      <c r="J128" s="611"/>
      <c r="K128" s="611"/>
      <c r="L128" s="611"/>
      <c r="M128" s="617"/>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row>
    <row r="129" spans="1:78" s="196" customFormat="1" hidden="1" x14ac:dyDescent="0.2">
      <c r="A129" s="2" t="s">
        <v>85</v>
      </c>
      <c r="C129" s="715"/>
      <c r="E129" s="715"/>
      <c r="F129" s="616">
        <f>C_SourceStreams!F2151</f>
        <v>60</v>
      </c>
      <c r="G129" s="611" t="str">
        <f>C_SourceStreams!G2151</f>
        <v>netaik.</v>
      </c>
      <c r="H129" s="611" t="str">
        <f>C_SourceStreams!H2151</f>
        <v/>
      </c>
      <c r="I129" s="622" t="str">
        <f>C_SourceStreams!I2151</f>
        <v/>
      </c>
      <c r="J129" s="611"/>
      <c r="K129" s="611"/>
      <c r="L129" s="611"/>
      <c r="M129" s="617"/>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row>
    <row r="130" spans="1:78" s="196" customFormat="1" hidden="1" x14ac:dyDescent="0.2">
      <c r="A130" s="2" t="s">
        <v>85</v>
      </c>
      <c r="C130" s="715"/>
      <c r="E130" s="715"/>
      <c r="F130" s="616">
        <f>C_SourceStreams!F2152</f>
        <v>61</v>
      </c>
      <c r="G130" s="611" t="str">
        <f>C_SourceStreams!G2152</f>
        <v>netaik.</v>
      </c>
      <c r="H130" s="611" t="str">
        <f>C_SourceStreams!H2152</f>
        <v/>
      </c>
      <c r="I130" s="622" t="str">
        <f>C_SourceStreams!I2152</f>
        <v/>
      </c>
      <c r="J130" s="611"/>
      <c r="K130" s="611"/>
      <c r="L130" s="611"/>
      <c r="M130" s="617"/>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row>
    <row r="131" spans="1:78" s="196" customFormat="1" hidden="1" x14ac:dyDescent="0.2">
      <c r="A131" s="2" t="s">
        <v>85</v>
      </c>
      <c r="C131" s="715"/>
      <c r="E131" s="715"/>
      <c r="F131" s="616">
        <f>C_SourceStreams!F2153</f>
        <v>62</v>
      </c>
      <c r="G131" s="611" t="str">
        <f>C_SourceStreams!G2153</f>
        <v>netaik.</v>
      </c>
      <c r="H131" s="611" t="str">
        <f>C_SourceStreams!H2153</f>
        <v/>
      </c>
      <c r="I131" s="622" t="str">
        <f>C_SourceStreams!I2153</f>
        <v/>
      </c>
      <c r="J131" s="611"/>
      <c r="K131" s="611"/>
      <c r="L131" s="611"/>
      <c r="M131" s="617"/>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row>
    <row r="132" spans="1:78" s="196" customFormat="1" hidden="1" x14ac:dyDescent="0.2">
      <c r="A132" s="2" t="s">
        <v>85</v>
      </c>
      <c r="C132" s="715"/>
      <c r="E132" s="715"/>
      <c r="F132" s="616">
        <f>C_SourceStreams!F2154</f>
        <v>63</v>
      </c>
      <c r="G132" s="611" t="str">
        <f>C_SourceStreams!G2154</f>
        <v>netaik.</v>
      </c>
      <c r="H132" s="611" t="str">
        <f>C_SourceStreams!H2154</f>
        <v/>
      </c>
      <c r="I132" s="622" t="str">
        <f>C_SourceStreams!I2154</f>
        <v/>
      </c>
      <c r="J132" s="611"/>
      <c r="K132" s="611"/>
      <c r="L132" s="611"/>
      <c r="M132" s="617"/>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row>
    <row r="133" spans="1:78" s="196" customFormat="1" hidden="1" x14ac:dyDescent="0.2">
      <c r="A133" s="2" t="s">
        <v>85</v>
      </c>
      <c r="C133" s="715"/>
      <c r="E133" s="715"/>
      <c r="F133" s="616">
        <f>C_SourceStreams!F2155</f>
        <v>64</v>
      </c>
      <c r="G133" s="611" t="str">
        <f>C_SourceStreams!G2155</f>
        <v>netaik.</v>
      </c>
      <c r="H133" s="611" t="str">
        <f>C_SourceStreams!H2155</f>
        <v/>
      </c>
      <c r="I133" s="622" t="str">
        <f>C_SourceStreams!I2155</f>
        <v/>
      </c>
      <c r="J133" s="611"/>
      <c r="K133" s="611"/>
      <c r="L133" s="611"/>
      <c r="M133" s="617"/>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row>
    <row r="134" spans="1:78" s="196" customFormat="1" hidden="1" x14ac:dyDescent="0.2">
      <c r="A134" s="2" t="s">
        <v>85</v>
      </c>
      <c r="C134" s="715"/>
      <c r="E134" s="715"/>
      <c r="F134" s="616">
        <f>C_SourceStreams!F2156</f>
        <v>65</v>
      </c>
      <c r="G134" s="611" t="str">
        <f>C_SourceStreams!G2156</f>
        <v>netaik.</v>
      </c>
      <c r="H134" s="611" t="str">
        <f>C_SourceStreams!H2156</f>
        <v/>
      </c>
      <c r="I134" s="622" t="str">
        <f>C_SourceStreams!I2156</f>
        <v/>
      </c>
      <c r="J134" s="611"/>
      <c r="K134" s="611"/>
      <c r="L134" s="611"/>
      <c r="M134" s="617"/>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row>
    <row r="135" spans="1:78" s="196" customFormat="1" hidden="1" x14ac:dyDescent="0.2">
      <c r="A135" s="2" t="s">
        <v>85</v>
      </c>
      <c r="C135" s="715"/>
      <c r="E135" s="715"/>
      <c r="F135" s="616">
        <f>C_SourceStreams!F2157</f>
        <v>66</v>
      </c>
      <c r="G135" s="611" t="str">
        <f>C_SourceStreams!G2157</f>
        <v>netaik.</v>
      </c>
      <c r="H135" s="611" t="str">
        <f>C_SourceStreams!H2157</f>
        <v/>
      </c>
      <c r="I135" s="622" t="str">
        <f>C_SourceStreams!I2157</f>
        <v/>
      </c>
      <c r="J135" s="611"/>
      <c r="K135" s="611"/>
      <c r="L135" s="611"/>
      <c r="M135" s="617"/>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row>
    <row r="136" spans="1:78" s="196" customFormat="1" hidden="1" x14ac:dyDescent="0.2">
      <c r="A136" s="2" t="s">
        <v>85</v>
      </c>
      <c r="C136" s="715"/>
      <c r="E136" s="715"/>
      <c r="F136" s="616">
        <f>C_SourceStreams!F2158</f>
        <v>67</v>
      </c>
      <c r="G136" s="611" t="str">
        <f>C_SourceStreams!G2158</f>
        <v>netaik.</v>
      </c>
      <c r="H136" s="611" t="str">
        <f>C_SourceStreams!H2158</f>
        <v/>
      </c>
      <c r="I136" s="622" t="str">
        <f>C_SourceStreams!I2158</f>
        <v/>
      </c>
      <c r="J136" s="611"/>
      <c r="K136" s="611"/>
      <c r="L136" s="611"/>
      <c r="M136" s="617"/>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row>
    <row r="137" spans="1:78" s="196" customFormat="1" hidden="1" x14ac:dyDescent="0.2">
      <c r="A137" s="2" t="s">
        <v>85</v>
      </c>
      <c r="C137" s="715"/>
      <c r="E137" s="715"/>
      <c r="F137" s="616">
        <f>C_SourceStreams!F2159</f>
        <v>68</v>
      </c>
      <c r="G137" s="611" t="str">
        <f>C_SourceStreams!G2159</f>
        <v>netaik.</v>
      </c>
      <c r="H137" s="611" t="str">
        <f>C_SourceStreams!H2159</f>
        <v/>
      </c>
      <c r="I137" s="622" t="str">
        <f>C_SourceStreams!I2159</f>
        <v/>
      </c>
      <c r="J137" s="611"/>
      <c r="K137" s="611"/>
      <c r="L137" s="611"/>
      <c r="M137" s="617"/>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row>
    <row r="138" spans="1:78" s="196" customFormat="1" hidden="1" x14ac:dyDescent="0.2">
      <c r="A138" s="2" t="s">
        <v>85</v>
      </c>
      <c r="C138" s="715"/>
      <c r="E138" s="715"/>
      <c r="F138" s="616">
        <f>C_SourceStreams!F2160</f>
        <v>69</v>
      </c>
      <c r="G138" s="611" t="str">
        <f>C_SourceStreams!G2160</f>
        <v>netaik.</v>
      </c>
      <c r="H138" s="611" t="str">
        <f>C_SourceStreams!H2160</f>
        <v/>
      </c>
      <c r="I138" s="622" t="str">
        <f>C_SourceStreams!I2160</f>
        <v/>
      </c>
      <c r="J138" s="611"/>
      <c r="K138" s="611"/>
      <c r="L138" s="611"/>
      <c r="M138" s="617"/>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row>
    <row r="139" spans="1:78" s="196" customFormat="1" hidden="1" x14ac:dyDescent="0.2">
      <c r="A139" s="2" t="s">
        <v>85</v>
      </c>
      <c r="C139" s="715"/>
      <c r="E139" s="715"/>
      <c r="F139" s="616">
        <f>C_SourceStreams!F2161</f>
        <v>70</v>
      </c>
      <c r="G139" s="611" t="str">
        <f>C_SourceStreams!G2161</f>
        <v>netaik.</v>
      </c>
      <c r="H139" s="611" t="str">
        <f>C_SourceStreams!H2161</f>
        <v/>
      </c>
      <c r="I139" s="622" t="str">
        <f>C_SourceStreams!I2161</f>
        <v/>
      </c>
      <c r="J139" s="611"/>
      <c r="K139" s="611"/>
      <c r="L139" s="611"/>
      <c r="M139" s="617"/>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row>
    <row r="140" spans="1:78" s="196" customFormat="1" hidden="1" x14ac:dyDescent="0.2">
      <c r="A140" s="2" t="s">
        <v>85</v>
      </c>
      <c r="C140" s="715"/>
      <c r="E140" s="715"/>
      <c r="F140" s="616">
        <f>C_SourceStreams!F2162</f>
        <v>71</v>
      </c>
      <c r="G140" s="611" t="str">
        <f>C_SourceStreams!G2162</f>
        <v>netaik.</v>
      </c>
      <c r="H140" s="611" t="str">
        <f>C_SourceStreams!H2162</f>
        <v/>
      </c>
      <c r="I140" s="622" t="str">
        <f>C_SourceStreams!I2162</f>
        <v/>
      </c>
      <c r="J140" s="611"/>
      <c r="K140" s="611"/>
      <c r="L140" s="611"/>
      <c r="M140" s="617"/>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row>
    <row r="141" spans="1:78" s="196" customFormat="1" hidden="1" x14ac:dyDescent="0.2">
      <c r="A141" s="2" t="s">
        <v>85</v>
      </c>
      <c r="C141" s="715"/>
      <c r="E141" s="715"/>
      <c r="F141" s="616">
        <f>C_SourceStreams!F2163</f>
        <v>72</v>
      </c>
      <c r="G141" s="611" t="str">
        <f>C_SourceStreams!G2163</f>
        <v>netaik.</v>
      </c>
      <c r="H141" s="611" t="str">
        <f>C_SourceStreams!H2163</f>
        <v/>
      </c>
      <c r="I141" s="622" t="str">
        <f>C_SourceStreams!I2163</f>
        <v/>
      </c>
      <c r="J141" s="611"/>
      <c r="K141" s="611"/>
      <c r="L141" s="611"/>
      <c r="M141" s="617"/>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row>
    <row r="142" spans="1:78" s="196" customFormat="1" hidden="1" x14ac:dyDescent="0.2">
      <c r="A142" s="2" t="s">
        <v>85</v>
      </c>
      <c r="C142" s="715"/>
      <c r="E142" s="715"/>
      <c r="F142" s="616">
        <f>C_SourceStreams!F2164</f>
        <v>73</v>
      </c>
      <c r="G142" s="611" t="str">
        <f>C_SourceStreams!G2164</f>
        <v>netaik.</v>
      </c>
      <c r="H142" s="611" t="str">
        <f>C_SourceStreams!H2164</f>
        <v/>
      </c>
      <c r="I142" s="622" t="str">
        <f>C_SourceStreams!I2164</f>
        <v/>
      </c>
      <c r="J142" s="611"/>
      <c r="K142" s="611"/>
      <c r="L142" s="611"/>
      <c r="M142" s="617"/>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row>
    <row r="143" spans="1:78" s="196" customFormat="1" hidden="1" x14ac:dyDescent="0.2">
      <c r="A143" s="2" t="s">
        <v>85</v>
      </c>
      <c r="C143" s="715"/>
      <c r="E143" s="715"/>
      <c r="F143" s="616">
        <f>C_SourceStreams!F2165</f>
        <v>74</v>
      </c>
      <c r="G143" s="611" t="str">
        <f>C_SourceStreams!G2165</f>
        <v>netaik.</v>
      </c>
      <c r="H143" s="611" t="str">
        <f>C_SourceStreams!H2165</f>
        <v/>
      </c>
      <c r="I143" s="622" t="str">
        <f>C_SourceStreams!I2165</f>
        <v/>
      </c>
      <c r="J143" s="611"/>
      <c r="K143" s="611"/>
      <c r="L143" s="611"/>
      <c r="M143" s="617"/>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row>
    <row r="144" spans="1:78" s="196" customFormat="1" ht="13.5" hidden="1" thickBot="1" x14ac:dyDescent="0.25">
      <c r="A144" s="2" t="s">
        <v>85</v>
      </c>
      <c r="C144" s="715"/>
      <c r="E144" s="715"/>
      <c r="F144" s="618">
        <f>C_SourceStreams!F2166</f>
        <v>75</v>
      </c>
      <c r="G144" s="619" t="str">
        <f>C_SourceStreams!G2166</f>
        <v>netaik.</v>
      </c>
      <c r="H144" s="619" t="str">
        <f>C_SourceStreams!H2166</f>
        <v/>
      </c>
      <c r="I144" s="623" t="str">
        <f>C_SourceStreams!I2166</f>
        <v/>
      </c>
      <c r="J144" s="619"/>
      <c r="K144" s="619"/>
      <c r="L144" s="619"/>
      <c r="M144" s="620"/>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row>
    <row r="145" spans="1:78" hidden="1" x14ac:dyDescent="0.2">
      <c r="A145" s="2" t="s">
        <v>85</v>
      </c>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row>
    <row r="146" spans="1:78" hidden="1" x14ac:dyDescent="0.2">
      <c r="A146" s="2" t="s">
        <v>85</v>
      </c>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row>
    <row r="147" spans="1:78" ht="13.5" hidden="1" thickBot="1" x14ac:dyDescent="0.25">
      <c r="A147" s="47" t="s">
        <v>85</v>
      </c>
      <c r="C147" s="7"/>
      <c r="E147" s="7"/>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row>
    <row r="148" spans="1:78" ht="12.75" hidden="1" customHeight="1" x14ac:dyDescent="0.2">
      <c r="A148" s="47" t="s">
        <v>85</v>
      </c>
      <c r="B148" s="243"/>
      <c r="C148" s="243"/>
      <c r="D148" s="243"/>
      <c r="E148" s="243"/>
      <c r="F148" s="613"/>
      <c r="G148" s="614"/>
      <c r="H148" s="614"/>
      <c r="I148" s="614" t="str">
        <f>D_MeasurementBasedApproaches!I378</f>
        <v>source stream</v>
      </c>
      <c r="J148" s="614"/>
      <c r="K148" s="614"/>
      <c r="L148" s="614"/>
      <c r="M148" s="624" t="str">
        <f>D_MeasurementBasedApproaches!M378</f>
        <v>Range</v>
      </c>
      <c r="N148" s="243"/>
      <c r="O148" s="260"/>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row>
    <row r="149" spans="1:78" s="196" customFormat="1" hidden="1" x14ac:dyDescent="0.2">
      <c r="A149" s="2" t="s">
        <v>85</v>
      </c>
      <c r="F149" s="615">
        <f>D_MeasurementBasedApproaches!F379</f>
        <v>1</v>
      </c>
      <c r="G149" s="612" t="str">
        <f>D_MeasurementBasedApproaches!G379</f>
        <v>netaik.</v>
      </c>
      <c r="H149" s="612" t="str">
        <f>D_MeasurementBasedApproaches!H379</f>
        <v/>
      </c>
      <c r="I149" s="621" t="str">
        <f>D_MeasurementBasedApproaches!I379</f>
        <v/>
      </c>
      <c r="J149" s="612"/>
      <c r="K149" s="612"/>
      <c r="L149" s="612"/>
      <c r="M149" s="625" t="str">
        <f>IF(COUNT(H149:H158)=0,"","$I$"&amp;ROW(I149)&amp;":$I$"&amp; ROW(I149)-1+MAX(1,H149:H158))</f>
        <v/>
      </c>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row>
    <row r="150" spans="1:78" s="196" customFormat="1" hidden="1" x14ac:dyDescent="0.2">
      <c r="A150" s="2" t="s">
        <v>85</v>
      </c>
      <c r="F150" s="616">
        <f>D_MeasurementBasedApproaches!F380</f>
        <v>2</v>
      </c>
      <c r="G150" s="612" t="str">
        <f>D_MeasurementBasedApproaches!G380</f>
        <v>netaik.</v>
      </c>
      <c r="H150" s="611" t="str">
        <f>D_MeasurementBasedApproaches!H380</f>
        <v/>
      </c>
      <c r="I150" s="622" t="str">
        <f>D_MeasurementBasedApproaches!I380</f>
        <v/>
      </c>
      <c r="J150" s="611"/>
      <c r="K150" s="611"/>
      <c r="L150" s="611"/>
      <c r="M150" s="617"/>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row>
    <row r="151" spans="1:78" s="196" customFormat="1" hidden="1" x14ac:dyDescent="0.2">
      <c r="A151" s="2" t="s">
        <v>85</v>
      </c>
      <c r="F151" s="616">
        <f>D_MeasurementBasedApproaches!F381</f>
        <v>3</v>
      </c>
      <c r="G151" s="612" t="str">
        <f>D_MeasurementBasedApproaches!G381</f>
        <v>netaik.</v>
      </c>
      <c r="H151" s="611" t="str">
        <f>D_MeasurementBasedApproaches!H381</f>
        <v/>
      </c>
      <c r="I151" s="622" t="str">
        <f>D_MeasurementBasedApproaches!I381</f>
        <v/>
      </c>
      <c r="J151" s="611"/>
      <c r="K151" s="611"/>
      <c r="L151" s="611"/>
      <c r="M151" s="617"/>
      <c r="N151" s="7"/>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row>
    <row r="152" spans="1:78" s="196" customFormat="1" hidden="1" x14ac:dyDescent="0.2">
      <c r="A152" s="2" t="s">
        <v>85</v>
      </c>
      <c r="F152" s="616">
        <f>D_MeasurementBasedApproaches!F382</f>
        <v>4</v>
      </c>
      <c r="G152" s="612" t="str">
        <f>D_MeasurementBasedApproaches!G382</f>
        <v>netaik.</v>
      </c>
      <c r="H152" s="611" t="str">
        <f>D_MeasurementBasedApproaches!H382</f>
        <v/>
      </c>
      <c r="I152" s="622" t="str">
        <f>D_MeasurementBasedApproaches!I382</f>
        <v/>
      </c>
      <c r="J152" s="611"/>
      <c r="K152" s="611"/>
      <c r="L152" s="611"/>
      <c r="M152" s="617"/>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row>
    <row r="153" spans="1:78" s="196" customFormat="1" hidden="1" x14ac:dyDescent="0.2">
      <c r="A153" s="2" t="s">
        <v>85</v>
      </c>
      <c r="F153" s="616">
        <f>D_MeasurementBasedApproaches!F383</f>
        <v>5</v>
      </c>
      <c r="G153" s="612" t="str">
        <f>D_MeasurementBasedApproaches!G383</f>
        <v>netaik.</v>
      </c>
      <c r="H153" s="611" t="str">
        <f>D_MeasurementBasedApproaches!H383</f>
        <v/>
      </c>
      <c r="I153" s="622" t="str">
        <f>D_MeasurementBasedApproaches!I383</f>
        <v/>
      </c>
      <c r="J153" s="611"/>
      <c r="K153" s="611"/>
      <c r="L153" s="611"/>
      <c r="M153" s="617"/>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row>
    <row r="154" spans="1:78" s="196" customFormat="1" hidden="1" x14ac:dyDescent="0.2">
      <c r="A154" s="2" t="s">
        <v>85</v>
      </c>
      <c r="F154" s="616">
        <f>D_MeasurementBasedApproaches!F384</f>
        <v>6</v>
      </c>
      <c r="G154" s="612" t="str">
        <f>D_MeasurementBasedApproaches!G384</f>
        <v>netaik.</v>
      </c>
      <c r="H154" s="611" t="str">
        <f>D_MeasurementBasedApproaches!H384</f>
        <v/>
      </c>
      <c r="I154" s="622" t="str">
        <f>D_MeasurementBasedApproaches!I384</f>
        <v/>
      </c>
      <c r="J154" s="611"/>
      <c r="K154" s="611"/>
      <c r="L154" s="611"/>
      <c r="M154" s="617"/>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row>
    <row r="155" spans="1:78" s="196" customFormat="1" hidden="1" x14ac:dyDescent="0.2">
      <c r="A155" s="2" t="s">
        <v>85</v>
      </c>
      <c r="F155" s="616">
        <f>D_MeasurementBasedApproaches!F385</f>
        <v>7</v>
      </c>
      <c r="G155" s="612" t="str">
        <f>D_MeasurementBasedApproaches!G385</f>
        <v>netaik.</v>
      </c>
      <c r="H155" s="611" t="str">
        <f>D_MeasurementBasedApproaches!H385</f>
        <v/>
      </c>
      <c r="I155" s="622" t="str">
        <f>D_MeasurementBasedApproaches!I385</f>
        <v/>
      </c>
      <c r="J155" s="611"/>
      <c r="K155" s="611"/>
      <c r="L155" s="611"/>
      <c r="M155" s="617"/>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row>
    <row r="156" spans="1:78" s="196" customFormat="1" hidden="1" x14ac:dyDescent="0.2">
      <c r="A156" s="2" t="s">
        <v>85</v>
      </c>
      <c r="F156" s="616">
        <f>D_MeasurementBasedApproaches!F386</f>
        <v>8</v>
      </c>
      <c r="G156" s="612" t="str">
        <f>D_MeasurementBasedApproaches!G386</f>
        <v>netaik.</v>
      </c>
      <c r="H156" s="611" t="str">
        <f>D_MeasurementBasedApproaches!H386</f>
        <v/>
      </c>
      <c r="I156" s="622" t="str">
        <f>D_MeasurementBasedApproaches!I386</f>
        <v/>
      </c>
      <c r="J156" s="611"/>
      <c r="K156" s="611"/>
      <c r="L156" s="611"/>
      <c r="M156" s="617"/>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row>
    <row r="157" spans="1:78" s="196" customFormat="1" hidden="1" x14ac:dyDescent="0.2">
      <c r="A157" s="2" t="s">
        <v>85</v>
      </c>
      <c r="F157" s="616">
        <f>D_MeasurementBasedApproaches!F387</f>
        <v>9</v>
      </c>
      <c r="G157" s="612" t="str">
        <f>D_MeasurementBasedApproaches!G387</f>
        <v>netaik.</v>
      </c>
      <c r="H157" s="611" t="str">
        <f>D_MeasurementBasedApproaches!H387</f>
        <v/>
      </c>
      <c r="I157" s="622" t="str">
        <f>D_MeasurementBasedApproaches!I387</f>
        <v/>
      </c>
      <c r="J157" s="611"/>
      <c r="K157" s="611"/>
      <c r="L157" s="611"/>
      <c r="M157" s="617"/>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row>
    <row r="158" spans="1:78" s="196" customFormat="1" ht="13.5" hidden="1" thickBot="1" x14ac:dyDescent="0.25">
      <c r="A158" s="2" t="s">
        <v>85</v>
      </c>
      <c r="F158" s="618">
        <f>D_MeasurementBasedApproaches!F388</f>
        <v>10</v>
      </c>
      <c r="G158" s="634" t="str">
        <f>D_MeasurementBasedApproaches!G388</f>
        <v>netaik.</v>
      </c>
      <c r="H158" s="619" t="str">
        <f>D_MeasurementBasedApproaches!H388</f>
        <v/>
      </c>
      <c r="I158" s="623" t="str">
        <f>D_MeasurementBasedApproaches!I388</f>
        <v/>
      </c>
      <c r="J158" s="619"/>
      <c r="K158" s="619"/>
      <c r="L158" s="619"/>
      <c r="M158" s="620"/>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row>
    <row r="159" spans="1:78" hidden="1" x14ac:dyDescent="0.2">
      <c r="A159" s="47" t="s">
        <v>85</v>
      </c>
      <c r="C159" s="7"/>
      <c r="E159" s="7"/>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row>
    <row r="160" spans="1:78" hidden="1" x14ac:dyDescent="0.2">
      <c r="A160" s="2" t="s">
        <v>85</v>
      </c>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row>
    <row r="161" spans="1:80" s="7" customFormat="1" hidden="1" x14ac:dyDescent="0.2">
      <c r="A161" s="2" t="s">
        <v>85</v>
      </c>
      <c r="C161" s="486"/>
      <c r="D161" s="139"/>
      <c r="E161" s="486"/>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1"/>
      <c r="CB161" s="1"/>
    </row>
    <row r="162" spans="1:80" s="7" customFormat="1" hidden="1" x14ac:dyDescent="0.2">
      <c r="A162" s="2" t="s">
        <v>85</v>
      </c>
      <c r="C162" s="486"/>
      <c r="D162" s="139"/>
      <c r="E162" s="486"/>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1"/>
      <c r="CB162" s="1"/>
    </row>
    <row r="163" spans="1:80" s="7" customFormat="1" hidden="1" x14ac:dyDescent="0.2">
      <c r="A163" s="2" t="s">
        <v>85</v>
      </c>
      <c r="C163" s="486"/>
      <c r="D163" s="139"/>
      <c r="E163" s="486"/>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formatCells="0" formatColumns="0" formatRows="0"/>
  <mergeCells count="112">
    <mergeCell ref="D61:G61"/>
    <mergeCell ref="J61:M61"/>
    <mergeCell ref="D59:G59"/>
    <mergeCell ref="J59:M59"/>
    <mergeCell ref="D60:G60"/>
    <mergeCell ref="D43:G43"/>
    <mergeCell ref="J43:M43"/>
    <mergeCell ref="D47:G47"/>
    <mergeCell ref="J47:M47"/>
    <mergeCell ref="D44:G44"/>
    <mergeCell ref="D58:G58"/>
    <mergeCell ref="J58:M58"/>
    <mergeCell ref="D55:G55"/>
    <mergeCell ref="J55:M55"/>
    <mergeCell ref="D56:G56"/>
    <mergeCell ref="J56:M56"/>
    <mergeCell ref="J40:M40"/>
    <mergeCell ref="D41:G41"/>
    <mergeCell ref="D32:G32"/>
    <mergeCell ref="J32:M32"/>
    <mergeCell ref="D33:G33"/>
    <mergeCell ref="J33:M33"/>
    <mergeCell ref="D30:G30"/>
    <mergeCell ref="J30:M30"/>
    <mergeCell ref="D31:G31"/>
    <mergeCell ref="J31:M31"/>
    <mergeCell ref="D36:G36"/>
    <mergeCell ref="J36:M36"/>
    <mergeCell ref="D37:G37"/>
    <mergeCell ref="J37:M37"/>
    <mergeCell ref="D34:G34"/>
    <mergeCell ref="J34:M34"/>
    <mergeCell ref="D35:G35"/>
    <mergeCell ref="J35:M35"/>
    <mergeCell ref="D38:G38"/>
    <mergeCell ref="J38:M38"/>
    <mergeCell ref="J41:M41"/>
    <mergeCell ref="J48:M48"/>
    <mergeCell ref="D49:G49"/>
    <mergeCell ref="J49:M49"/>
    <mergeCell ref="D23:G23"/>
    <mergeCell ref="J23:M23"/>
    <mergeCell ref="D24:G24"/>
    <mergeCell ref="J24:M24"/>
    <mergeCell ref="D46:G46"/>
    <mergeCell ref="J46:M46"/>
    <mergeCell ref="D25:G25"/>
    <mergeCell ref="J25:M25"/>
    <mergeCell ref="D39:G39"/>
    <mergeCell ref="J39:M39"/>
    <mergeCell ref="D26:G26"/>
    <mergeCell ref="J26:M26"/>
    <mergeCell ref="D27:G27"/>
    <mergeCell ref="J27:M27"/>
    <mergeCell ref="D28:G28"/>
    <mergeCell ref="J28:M28"/>
    <mergeCell ref="D29:G29"/>
    <mergeCell ref="J29:M29"/>
    <mergeCell ref="D42:G42"/>
    <mergeCell ref="J42:M42"/>
    <mergeCell ref="D40:G40"/>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F17:N17"/>
    <mergeCell ref="D8:N8"/>
    <mergeCell ref="F14:N14"/>
    <mergeCell ref="F16:N16"/>
    <mergeCell ref="C6:K6"/>
    <mergeCell ref="E10:N10"/>
    <mergeCell ref="F11:N11"/>
    <mergeCell ref="F13:N13"/>
    <mergeCell ref="F12:N12"/>
    <mergeCell ref="F15:N15"/>
    <mergeCell ref="E14:E15"/>
    <mergeCell ref="F65:L65"/>
    <mergeCell ref="J21:M21"/>
    <mergeCell ref="D21:G21"/>
    <mergeCell ref="D22:G22"/>
    <mergeCell ref="J22:M22"/>
    <mergeCell ref="D20:G20"/>
    <mergeCell ref="D52:G52"/>
    <mergeCell ref="J20:M20"/>
    <mergeCell ref="J52:M52"/>
    <mergeCell ref="D53:G53"/>
    <mergeCell ref="J53:M53"/>
    <mergeCell ref="D50:G50"/>
    <mergeCell ref="J50:M50"/>
    <mergeCell ref="D54:G54"/>
    <mergeCell ref="J54:M54"/>
    <mergeCell ref="D62:G62"/>
    <mergeCell ref="J62:M62"/>
    <mergeCell ref="J60:M60"/>
    <mergeCell ref="D57:G57"/>
    <mergeCell ref="J57:M57"/>
    <mergeCell ref="J44:M44"/>
    <mergeCell ref="D45:G45"/>
    <mergeCell ref="J45:M45"/>
    <mergeCell ref="D48:G48"/>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Anatolijus Urbas</cp:lastModifiedBy>
  <cp:lastPrinted>2016-03-07T08:34:23Z</cp:lastPrinted>
  <dcterms:created xsi:type="dcterms:W3CDTF">2008-05-26T08:52:55Z</dcterms:created>
  <dcterms:modified xsi:type="dcterms:W3CDTF">2020-03-09T09:19:28Z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